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654.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omments9.xml" ContentType="application/vnd.openxmlformats-officedocument.spreadsheetml.comments+xml"/>
  <Override PartName="/xl/drawings/drawing10.xml" ContentType="application/vnd.openxmlformats-officedocument.drawing+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omments13.xml" ContentType="application/vnd.openxmlformats-officedocument.spreadsheetml.comments+xml"/>
  <Override PartName="/xl/drawings/drawing14.xml" ContentType="application/vnd.openxmlformats-officedocument.drawing+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omments14.xml" ContentType="application/vnd.openxmlformats-officedocument.spreadsheetml.comments+xml"/>
  <Override PartName="/xl/drawings/drawing15.xml" ContentType="application/vnd.openxmlformats-officedocument.drawing+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omments15.xml" ContentType="application/vnd.openxmlformats-officedocument.spreadsheetml.comments+xml"/>
  <Override PartName="/xl/drawings/drawing16.xml" ContentType="application/vnd.openxmlformats-officedocument.drawing+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omments16.xml" ContentType="application/vnd.openxmlformats-officedocument.spreadsheetml.comments+xml"/>
  <Override PartName="/xl/drawings/drawing17.xml" ContentType="application/vnd.openxmlformats-officedocument.drawing+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omments17.xml" ContentType="application/vnd.openxmlformats-officedocument.spreadsheetml.comments+xml"/>
  <Override PartName="/xl/drawings/drawing18.xml" ContentType="application/vnd.openxmlformats-officedocument.drawing+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omments18.xml" ContentType="application/vnd.openxmlformats-officedocument.spreadsheetml.comments+xml"/>
  <Override PartName="/xl/drawings/drawing19.xml" ContentType="application/vnd.openxmlformats-officedocument.drawing+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omments19.xml" ContentType="application/vnd.openxmlformats-officedocument.spreadsheetml.comments+xml"/>
  <Override PartName="/xl/drawings/drawing20.xml" ContentType="application/vnd.openxmlformats-officedocument.drawing+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omments20.xml" ContentType="application/vnd.openxmlformats-officedocument.spreadsheetml.comments+xml"/>
  <Override PartName="/xl/drawings/drawing21.xml" ContentType="application/vnd.openxmlformats-officedocument.drawing+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omments21.xml" ContentType="application/vnd.openxmlformats-officedocument.spreadsheetml.comments+xml"/>
  <Override PartName="/xl/drawings/drawing22.xml" ContentType="application/vnd.openxmlformats-officedocument.drawing+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omments22.xml" ContentType="application/vnd.openxmlformats-officedocument.spreadsheetml.comments+xml"/>
  <Override PartName="/xl/drawings/drawing23.xml" ContentType="application/vnd.openxmlformats-officedocument.drawing+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omments23.xml" ContentType="application/vnd.openxmlformats-officedocument.spreadsheetml.comments+xml"/>
  <Override PartName="/xl/drawings/drawing24.xml" ContentType="application/vnd.openxmlformats-officedocument.drawing+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omments24.xml" ContentType="application/vnd.openxmlformats-officedocument.spreadsheetml.comments+xml"/>
  <Override PartName="/xl/drawings/drawing25.xml" ContentType="application/vnd.openxmlformats-officedocument.drawing+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omments25.xml" ContentType="application/vnd.openxmlformats-officedocument.spreadsheetml.comments+xml"/>
  <Override PartName="/xl/drawings/drawing26.xml" ContentType="application/vnd.openxmlformats-officedocument.drawing+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S:\Wcd_forms\PD_TD_calculators\Final-Posted\"/>
    </mc:Choice>
  </mc:AlternateContent>
  <xr:revisionPtr revIDLastSave="0" documentId="13_ncr:1_{F2DD2457-8E41-43DA-AE6C-24A32DE04A4E}" xr6:coauthVersionLast="47" xr6:coauthVersionMax="47" xr10:uidLastSave="{00000000-0000-0000-0000-000000000000}"/>
  <bookViews>
    <workbookView xWindow="-7170" yWindow="-25395" windowWidth="15990" windowHeight="24720" xr2:uid="{00000000-000D-0000-FFFF-FFFF00000000}"/>
  </bookViews>
  <sheets>
    <sheet name="Start here" sheetId="62" r:id="rId1"/>
    <sheet name="PPD DOI on or after 2005" sheetId="39" r:id="rId2"/>
    <sheet name="PPD DOI before 2005" sheetId="60" r:id="rId3"/>
    <sheet name="SAWW" sheetId="59" r:id="rId4"/>
    <sheet name="Upper Extremity-Right" sheetId="54" r:id="rId5"/>
    <sheet name="Upper Extremity-Left" sheetId="52" r:id="rId6"/>
    <sheet name="Lower Extremity-Right" sheetId="50" r:id="rId7"/>
    <sheet name="Lower Extremity-Left" sheetId="48" r:id="rId8"/>
    <sheet name="Hearing" sheetId="46" r:id="rId9"/>
    <sheet name="Vision" sheetId="44" r:id="rId10"/>
    <sheet name="Shoulder-Right" sheetId="34" r:id="rId11"/>
    <sheet name="Shoulder-Left" sheetId="40" r:id="rId12"/>
    <sheet name="Hip-Right" sheetId="27" r:id="rId13"/>
    <sheet name="Hip-Left" sheetId="41" r:id="rId14"/>
    <sheet name="Spine" sheetId="37" r:id="rId15"/>
    <sheet name="Pelvis" sheetId="32" r:id="rId16"/>
    <sheet name="Abdomen" sheetId="21" r:id="rId17"/>
    <sheet name="Chest" sheetId="64" r:id="rId18"/>
    <sheet name="Cardiovascular" sheetId="23" r:id="rId19"/>
    <sheet name="Respiratory" sheetId="33" r:id="rId20"/>
    <sheet name="Cranial Nerves-Brain" sheetId="22" r:id="rId21"/>
    <sheet name="Spinal cord" sheetId="36" r:id="rId22"/>
    <sheet name="Mental illness" sheetId="31" r:id="rId23"/>
    <sheet name="Hematopoietic" sheetId="26" r:id="rId24"/>
    <sheet name="GI &amp; GU" sheetId="25" r:id="rId25"/>
    <sheet name="Endocrine" sheetId="24" r:id="rId26"/>
    <sheet name="Integument &amp; Lacrimal" sheetId="30" r:id="rId27"/>
    <sheet name="Immune system" sheetId="29" r:id="rId28"/>
    <sheet name="UETable" sheetId="55" r:id="rId29"/>
    <sheet name="LETable" sheetId="51" r:id="rId30"/>
    <sheet name="Hearing-Table" sheetId="47" r:id="rId31"/>
    <sheet name="Eye-Table" sheetId="45" r:id="rId32"/>
    <sheet name="Sh-Table" sheetId="35" r:id="rId33"/>
    <sheet name="H-Table" sheetId="28" r:id="rId34"/>
    <sheet name="Sp-Table" sheetId="38" r:id="rId35"/>
    <sheet name="Dol Per Deg" sheetId="61" r:id="rId36"/>
    <sheet name="Rules" sheetId="42" r:id="rId37"/>
    <sheet name="Combiner" sheetId="63" r:id="rId38"/>
    <sheet name="Sheet1" sheetId="14" r:id="rId39"/>
  </sheets>
  <definedNames>
    <definedName name="AmPoint">#REF!</definedName>
    <definedName name="Distance">#REF!</definedName>
    <definedName name="DOI_Rate" localSheetId="35">'Dol Per Deg'!$A$7:$C$16</definedName>
    <definedName name="DOI_Rate">#REF!</definedName>
    <definedName name="Jaeger">#REF!</definedName>
    <definedName name="Metric6">#REF!</definedName>
    <definedName name="N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4" i="46" l="1"/>
  <c r="I14" i="46"/>
  <c r="F14" i="46"/>
  <c r="C14" i="46"/>
  <c r="T13" i="46"/>
  <c r="U13" i="46" s="1"/>
  <c r="T12" i="46"/>
  <c r="T11" i="46"/>
  <c r="U11" i="46" s="1"/>
  <c r="T10" i="46"/>
  <c r="U12" i="46" l="1"/>
  <c r="U10" i="46"/>
  <c r="O7" i="46" l="1"/>
  <c r="M8" i="33" l="1"/>
  <c r="W8" i="33" s="1"/>
  <c r="P8" i="33" s="1"/>
  <c r="M11" i="23"/>
  <c r="W11" i="23" s="1"/>
  <c r="P11" i="23" s="1"/>
  <c r="K121" i="37"/>
  <c r="K120" i="37"/>
  <c r="K119" i="37"/>
  <c r="K118" i="37"/>
  <c r="K117" i="37"/>
  <c r="K116" i="37"/>
  <c r="K115" i="37"/>
  <c r="K114" i="37"/>
  <c r="K113" i="37"/>
  <c r="K112" i="37"/>
  <c r="K110" i="37"/>
  <c r="K109" i="37"/>
  <c r="K107" i="37"/>
  <c r="K106" i="37"/>
  <c r="K105" i="37"/>
  <c r="K104" i="37"/>
  <c r="K103" i="37"/>
  <c r="K100" i="37"/>
  <c r="K99" i="37"/>
  <c r="K98" i="37"/>
  <c r="T59" i="37"/>
  <c r="T60" i="37"/>
  <c r="T61" i="37"/>
  <c r="K53" i="37"/>
  <c r="K51" i="37"/>
  <c r="K49" i="37"/>
  <c r="K48" i="37"/>
  <c r="K47" i="37"/>
  <c r="K46" i="37"/>
  <c r="K45" i="37"/>
  <c r="K44" i="37"/>
  <c r="K43" i="37"/>
  <c r="K42" i="37"/>
  <c r="K40" i="37"/>
  <c r="W35" i="41" l="1"/>
  <c r="W34" i="41"/>
  <c r="W33" i="41"/>
  <c r="H35" i="41"/>
  <c r="H34" i="41"/>
  <c r="W35" i="27"/>
  <c r="H35" i="27" s="1"/>
  <c r="W34" i="27"/>
  <c r="H34" i="27" s="1"/>
  <c r="W33" i="27"/>
  <c r="W97" i="40"/>
  <c r="W97" i="34"/>
  <c r="W96" i="34"/>
  <c r="I96" i="34" s="1"/>
  <c r="P428" i="52"/>
  <c r="E548" i="52" s="1"/>
  <c r="V548" i="52" s="1"/>
  <c r="I548" i="52" s="1"/>
  <c r="R548" i="52" s="1"/>
  <c r="P429" i="52"/>
  <c r="E549" i="52" s="1"/>
  <c r="V549" i="52" s="1"/>
  <c r="I549" i="52" s="1"/>
  <c r="R549" i="52" s="1"/>
  <c r="P430" i="52"/>
  <c r="E550" i="52" s="1"/>
  <c r="V550" i="52" s="1"/>
  <c r="I550" i="52" s="1"/>
  <c r="R550" i="52" s="1"/>
  <c r="P431" i="52"/>
  <c r="E551" i="52" s="1"/>
  <c r="V551" i="52" s="1"/>
  <c r="I551" i="52" s="1"/>
  <c r="R551" i="52" s="1"/>
  <c r="P432" i="52"/>
  <c r="E552" i="52" s="1"/>
  <c r="V552" i="52" s="1"/>
  <c r="I552" i="52" s="1"/>
  <c r="R552" i="52" s="1"/>
  <c r="P433" i="52"/>
  <c r="E553" i="52" s="1"/>
  <c r="V553" i="52" s="1"/>
  <c r="I553" i="52" s="1"/>
  <c r="R553" i="52" s="1"/>
  <c r="P434" i="52"/>
  <c r="E554" i="52" s="1"/>
  <c r="V554" i="52" s="1"/>
  <c r="I554" i="52" s="1"/>
  <c r="R554" i="52" s="1"/>
  <c r="P427" i="52"/>
  <c r="E547" i="52" s="1"/>
  <c r="V547" i="52" s="1"/>
  <c r="I547" i="52" s="1"/>
  <c r="R547" i="52" s="1"/>
  <c r="P434" i="54"/>
  <c r="P433" i="54"/>
  <c r="P432" i="54"/>
  <c r="P431" i="54"/>
  <c r="P430" i="54"/>
  <c r="P429" i="54"/>
  <c r="P428" i="54"/>
  <c r="P427" i="54"/>
  <c r="E554" i="54" l="1"/>
  <c r="V554" i="54" s="1"/>
  <c r="I554" i="54" s="1"/>
  <c r="R554" i="54" s="1"/>
  <c r="E553" i="54"/>
  <c r="V553" i="54" s="1"/>
  <c r="I553" i="54" s="1"/>
  <c r="R553" i="54" s="1"/>
  <c r="E552" i="54"/>
  <c r="V552" i="54" s="1"/>
  <c r="I552" i="54" s="1"/>
  <c r="R552" i="54" s="1"/>
  <c r="E551" i="54"/>
  <c r="V551" i="54" s="1"/>
  <c r="I551" i="54" s="1"/>
  <c r="R551" i="54" s="1"/>
  <c r="E550" i="54"/>
  <c r="V550" i="54" s="1"/>
  <c r="E549" i="54"/>
  <c r="V549" i="54" s="1"/>
  <c r="E548" i="54"/>
  <c r="V548" i="54" s="1"/>
  <c r="E547" i="54"/>
  <c r="V547" i="54" s="1"/>
  <c r="AM66" i="44" l="1"/>
  <c r="AF66" i="44" s="1"/>
  <c r="AL66" i="44"/>
  <c r="O66" i="44" s="1"/>
  <c r="W1" i="39" l="1"/>
  <c r="U1" i="39"/>
  <c r="Y1" i="39" l="1"/>
  <c r="W1" i="60"/>
  <c r="U1" i="60"/>
  <c r="Y1" i="60" l="1"/>
  <c r="H132" i="37" l="1"/>
  <c r="H75" i="37"/>
  <c r="H74" i="37"/>
  <c r="H73" i="37"/>
  <c r="H72" i="37"/>
  <c r="H71" i="37"/>
  <c r="H70" i="37"/>
  <c r="H69" i="37"/>
  <c r="H68" i="37"/>
  <c r="H67" i="37"/>
  <c r="H66" i="37"/>
  <c r="H65" i="37"/>
  <c r="H64" i="37"/>
  <c r="H15" i="37"/>
  <c r="H16" i="37"/>
  <c r="H17" i="37"/>
  <c r="H18" i="37"/>
  <c r="H19" i="37"/>
  <c r="H20" i="37"/>
  <c r="H14" i="37"/>
  <c r="AM64" i="44" l="1"/>
  <c r="AM65" i="44"/>
  <c r="AL64" i="44"/>
  <c r="AL65" i="44"/>
  <c r="W36" i="27"/>
  <c r="P420" i="48" l="1"/>
  <c r="P419" i="48"/>
  <c r="P391" i="48" l="1"/>
  <c r="P391" i="50"/>
  <c r="P252" i="48" l="1"/>
  <c r="P252" i="50"/>
  <c r="P238" i="48"/>
  <c r="P237" i="48"/>
  <c r="W238" i="48" s="1"/>
  <c r="P207" i="48" l="1"/>
  <c r="P186" i="48" l="1"/>
  <c r="R183" i="48"/>
  <c r="P183" i="48" s="1"/>
  <c r="R182" i="48"/>
  <c r="P182" i="48" s="1"/>
  <c r="P146" i="48"/>
  <c r="R143" i="48"/>
  <c r="R142" i="48"/>
  <c r="P106" i="48"/>
  <c r="R103" i="48"/>
  <c r="R102" i="48"/>
  <c r="P66" i="48" l="1"/>
  <c r="R63" i="48"/>
  <c r="R62" i="48"/>
  <c r="P28" i="48" l="1"/>
  <c r="P28" i="50"/>
  <c r="R25" i="48" l="1"/>
  <c r="R24" i="48"/>
  <c r="P420" i="50" l="1"/>
  <c r="P419" i="50"/>
  <c r="F317" i="50" l="1"/>
  <c r="B302" i="50"/>
  <c r="F298" i="50"/>
  <c r="P238" i="50" l="1"/>
  <c r="P237" i="50"/>
  <c r="W238" i="50" s="1"/>
  <c r="Y223" i="50"/>
  <c r="Z223" i="50"/>
  <c r="P207" i="50" l="1"/>
  <c r="P186" i="50"/>
  <c r="P146" i="50"/>
  <c r="P106" i="50"/>
  <c r="R183" i="50" l="1"/>
  <c r="R182" i="50"/>
  <c r="R143" i="50"/>
  <c r="R142" i="50"/>
  <c r="R103" i="50"/>
  <c r="R102" i="50"/>
  <c r="P66" i="50" l="1"/>
  <c r="R63" i="50"/>
  <c r="R62" i="50"/>
  <c r="R24" i="50" l="1"/>
  <c r="R25" i="50"/>
  <c r="T13" i="50"/>
  <c r="B26" i="50" l="1"/>
  <c r="P583" i="52"/>
  <c r="P581" i="52"/>
  <c r="P581" i="54"/>
  <c r="P583" i="54"/>
  <c r="P436" i="54" l="1"/>
  <c r="P435" i="52"/>
  <c r="P435" i="54"/>
  <c r="P426" i="52"/>
  <c r="P426" i="54"/>
  <c r="T394" i="54" l="1"/>
  <c r="T252" i="54" l="1"/>
  <c r="T253" i="54"/>
  <c r="T254" i="54"/>
  <c r="AA349" i="54" l="1"/>
  <c r="AA348" i="54"/>
  <c r="AA347" i="54"/>
  <c r="AA344" i="54"/>
  <c r="BI344" i="54" s="1"/>
  <c r="AA343" i="54"/>
  <c r="AA342" i="54"/>
  <c r="AA274" i="54"/>
  <c r="AA273" i="54"/>
  <c r="AA272" i="54"/>
  <c r="BI272" i="54" s="1"/>
  <c r="AA269" i="54"/>
  <c r="BI269" i="54" s="1"/>
  <c r="AA268" i="54"/>
  <c r="AA267" i="54"/>
  <c r="AA198" i="54"/>
  <c r="BI198" i="54" s="1"/>
  <c r="AA197" i="54"/>
  <c r="BI197" i="54" s="1"/>
  <c r="AA196" i="54"/>
  <c r="AA193" i="54"/>
  <c r="AA192" i="54"/>
  <c r="AA191" i="54"/>
  <c r="S349" i="54"/>
  <c r="S348" i="54"/>
  <c r="S347" i="54"/>
  <c r="T347" i="54" s="1"/>
  <c r="S344" i="54"/>
  <c r="AO344" i="54" s="1"/>
  <c r="S343" i="54"/>
  <c r="AU343" i="54" s="1"/>
  <c r="S342" i="54"/>
  <c r="S274" i="54"/>
  <c r="T274" i="54" s="1"/>
  <c r="S273" i="54"/>
  <c r="T273" i="54"/>
  <c r="S272" i="54"/>
  <c r="S269" i="54"/>
  <c r="T269" i="54" s="1"/>
  <c r="AI269" i="54" s="1"/>
  <c r="S268" i="54"/>
  <c r="S267" i="54"/>
  <c r="T267" i="54" s="1"/>
  <c r="S198" i="54"/>
  <c r="S197" i="54"/>
  <c r="T197" i="54"/>
  <c r="S196" i="54"/>
  <c r="T196" i="54" s="1"/>
  <c r="AP196" i="54" s="1"/>
  <c r="S193" i="54"/>
  <c r="AO193" i="54" s="1"/>
  <c r="S192" i="54"/>
  <c r="BD192" i="54" s="1"/>
  <c r="S191" i="54"/>
  <c r="BG191" i="54" s="1"/>
  <c r="S40" i="54"/>
  <c r="T40" i="54"/>
  <c r="AI40" i="54" s="1"/>
  <c r="S39" i="54"/>
  <c r="AO39" i="54" s="1"/>
  <c r="S38" i="54"/>
  <c r="T38" i="54"/>
  <c r="S34" i="54"/>
  <c r="T34" i="54" s="1"/>
  <c r="Y34" i="54" s="1"/>
  <c r="AR34" i="54" s="1"/>
  <c r="S35" i="54"/>
  <c r="T35" i="54" s="1"/>
  <c r="U18" i="54"/>
  <c r="R21" i="39"/>
  <c r="T63" i="60"/>
  <c r="S51" i="60"/>
  <c r="N13" i="39"/>
  <c r="R10" i="39"/>
  <c r="Y16" i="39"/>
  <c r="Y14" i="39"/>
  <c r="C11" i="62"/>
  <c r="C9" i="62"/>
  <c r="S38" i="22"/>
  <c r="P38" i="22" s="1"/>
  <c r="L50" i="22" s="1"/>
  <c r="V50" i="22" s="1"/>
  <c r="P50" i="22" s="1"/>
  <c r="L7" i="63"/>
  <c r="L8" i="63"/>
  <c r="L9" i="63"/>
  <c r="L10" i="63"/>
  <c r="L11" i="63"/>
  <c r="L12" i="63"/>
  <c r="L13" i="63"/>
  <c r="L14" i="63"/>
  <c r="L15" i="63"/>
  <c r="L16" i="63"/>
  <c r="L17" i="63"/>
  <c r="L18" i="63"/>
  <c r="L19" i="63"/>
  <c r="L20" i="63"/>
  <c r="L21" i="63"/>
  <c r="L22" i="63"/>
  <c r="L23" i="63"/>
  <c r="L24" i="63"/>
  <c r="H7" i="61"/>
  <c r="H10" i="61" s="1"/>
  <c r="K74" i="60" s="1"/>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47" i="35"/>
  <c r="C148" i="35"/>
  <c r="C149" i="35"/>
  <c r="C150" i="35"/>
  <c r="C151" i="35"/>
  <c r="C152" i="35"/>
  <c r="C153" i="35"/>
  <c r="L13" i="55"/>
  <c r="M13" i="55"/>
  <c r="L14" i="55"/>
  <c r="M14" i="55"/>
  <c r="L15" i="55"/>
  <c r="M15" i="55"/>
  <c r="L16" i="55"/>
  <c r="M16" i="55"/>
  <c r="L17" i="55"/>
  <c r="M17" i="55"/>
  <c r="L18" i="55"/>
  <c r="M18" i="55"/>
  <c r="L19" i="55"/>
  <c r="M19" i="55"/>
  <c r="L20" i="55"/>
  <c r="M20" i="55"/>
  <c r="L21" i="55"/>
  <c r="M21" i="55"/>
  <c r="L22" i="55"/>
  <c r="M22" i="55"/>
  <c r="L23" i="55"/>
  <c r="M23" i="55"/>
  <c r="L24" i="55"/>
  <c r="M24" i="55"/>
  <c r="L25" i="55"/>
  <c r="M25" i="55"/>
  <c r="L26" i="55"/>
  <c r="M26" i="55"/>
  <c r="L27" i="55"/>
  <c r="M27" i="55"/>
  <c r="L28" i="55"/>
  <c r="M28" i="55"/>
  <c r="L29" i="55"/>
  <c r="M29" i="55"/>
  <c r="L30" i="55"/>
  <c r="M30" i="55"/>
  <c r="L31" i="55"/>
  <c r="M31" i="55"/>
  <c r="L32" i="55"/>
  <c r="M32" i="55"/>
  <c r="L33" i="55"/>
  <c r="M33" i="55"/>
  <c r="L34" i="55"/>
  <c r="M34" i="55"/>
  <c r="L35" i="55"/>
  <c r="M35" i="55"/>
  <c r="L36" i="55"/>
  <c r="M36" i="55"/>
  <c r="L37" i="55"/>
  <c r="M37" i="55"/>
  <c r="L38" i="55"/>
  <c r="M38" i="55"/>
  <c r="L39" i="55"/>
  <c r="M39" i="55"/>
  <c r="L40" i="55"/>
  <c r="M40" i="55"/>
  <c r="L41" i="55"/>
  <c r="M41" i="55"/>
  <c r="L42" i="55"/>
  <c r="M42" i="55"/>
  <c r="L43" i="55"/>
  <c r="M43" i="55"/>
  <c r="L44" i="55"/>
  <c r="M44" i="55"/>
  <c r="L45" i="55"/>
  <c r="M45" i="55"/>
  <c r="L46" i="55"/>
  <c r="M46" i="55"/>
  <c r="L47" i="55"/>
  <c r="M47" i="55"/>
  <c r="L48" i="55"/>
  <c r="M48" i="55"/>
  <c r="L49" i="55"/>
  <c r="M49" i="55"/>
  <c r="L50" i="55"/>
  <c r="M50" i="55"/>
  <c r="L51" i="55"/>
  <c r="M51" i="55"/>
  <c r="L52" i="55"/>
  <c r="M52" i="55"/>
  <c r="L53" i="55"/>
  <c r="M53" i="55"/>
  <c r="L54" i="55"/>
  <c r="M54" i="55"/>
  <c r="L55" i="55"/>
  <c r="M55" i="55"/>
  <c r="L56" i="55"/>
  <c r="M56" i="55"/>
  <c r="L57" i="55"/>
  <c r="M57" i="55"/>
  <c r="L58" i="55"/>
  <c r="M58" i="55"/>
  <c r="L59" i="55"/>
  <c r="M59" i="55"/>
  <c r="L60" i="55"/>
  <c r="M60" i="55"/>
  <c r="L61" i="55"/>
  <c r="M61" i="55"/>
  <c r="L62" i="55"/>
  <c r="M62" i="55"/>
  <c r="L63" i="55"/>
  <c r="M63" i="55"/>
  <c r="L64" i="55"/>
  <c r="M64" i="55"/>
  <c r="L65" i="55"/>
  <c r="M65" i="55"/>
  <c r="L66" i="55"/>
  <c r="M66" i="55"/>
  <c r="L67" i="55"/>
  <c r="M67" i="55"/>
  <c r="L68" i="55"/>
  <c r="M68" i="55"/>
  <c r="L69" i="55"/>
  <c r="M69" i="55"/>
  <c r="L70" i="55"/>
  <c r="M70" i="55"/>
  <c r="L71" i="55"/>
  <c r="M71" i="55"/>
  <c r="L72" i="55"/>
  <c r="M72" i="55"/>
  <c r="L73" i="55"/>
  <c r="M73" i="55"/>
  <c r="L74" i="55"/>
  <c r="M74" i="55"/>
  <c r="L75" i="55"/>
  <c r="M75" i="55"/>
  <c r="L76" i="55"/>
  <c r="M76" i="55"/>
  <c r="L77" i="55"/>
  <c r="M77" i="55"/>
  <c r="L78" i="55"/>
  <c r="M78" i="55"/>
  <c r="AJ78" i="55"/>
  <c r="K79" i="55"/>
  <c r="L79" i="55"/>
  <c r="M79" i="55"/>
  <c r="AJ79" i="55"/>
  <c r="AK79" i="55"/>
  <c r="K80" i="55"/>
  <c r="L80" i="55"/>
  <c r="M80" i="55"/>
  <c r="AJ80" i="55"/>
  <c r="AK80" i="55"/>
  <c r="K81" i="55"/>
  <c r="L81" i="55"/>
  <c r="M81" i="55"/>
  <c r="AJ81" i="55"/>
  <c r="AK81" i="55"/>
  <c r="K82" i="55"/>
  <c r="L82" i="55"/>
  <c r="M82" i="55"/>
  <c r="AJ82" i="55"/>
  <c r="AK82" i="55"/>
  <c r="K83" i="55"/>
  <c r="L83" i="55"/>
  <c r="M83" i="55"/>
  <c r="AJ83" i="55"/>
  <c r="AK83" i="55"/>
  <c r="K84" i="55"/>
  <c r="L84" i="55"/>
  <c r="M84" i="55"/>
  <c r="AJ84" i="55"/>
  <c r="AK84" i="55"/>
  <c r="K85" i="55"/>
  <c r="L85" i="55"/>
  <c r="M85" i="55"/>
  <c r="AJ85" i="55"/>
  <c r="AK85" i="55"/>
  <c r="K86" i="55"/>
  <c r="L86" i="55"/>
  <c r="M86" i="55"/>
  <c r="AJ86" i="55"/>
  <c r="AK86" i="55"/>
  <c r="K87" i="55"/>
  <c r="L87" i="55"/>
  <c r="M87" i="55"/>
  <c r="AJ87" i="55"/>
  <c r="AK87" i="55"/>
  <c r="K88" i="55"/>
  <c r="L88" i="55"/>
  <c r="M88" i="55"/>
  <c r="AJ88" i="55"/>
  <c r="AK88" i="55"/>
  <c r="K89" i="55"/>
  <c r="L89" i="55"/>
  <c r="M89" i="55"/>
  <c r="AJ89" i="55"/>
  <c r="AK89" i="55"/>
  <c r="K90" i="55"/>
  <c r="L90" i="55"/>
  <c r="M90" i="55"/>
  <c r="AJ90" i="55"/>
  <c r="AK90" i="55"/>
  <c r="K91" i="55"/>
  <c r="L91" i="55"/>
  <c r="M91" i="55"/>
  <c r="AJ91" i="55"/>
  <c r="AK91" i="55"/>
  <c r="K92" i="55"/>
  <c r="L92" i="55"/>
  <c r="M92" i="55"/>
  <c r="AJ92" i="55"/>
  <c r="AK92" i="55"/>
  <c r="K93" i="55"/>
  <c r="L93" i="55"/>
  <c r="M93" i="55"/>
  <c r="AJ93" i="55"/>
  <c r="AK93" i="55"/>
  <c r="K94" i="55"/>
  <c r="L94" i="55"/>
  <c r="M94" i="55"/>
  <c r="AJ94" i="55"/>
  <c r="AK94" i="55"/>
  <c r="K95" i="55"/>
  <c r="L95" i="55"/>
  <c r="M95" i="55"/>
  <c r="AJ95" i="55"/>
  <c r="AK95" i="55"/>
  <c r="K96" i="55"/>
  <c r="L96" i="55"/>
  <c r="M96" i="55"/>
  <c r="AJ96" i="55"/>
  <c r="AK96" i="55"/>
  <c r="K97" i="55"/>
  <c r="L97" i="55"/>
  <c r="M97" i="55"/>
  <c r="AJ97" i="55"/>
  <c r="AK97" i="55"/>
  <c r="K98" i="55"/>
  <c r="L98" i="55"/>
  <c r="M98" i="55"/>
  <c r="AJ98" i="55"/>
  <c r="AK98" i="55"/>
  <c r="K99" i="55"/>
  <c r="L99" i="55"/>
  <c r="M99" i="55"/>
  <c r="AJ99" i="55"/>
  <c r="AK99" i="55"/>
  <c r="K100" i="55"/>
  <c r="L100" i="55"/>
  <c r="M100" i="55"/>
  <c r="Q100" i="55"/>
  <c r="AJ100" i="55"/>
  <c r="AK100" i="55"/>
  <c r="K101" i="55"/>
  <c r="L101" i="55"/>
  <c r="M101" i="55"/>
  <c r="Q101" i="55"/>
  <c r="AJ101" i="55"/>
  <c r="AK101" i="55"/>
  <c r="K102" i="55"/>
  <c r="L102" i="55"/>
  <c r="M102" i="55"/>
  <c r="Q102" i="55"/>
  <c r="AJ102" i="55"/>
  <c r="AK102" i="55"/>
  <c r="L103" i="55"/>
  <c r="M103" i="55"/>
  <c r="Q103" i="55"/>
  <c r="AH103" i="55"/>
  <c r="AJ103" i="55"/>
  <c r="AK103" i="55"/>
  <c r="AJ104" i="55"/>
  <c r="AK104" i="55"/>
  <c r="AJ105" i="55"/>
  <c r="AK105" i="55"/>
  <c r="AJ106" i="55"/>
  <c r="AK106" i="55"/>
  <c r="AJ107" i="55"/>
  <c r="AK107" i="55"/>
  <c r="AJ108" i="55"/>
  <c r="AK108" i="55"/>
  <c r="AJ109" i="55"/>
  <c r="AK109" i="55"/>
  <c r="AJ110" i="55"/>
  <c r="AK110" i="55"/>
  <c r="AJ111" i="55"/>
  <c r="AK111" i="55"/>
  <c r="AJ112" i="55"/>
  <c r="AK112" i="55"/>
  <c r="AJ113" i="55"/>
  <c r="AK113" i="55"/>
  <c r="AJ114" i="55"/>
  <c r="AK114" i="55"/>
  <c r="AJ115" i="55"/>
  <c r="AK115" i="55"/>
  <c r="AJ116" i="55"/>
  <c r="AK116" i="55"/>
  <c r="AJ117" i="55"/>
  <c r="AK117" i="55"/>
  <c r="AJ118" i="55"/>
  <c r="AK118" i="55"/>
  <c r="AJ119" i="55"/>
  <c r="AK119" i="55"/>
  <c r="AJ120" i="55"/>
  <c r="AK120" i="55"/>
  <c r="AJ121" i="55"/>
  <c r="AK121" i="55"/>
  <c r="AJ122" i="55"/>
  <c r="AK122" i="55"/>
  <c r="AJ123" i="55"/>
  <c r="AK123" i="55"/>
  <c r="AJ124" i="55"/>
  <c r="AK124" i="55"/>
  <c r="AJ125" i="55"/>
  <c r="AK125" i="55"/>
  <c r="AJ126" i="55"/>
  <c r="AK126" i="55"/>
  <c r="AJ127" i="55"/>
  <c r="AK127" i="55"/>
  <c r="AJ128" i="55"/>
  <c r="AK128" i="55"/>
  <c r="AJ129" i="55"/>
  <c r="AK129" i="55"/>
  <c r="AJ130" i="55"/>
  <c r="AK130" i="55"/>
  <c r="AJ131" i="55"/>
  <c r="AK131" i="55"/>
  <c r="AJ132" i="55"/>
  <c r="AK132" i="55"/>
  <c r="AJ133" i="55"/>
  <c r="AK133" i="55"/>
  <c r="AJ134" i="55"/>
  <c r="AK134" i="55"/>
  <c r="AJ135" i="55"/>
  <c r="AK135" i="55"/>
  <c r="AJ136" i="55"/>
  <c r="AK136" i="55"/>
  <c r="AJ137" i="55"/>
  <c r="AK137" i="55"/>
  <c r="AJ138" i="55"/>
  <c r="AK138" i="55"/>
  <c r="AJ139" i="55"/>
  <c r="AK139" i="55"/>
  <c r="AJ140" i="55"/>
  <c r="AK140" i="55"/>
  <c r="AJ141" i="55"/>
  <c r="AK141" i="55"/>
  <c r="AJ142" i="55"/>
  <c r="AK142" i="55"/>
  <c r="AJ143" i="55"/>
  <c r="AK143" i="55"/>
  <c r="AJ144" i="55"/>
  <c r="AK144" i="55"/>
  <c r="AJ145" i="55"/>
  <c r="AK145" i="55"/>
  <c r="AJ146" i="55"/>
  <c r="AK146" i="55"/>
  <c r="AJ147" i="55"/>
  <c r="AK147" i="55"/>
  <c r="AJ148" i="55"/>
  <c r="AK148" i="55"/>
  <c r="AJ149" i="55"/>
  <c r="AK149" i="55"/>
  <c r="AJ150" i="55"/>
  <c r="AK150" i="55"/>
  <c r="AJ151" i="55"/>
  <c r="AK151" i="55"/>
  <c r="AJ152" i="55"/>
  <c r="AK152" i="55"/>
  <c r="AJ153" i="55"/>
  <c r="AK153" i="55"/>
  <c r="E1" i="29"/>
  <c r="M1" i="29"/>
  <c r="S1" i="29"/>
  <c r="U1" i="29" s="1"/>
  <c r="C10" i="29" s="1"/>
  <c r="M8" i="29"/>
  <c r="R8" i="29" s="1"/>
  <c r="P4" i="29" s="1"/>
  <c r="E1" i="30"/>
  <c r="M1" i="30"/>
  <c r="S1" i="30"/>
  <c r="T1" i="30" s="1"/>
  <c r="I23" i="30" s="1"/>
  <c r="P6" i="30"/>
  <c r="L19" i="30" s="1"/>
  <c r="R19" i="30" s="1"/>
  <c r="P19" i="30" s="1"/>
  <c r="S19" i="30" s="1"/>
  <c r="P12" i="30"/>
  <c r="L20" i="30" s="1"/>
  <c r="R20" i="30" s="1"/>
  <c r="P20" i="30" s="1"/>
  <c r="S20" i="30" s="1"/>
  <c r="E1" i="24"/>
  <c r="M1" i="24"/>
  <c r="S1" i="24"/>
  <c r="U1" i="24" s="1"/>
  <c r="C55" i="24" s="1"/>
  <c r="P4" i="24"/>
  <c r="L43" i="24" s="1"/>
  <c r="R43" i="24" s="1"/>
  <c r="P43" i="24" s="1"/>
  <c r="T43" i="24" s="1"/>
  <c r="P8" i="24"/>
  <c r="L44" i="24" s="1"/>
  <c r="R44" i="24" s="1"/>
  <c r="P44" i="24" s="1"/>
  <c r="T44" i="24" s="1"/>
  <c r="P11" i="24"/>
  <c r="L45" i="24" s="1"/>
  <c r="R45" i="24" s="1"/>
  <c r="P45" i="24" s="1"/>
  <c r="T45" i="24" s="1"/>
  <c r="P15" i="24"/>
  <c r="L46" i="24" s="1"/>
  <c r="R46" i="24" s="1"/>
  <c r="P46" i="24" s="1"/>
  <c r="T46" i="24" s="1"/>
  <c r="P18" i="24"/>
  <c r="L47" i="24"/>
  <c r="R47" i="24" s="1"/>
  <c r="P47" i="24" s="1"/>
  <c r="T47" i="24" s="1"/>
  <c r="P22" i="24"/>
  <c r="L48" i="24"/>
  <c r="R48" i="24" s="1"/>
  <c r="P48" i="24" s="1"/>
  <c r="T48" i="24" s="1"/>
  <c r="P26" i="24"/>
  <c r="L49" i="24" s="1"/>
  <c r="R49" i="24" s="1"/>
  <c r="P49" i="24" s="1"/>
  <c r="T49" i="24" s="1"/>
  <c r="P30" i="24"/>
  <c r="L50" i="24" s="1"/>
  <c r="R50" i="24" s="1"/>
  <c r="P50" i="24" s="1"/>
  <c r="T50" i="24" s="1"/>
  <c r="P35" i="24"/>
  <c r="L51" i="24" s="1"/>
  <c r="R51" i="24" s="1"/>
  <c r="P51" i="24" s="1"/>
  <c r="T51" i="24" s="1"/>
  <c r="P38" i="24"/>
  <c r="L52" i="24" s="1"/>
  <c r="R52" i="24" s="1"/>
  <c r="P52" i="24" s="1"/>
  <c r="T52" i="24" s="1"/>
  <c r="E1" i="25"/>
  <c r="M1" i="25"/>
  <c r="S1" i="25"/>
  <c r="T1" i="25" s="1"/>
  <c r="I81" i="25" s="1"/>
  <c r="P4" i="25"/>
  <c r="L65" i="25" s="1"/>
  <c r="P8" i="25"/>
  <c r="L66" i="25" s="1"/>
  <c r="P13" i="25"/>
  <c r="L67" i="25" s="1"/>
  <c r="P18" i="25"/>
  <c r="L68" i="25"/>
  <c r="V68" i="25" s="1"/>
  <c r="P68" i="25"/>
  <c r="R68" i="25" s="1"/>
  <c r="P22" i="25"/>
  <c r="L69" i="25" s="1"/>
  <c r="T27" i="25"/>
  <c r="P27" i="25" s="1"/>
  <c r="L70" i="25" s="1"/>
  <c r="V70" i="25" s="1"/>
  <c r="P70" i="25" s="1"/>
  <c r="R70" i="25" s="1"/>
  <c r="P28" i="25"/>
  <c r="L71" i="25" s="1"/>
  <c r="V71" i="25" s="1"/>
  <c r="P33" i="25"/>
  <c r="L72" i="25" s="1"/>
  <c r="V72" i="25" s="1"/>
  <c r="T38" i="25"/>
  <c r="P38" i="25" s="1"/>
  <c r="L73" i="25" s="1"/>
  <c r="V73" i="25" s="1"/>
  <c r="P73" i="25" s="1"/>
  <c r="R73" i="25" s="1"/>
  <c r="P39" i="25"/>
  <c r="L74" i="25"/>
  <c r="V74" i="25" s="1"/>
  <c r="P74" i="25" s="1"/>
  <c r="R74" i="25"/>
  <c r="P43" i="25"/>
  <c r="P48" i="25"/>
  <c r="L76" i="25" s="1"/>
  <c r="S53" i="25"/>
  <c r="S54" i="25"/>
  <c r="S55" i="25"/>
  <c r="P58" i="25"/>
  <c r="L78" i="25"/>
  <c r="V78" i="25" s="1"/>
  <c r="P78" i="25" s="1"/>
  <c r="R78" i="25" s="1"/>
  <c r="L75" i="25"/>
  <c r="E1" i="26"/>
  <c r="M1" i="26"/>
  <c r="S1" i="26"/>
  <c r="T1" i="26" s="1"/>
  <c r="I24" i="26" s="1"/>
  <c r="P4" i="26"/>
  <c r="L19" i="26" s="1"/>
  <c r="R19" i="26" s="1"/>
  <c r="P19" i="26" s="1"/>
  <c r="T19" i="26" s="1"/>
  <c r="P9" i="26"/>
  <c r="L20" i="26" s="1"/>
  <c r="R20" i="26" s="1"/>
  <c r="P20" i="26" s="1"/>
  <c r="T20" i="26" s="1"/>
  <c r="P14" i="26"/>
  <c r="L21" i="26" s="1"/>
  <c r="R21" i="26" s="1"/>
  <c r="P21" i="26" s="1"/>
  <c r="T21" i="26" s="1"/>
  <c r="E1" i="31"/>
  <c r="M1" i="31"/>
  <c r="S1" i="31"/>
  <c r="U1" i="31" s="1"/>
  <c r="C21" i="31" s="1"/>
  <c r="M6" i="31"/>
  <c r="S6" i="31" s="1"/>
  <c r="P4" i="31" s="1"/>
  <c r="S17" i="31" s="1"/>
  <c r="M10" i="31"/>
  <c r="S10" i="31" s="1"/>
  <c r="P7" i="31" s="1"/>
  <c r="S18" i="31" s="1"/>
  <c r="V12" i="31"/>
  <c r="V13" i="31"/>
  <c r="E1" i="36"/>
  <c r="M1" i="36"/>
  <c r="S1" i="36"/>
  <c r="U1" i="36" s="1"/>
  <c r="C17" i="36" s="1"/>
  <c r="P10" i="36"/>
  <c r="S12" i="36" s="1"/>
  <c r="P12" i="36" s="1"/>
  <c r="E1" i="22"/>
  <c r="M1" i="22"/>
  <c r="S1" i="22"/>
  <c r="U1" i="22" s="1"/>
  <c r="C53" i="22" s="1"/>
  <c r="S4" i="22"/>
  <c r="P4" i="22" s="1"/>
  <c r="L41" i="22" s="1"/>
  <c r="V41" i="22" s="1"/>
  <c r="P41" i="22" s="1"/>
  <c r="P8" i="22"/>
  <c r="L42" i="22" s="1"/>
  <c r="V42" i="22" s="1"/>
  <c r="P42" i="22" s="1"/>
  <c r="S11" i="22"/>
  <c r="S12" i="22"/>
  <c r="P12" i="22"/>
  <c r="L44" i="22"/>
  <c r="S14" i="22"/>
  <c r="P14" i="22"/>
  <c r="L45" i="22"/>
  <c r="V45" i="22"/>
  <c r="P15" i="22"/>
  <c r="L46" i="22" s="1"/>
  <c r="V46" i="22" s="1"/>
  <c r="P46" i="22" s="1"/>
  <c r="P21" i="22"/>
  <c r="L47" i="22" s="1"/>
  <c r="V47" i="22" s="1"/>
  <c r="P47" i="22" s="1"/>
  <c r="S26" i="22"/>
  <c r="P26" i="22" s="1"/>
  <c r="L48" i="22" s="1"/>
  <c r="V48" i="22" s="1"/>
  <c r="P48" i="22" s="1"/>
  <c r="P31" i="22"/>
  <c r="L49" i="22" s="1"/>
  <c r="V49" i="22" s="1"/>
  <c r="P49" i="22" s="1"/>
  <c r="D1" i="33"/>
  <c r="M1" i="33"/>
  <c r="S1" i="33"/>
  <c r="U1" i="33" s="1"/>
  <c r="J12" i="33" s="1"/>
  <c r="M5" i="33"/>
  <c r="W5" i="33" s="1"/>
  <c r="P5" i="33" s="1"/>
  <c r="M6" i="33"/>
  <c r="W6" i="33" s="1"/>
  <c r="P6" i="33" s="1"/>
  <c r="M7" i="33"/>
  <c r="W7" i="33" s="1"/>
  <c r="P7" i="33" s="1"/>
  <c r="D1" i="23"/>
  <c r="M1" i="23"/>
  <c r="S1" i="23"/>
  <c r="T1" i="23" s="1"/>
  <c r="I17" i="23" s="1"/>
  <c r="M5" i="23"/>
  <c r="W5" i="23" s="1"/>
  <c r="P5" i="23" s="1"/>
  <c r="M6" i="23"/>
  <c r="W6" i="23" s="1"/>
  <c r="P6" i="23" s="1"/>
  <c r="M7" i="23"/>
  <c r="W7" i="23"/>
  <c r="P7" i="23" s="1"/>
  <c r="M8" i="23"/>
  <c r="W8" i="23" s="1"/>
  <c r="P8" i="23" s="1"/>
  <c r="M9" i="23"/>
  <c r="W9" i="23"/>
  <c r="P9" i="23" s="1"/>
  <c r="M10" i="23"/>
  <c r="W10" i="23" s="1"/>
  <c r="P10" i="23" s="1"/>
  <c r="C1" i="64"/>
  <c r="L1" i="64"/>
  <c r="S1" i="64"/>
  <c r="U1" i="64" s="1"/>
  <c r="C8" i="64" s="1"/>
  <c r="P10" i="64"/>
  <c r="P5" i="64" s="1"/>
  <c r="C1" i="21"/>
  <c r="L1" i="21"/>
  <c r="S1" i="21"/>
  <c r="U1" i="21" s="1"/>
  <c r="C9" i="21" s="1"/>
  <c r="P4" i="21"/>
  <c r="P5" i="21"/>
  <c r="P6" i="21"/>
  <c r="C1" i="32"/>
  <c r="L1" i="32"/>
  <c r="S1" i="32"/>
  <c r="T1" i="32" s="1"/>
  <c r="I20" i="32" s="1"/>
  <c r="S7" i="32"/>
  <c r="M7" i="32" s="1"/>
  <c r="P7" i="32" s="1"/>
  <c r="T7" i="32" s="1"/>
  <c r="S8" i="32"/>
  <c r="M8" i="32" s="1"/>
  <c r="P8" i="32" s="1"/>
  <c r="T8" i="32" s="1"/>
  <c r="S9" i="32"/>
  <c r="M9" i="32" s="1"/>
  <c r="P9" i="32" s="1"/>
  <c r="T9" i="32" s="1"/>
  <c r="S10" i="32"/>
  <c r="M10" i="32" s="1"/>
  <c r="P10" i="32" s="1"/>
  <c r="T10" i="32" s="1"/>
  <c r="S11" i="32"/>
  <c r="M11" i="32" s="1"/>
  <c r="P11" i="32" s="1"/>
  <c r="T11" i="32" s="1"/>
  <c r="S12" i="32"/>
  <c r="M12" i="32" s="1"/>
  <c r="P12" i="32" s="1"/>
  <c r="T12" i="32" s="1"/>
  <c r="S13" i="32"/>
  <c r="M13" i="32" s="1"/>
  <c r="P13" i="32" s="1"/>
  <c r="T13" i="32" s="1"/>
  <c r="S14" i="32"/>
  <c r="M14" i="32" s="1"/>
  <c r="P14" i="32" s="1"/>
  <c r="T14" i="32" s="1"/>
  <c r="S15" i="32"/>
  <c r="M15" i="32" s="1"/>
  <c r="P15" i="32" s="1"/>
  <c r="T15" i="32" s="1"/>
  <c r="S16" i="32"/>
  <c r="M16" i="32" s="1"/>
  <c r="P16" i="32" s="1"/>
  <c r="T16" i="32" s="1"/>
  <c r="S17" i="32"/>
  <c r="B12" i="32" s="1"/>
  <c r="F1" i="37"/>
  <c r="L1" i="37"/>
  <c r="S1" i="37"/>
  <c r="U1" i="37" s="1"/>
  <c r="F176" i="37" s="1"/>
  <c r="T6" i="37"/>
  <c r="L3" i="38" s="1"/>
  <c r="M3" i="38" s="1"/>
  <c r="N3" i="38" s="1"/>
  <c r="M6" i="37" s="1"/>
  <c r="T7" i="37"/>
  <c r="L4" i="38" s="1"/>
  <c r="M4" i="38" s="1"/>
  <c r="N4" i="38" s="1"/>
  <c r="M7" i="37" s="1"/>
  <c r="T8" i="37"/>
  <c r="L5" i="38" s="1"/>
  <c r="M5" i="38" s="1"/>
  <c r="N5" i="38" s="1"/>
  <c r="M8" i="37" s="1"/>
  <c r="T9" i="37"/>
  <c r="L6" i="38" s="1"/>
  <c r="M6" i="38" s="1"/>
  <c r="N6" i="38" s="1"/>
  <c r="M9" i="37" s="1"/>
  <c r="T10" i="37"/>
  <c r="L7" i="38" s="1"/>
  <c r="M7" i="38" s="1"/>
  <c r="N7" i="38" s="1"/>
  <c r="M10" i="37" s="1"/>
  <c r="T11" i="37"/>
  <c r="L8" i="38" s="1"/>
  <c r="M8" i="38" s="1"/>
  <c r="N8" i="38" s="1"/>
  <c r="M11" i="37" s="1"/>
  <c r="G40" i="37"/>
  <c r="R40" i="37" s="1"/>
  <c r="O14" i="37"/>
  <c r="G47" i="37" s="1"/>
  <c r="R47" i="37" s="1"/>
  <c r="G41" i="37"/>
  <c r="O15" i="37"/>
  <c r="G48" i="37" s="1"/>
  <c r="R48" i="37" s="1"/>
  <c r="G42" i="37"/>
  <c r="R42" i="37" s="1"/>
  <c r="O16" i="37"/>
  <c r="G49" i="37" s="1"/>
  <c r="R49" i="37" s="1"/>
  <c r="G43" i="37"/>
  <c r="R43" i="37" s="1"/>
  <c r="O17" i="37"/>
  <c r="G50" i="37" s="1"/>
  <c r="G44" i="37"/>
  <c r="R44" i="37" s="1"/>
  <c r="O18" i="37"/>
  <c r="G51" i="37" s="1"/>
  <c r="R51" i="37" s="1"/>
  <c r="O19" i="37"/>
  <c r="G52" i="37" s="1"/>
  <c r="G46" i="37"/>
  <c r="R46" i="37" s="1"/>
  <c r="O20" i="37"/>
  <c r="G53" i="37" s="1"/>
  <c r="R53" i="37" s="1"/>
  <c r="S24" i="37"/>
  <c r="T24" i="37"/>
  <c r="U24" i="37"/>
  <c r="V24" i="37"/>
  <c r="W24" i="37"/>
  <c r="X24" i="37"/>
  <c r="Y24" i="37"/>
  <c r="Z24" i="37"/>
  <c r="AA24" i="37"/>
  <c r="AB24" i="37"/>
  <c r="AC24" i="37"/>
  <c r="AD24" i="37"/>
  <c r="AE24" i="37"/>
  <c r="B29" i="37"/>
  <c r="C29" i="37"/>
  <c r="D29" i="37"/>
  <c r="E29" i="37"/>
  <c r="F29" i="37"/>
  <c r="G29" i="37"/>
  <c r="H29" i="37"/>
  <c r="I29" i="37"/>
  <c r="J29" i="37"/>
  <c r="K29" i="37"/>
  <c r="L29" i="37"/>
  <c r="M29" i="37"/>
  <c r="N29" i="37"/>
  <c r="P33" i="37"/>
  <c r="G55" i="37" s="1"/>
  <c r="K55" i="37" s="1"/>
  <c r="R55" i="37" s="1"/>
  <c r="G45" i="37"/>
  <c r="R45" i="37" s="1"/>
  <c r="L9" i="38"/>
  <c r="M9" i="38" s="1"/>
  <c r="N9" i="38" s="1"/>
  <c r="M59" i="37" s="1"/>
  <c r="L10" i="38"/>
  <c r="M10" i="38" s="1"/>
  <c r="N10" i="38" s="1"/>
  <c r="M60" i="37" s="1"/>
  <c r="L11" i="38"/>
  <c r="M11" i="38" s="1"/>
  <c r="N11" i="38" s="1"/>
  <c r="M61" i="37" s="1"/>
  <c r="G97" i="37"/>
  <c r="O64" i="37"/>
  <c r="G109" i="37" s="1"/>
  <c r="R109" i="37" s="1"/>
  <c r="G98" i="37"/>
  <c r="R98" i="37" s="1"/>
  <c r="O65" i="37"/>
  <c r="G110" i="37" s="1"/>
  <c r="R110" i="37" s="1"/>
  <c r="O66" i="37"/>
  <c r="G111" i="37" s="1"/>
  <c r="O67" i="37"/>
  <c r="G112" i="37" s="1"/>
  <c r="R112" i="37" s="1"/>
  <c r="G101" i="37"/>
  <c r="O68" i="37"/>
  <c r="G113" i="37" s="1"/>
  <c r="R113" i="37" s="1"/>
  <c r="O69" i="37"/>
  <c r="G114" i="37" s="1"/>
  <c r="R114" i="37" s="1"/>
  <c r="O70" i="37"/>
  <c r="G115" i="37" s="1"/>
  <c r="R115" i="37" s="1"/>
  <c r="G104" i="37"/>
  <c r="R104" i="37" s="1"/>
  <c r="O71" i="37"/>
  <c r="G116" i="37" s="1"/>
  <c r="R116" i="37" s="1"/>
  <c r="G105" i="37"/>
  <c r="R105" i="37" s="1"/>
  <c r="O72" i="37"/>
  <c r="G117" i="37" s="1"/>
  <c r="R117" i="37" s="1"/>
  <c r="O73" i="37"/>
  <c r="G118" i="37" s="1"/>
  <c r="R118" i="37" s="1"/>
  <c r="O74" i="37"/>
  <c r="G119" i="37" s="1"/>
  <c r="R119" i="37" s="1"/>
  <c r="G108" i="37"/>
  <c r="O75" i="37"/>
  <c r="G120" i="37" s="1"/>
  <c r="R120" i="37" s="1"/>
  <c r="S78" i="37"/>
  <c r="T78" i="37"/>
  <c r="U78" i="37"/>
  <c r="V78" i="37"/>
  <c r="W78" i="37"/>
  <c r="X78" i="37"/>
  <c r="Y78" i="37"/>
  <c r="Z78" i="37"/>
  <c r="AA78" i="37"/>
  <c r="AB78" i="37"/>
  <c r="AC78" i="37"/>
  <c r="AD78" i="37"/>
  <c r="AE78" i="37"/>
  <c r="AF78" i="37"/>
  <c r="AG78" i="37"/>
  <c r="AH78" i="37"/>
  <c r="AI78" i="37"/>
  <c r="AJ78" i="37"/>
  <c r="AK78" i="37"/>
  <c r="AL78" i="37"/>
  <c r="AM78" i="37"/>
  <c r="AN78" i="37"/>
  <c r="AO78" i="37"/>
  <c r="AP78" i="37"/>
  <c r="AQ78" i="37"/>
  <c r="B85" i="37"/>
  <c r="C85" i="37"/>
  <c r="D85" i="37"/>
  <c r="E85" i="37"/>
  <c r="F85" i="37"/>
  <c r="G85" i="37"/>
  <c r="H85" i="37"/>
  <c r="I85" i="37"/>
  <c r="J85" i="37"/>
  <c r="K85" i="37"/>
  <c r="L85" i="37"/>
  <c r="M85" i="37"/>
  <c r="N85" i="37"/>
  <c r="B88" i="37"/>
  <c r="C88" i="37"/>
  <c r="D88" i="37"/>
  <c r="E88" i="37"/>
  <c r="F88" i="37"/>
  <c r="G88" i="37"/>
  <c r="H88" i="37"/>
  <c r="I88" i="37"/>
  <c r="J88" i="37"/>
  <c r="K88" i="37"/>
  <c r="L88" i="37"/>
  <c r="M88" i="37"/>
  <c r="P91" i="37"/>
  <c r="G122" i="37" s="1"/>
  <c r="K122" i="37" s="1"/>
  <c r="R122" i="37" s="1"/>
  <c r="G99" i="37"/>
  <c r="R99" i="37" s="1"/>
  <c r="G100" i="37"/>
  <c r="R100" i="37" s="1"/>
  <c r="G102" i="37"/>
  <c r="G103" i="37"/>
  <c r="R103" i="37" s="1"/>
  <c r="G106" i="37"/>
  <c r="R106" i="37" s="1"/>
  <c r="G107" i="37"/>
  <c r="R107" i="37" s="1"/>
  <c r="T126" i="37"/>
  <c r="L12" i="38" s="1"/>
  <c r="M12" i="38" s="1"/>
  <c r="N12" i="38" s="1"/>
  <c r="M126" i="37" s="1"/>
  <c r="T127" i="37"/>
  <c r="L13" i="38" s="1"/>
  <c r="M13" i="38" s="1"/>
  <c r="N13" i="38" s="1"/>
  <c r="M127" i="37" s="1"/>
  <c r="T128" i="37"/>
  <c r="L14" i="38" s="1"/>
  <c r="M14" i="38" s="1"/>
  <c r="N14" i="38" s="1"/>
  <c r="M128" i="37" s="1"/>
  <c r="T129" i="37"/>
  <c r="L15" i="38" s="1"/>
  <c r="M15" i="38" s="1"/>
  <c r="N15" i="38" s="1"/>
  <c r="M129" i="37" s="1"/>
  <c r="O132" i="37"/>
  <c r="G161" i="37" s="1"/>
  <c r="H133" i="37"/>
  <c r="G157" i="37" s="1"/>
  <c r="O133" i="37"/>
  <c r="G162" i="37" s="1"/>
  <c r="H134" i="37"/>
  <c r="G158" i="37" s="1"/>
  <c r="O134" i="37"/>
  <c r="G163" i="37" s="1"/>
  <c r="H135" i="37"/>
  <c r="G159" i="37" s="1"/>
  <c r="O135" i="37"/>
  <c r="G164" i="37" s="1"/>
  <c r="H136" i="37"/>
  <c r="G160" i="37" s="1"/>
  <c r="O136" i="37"/>
  <c r="G165" i="37" s="1"/>
  <c r="S140" i="37"/>
  <c r="T140" i="37"/>
  <c r="U140" i="37"/>
  <c r="V140" i="37"/>
  <c r="W140" i="37"/>
  <c r="X140" i="37"/>
  <c r="Y140" i="37"/>
  <c r="Z140" i="37"/>
  <c r="AA140" i="37"/>
  <c r="AB140" i="37"/>
  <c r="AC140" i="37"/>
  <c r="AD140" i="37"/>
  <c r="B145" i="37"/>
  <c r="C145" i="37"/>
  <c r="D145" i="37"/>
  <c r="E145" i="37"/>
  <c r="F145" i="37"/>
  <c r="G145" i="37"/>
  <c r="H145" i="37"/>
  <c r="I145" i="37"/>
  <c r="J145" i="37"/>
  <c r="K145" i="37"/>
  <c r="L145" i="37"/>
  <c r="M145" i="37"/>
  <c r="P150" i="37"/>
  <c r="G167" i="37" s="1"/>
  <c r="K167" i="37" s="1"/>
  <c r="R167" i="37" s="1"/>
  <c r="G156" i="37"/>
  <c r="C1" i="41"/>
  <c r="L1" i="41"/>
  <c r="T1" i="41"/>
  <c r="U1" i="41" s="1"/>
  <c r="I39" i="41" s="1"/>
  <c r="K9" i="41"/>
  <c r="T9" i="41"/>
  <c r="Z3" i="28" s="1"/>
  <c r="AA3" i="28" s="1"/>
  <c r="AB3" i="28" s="1"/>
  <c r="E9" i="41" s="1"/>
  <c r="U9" i="41"/>
  <c r="T10" i="41"/>
  <c r="Z4" i="28" s="1"/>
  <c r="AA4" i="28" s="1"/>
  <c r="AB4" i="28" s="1"/>
  <c r="K11" i="41"/>
  <c r="T11" i="41"/>
  <c r="Z5" i="28" s="1"/>
  <c r="AA5" i="28" s="1"/>
  <c r="AB5" i="28" s="1"/>
  <c r="E11" i="41" s="1"/>
  <c r="U11" i="41"/>
  <c r="T12" i="41"/>
  <c r="Z6" i="28" s="1"/>
  <c r="AA6" i="28" s="1"/>
  <c r="AB6" i="28" s="1"/>
  <c r="K13" i="41"/>
  <c r="T13" i="41"/>
  <c r="Z7" i="28"/>
  <c r="AA7" i="28" s="1"/>
  <c r="AB7" i="28" s="1"/>
  <c r="E13" i="41" s="1"/>
  <c r="U13" i="41"/>
  <c r="T14" i="41"/>
  <c r="Z8" i="28" s="1"/>
  <c r="AA8" i="28" s="1"/>
  <c r="AB8" i="28" s="1"/>
  <c r="K15" i="41"/>
  <c r="T15" i="41"/>
  <c r="Z9" i="28" s="1"/>
  <c r="AA9" i="28" s="1"/>
  <c r="AB9" i="28" s="1"/>
  <c r="E15" i="41" s="1"/>
  <c r="U15" i="41"/>
  <c r="T16" i="41"/>
  <c r="Z10" i="28" s="1"/>
  <c r="AA10" i="28" s="1"/>
  <c r="AB10" i="28" s="1"/>
  <c r="K17" i="41"/>
  <c r="T17" i="41"/>
  <c r="Z11" i="28" s="1"/>
  <c r="AA11" i="28" s="1"/>
  <c r="AB11" i="28" s="1"/>
  <c r="E17" i="41" s="1"/>
  <c r="U17" i="41"/>
  <c r="T18" i="41"/>
  <c r="Z12" i="28" s="1"/>
  <c r="AA12" i="28" s="1"/>
  <c r="AB12" i="28" s="1"/>
  <c r="K19" i="41"/>
  <c r="T19" i="41"/>
  <c r="Z13" i="28" s="1"/>
  <c r="AA13" i="28" s="1"/>
  <c r="AB13" i="28" s="1"/>
  <c r="E19" i="41" s="1"/>
  <c r="U19" i="41"/>
  <c r="T20" i="41"/>
  <c r="Z14" i="28" s="1"/>
  <c r="AA14" i="28" s="1"/>
  <c r="AB14" i="28" s="1"/>
  <c r="Y14" i="41"/>
  <c r="Z14" i="41"/>
  <c r="Y15" i="41"/>
  <c r="Z15" i="41"/>
  <c r="Y16" i="41"/>
  <c r="Z16" i="41"/>
  <c r="Y17" i="41"/>
  <c r="Z17" i="41"/>
  <c r="Y18" i="41"/>
  <c r="Z18" i="41"/>
  <c r="Y19" i="41"/>
  <c r="Z19" i="41"/>
  <c r="P24" i="41"/>
  <c r="D34" i="41" s="1"/>
  <c r="S34" i="41" s="1"/>
  <c r="P25" i="41"/>
  <c r="D35" i="41" s="1"/>
  <c r="S35" i="41" s="1"/>
  <c r="P28" i="41"/>
  <c r="D36" i="41" s="1"/>
  <c r="W36" i="41" s="1"/>
  <c r="H36" i="41" s="1"/>
  <c r="S36" i="41" s="1"/>
  <c r="C1" i="27"/>
  <c r="L1" i="27"/>
  <c r="T1" i="27"/>
  <c r="U1" i="27" s="1"/>
  <c r="I39" i="27" s="1"/>
  <c r="K9" i="27"/>
  <c r="T9" i="27"/>
  <c r="U9" i="27"/>
  <c r="T10" i="27"/>
  <c r="P4" i="28" s="1"/>
  <c r="Q4" i="28" s="1"/>
  <c r="R4" i="28" s="1"/>
  <c r="K11" i="27"/>
  <c r="T11" i="27"/>
  <c r="P5" i="28" s="1"/>
  <c r="Q5" i="28" s="1"/>
  <c r="R5" i="28" s="1"/>
  <c r="E11" i="27" s="1"/>
  <c r="U11" i="27"/>
  <c r="T12" i="27"/>
  <c r="P6" i="28" s="1"/>
  <c r="Q6" i="28" s="1"/>
  <c r="R6" i="28" s="1"/>
  <c r="K13" i="27"/>
  <c r="T13" i="27"/>
  <c r="P7" i="28" s="1"/>
  <c r="Q7" i="28" s="1"/>
  <c r="R7" i="28" s="1"/>
  <c r="E13" i="27" s="1"/>
  <c r="U13" i="27"/>
  <c r="T14" i="27"/>
  <c r="P8" i="28" s="1"/>
  <c r="Q8" i="28" s="1"/>
  <c r="R8" i="28" s="1"/>
  <c r="K15" i="27"/>
  <c r="T15" i="27"/>
  <c r="P9" i="28" s="1"/>
  <c r="Q9" i="28" s="1"/>
  <c r="R9" i="28" s="1"/>
  <c r="E15" i="27" s="1"/>
  <c r="U15" i="27"/>
  <c r="T16" i="27"/>
  <c r="P10" i="28" s="1"/>
  <c r="Q10" i="28" s="1"/>
  <c r="R10" i="28" s="1"/>
  <c r="K17" i="27"/>
  <c r="T17" i="27"/>
  <c r="U17" i="27"/>
  <c r="T18" i="27"/>
  <c r="P12" i="28" s="1"/>
  <c r="Q12" i="28" s="1"/>
  <c r="R12" i="28" s="1"/>
  <c r="K19" i="27"/>
  <c r="T19" i="27"/>
  <c r="U19" i="27"/>
  <c r="T20" i="27"/>
  <c r="P14" i="28" s="1"/>
  <c r="Q14" i="28" s="1"/>
  <c r="R14" i="28" s="1"/>
  <c r="Y14" i="27"/>
  <c r="Z14" i="27"/>
  <c r="Y15" i="27"/>
  <c r="Z15" i="27"/>
  <c r="Y16" i="27"/>
  <c r="Z16" i="27"/>
  <c r="Y17" i="27"/>
  <c r="Z17" i="27"/>
  <c r="Y18" i="27"/>
  <c r="Z18" i="27"/>
  <c r="Y19" i="27"/>
  <c r="Z19" i="27"/>
  <c r="P24" i="27"/>
  <c r="D34" i="27" s="1"/>
  <c r="S34" i="27" s="1"/>
  <c r="P25" i="27"/>
  <c r="D35" i="27"/>
  <c r="S35" i="27" s="1"/>
  <c r="P28" i="27"/>
  <c r="D36" i="27" s="1"/>
  <c r="H36" i="27"/>
  <c r="C1" i="40"/>
  <c r="L1" i="40"/>
  <c r="S1" i="40"/>
  <c r="T1" i="40" s="1"/>
  <c r="I101" i="40" s="1"/>
  <c r="K7" i="40"/>
  <c r="T7" i="40"/>
  <c r="Z3" i="35" s="1"/>
  <c r="AA3" i="35" s="1"/>
  <c r="AB3" i="35" s="1"/>
  <c r="E7" i="40" s="1"/>
  <c r="U7" i="40"/>
  <c r="T8" i="40"/>
  <c r="Z4" i="35" s="1"/>
  <c r="AA4" i="35" s="1"/>
  <c r="AB4" i="35" s="1"/>
  <c r="K9" i="40"/>
  <c r="T9" i="40"/>
  <c r="U9" i="40"/>
  <c r="T10" i="40"/>
  <c r="Z6" i="35" s="1"/>
  <c r="AA6" i="35" s="1"/>
  <c r="AB6" i="35" s="1"/>
  <c r="K11" i="40"/>
  <c r="T11" i="40"/>
  <c r="W11" i="40" s="1"/>
  <c r="V11" i="40" s="1"/>
  <c r="AE7" i="35" s="1"/>
  <c r="AF7" i="35" s="1"/>
  <c r="AG7" i="35" s="1"/>
  <c r="U11" i="40"/>
  <c r="T12" i="40"/>
  <c r="Z8" i="35" s="1"/>
  <c r="AA8" i="35" s="1"/>
  <c r="AB8" i="35" s="1"/>
  <c r="I13" i="40"/>
  <c r="K13" i="40"/>
  <c r="T13" i="40"/>
  <c r="Z9" i="35" s="1"/>
  <c r="AA9" i="35" s="1"/>
  <c r="AB9" i="35" s="1"/>
  <c r="E13" i="40" s="1"/>
  <c r="U13" i="40"/>
  <c r="T14" i="40"/>
  <c r="Z10" i="35" s="1"/>
  <c r="AA10" i="35" s="1"/>
  <c r="AB10" i="35" s="1"/>
  <c r="I15" i="40"/>
  <c r="K15" i="40"/>
  <c r="T15" i="40"/>
  <c r="U15" i="40"/>
  <c r="T16" i="40"/>
  <c r="Z12" i="35"/>
  <c r="AA12" i="35" s="1"/>
  <c r="AB12" i="35" s="1"/>
  <c r="K17" i="40"/>
  <c r="T17" i="40"/>
  <c r="U17" i="40"/>
  <c r="T18" i="40"/>
  <c r="Z14" i="35" s="1"/>
  <c r="AA14" i="35" s="1"/>
  <c r="AB14" i="35" s="1"/>
  <c r="Y12" i="40"/>
  <c r="Z12" i="40"/>
  <c r="Y13" i="40"/>
  <c r="Z13" i="40"/>
  <c r="Y14" i="40"/>
  <c r="Z14" i="40"/>
  <c r="Y15" i="40"/>
  <c r="Z15" i="40"/>
  <c r="Y16" i="40"/>
  <c r="Z16" i="40"/>
  <c r="Y17" i="40"/>
  <c r="Z17" i="40"/>
  <c r="P22" i="40"/>
  <c r="E92" i="40" s="1"/>
  <c r="W92" i="40" s="1"/>
  <c r="I92" i="40" s="1"/>
  <c r="S92" i="40" s="1"/>
  <c r="P23" i="40"/>
  <c r="E93" i="40" s="1"/>
  <c r="W93" i="40" s="1"/>
  <c r="I93" i="40" s="1"/>
  <c r="S93" i="40" s="1"/>
  <c r="P24" i="40"/>
  <c r="E94" i="40" s="1"/>
  <c r="W94" i="40" s="1"/>
  <c r="I94" i="40" s="1"/>
  <c r="S94" i="40" s="1"/>
  <c r="P25" i="40"/>
  <c r="E95" i="40" s="1"/>
  <c r="W95" i="40" s="1"/>
  <c r="I95" i="40" s="1"/>
  <c r="S95" i="40" s="1"/>
  <c r="S31" i="40"/>
  <c r="S32" i="40"/>
  <c r="F41" i="40"/>
  <c r="L41" i="40"/>
  <c r="F43" i="40"/>
  <c r="L43" i="40"/>
  <c r="O43" i="40" s="1"/>
  <c r="S48" i="40" s="1"/>
  <c r="F45" i="40"/>
  <c r="L45" i="40"/>
  <c r="O45" i="40"/>
  <c r="F47" i="40"/>
  <c r="L47" i="40"/>
  <c r="O47" i="40"/>
  <c r="F49" i="40"/>
  <c r="L49" i="40"/>
  <c r="O49" i="40"/>
  <c r="F51" i="40"/>
  <c r="L51" i="40"/>
  <c r="O51" i="40"/>
  <c r="F53" i="40"/>
  <c r="L53" i="40"/>
  <c r="O53" i="40"/>
  <c r="F56" i="40"/>
  <c r="L56" i="40"/>
  <c r="O56" i="40"/>
  <c r="F58" i="40"/>
  <c r="L58" i="40"/>
  <c r="O58" i="40"/>
  <c r="F60" i="40"/>
  <c r="L60" i="40"/>
  <c r="O60" i="40"/>
  <c r="F62" i="40"/>
  <c r="L62" i="40"/>
  <c r="O62" i="40"/>
  <c r="F65" i="40"/>
  <c r="L65" i="40"/>
  <c r="O65" i="40" s="1"/>
  <c r="S51" i="40" s="1"/>
  <c r="F67" i="40"/>
  <c r="L67" i="40"/>
  <c r="O67" i="40"/>
  <c r="F69" i="40"/>
  <c r="L69" i="40"/>
  <c r="O69" i="40"/>
  <c r="F71" i="40"/>
  <c r="L71" i="40"/>
  <c r="O71" i="40"/>
  <c r="F76" i="40"/>
  <c r="L76" i="40"/>
  <c r="F78" i="40"/>
  <c r="L78" i="40"/>
  <c r="O78" i="40"/>
  <c r="F80" i="40"/>
  <c r="L80" i="40"/>
  <c r="O80" i="40"/>
  <c r="F83" i="40"/>
  <c r="L83" i="40"/>
  <c r="P88" i="40"/>
  <c r="E98" i="40" s="1"/>
  <c r="W98" i="40" s="1"/>
  <c r="I98" i="40" s="1"/>
  <c r="I97" i="40"/>
  <c r="C1" i="34"/>
  <c r="L1" i="34"/>
  <c r="S1" i="34"/>
  <c r="T1" i="34" s="1"/>
  <c r="I101" i="34" s="1"/>
  <c r="K7" i="34"/>
  <c r="T7" i="34"/>
  <c r="P3" i="35" s="1"/>
  <c r="Q3" i="35" s="1"/>
  <c r="R3" i="35" s="1"/>
  <c r="E7" i="34" s="1"/>
  <c r="U7" i="34"/>
  <c r="T8" i="34"/>
  <c r="P4" i="35" s="1"/>
  <c r="Q4" i="35" s="1"/>
  <c r="R4" i="35" s="1"/>
  <c r="K9" i="34"/>
  <c r="T9" i="34"/>
  <c r="U9" i="34"/>
  <c r="T10" i="34"/>
  <c r="P6" i="35" s="1"/>
  <c r="Q6" i="35" s="1"/>
  <c r="R6" i="35" s="1"/>
  <c r="K11" i="34"/>
  <c r="T11" i="34"/>
  <c r="U11" i="34"/>
  <c r="T12" i="34"/>
  <c r="P8" i="35" s="1"/>
  <c r="Q8" i="35" s="1"/>
  <c r="R8" i="35" s="1"/>
  <c r="K13" i="34"/>
  <c r="T13" i="34"/>
  <c r="P9" i="35" s="1"/>
  <c r="Q9" i="35" s="1"/>
  <c r="R9" i="35" s="1"/>
  <c r="E13" i="34" s="1"/>
  <c r="U13" i="34"/>
  <c r="T14" i="34"/>
  <c r="P10" i="35" s="1"/>
  <c r="Q10" i="35" s="1"/>
  <c r="R10" i="35" s="1"/>
  <c r="K15" i="34"/>
  <c r="T15" i="34"/>
  <c r="P11" i="35" s="1"/>
  <c r="Q11" i="35" s="1"/>
  <c r="R11" i="35" s="1"/>
  <c r="E15" i="34" s="1"/>
  <c r="U15" i="34"/>
  <c r="T16" i="34"/>
  <c r="P12" i="35" s="1"/>
  <c r="Q12" i="35" s="1"/>
  <c r="R12" i="35" s="1"/>
  <c r="K17" i="34"/>
  <c r="T17" i="34"/>
  <c r="P13" i="35" s="1"/>
  <c r="Q13" i="35" s="1"/>
  <c r="R13" i="35" s="1"/>
  <c r="E17" i="34" s="1"/>
  <c r="U17" i="34"/>
  <c r="T18" i="34"/>
  <c r="P14" i="35" s="1"/>
  <c r="Q14" i="35" s="1"/>
  <c r="R14" i="35" s="1"/>
  <c r="Y12" i="34"/>
  <c r="Z12" i="34"/>
  <c r="Y13" i="34"/>
  <c r="Z13" i="34"/>
  <c r="Y14" i="34"/>
  <c r="Z14" i="34"/>
  <c r="Y15" i="34"/>
  <c r="Z15" i="34"/>
  <c r="Y16" i="34"/>
  <c r="Z16" i="34"/>
  <c r="Y17" i="34"/>
  <c r="Z17" i="34"/>
  <c r="P22" i="34"/>
  <c r="E92" i="34" s="1"/>
  <c r="W92" i="34" s="1"/>
  <c r="I92" i="34" s="1"/>
  <c r="S92" i="34" s="1"/>
  <c r="P23" i="34"/>
  <c r="E93" i="34" s="1"/>
  <c r="W93" i="34" s="1"/>
  <c r="I93" i="34" s="1"/>
  <c r="S93" i="34" s="1"/>
  <c r="P24" i="34"/>
  <c r="E94" i="34" s="1"/>
  <c r="W94" i="34" s="1"/>
  <c r="I94" i="34" s="1"/>
  <c r="S94" i="34" s="1"/>
  <c r="P25" i="34"/>
  <c r="E95" i="34" s="1"/>
  <c r="W95" i="34" s="1"/>
  <c r="I95" i="34" s="1"/>
  <c r="S95" i="34" s="1"/>
  <c r="S31" i="34"/>
  <c r="S32" i="34"/>
  <c r="P31" i="34" s="1"/>
  <c r="E96" i="34" s="1"/>
  <c r="S96" i="34" s="1"/>
  <c r="F41" i="34"/>
  <c r="L41" i="34"/>
  <c r="F43" i="34"/>
  <c r="L43" i="34"/>
  <c r="F45" i="34"/>
  <c r="L45" i="34"/>
  <c r="O45" i="34"/>
  <c r="F47" i="34"/>
  <c r="L47" i="34"/>
  <c r="O47" i="34"/>
  <c r="F49" i="34"/>
  <c r="L49" i="34"/>
  <c r="O49" i="34"/>
  <c r="F51" i="34"/>
  <c r="L51" i="34"/>
  <c r="O51" i="34"/>
  <c r="F53" i="34"/>
  <c r="L53" i="34"/>
  <c r="O53" i="34"/>
  <c r="F56" i="34"/>
  <c r="L56" i="34"/>
  <c r="O56" i="34"/>
  <c r="F58" i="34"/>
  <c r="L58" i="34"/>
  <c r="O58" i="34"/>
  <c r="F60" i="34"/>
  <c r="L60" i="34"/>
  <c r="O60" i="34"/>
  <c r="F62" i="34"/>
  <c r="L62" i="34"/>
  <c r="O62" i="34"/>
  <c r="F65" i="34"/>
  <c r="L65" i="34"/>
  <c r="F67" i="34"/>
  <c r="L67" i="34"/>
  <c r="O67" i="34"/>
  <c r="F69" i="34"/>
  <c r="L69" i="34"/>
  <c r="O69" i="34"/>
  <c r="F71" i="34"/>
  <c r="L71" i="34"/>
  <c r="O71" i="34"/>
  <c r="F76" i="34"/>
  <c r="L76" i="34"/>
  <c r="O76" i="34"/>
  <c r="F78" i="34"/>
  <c r="L78" i="34"/>
  <c r="O78" i="34"/>
  <c r="F80" i="34"/>
  <c r="L80" i="34"/>
  <c r="O80" i="34"/>
  <c r="F83" i="34"/>
  <c r="L83" i="34"/>
  <c r="P88" i="34"/>
  <c r="E98" i="34" s="1"/>
  <c r="W98" i="34" s="1"/>
  <c r="I98" i="34" s="1"/>
  <c r="I97" i="34"/>
  <c r="J1" i="44"/>
  <c r="V1" i="44"/>
  <c r="AM3" i="44"/>
  <c r="AN4" i="44" s="1"/>
  <c r="K97" i="44" s="1"/>
  <c r="AN6" i="44"/>
  <c r="AO6" i="44"/>
  <c r="B8" i="44"/>
  <c r="S8" i="44"/>
  <c r="AN7" i="44"/>
  <c r="AO7" i="44"/>
  <c r="AL10" i="44"/>
  <c r="AM10" i="44"/>
  <c r="AN10" i="44"/>
  <c r="AO10" i="44"/>
  <c r="AL11" i="44"/>
  <c r="AM11" i="44"/>
  <c r="AN11" i="44"/>
  <c r="AO11" i="44"/>
  <c r="AL12" i="44"/>
  <c r="AM12" i="44"/>
  <c r="AN12" i="44"/>
  <c r="AO12" i="44"/>
  <c r="O15" i="44"/>
  <c r="AF15" i="44"/>
  <c r="AK21" i="44"/>
  <c r="AL21" i="44"/>
  <c r="AM21" i="44"/>
  <c r="AN21" i="44"/>
  <c r="AL23" i="44"/>
  <c r="AN23" i="44"/>
  <c r="AL24" i="44"/>
  <c r="AN24" i="44"/>
  <c r="AL25" i="44"/>
  <c r="AN25" i="44"/>
  <c r="AL26" i="44"/>
  <c r="AN26" i="44"/>
  <c r="AL27" i="44"/>
  <c r="K27" i="44" s="1"/>
  <c r="AR27" i="44" s="1"/>
  <c r="AN27" i="44"/>
  <c r="AL28" i="44"/>
  <c r="AN28" i="44"/>
  <c r="AL29" i="44"/>
  <c r="AN29" i="44"/>
  <c r="AL30" i="44"/>
  <c r="AN30" i="44"/>
  <c r="K31" i="44"/>
  <c r="AM31" i="44" s="1"/>
  <c r="AB31" i="44"/>
  <c r="AO31" i="44" s="1"/>
  <c r="O39" i="44"/>
  <c r="AF39" i="44"/>
  <c r="O40" i="44"/>
  <c r="AF40" i="44"/>
  <c r="O41" i="44"/>
  <c r="AF41" i="44"/>
  <c r="O42" i="44"/>
  <c r="AF42" i="44"/>
  <c r="O43" i="44"/>
  <c r="AF43" i="44"/>
  <c r="O44" i="44"/>
  <c r="AF44" i="44"/>
  <c r="O45" i="44"/>
  <c r="AF45" i="44"/>
  <c r="O46" i="44"/>
  <c r="AF46" i="44"/>
  <c r="O47" i="44"/>
  <c r="AF47" i="44"/>
  <c r="O52" i="44"/>
  <c r="I63" i="44" s="1"/>
  <c r="AL63" i="44" s="1"/>
  <c r="AF52" i="44"/>
  <c r="Z63" i="44" s="1"/>
  <c r="AM63" i="44" s="1"/>
  <c r="O53" i="44"/>
  <c r="I64" i="44" s="1"/>
  <c r="AF53" i="44"/>
  <c r="Z64" i="44" s="1"/>
  <c r="O54" i="44"/>
  <c r="I65" i="44" s="1"/>
  <c r="AF54" i="44"/>
  <c r="Z65" i="44" s="1"/>
  <c r="O56" i="44"/>
  <c r="I66" i="44" s="1"/>
  <c r="AF56" i="44"/>
  <c r="Z66" i="44" s="1"/>
  <c r="I83" i="44"/>
  <c r="C1" i="46"/>
  <c r="L1" i="46"/>
  <c r="T3" i="46"/>
  <c r="C5" i="46"/>
  <c r="F5" i="46"/>
  <c r="D1" i="48"/>
  <c r="M1" i="48"/>
  <c r="R2" i="48"/>
  <c r="S2" i="48" s="1"/>
  <c r="H500" i="48" s="1"/>
  <c r="P8" i="48"/>
  <c r="E34" i="48" s="1"/>
  <c r="W34" i="48" s="1"/>
  <c r="J34" i="48" s="1"/>
  <c r="S34" i="48" s="1"/>
  <c r="L13" i="48"/>
  <c r="T13" i="48"/>
  <c r="AR3" i="51" s="1"/>
  <c r="AS3" i="51" s="1"/>
  <c r="AT3" i="51" s="1"/>
  <c r="E13" i="48" s="1"/>
  <c r="U13" i="48"/>
  <c r="T14" i="48"/>
  <c r="AR4" i="51" s="1"/>
  <c r="AS4" i="51" s="1"/>
  <c r="AT4" i="51" s="1"/>
  <c r="E14" i="48" s="1"/>
  <c r="L16" i="48"/>
  <c r="T16" i="48"/>
  <c r="AR6" i="51" s="1"/>
  <c r="AS6" i="51" s="1"/>
  <c r="AT6" i="51" s="1"/>
  <c r="E16" i="48" s="1"/>
  <c r="U16" i="48"/>
  <c r="T17" i="48"/>
  <c r="AR7" i="51" s="1"/>
  <c r="AS7" i="51" s="1"/>
  <c r="AT7" i="51" s="1"/>
  <c r="E17" i="48" s="1"/>
  <c r="G17" i="48" s="1"/>
  <c r="L18" i="48"/>
  <c r="T18" i="48"/>
  <c r="AR8" i="51" s="1"/>
  <c r="AS8" i="51" s="1"/>
  <c r="AT8" i="51" s="1"/>
  <c r="E18" i="48" s="1"/>
  <c r="U18" i="48"/>
  <c r="T19" i="48"/>
  <c r="AR9" i="51" s="1"/>
  <c r="AS9" i="51" s="1"/>
  <c r="AT9" i="51" s="1"/>
  <c r="E19" i="48" s="1"/>
  <c r="G19" i="48" s="1"/>
  <c r="E38" i="48"/>
  <c r="W38" i="48" s="1"/>
  <c r="T30" i="48"/>
  <c r="P30" i="48" s="1"/>
  <c r="E39" i="48" s="1"/>
  <c r="W39" i="48" s="1"/>
  <c r="J39" i="48" s="1"/>
  <c r="S39" i="48" s="1"/>
  <c r="T31" i="48"/>
  <c r="P31" i="48" s="1"/>
  <c r="E40" i="48" s="1"/>
  <c r="W40" i="48" s="1"/>
  <c r="J40" i="48" s="1"/>
  <c r="S40" i="48" s="1"/>
  <c r="P46" i="48"/>
  <c r="E73" i="48" s="1"/>
  <c r="W73" i="48" s="1"/>
  <c r="J73" i="48" s="1"/>
  <c r="S73" i="48" s="1"/>
  <c r="O49" i="48"/>
  <c r="Y57" i="48" s="1"/>
  <c r="O50" i="48"/>
  <c r="Y58" i="48" s="1"/>
  <c r="L54" i="48"/>
  <c r="T54" i="48"/>
  <c r="AR12" i="51" s="1"/>
  <c r="AS12" i="51" s="1"/>
  <c r="AT12" i="51" s="1"/>
  <c r="E54" i="48" s="1"/>
  <c r="U54" i="48"/>
  <c r="T55" i="48"/>
  <c r="AR13" i="51" s="1"/>
  <c r="AS13" i="51" s="1"/>
  <c r="AT13" i="51" s="1"/>
  <c r="E55" i="48" s="1"/>
  <c r="L56" i="48"/>
  <c r="T56" i="48"/>
  <c r="AR14" i="51" s="1"/>
  <c r="AS14" i="51" s="1"/>
  <c r="AT14" i="51" s="1"/>
  <c r="E56" i="48" s="1"/>
  <c r="U56" i="48"/>
  <c r="T57" i="48"/>
  <c r="AR15" i="51" s="1"/>
  <c r="AS15" i="51" s="1"/>
  <c r="AT15" i="51" s="1"/>
  <c r="E57" i="48" s="1"/>
  <c r="G57" i="48" s="1"/>
  <c r="E77" i="48"/>
  <c r="W77" i="48" s="1"/>
  <c r="T68" i="48"/>
  <c r="P68" i="48" s="1"/>
  <c r="E78" i="48" s="1"/>
  <c r="W78" i="48" s="1"/>
  <c r="J78" i="48" s="1"/>
  <c r="S78" i="48" s="1"/>
  <c r="T69" i="48"/>
  <c r="P69" i="48" s="1"/>
  <c r="E79" i="48" s="1"/>
  <c r="W79" i="48" s="1"/>
  <c r="J79" i="48" s="1"/>
  <c r="S79" i="48" s="1"/>
  <c r="T70" i="48"/>
  <c r="P70" i="48" s="1"/>
  <c r="E80" i="48" s="1"/>
  <c r="W80" i="48" s="1"/>
  <c r="J80" i="48" s="1"/>
  <c r="S80" i="48" s="1"/>
  <c r="P86" i="48"/>
  <c r="E113" i="48" s="1"/>
  <c r="W113" i="48" s="1"/>
  <c r="J113" i="48" s="1"/>
  <c r="S113" i="48" s="1"/>
  <c r="O89" i="48"/>
  <c r="O90" i="48"/>
  <c r="Y98" i="48" s="1"/>
  <c r="L94" i="48"/>
  <c r="T94" i="48"/>
  <c r="AR18" i="51" s="1"/>
  <c r="AS18" i="51" s="1"/>
  <c r="AT18" i="51" s="1"/>
  <c r="E94" i="48" s="1"/>
  <c r="U94" i="48"/>
  <c r="T95" i="48"/>
  <c r="AR19" i="51" s="1"/>
  <c r="AS19" i="51" s="1"/>
  <c r="AT19" i="51" s="1"/>
  <c r="E95" i="48" s="1"/>
  <c r="G95" i="48" s="1"/>
  <c r="L96" i="48"/>
  <c r="T96" i="48"/>
  <c r="AR20" i="51" s="1"/>
  <c r="AS20" i="51" s="1"/>
  <c r="AT20" i="51" s="1"/>
  <c r="E96" i="48" s="1"/>
  <c r="U96" i="48"/>
  <c r="T97" i="48"/>
  <c r="AR21" i="51" s="1"/>
  <c r="AS21" i="51" s="1"/>
  <c r="AT21" i="51" s="1"/>
  <c r="E97" i="48" s="1"/>
  <c r="G97" i="48" s="1"/>
  <c r="E117" i="48"/>
  <c r="W117" i="48" s="1"/>
  <c r="T108" i="48"/>
  <c r="P108" i="48" s="1"/>
  <c r="E118" i="48" s="1"/>
  <c r="W118" i="48" s="1"/>
  <c r="J118" i="48" s="1"/>
  <c r="S118" i="48" s="1"/>
  <c r="T109" i="48"/>
  <c r="P109" i="48" s="1"/>
  <c r="E119" i="48" s="1"/>
  <c r="W119" i="48" s="1"/>
  <c r="J119" i="48" s="1"/>
  <c r="S119" i="48" s="1"/>
  <c r="T110" i="48"/>
  <c r="P110" i="48" s="1"/>
  <c r="E120" i="48" s="1"/>
  <c r="W120" i="48" s="1"/>
  <c r="J120" i="48" s="1"/>
  <c r="S120" i="48" s="1"/>
  <c r="P126" i="48"/>
  <c r="E153" i="48" s="1"/>
  <c r="W153" i="48" s="1"/>
  <c r="J153" i="48" s="1"/>
  <c r="S153" i="48" s="1"/>
  <c r="O129" i="48"/>
  <c r="O130" i="48"/>
  <c r="Y138" i="48" s="1"/>
  <c r="L134" i="48"/>
  <c r="T134" i="48"/>
  <c r="AR24" i="51" s="1"/>
  <c r="AS24" i="51" s="1"/>
  <c r="AT24" i="51" s="1"/>
  <c r="E134" i="48" s="1"/>
  <c r="U134" i="48"/>
  <c r="T135" i="48"/>
  <c r="AR25" i="51" s="1"/>
  <c r="AS25" i="51" s="1"/>
  <c r="AT25" i="51" s="1"/>
  <c r="E135" i="48" s="1"/>
  <c r="L136" i="48"/>
  <c r="T136" i="48"/>
  <c r="AR26" i="51" s="1"/>
  <c r="AS26" i="51" s="1"/>
  <c r="AT26" i="51" s="1"/>
  <c r="E136" i="48" s="1"/>
  <c r="U136" i="48"/>
  <c r="T137" i="48"/>
  <c r="AR27" i="51" s="1"/>
  <c r="AS27" i="51" s="1"/>
  <c r="AT27" i="51" s="1"/>
  <c r="E137" i="48" s="1"/>
  <c r="G137" i="48" s="1"/>
  <c r="E157" i="48"/>
  <c r="W157" i="48" s="1"/>
  <c r="T148" i="48"/>
  <c r="P148" i="48" s="1"/>
  <c r="E158" i="48" s="1"/>
  <c r="W158" i="48" s="1"/>
  <c r="J158" i="48" s="1"/>
  <c r="S158" i="48" s="1"/>
  <c r="T149" i="48"/>
  <c r="P149" i="48" s="1"/>
  <c r="E159" i="48" s="1"/>
  <c r="W159" i="48" s="1"/>
  <c r="J159" i="48" s="1"/>
  <c r="S159" i="48" s="1"/>
  <c r="T150" i="48"/>
  <c r="P150" i="48" s="1"/>
  <c r="E160" i="48" s="1"/>
  <c r="W160" i="48" s="1"/>
  <c r="J160" i="48" s="1"/>
  <c r="S160" i="48" s="1"/>
  <c r="P166" i="48"/>
  <c r="E193" i="48" s="1"/>
  <c r="W193" i="48" s="1"/>
  <c r="J193" i="48" s="1"/>
  <c r="S193" i="48" s="1"/>
  <c r="O169" i="48"/>
  <c r="Y177" i="48" s="1"/>
  <c r="O170" i="48"/>
  <c r="Y178" i="48" s="1"/>
  <c r="L174" i="48"/>
  <c r="T174" i="48"/>
  <c r="U174" i="48"/>
  <c r="T175" i="48"/>
  <c r="AR31" i="51" s="1"/>
  <c r="AS31" i="51" s="1"/>
  <c r="AT31" i="51" s="1"/>
  <c r="E175" i="48" s="1"/>
  <c r="L176" i="48"/>
  <c r="T176" i="48"/>
  <c r="AR32" i="51" s="1"/>
  <c r="AS32" i="51" s="1"/>
  <c r="AT32" i="51" s="1"/>
  <c r="E176" i="48" s="1"/>
  <c r="U176" i="48"/>
  <c r="T177" i="48"/>
  <c r="AR33" i="51" s="1"/>
  <c r="AS33" i="51" s="1"/>
  <c r="AT33" i="51" s="1"/>
  <c r="E177" i="48" s="1"/>
  <c r="E197" i="48"/>
  <c r="W197" i="48" s="1"/>
  <c r="T188" i="48"/>
  <c r="P188" i="48" s="1"/>
  <c r="E198" i="48" s="1"/>
  <c r="W198" i="48" s="1"/>
  <c r="J198" i="48" s="1"/>
  <c r="S198" i="48" s="1"/>
  <c r="T189" i="48"/>
  <c r="P189" i="48" s="1"/>
  <c r="E199" i="48" s="1"/>
  <c r="W199" i="48" s="1"/>
  <c r="J199" i="48" s="1"/>
  <c r="S199" i="48" s="1"/>
  <c r="T190" i="48"/>
  <c r="P190" i="48" s="1"/>
  <c r="E200" i="48" s="1"/>
  <c r="W200" i="48" s="1"/>
  <c r="J200" i="48" s="1"/>
  <c r="S200" i="48" s="1"/>
  <c r="S208" i="48"/>
  <c r="S209" i="48"/>
  <c r="S210" i="48"/>
  <c r="S211" i="48"/>
  <c r="S212" i="48"/>
  <c r="S215" i="48"/>
  <c r="S216" i="48"/>
  <c r="S217" i="48"/>
  <c r="S218" i="48"/>
  <c r="S219" i="48"/>
  <c r="L222" i="48"/>
  <c r="T222" i="48"/>
  <c r="AR36" i="51" s="1"/>
  <c r="AS36" i="51" s="1"/>
  <c r="AT36" i="51" s="1"/>
  <c r="E222" i="48" s="1"/>
  <c r="U222" i="48"/>
  <c r="T223" i="48"/>
  <c r="AR37" i="51" s="1"/>
  <c r="AS37" i="51" s="1"/>
  <c r="AT37" i="51" s="1"/>
  <c r="Y223" i="48"/>
  <c r="Z223" i="48"/>
  <c r="Y224" i="48"/>
  <c r="Z224" i="48"/>
  <c r="L224" i="48"/>
  <c r="T224" i="48"/>
  <c r="U224" i="48"/>
  <c r="T225" i="48"/>
  <c r="AR39" i="51" s="1"/>
  <c r="AS39" i="51" s="1"/>
  <c r="AT39" i="51" s="1"/>
  <c r="L228" i="48"/>
  <c r="T228" i="48"/>
  <c r="AR42" i="51" s="1"/>
  <c r="AS42" i="51" s="1"/>
  <c r="AT42" i="51" s="1"/>
  <c r="E228" i="48" s="1"/>
  <c r="U228" i="48"/>
  <c r="T229" i="48"/>
  <c r="AR43" i="51" s="1"/>
  <c r="AS43" i="51" s="1"/>
  <c r="AT43" i="51" s="1"/>
  <c r="Y229" i="48"/>
  <c r="Z229" i="48"/>
  <c r="Y230" i="48"/>
  <c r="Z230" i="48"/>
  <c r="L230" i="48"/>
  <c r="T230" i="48"/>
  <c r="U230" i="48"/>
  <c r="T231" i="48"/>
  <c r="AR45" i="51" s="1"/>
  <c r="AS45" i="51" s="1"/>
  <c r="AT45" i="51" s="1"/>
  <c r="E353" i="48"/>
  <c r="Y353" i="48" s="1"/>
  <c r="E354" i="48"/>
  <c r="Y354" i="48" s="1"/>
  <c r="P241" i="48"/>
  <c r="E355" i="48" s="1"/>
  <c r="Y355" i="48" s="1"/>
  <c r="P242" i="48"/>
  <c r="E356" i="48" s="1"/>
  <c r="Y356" i="48" s="1"/>
  <c r="S243" i="48"/>
  <c r="P243" i="48" s="1"/>
  <c r="E357" i="48" s="1"/>
  <c r="Y357" i="48" s="1"/>
  <c r="P246" i="48"/>
  <c r="E358" i="48" s="1"/>
  <c r="Y358" i="48" s="1"/>
  <c r="J358" i="48" s="1"/>
  <c r="S358" i="48" s="1"/>
  <c r="S247" i="48"/>
  <c r="P247" i="48" s="1"/>
  <c r="E359" i="48" s="1"/>
  <c r="Y359" i="48" s="1"/>
  <c r="J359" i="48" s="1"/>
  <c r="S359" i="48" s="1"/>
  <c r="S249" i="48"/>
  <c r="P249" i="48" s="1"/>
  <c r="E360" i="48" s="1"/>
  <c r="Y360" i="48" s="1"/>
  <c r="J360" i="48" s="1"/>
  <c r="S360" i="48" s="1"/>
  <c r="E361" i="48"/>
  <c r="Y361" i="48" s="1"/>
  <c r="R252" i="48"/>
  <c r="P253" i="48"/>
  <c r="E362" i="48" s="1"/>
  <c r="Y362" i="48" s="1"/>
  <c r="S256" i="48"/>
  <c r="S257" i="48"/>
  <c r="S258" i="48"/>
  <c r="S259" i="48"/>
  <c r="S260" i="48"/>
  <c r="S261" i="48"/>
  <c r="S262" i="48"/>
  <c r="P266" i="48"/>
  <c r="W345" i="48" s="1"/>
  <c r="S280" i="48"/>
  <c r="M280" i="48" s="1"/>
  <c r="T280" i="48"/>
  <c r="U280" i="48"/>
  <c r="S281" i="48"/>
  <c r="M281" i="48" s="1"/>
  <c r="T281" i="48"/>
  <c r="U281" i="48"/>
  <c r="S282" i="48"/>
  <c r="M282" i="48" s="1"/>
  <c r="T282" i="48"/>
  <c r="U282" i="48"/>
  <c r="S283" i="48"/>
  <c r="M283" i="48" s="1"/>
  <c r="T283" i="48"/>
  <c r="U283" i="48"/>
  <c r="S284" i="48"/>
  <c r="M284" i="48" s="1"/>
  <c r="T284" i="48"/>
  <c r="U284" i="48"/>
  <c r="F286" i="48"/>
  <c r="S286" i="48"/>
  <c r="F287" i="48" s="1"/>
  <c r="T286" i="48"/>
  <c r="U286" i="48"/>
  <c r="S287" i="48"/>
  <c r="T287" i="48"/>
  <c r="U287" i="48"/>
  <c r="S288" i="48"/>
  <c r="T288" i="48"/>
  <c r="U288" i="48"/>
  <c r="S289" i="48"/>
  <c r="T289" i="48"/>
  <c r="U289" i="48"/>
  <c r="S290" i="48"/>
  <c r="T290" i="48"/>
  <c r="U290" i="48"/>
  <c r="F292" i="48"/>
  <c r="S292" i="48"/>
  <c r="F294" i="48" s="1"/>
  <c r="T292" i="48"/>
  <c r="U292" i="48"/>
  <c r="S293" i="48"/>
  <c r="T293" i="48"/>
  <c r="U293" i="48"/>
  <c r="S294" i="48"/>
  <c r="T294" i="48"/>
  <c r="U294" i="48"/>
  <c r="S295" i="48"/>
  <c r="T295" i="48"/>
  <c r="U295" i="48"/>
  <c r="S296" i="48"/>
  <c r="T296" i="48"/>
  <c r="U296" i="48"/>
  <c r="S297" i="48"/>
  <c r="T297" i="48"/>
  <c r="U297" i="48"/>
  <c r="F298" i="48"/>
  <c r="P298" i="48" s="1"/>
  <c r="Z281" i="48" s="1"/>
  <c r="F299" i="48"/>
  <c r="S299" i="48"/>
  <c r="T299" i="48"/>
  <c r="U299" i="48"/>
  <c r="S300" i="48"/>
  <c r="T300" i="48"/>
  <c r="U300" i="48"/>
  <c r="S301" i="48"/>
  <c r="T301" i="48"/>
  <c r="U301" i="48"/>
  <c r="B302" i="48"/>
  <c r="F307" i="48"/>
  <c r="S307" i="48"/>
  <c r="F316" i="48" s="1"/>
  <c r="T307" i="48"/>
  <c r="U307" i="48"/>
  <c r="S308" i="48"/>
  <c r="T308" i="48"/>
  <c r="U308" i="48"/>
  <c r="S309" i="48"/>
  <c r="T309" i="48"/>
  <c r="U309" i="48"/>
  <c r="S310" i="48"/>
  <c r="T310" i="48"/>
  <c r="U310" i="48"/>
  <c r="S311" i="48"/>
  <c r="T311" i="48"/>
  <c r="U311" i="48"/>
  <c r="S312" i="48"/>
  <c r="T312" i="48"/>
  <c r="U312" i="48"/>
  <c r="S313" i="48"/>
  <c r="T313" i="48"/>
  <c r="U313" i="48"/>
  <c r="S314" i="48"/>
  <c r="T314" i="48"/>
  <c r="U314" i="48"/>
  <c r="F315" i="48"/>
  <c r="S315" i="48"/>
  <c r="T315" i="48"/>
  <c r="U315" i="48"/>
  <c r="S316" i="48"/>
  <c r="T316" i="48"/>
  <c r="U316" i="48"/>
  <c r="F317" i="48"/>
  <c r="F318" i="48"/>
  <c r="S318" i="48"/>
  <c r="T318" i="48"/>
  <c r="U318" i="48"/>
  <c r="B319" i="48"/>
  <c r="S320" i="48"/>
  <c r="F326" i="48" s="1"/>
  <c r="T320" i="48"/>
  <c r="U320" i="48"/>
  <c r="S321" i="48"/>
  <c r="T321" i="48"/>
  <c r="U321" i="48"/>
  <c r="S322" i="48"/>
  <c r="T322" i="48"/>
  <c r="U322" i="48"/>
  <c r="S323" i="48"/>
  <c r="T323" i="48"/>
  <c r="U323" i="48"/>
  <c r="S324" i="48"/>
  <c r="T324" i="48"/>
  <c r="U324" i="48"/>
  <c r="S325" i="48"/>
  <c r="T325" i="48"/>
  <c r="U325" i="48"/>
  <c r="S326" i="48"/>
  <c r="T326" i="48"/>
  <c r="U326" i="48"/>
  <c r="S328" i="48"/>
  <c r="M328" i="48" s="1"/>
  <c r="T328" i="48"/>
  <c r="U328" i="48"/>
  <c r="S329" i="48"/>
  <c r="M329" i="48" s="1"/>
  <c r="T329" i="48"/>
  <c r="U329" i="48"/>
  <c r="S330" i="48"/>
  <c r="F333" i="48" s="1"/>
  <c r="T330" i="48"/>
  <c r="U330" i="48"/>
  <c r="S331" i="48"/>
  <c r="T331" i="48"/>
  <c r="U331" i="48"/>
  <c r="S332" i="48"/>
  <c r="T332" i="48"/>
  <c r="U332" i="48"/>
  <c r="S333" i="48"/>
  <c r="T333" i="48"/>
  <c r="U333" i="48"/>
  <c r="S335" i="48"/>
  <c r="M335" i="48" s="1"/>
  <c r="T335" i="48"/>
  <c r="U335" i="48"/>
  <c r="P372" i="48"/>
  <c r="E448" i="48" s="1"/>
  <c r="Y448" i="48" s="1"/>
  <c r="J448" i="48" s="1"/>
  <c r="Z376" i="48"/>
  <c r="Z377" i="48"/>
  <c r="AA376" i="48"/>
  <c r="AA377" i="48"/>
  <c r="L376" i="48"/>
  <c r="T376" i="48"/>
  <c r="AR55" i="51" s="1"/>
  <c r="AS55" i="51" s="1"/>
  <c r="AT55" i="51" s="1"/>
  <c r="E376" i="48" s="1"/>
  <c r="U376" i="48"/>
  <c r="T377" i="48"/>
  <c r="AR56" i="51" s="1"/>
  <c r="AS56" i="51" s="1"/>
  <c r="AT56" i="51" s="1"/>
  <c r="L378" i="48"/>
  <c r="T378" i="48"/>
  <c r="AR57" i="51" s="1"/>
  <c r="AS57" i="51" s="1"/>
  <c r="AT57" i="51" s="1"/>
  <c r="E378" i="48" s="1"/>
  <c r="U378" i="48"/>
  <c r="T379" i="48"/>
  <c r="AR58" i="51" s="1"/>
  <c r="AS58" i="51" s="1"/>
  <c r="AT58" i="51" s="1"/>
  <c r="L381" i="48"/>
  <c r="T381" i="48"/>
  <c r="AR61" i="51" s="1"/>
  <c r="AS61" i="51" s="1"/>
  <c r="AT61" i="51" s="1"/>
  <c r="E381" i="48" s="1"/>
  <c r="U381" i="48"/>
  <c r="L382" i="48"/>
  <c r="T382" i="48"/>
  <c r="AR62" i="51" s="1"/>
  <c r="AS62" i="51" s="1"/>
  <c r="AT62" i="51" s="1"/>
  <c r="E382" i="48" s="1"/>
  <c r="U382" i="48"/>
  <c r="L383" i="48"/>
  <c r="T383" i="48"/>
  <c r="U383" i="48"/>
  <c r="L384" i="48"/>
  <c r="T384" i="48"/>
  <c r="AR64" i="51" s="1"/>
  <c r="AS64" i="51" s="1"/>
  <c r="AT64" i="51" s="1"/>
  <c r="E384" i="48" s="1"/>
  <c r="U384" i="48"/>
  <c r="L385" i="48"/>
  <c r="T385" i="48"/>
  <c r="Y385" i="48" s="1"/>
  <c r="V385" i="48" s="1"/>
  <c r="AW65" i="51" s="1"/>
  <c r="AX65" i="51" s="1"/>
  <c r="AY65" i="51" s="1"/>
  <c r="U385" i="48"/>
  <c r="L386" i="48"/>
  <c r="T386" i="48"/>
  <c r="Y386" i="48" s="1"/>
  <c r="V386" i="48" s="1"/>
  <c r="AW66" i="51" s="1"/>
  <c r="AX66" i="51" s="1"/>
  <c r="AY66" i="51" s="1"/>
  <c r="U386" i="48"/>
  <c r="E451" i="48"/>
  <c r="Y451" i="48" s="1"/>
  <c r="J451" i="48" s="1"/>
  <c r="S451" i="48" s="1"/>
  <c r="R396" i="48"/>
  <c r="R397" i="48"/>
  <c r="R398" i="48"/>
  <c r="R399" i="48"/>
  <c r="P403" i="48"/>
  <c r="P406" i="48"/>
  <c r="E454" i="48" s="1"/>
  <c r="Y454" i="48" s="1"/>
  <c r="J454" i="48" s="1"/>
  <c r="S454" i="48" s="1"/>
  <c r="AI410" i="48"/>
  <c r="S412" i="48"/>
  <c r="S416" i="48"/>
  <c r="P412" i="48" s="1"/>
  <c r="E457" i="48" s="1"/>
  <c r="Y457" i="48" s="1"/>
  <c r="J457" i="48" s="1"/>
  <c r="S457" i="48" s="1"/>
  <c r="S417" i="48"/>
  <c r="P417" i="48" s="1"/>
  <c r="E462" i="48" s="1"/>
  <c r="Y462" i="48" s="1"/>
  <c r="J462" i="48" s="1"/>
  <c r="S462" i="48" s="1"/>
  <c r="P426" i="48"/>
  <c r="S429" i="48"/>
  <c r="S430" i="48"/>
  <c r="S431" i="48"/>
  <c r="S432" i="48"/>
  <c r="S433" i="48"/>
  <c r="S434" i="48"/>
  <c r="S435" i="48"/>
  <c r="P438" i="48"/>
  <c r="W450" i="48" s="1"/>
  <c r="P442" i="48"/>
  <c r="E453" i="48"/>
  <c r="Y453" i="48" s="1"/>
  <c r="J453" i="48" s="1"/>
  <c r="S453" i="48" s="1"/>
  <c r="C488" i="48"/>
  <c r="O498" i="48" s="1"/>
  <c r="D1" i="50"/>
  <c r="M1" i="50"/>
  <c r="R2" i="50"/>
  <c r="P8" i="50"/>
  <c r="E34" i="50" s="1"/>
  <c r="W34" i="50" s="1"/>
  <c r="J34" i="50" s="1"/>
  <c r="S34" i="50" s="1"/>
  <c r="L13" i="50"/>
  <c r="U13" i="50"/>
  <c r="W13" i="50" s="1"/>
  <c r="V13" i="50" s="1"/>
  <c r="AM3" i="51" s="1"/>
  <c r="AN3" i="51" s="1"/>
  <c r="AO3" i="51" s="1"/>
  <c r="T14" i="50"/>
  <c r="AH4" i="51" s="1"/>
  <c r="AI4" i="51" s="1"/>
  <c r="AJ4" i="51" s="1"/>
  <c r="E14" i="50" s="1"/>
  <c r="L16" i="50"/>
  <c r="T16" i="50"/>
  <c r="AH6" i="51" s="1"/>
  <c r="AI6" i="51" s="1"/>
  <c r="AJ6" i="51" s="1"/>
  <c r="E16" i="50" s="1"/>
  <c r="U16" i="50"/>
  <c r="T17" i="50"/>
  <c r="AH7" i="51" s="1"/>
  <c r="AI7" i="51" s="1"/>
  <c r="AJ7" i="51" s="1"/>
  <c r="E17" i="50" s="1"/>
  <c r="L18" i="50"/>
  <c r="T18" i="50"/>
  <c r="U18" i="50"/>
  <c r="T19" i="50"/>
  <c r="AH9" i="51" s="1"/>
  <c r="AI9" i="51" s="1"/>
  <c r="AJ9" i="51" s="1"/>
  <c r="E19" i="50" s="1"/>
  <c r="E38" i="50"/>
  <c r="W38" i="50" s="1"/>
  <c r="T30" i="50"/>
  <c r="P30" i="50" s="1"/>
  <c r="E39" i="50" s="1"/>
  <c r="W39" i="50" s="1"/>
  <c r="J39" i="50" s="1"/>
  <c r="S39" i="50" s="1"/>
  <c r="T31" i="50"/>
  <c r="P31" i="50" s="1"/>
  <c r="E40" i="50" s="1"/>
  <c r="W40" i="50" s="1"/>
  <c r="J40" i="50" s="1"/>
  <c r="S40" i="50" s="1"/>
  <c r="P46" i="50"/>
  <c r="E73" i="50" s="1"/>
  <c r="W73" i="50" s="1"/>
  <c r="J73" i="50" s="1"/>
  <c r="S73" i="50" s="1"/>
  <c r="O49" i="50"/>
  <c r="Y57" i="50" s="1"/>
  <c r="O50" i="50"/>
  <c r="Y58" i="50" s="1"/>
  <c r="L54" i="50"/>
  <c r="T54" i="50"/>
  <c r="AH12" i="51" s="1"/>
  <c r="AI12" i="51" s="1"/>
  <c r="AJ12" i="51" s="1"/>
  <c r="E54" i="50" s="1"/>
  <c r="U54" i="50"/>
  <c r="T55" i="50"/>
  <c r="AH13" i="51" s="1"/>
  <c r="AI13" i="51" s="1"/>
  <c r="AJ13" i="51" s="1"/>
  <c r="E55" i="50" s="1"/>
  <c r="L56" i="50"/>
  <c r="T56" i="50"/>
  <c r="U56" i="50"/>
  <c r="T57" i="50"/>
  <c r="AH15" i="51" s="1"/>
  <c r="AI15" i="51" s="1"/>
  <c r="AJ15" i="51" s="1"/>
  <c r="E57" i="50" s="1"/>
  <c r="E77" i="50"/>
  <c r="W77" i="50" s="1"/>
  <c r="T68" i="50"/>
  <c r="P68" i="50" s="1"/>
  <c r="E78" i="50" s="1"/>
  <c r="W78" i="50" s="1"/>
  <c r="J78" i="50" s="1"/>
  <c r="S78" i="50" s="1"/>
  <c r="T69" i="50"/>
  <c r="P69" i="50" s="1"/>
  <c r="E79" i="50" s="1"/>
  <c r="W79" i="50" s="1"/>
  <c r="J79" i="50" s="1"/>
  <c r="S79" i="50" s="1"/>
  <c r="T70" i="50"/>
  <c r="P70" i="50" s="1"/>
  <c r="E80" i="50" s="1"/>
  <c r="W80" i="50" s="1"/>
  <c r="J80" i="50" s="1"/>
  <c r="S80" i="50" s="1"/>
  <c r="P86" i="50"/>
  <c r="E113" i="50" s="1"/>
  <c r="W113" i="50" s="1"/>
  <c r="J113" i="50" s="1"/>
  <c r="S113" i="50" s="1"/>
  <c r="O89" i="50"/>
  <c r="O90" i="50"/>
  <c r="Y98" i="50" s="1"/>
  <c r="L94" i="50"/>
  <c r="T94" i="50"/>
  <c r="AH18" i="51" s="1"/>
  <c r="AI18" i="51" s="1"/>
  <c r="AJ18" i="51" s="1"/>
  <c r="E94" i="50" s="1"/>
  <c r="U94" i="50"/>
  <c r="T95" i="50"/>
  <c r="AH19" i="51" s="1"/>
  <c r="AI19" i="51" s="1"/>
  <c r="AJ19" i="51" s="1"/>
  <c r="E95" i="50" s="1"/>
  <c r="L96" i="50"/>
  <c r="T96" i="50"/>
  <c r="AH20" i="51" s="1"/>
  <c r="AI20" i="51" s="1"/>
  <c r="AJ20" i="51" s="1"/>
  <c r="E96" i="50" s="1"/>
  <c r="U96" i="50"/>
  <c r="T97" i="50"/>
  <c r="AH21" i="51" s="1"/>
  <c r="AI21" i="51" s="1"/>
  <c r="AJ21" i="51" s="1"/>
  <c r="E97" i="50" s="1"/>
  <c r="G97" i="50" s="1"/>
  <c r="E117" i="50"/>
  <c r="T108" i="50"/>
  <c r="P108" i="50" s="1"/>
  <c r="E118" i="50" s="1"/>
  <c r="W118" i="50" s="1"/>
  <c r="J118" i="50" s="1"/>
  <c r="S118" i="50" s="1"/>
  <c r="T109" i="50"/>
  <c r="P109" i="50" s="1"/>
  <c r="E119" i="50" s="1"/>
  <c r="W119" i="50" s="1"/>
  <c r="J119" i="50" s="1"/>
  <c r="S119" i="50" s="1"/>
  <c r="T110" i="50"/>
  <c r="P110" i="50" s="1"/>
  <c r="E120" i="50" s="1"/>
  <c r="W120" i="50" s="1"/>
  <c r="J120" i="50" s="1"/>
  <c r="S120" i="50" s="1"/>
  <c r="P126" i="50"/>
  <c r="E153" i="50" s="1"/>
  <c r="W153" i="50" s="1"/>
  <c r="J153" i="50" s="1"/>
  <c r="S153" i="50" s="1"/>
  <c r="O129" i="50"/>
  <c r="O130" i="50"/>
  <c r="Y138" i="50" s="1"/>
  <c r="L134" i="50"/>
  <c r="T134" i="50"/>
  <c r="AH24" i="51" s="1"/>
  <c r="AI24" i="51" s="1"/>
  <c r="AJ24" i="51" s="1"/>
  <c r="E134" i="50" s="1"/>
  <c r="U134" i="50"/>
  <c r="T135" i="50"/>
  <c r="AH25" i="51" s="1"/>
  <c r="AI25" i="51" s="1"/>
  <c r="AJ25" i="51" s="1"/>
  <c r="E135" i="50" s="1"/>
  <c r="L136" i="50"/>
  <c r="T136" i="50"/>
  <c r="AH26" i="51" s="1"/>
  <c r="AI26" i="51" s="1"/>
  <c r="AJ26" i="51" s="1"/>
  <c r="E136" i="50" s="1"/>
  <c r="U136" i="50"/>
  <c r="T137" i="50"/>
  <c r="AH27" i="51" s="1"/>
  <c r="AI27" i="51" s="1"/>
  <c r="AJ27" i="51" s="1"/>
  <c r="E137" i="50" s="1"/>
  <c r="G137" i="50" s="1"/>
  <c r="E157" i="50"/>
  <c r="W157" i="50" s="1"/>
  <c r="T148" i="50"/>
  <c r="P148" i="50" s="1"/>
  <c r="E158" i="50" s="1"/>
  <c r="W158" i="50" s="1"/>
  <c r="J158" i="50" s="1"/>
  <c r="S158" i="50" s="1"/>
  <c r="T149" i="50"/>
  <c r="P149" i="50" s="1"/>
  <c r="E159" i="50" s="1"/>
  <c r="W159" i="50" s="1"/>
  <c r="J159" i="50" s="1"/>
  <c r="S159" i="50" s="1"/>
  <c r="T150" i="50"/>
  <c r="P150" i="50" s="1"/>
  <c r="E160" i="50" s="1"/>
  <c r="W160" i="50" s="1"/>
  <c r="J160" i="50" s="1"/>
  <c r="S160" i="50" s="1"/>
  <c r="P166" i="50"/>
  <c r="E193" i="50" s="1"/>
  <c r="W193" i="50" s="1"/>
  <c r="J193" i="50" s="1"/>
  <c r="S193" i="50" s="1"/>
  <c r="O169" i="50"/>
  <c r="O170" i="50"/>
  <c r="Y178" i="50" s="1"/>
  <c r="L174" i="50"/>
  <c r="T174" i="50"/>
  <c r="AH30" i="51" s="1"/>
  <c r="AI30" i="51" s="1"/>
  <c r="AJ30" i="51" s="1"/>
  <c r="E174" i="50" s="1"/>
  <c r="U174" i="50"/>
  <c r="T175" i="50"/>
  <c r="AH31" i="51" s="1"/>
  <c r="AI31" i="51" s="1"/>
  <c r="AJ31" i="51" s="1"/>
  <c r="E175" i="50" s="1"/>
  <c r="L176" i="50"/>
  <c r="T176" i="50"/>
  <c r="AH32" i="51" s="1"/>
  <c r="AI32" i="51" s="1"/>
  <c r="AJ32" i="51" s="1"/>
  <c r="E176" i="50" s="1"/>
  <c r="U176" i="50"/>
  <c r="T177" i="50"/>
  <c r="AH33" i="51" s="1"/>
  <c r="AI33" i="51" s="1"/>
  <c r="AJ33" i="51" s="1"/>
  <c r="E177" i="50" s="1"/>
  <c r="E197" i="50"/>
  <c r="W197" i="50" s="1"/>
  <c r="T188" i="50"/>
  <c r="P188" i="50" s="1"/>
  <c r="E198" i="50" s="1"/>
  <c r="W198" i="50" s="1"/>
  <c r="J198" i="50" s="1"/>
  <c r="S198" i="50" s="1"/>
  <c r="T189" i="50"/>
  <c r="P189" i="50" s="1"/>
  <c r="E199" i="50" s="1"/>
  <c r="W199" i="50" s="1"/>
  <c r="J199" i="50" s="1"/>
  <c r="S199" i="50" s="1"/>
  <c r="T190" i="50"/>
  <c r="P190" i="50" s="1"/>
  <c r="E200" i="50" s="1"/>
  <c r="W200" i="50" s="1"/>
  <c r="J200" i="50" s="1"/>
  <c r="S200" i="50" s="1"/>
  <c r="S208" i="50"/>
  <c r="S209" i="50"/>
  <c r="S210" i="50"/>
  <c r="S211" i="50"/>
  <c r="S212" i="50"/>
  <c r="P212" i="50" s="1"/>
  <c r="E346" i="50" s="1"/>
  <c r="Y346" i="50" s="1"/>
  <c r="J346" i="50" s="1"/>
  <c r="S346" i="50" s="1"/>
  <c r="S215" i="50"/>
  <c r="S216" i="50"/>
  <c r="S217" i="50"/>
  <c r="S218" i="50"/>
  <c r="S219" i="50"/>
  <c r="L222" i="50"/>
  <c r="T222" i="50"/>
  <c r="AH36" i="51" s="1"/>
  <c r="AI36" i="51" s="1"/>
  <c r="AJ36" i="51" s="1"/>
  <c r="E222" i="50" s="1"/>
  <c r="U222" i="50"/>
  <c r="T223" i="50"/>
  <c r="AH37" i="51" s="1"/>
  <c r="AI37" i="51" s="1"/>
  <c r="AJ37" i="51" s="1"/>
  <c r="Y224" i="50"/>
  <c r="Y222" i="50" s="1"/>
  <c r="Z224" i="50"/>
  <c r="Z222" i="50" s="1"/>
  <c r="L224" i="50"/>
  <c r="T224" i="50"/>
  <c r="U224" i="50"/>
  <c r="T225" i="50"/>
  <c r="AH39" i="51" s="1"/>
  <c r="AI39" i="51" s="1"/>
  <c r="AJ39" i="51" s="1"/>
  <c r="L228" i="50"/>
  <c r="T228" i="50"/>
  <c r="AH42" i="51" s="1"/>
  <c r="AI42" i="51" s="1"/>
  <c r="AJ42" i="51" s="1"/>
  <c r="E228" i="50" s="1"/>
  <c r="U228" i="50"/>
  <c r="T229" i="50"/>
  <c r="AH43" i="51" s="1"/>
  <c r="AI43" i="51" s="1"/>
  <c r="AJ43" i="51" s="1"/>
  <c r="Y230" i="50"/>
  <c r="Z230" i="50"/>
  <c r="Y229" i="50"/>
  <c r="Z229" i="50"/>
  <c r="L230" i="50"/>
  <c r="T230" i="50"/>
  <c r="U230" i="50"/>
  <c r="T231" i="50"/>
  <c r="AH45" i="51" s="1"/>
  <c r="AI45" i="51" s="1"/>
  <c r="AJ45" i="51" s="1"/>
  <c r="E353" i="50"/>
  <c r="Y353" i="50" s="1"/>
  <c r="E354" i="50"/>
  <c r="Y354" i="50" s="1"/>
  <c r="P241" i="50"/>
  <c r="E355" i="50" s="1"/>
  <c r="Y355" i="50" s="1"/>
  <c r="P242" i="50"/>
  <c r="E356" i="50" s="1"/>
  <c r="Y356" i="50" s="1"/>
  <c r="S243" i="50"/>
  <c r="P243" i="50" s="1"/>
  <c r="E357" i="50" s="1"/>
  <c r="Y357" i="50" s="1"/>
  <c r="P246" i="50"/>
  <c r="E358" i="50" s="1"/>
  <c r="Y358" i="50" s="1"/>
  <c r="J358" i="50" s="1"/>
  <c r="S358" i="50" s="1"/>
  <c r="S247" i="50"/>
  <c r="P247" i="50" s="1"/>
  <c r="E359" i="50" s="1"/>
  <c r="Y359" i="50" s="1"/>
  <c r="J359" i="50" s="1"/>
  <c r="S359" i="50" s="1"/>
  <c r="S249" i="50"/>
  <c r="P249" i="50" s="1"/>
  <c r="E360" i="50" s="1"/>
  <c r="Y360" i="50" s="1"/>
  <c r="J360" i="50" s="1"/>
  <c r="S360" i="50" s="1"/>
  <c r="E361" i="50"/>
  <c r="Y361" i="50" s="1"/>
  <c r="R252" i="50"/>
  <c r="P253" i="50"/>
  <c r="E362" i="50" s="1"/>
  <c r="Y362" i="50" s="1"/>
  <c r="S256" i="50"/>
  <c r="S257" i="50"/>
  <c r="S258" i="50"/>
  <c r="S259" i="50"/>
  <c r="S260" i="50"/>
  <c r="S261" i="50"/>
  <c r="S262" i="50"/>
  <c r="P266" i="50"/>
  <c r="W345" i="50" s="1"/>
  <c r="S280" i="50"/>
  <c r="M280" i="50" s="1"/>
  <c r="T280" i="50"/>
  <c r="U280" i="50"/>
  <c r="S281" i="50"/>
  <c r="M281" i="50" s="1"/>
  <c r="T281" i="50"/>
  <c r="U281" i="50"/>
  <c r="S282" i="50"/>
  <c r="M282" i="50" s="1"/>
  <c r="T282" i="50"/>
  <c r="U282" i="50"/>
  <c r="S283" i="50"/>
  <c r="M283" i="50" s="1"/>
  <c r="T283" i="50"/>
  <c r="U283" i="50"/>
  <c r="S284" i="50"/>
  <c r="M284" i="50" s="1"/>
  <c r="T284" i="50"/>
  <c r="U284" i="50"/>
  <c r="F286" i="50"/>
  <c r="S286" i="50"/>
  <c r="F287" i="50" s="1"/>
  <c r="T286" i="50"/>
  <c r="U286" i="50"/>
  <c r="S287" i="50"/>
  <c r="T287" i="50"/>
  <c r="U287" i="50"/>
  <c r="S288" i="50"/>
  <c r="T288" i="50"/>
  <c r="U288" i="50"/>
  <c r="S289" i="50"/>
  <c r="T289" i="50"/>
  <c r="U289" i="50"/>
  <c r="S290" i="50"/>
  <c r="T290" i="50"/>
  <c r="U290" i="50"/>
  <c r="F292" i="50"/>
  <c r="S292" i="50"/>
  <c r="F293" i="50" s="1"/>
  <c r="T292" i="50"/>
  <c r="U292" i="50"/>
  <c r="S293" i="50"/>
  <c r="T293" i="50"/>
  <c r="U293" i="50"/>
  <c r="S294" i="50"/>
  <c r="T294" i="50"/>
  <c r="U294" i="50"/>
  <c r="S295" i="50"/>
  <c r="T295" i="50"/>
  <c r="U295" i="50"/>
  <c r="S296" i="50"/>
  <c r="T296" i="50"/>
  <c r="U296" i="50"/>
  <c r="S297" i="50"/>
  <c r="T297" i="50"/>
  <c r="U297" i="50"/>
  <c r="F299" i="50"/>
  <c r="S299" i="50"/>
  <c r="T299" i="50"/>
  <c r="U299" i="50"/>
  <c r="S300" i="50"/>
  <c r="T300" i="50"/>
  <c r="U300" i="50"/>
  <c r="S301" i="50"/>
  <c r="T301" i="50"/>
  <c r="U301" i="50"/>
  <c r="F307" i="50"/>
  <c r="S307" i="50"/>
  <c r="F309" i="50" s="1"/>
  <c r="T307" i="50"/>
  <c r="U307" i="50"/>
  <c r="S308" i="50"/>
  <c r="T308" i="50"/>
  <c r="U308" i="50"/>
  <c r="S309" i="50"/>
  <c r="T309" i="50"/>
  <c r="U309" i="50"/>
  <c r="S310" i="50"/>
  <c r="T310" i="50"/>
  <c r="U310" i="50"/>
  <c r="S311" i="50"/>
  <c r="T311" i="50"/>
  <c r="U311" i="50"/>
  <c r="S312" i="50"/>
  <c r="T312" i="50"/>
  <c r="U312" i="50"/>
  <c r="S313" i="50"/>
  <c r="T313" i="50"/>
  <c r="U313" i="50"/>
  <c r="S314" i="50"/>
  <c r="T314" i="50"/>
  <c r="U314" i="50"/>
  <c r="F315" i="50"/>
  <c r="S315" i="50"/>
  <c r="T315" i="50"/>
  <c r="U315" i="50"/>
  <c r="S316" i="50"/>
  <c r="T316" i="50"/>
  <c r="U316" i="50"/>
  <c r="S318" i="50"/>
  <c r="T318" i="50"/>
  <c r="U318" i="50"/>
  <c r="B319" i="50"/>
  <c r="S320" i="50"/>
  <c r="F322" i="50" s="1"/>
  <c r="T320" i="50"/>
  <c r="U320" i="50"/>
  <c r="S321" i="50"/>
  <c r="T321" i="50"/>
  <c r="U321" i="50"/>
  <c r="S322" i="50"/>
  <c r="T322" i="50"/>
  <c r="U322" i="50"/>
  <c r="S323" i="50"/>
  <c r="T323" i="50"/>
  <c r="U323" i="50"/>
  <c r="S324" i="50"/>
  <c r="T324" i="50"/>
  <c r="U324" i="50"/>
  <c r="S325" i="50"/>
  <c r="T325" i="50"/>
  <c r="U325" i="50"/>
  <c r="S326" i="50"/>
  <c r="T326" i="50"/>
  <c r="U326" i="50"/>
  <c r="S328" i="50"/>
  <c r="M328" i="50" s="1"/>
  <c r="T328" i="50"/>
  <c r="U328" i="50"/>
  <c r="S329" i="50"/>
  <c r="M329" i="50" s="1"/>
  <c r="T329" i="50"/>
  <c r="U329" i="50"/>
  <c r="S330" i="50"/>
  <c r="F332" i="50" s="1"/>
  <c r="T330" i="50"/>
  <c r="U330" i="50"/>
  <c r="S331" i="50"/>
  <c r="T331" i="50"/>
  <c r="U331" i="50"/>
  <c r="S332" i="50"/>
  <c r="T332" i="50"/>
  <c r="U332" i="50"/>
  <c r="S333" i="50"/>
  <c r="T333" i="50"/>
  <c r="U333" i="50"/>
  <c r="S335" i="50"/>
  <c r="M335" i="50" s="1"/>
  <c r="T335" i="50"/>
  <c r="U335" i="50"/>
  <c r="P372" i="50"/>
  <c r="E448" i="50" s="1"/>
  <c r="Y448" i="50" s="1"/>
  <c r="J448" i="50" s="1"/>
  <c r="Z376" i="50"/>
  <c r="Z377" i="50"/>
  <c r="AA376" i="50"/>
  <c r="AA377" i="50"/>
  <c r="L376" i="50"/>
  <c r="T376" i="50"/>
  <c r="U376" i="50"/>
  <c r="T377" i="50"/>
  <c r="AH56" i="51" s="1"/>
  <c r="AI56" i="51" s="1"/>
  <c r="AJ56" i="51" s="1"/>
  <c r="L378" i="50"/>
  <c r="T378" i="50"/>
  <c r="AH57" i="51" s="1"/>
  <c r="AI57" i="51" s="1"/>
  <c r="AJ57" i="51" s="1"/>
  <c r="E378" i="50" s="1"/>
  <c r="U378" i="50"/>
  <c r="X378" i="50" s="1"/>
  <c r="T379" i="50"/>
  <c r="AH58" i="51" s="1"/>
  <c r="AI58" i="51" s="1"/>
  <c r="AJ58" i="51" s="1"/>
  <c r="L381" i="50"/>
  <c r="T381" i="50"/>
  <c r="U381" i="50"/>
  <c r="L382" i="50"/>
  <c r="T382" i="50"/>
  <c r="AH62" i="51" s="1"/>
  <c r="AI62" i="51" s="1"/>
  <c r="AJ62" i="51" s="1"/>
  <c r="E382" i="50" s="1"/>
  <c r="U382" i="50"/>
  <c r="L383" i="50"/>
  <c r="T383" i="50"/>
  <c r="AH63" i="51" s="1"/>
  <c r="AI63" i="51" s="1"/>
  <c r="AJ63" i="51" s="1"/>
  <c r="E383" i="50" s="1"/>
  <c r="U383" i="50"/>
  <c r="L384" i="50"/>
  <c r="T384" i="50"/>
  <c r="AH64" i="51" s="1"/>
  <c r="AI64" i="51" s="1"/>
  <c r="AJ64" i="51" s="1"/>
  <c r="E384" i="50" s="1"/>
  <c r="U384" i="50"/>
  <c r="L385" i="50"/>
  <c r="T385" i="50"/>
  <c r="AH65" i="51" s="1"/>
  <c r="AI65" i="51" s="1"/>
  <c r="AJ65" i="51" s="1"/>
  <c r="E385" i="50" s="1"/>
  <c r="U385" i="50"/>
  <c r="L386" i="50"/>
  <c r="T386" i="50"/>
  <c r="U386" i="50"/>
  <c r="E451" i="50"/>
  <c r="Y451" i="50" s="1"/>
  <c r="J451" i="50" s="1"/>
  <c r="S451" i="50" s="1"/>
  <c r="R396" i="50"/>
  <c r="R397" i="50"/>
  <c r="R398" i="50"/>
  <c r="R399" i="50"/>
  <c r="P403" i="50"/>
  <c r="E453" i="50" s="1"/>
  <c r="Y453" i="50" s="1"/>
  <c r="J453" i="50" s="1"/>
  <c r="S453" i="50" s="1"/>
  <c r="P406" i="50"/>
  <c r="E454" i="50" s="1"/>
  <c r="Y454" i="50" s="1"/>
  <c r="J454" i="50" s="1"/>
  <c r="S454" i="50" s="1"/>
  <c r="S412" i="50"/>
  <c r="S416" i="50"/>
  <c r="P410" i="50" s="1"/>
  <c r="E455" i="50" s="1"/>
  <c r="Y455" i="50" s="1"/>
  <c r="J455" i="50" s="1"/>
  <c r="S455" i="50" s="1"/>
  <c r="S417" i="50"/>
  <c r="P417" i="50" s="1"/>
  <c r="E462" i="50" s="1"/>
  <c r="Y462" i="50" s="1"/>
  <c r="J462" i="50" s="1"/>
  <c r="S462" i="50" s="1"/>
  <c r="E464" i="50"/>
  <c r="Y464" i="50" s="1"/>
  <c r="P426" i="50"/>
  <c r="S429" i="50"/>
  <c r="S430" i="50"/>
  <c r="S431" i="50"/>
  <c r="S432" i="50"/>
  <c r="S433" i="50"/>
  <c r="S434" i="50"/>
  <c r="S435" i="50"/>
  <c r="P438" i="50"/>
  <c r="W450" i="50" s="1"/>
  <c r="P442" i="50"/>
  <c r="W454" i="50" s="1"/>
  <c r="C488" i="50"/>
  <c r="D1" i="52"/>
  <c r="M1" i="52"/>
  <c r="R2" i="52"/>
  <c r="S2" i="52" s="1"/>
  <c r="J646" i="52" s="1"/>
  <c r="P6" i="52"/>
  <c r="U11" i="52"/>
  <c r="U13" i="52"/>
  <c r="U14" i="52"/>
  <c r="T18" i="52"/>
  <c r="BD3" i="55" s="1"/>
  <c r="BE3" i="55" s="1"/>
  <c r="BF3" i="55" s="1"/>
  <c r="E19" i="52" s="1"/>
  <c r="U18" i="52"/>
  <c r="K19" i="52"/>
  <c r="T19" i="52"/>
  <c r="U19" i="52"/>
  <c r="X19" i="52" s="1"/>
  <c r="K20" i="52"/>
  <c r="T20" i="52"/>
  <c r="BD5" i="55" s="1"/>
  <c r="BE5" i="55" s="1"/>
  <c r="BF5" i="55" s="1"/>
  <c r="E21" i="52" s="1"/>
  <c r="G21" i="52"/>
  <c r="K23" i="52"/>
  <c r="T23" i="52"/>
  <c r="U23" i="52"/>
  <c r="K24" i="52"/>
  <c r="T24" i="52"/>
  <c r="BD8" i="55" s="1"/>
  <c r="BE8" i="55" s="1"/>
  <c r="BF8" i="55" s="1"/>
  <c r="E24" i="52" s="1"/>
  <c r="U24" i="52"/>
  <c r="X24" i="52" s="1"/>
  <c r="G25" i="52"/>
  <c r="T25" i="52"/>
  <c r="BD9" i="55" s="1"/>
  <c r="BE9" i="55" s="1"/>
  <c r="BF9" i="55" s="1"/>
  <c r="E25" i="52" s="1"/>
  <c r="S33" i="52"/>
  <c r="AC33" i="52" s="1"/>
  <c r="X33" i="52"/>
  <c r="AQ33" i="52" s="1"/>
  <c r="S34" i="52"/>
  <c r="AO34" i="52" s="1"/>
  <c r="X34" i="52"/>
  <c r="AQ34" i="52" s="1"/>
  <c r="S35" i="52"/>
  <c r="X35" i="52"/>
  <c r="AQ35" i="52" s="1"/>
  <c r="S38" i="52"/>
  <c r="T39" i="52" s="1"/>
  <c r="AI39" i="52" s="1"/>
  <c r="X38" i="52"/>
  <c r="AQ38" i="52" s="1"/>
  <c r="S39" i="52"/>
  <c r="X39" i="52"/>
  <c r="AQ39" i="52" s="1"/>
  <c r="S40" i="52"/>
  <c r="X40" i="52"/>
  <c r="AQ40" i="52" s="1"/>
  <c r="T44" i="52"/>
  <c r="P44" i="52" s="1"/>
  <c r="E69" i="52" s="1"/>
  <c r="T45" i="52"/>
  <c r="P45" i="52" s="1"/>
  <c r="E70" i="52" s="1"/>
  <c r="T46" i="52"/>
  <c r="P46" i="52" s="1"/>
  <c r="E71" i="52" s="1"/>
  <c r="T47" i="52"/>
  <c r="P47" i="52" s="1"/>
  <c r="E72" i="52" s="1"/>
  <c r="H51" i="52"/>
  <c r="S51" i="52"/>
  <c r="H52" i="52"/>
  <c r="S52" i="52"/>
  <c r="O52" i="52" s="1"/>
  <c r="T54" i="52"/>
  <c r="P54" i="52" s="1"/>
  <c r="E74" i="52" s="1"/>
  <c r="T55" i="52"/>
  <c r="P55" i="52" s="1"/>
  <c r="E75" i="52" s="1"/>
  <c r="V75" i="52" s="1"/>
  <c r="P57" i="52"/>
  <c r="E76" i="52" s="1"/>
  <c r="P58" i="52"/>
  <c r="E77" i="52" s="1"/>
  <c r="P81" i="52"/>
  <c r="E138" i="52" s="1"/>
  <c r="R84" i="52"/>
  <c r="K91" i="52"/>
  <c r="T91" i="52"/>
  <c r="BD12" i="55" s="1"/>
  <c r="BE12" i="55" s="1"/>
  <c r="BF12" i="55" s="1"/>
  <c r="E91" i="52" s="1"/>
  <c r="U91" i="52"/>
  <c r="I92" i="52"/>
  <c r="K92" i="52"/>
  <c r="T92" i="52"/>
  <c r="W92" i="52" s="1"/>
  <c r="U92" i="52"/>
  <c r="X92" i="52" s="1"/>
  <c r="G93" i="52"/>
  <c r="T93" i="52"/>
  <c r="BD14" i="55" s="1"/>
  <c r="BE14" i="55" s="1"/>
  <c r="BF14" i="55" s="1"/>
  <c r="E93" i="52" s="1"/>
  <c r="K95" i="52"/>
  <c r="T95" i="52"/>
  <c r="BD16" i="55" s="1"/>
  <c r="BE16" i="55" s="1"/>
  <c r="BF16" i="55" s="1"/>
  <c r="E95" i="52" s="1"/>
  <c r="U95" i="52"/>
  <c r="I96" i="52"/>
  <c r="K96" i="52"/>
  <c r="T96" i="52"/>
  <c r="U96" i="52"/>
  <c r="X96" i="52" s="1"/>
  <c r="G97" i="52"/>
  <c r="T97" i="52"/>
  <c r="BD18" i="55" s="1"/>
  <c r="BE18" i="55" s="1"/>
  <c r="BF18" i="55" s="1"/>
  <c r="E97" i="52" s="1"/>
  <c r="K99" i="52"/>
  <c r="T99" i="52"/>
  <c r="U99" i="52"/>
  <c r="K100" i="52"/>
  <c r="T100" i="52"/>
  <c r="U100" i="52"/>
  <c r="X100" i="52" s="1"/>
  <c r="G101" i="52"/>
  <c r="T101" i="52"/>
  <c r="BD22" i="55" s="1"/>
  <c r="BE22" i="55" s="1"/>
  <c r="BF22" i="55" s="1"/>
  <c r="E101" i="52" s="1"/>
  <c r="T106" i="52"/>
  <c r="P106" i="52" s="1"/>
  <c r="E141" i="52" s="1"/>
  <c r="T107" i="52"/>
  <c r="P107" i="52" s="1"/>
  <c r="E142" i="52" s="1"/>
  <c r="T108" i="52"/>
  <c r="P108" i="52" s="1"/>
  <c r="E143" i="52" s="1"/>
  <c r="T109" i="52"/>
  <c r="P109" i="52" s="1"/>
  <c r="E144" i="52" s="1"/>
  <c r="S115" i="52"/>
  <c r="T115" i="52" s="1"/>
  <c r="AA115" i="52"/>
  <c r="BI115" i="52" s="1"/>
  <c r="S116" i="52"/>
  <c r="AA116" i="52"/>
  <c r="S117" i="52"/>
  <c r="AO117" i="52" s="1"/>
  <c r="AA117" i="52"/>
  <c r="BI117" i="52" s="1"/>
  <c r="S120" i="52"/>
  <c r="T121" i="52" s="1"/>
  <c r="AA120" i="52"/>
  <c r="BI120" i="52" s="1"/>
  <c r="S121" i="52"/>
  <c r="BG121" i="52" s="1"/>
  <c r="AA121" i="52"/>
  <c r="BI121" i="52" s="1"/>
  <c r="S122" i="52"/>
  <c r="AU122" i="52" s="1"/>
  <c r="AA122" i="52"/>
  <c r="BI122" i="52" s="1"/>
  <c r="H126" i="52"/>
  <c r="S126" i="52"/>
  <c r="H127" i="52"/>
  <c r="S127" i="52"/>
  <c r="H128" i="52"/>
  <c r="S128" i="52"/>
  <c r="O128" i="52" s="1"/>
  <c r="T130" i="52"/>
  <c r="P130" i="52" s="1"/>
  <c r="E148" i="52" s="1"/>
  <c r="Y148" i="52" s="1"/>
  <c r="I148" i="52" s="1"/>
  <c r="R148" i="52" s="1"/>
  <c r="T131" i="52"/>
  <c r="P131" i="52" s="1"/>
  <c r="E149" i="52" s="1"/>
  <c r="Y149" i="52" s="1"/>
  <c r="I149" i="52" s="1"/>
  <c r="R149" i="52" s="1"/>
  <c r="T132" i="52"/>
  <c r="P132" i="52" s="1"/>
  <c r="E150" i="52" s="1"/>
  <c r="P134" i="52"/>
  <c r="E151" i="52" s="1"/>
  <c r="P135" i="52"/>
  <c r="E152" i="52" s="1"/>
  <c r="P157" i="52"/>
  <c r="E215" i="52" s="1"/>
  <c r="Y215" i="52" s="1"/>
  <c r="I215" i="52" s="1"/>
  <c r="R215" i="52" s="1"/>
  <c r="R160" i="52"/>
  <c r="K168" i="52"/>
  <c r="T168" i="52"/>
  <c r="BD25" i="55" s="1"/>
  <c r="BE25" i="55" s="1"/>
  <c r="BF25" i="55" s="1"/>
  <c r="E168" i="52" s="1"/>
  <c r="U168" i="52"/>
  <c r="I169" i="52"/>
  <c r="K169" i="52"/>
  <c r="T169" i="52"/>
  <c r="BD26" i="55" s="1"/>
  <c r="BE26" i="55" s="1"/>
  <c r="BF26" i="55" s="1"/>
  <c r="E169" i="52" s="1"/>
  <c r="U169" i="52"/>
  <c r="X169" i="52" s="1"/>
  <c r="G170" i="52"/>
  <c r="T170" i="52"/>
  <c r="BD27" i="55" s="1"/>
  <c r="BE27" i="55" s="1"/>
  <c r="BF27" i="55" s="1"/>
  <c r="E170" i="52" s="1"/>
  <c r="K172" i="52"/>
  <c r="T172" i="52"/>
  <c r="BD29" i="55" s="1"/>
  <c r="BE29" i="55" s="1"/>
  <c r="BF29" i="55" s="1"/>
  <c r="E172" i="52" s="1"/>
  <c r="U172" i="52"/>
  <c r="I173" i="52"/>
  <c r="K173" i="52"/>
  <c r="T173" i="52"/>
  <c r="Y173" i="52" s="1"/>
  <c r="V173" i="52" s="1"/>
  <c r="BI30" i="55" s="1"/>
  <c r="BJ30" i="55" s="1"/>
  <c r="BK30" i="55" s="1"/>
  <c r="U173" i="52"/>
  <c r="X173" i="52" s="1"/>
  <c r="G174" i="52"/>
  <c r="T174" i="52"/>
  <c r="BD31" i="55" s="1"/>
  <c r="BE31" i="55" s="1"/>
  <c r="BF31" i="55" s="1"/>
  <c r="E174" i="52" s="1"/>
  <c r="K176" i="52"/>
  <c r="T176" i="52"/>
  <c r="BD33" i="55" s="1"/>
  <c r="BE33" i="55" s="1"/>
  <c r="BF33" i="55" s="1"/>
  <c r="E176" i="52" s="1"/>
  <c r="U176" i="52"/>
  <c r="K177" i="52"/>
  <c r="T177" i="52"/>
  <c r="U177" i="52"/>
  <c r="X177" i="52" s="1"/>
  <c r="G178" i="52"/>
  <c r="T178" i="52"/>
  <c r="BD35" i="55" s="1"/>
  <c r="BE35" i="55" s="1"/>
  <c r="BF35" i="55" s="1"/>
  <c r="E178" i="52" s="1"/>
  <c r="T182" i="52"/>
  <c r="P182" i="52" s="1"/>
  <c r="E218" i="52" s="1"/>
  <c r="T183" i="52"/>
  <c r="P183" i="52" s="1"/>
  <c r="E219" i="52" s="1"/>
  <c r="T184" i="52"/>
  <c r="P184" i="52" s="1"/>
  <c r="E220" i="52" s="1"/>
  <c r="T185" i="52"/>
  <c r="P185" i="52" s="1"/>
  <c r="E221" i="52" s="1"/>
  <c r="S191" i="52"/>
  <c r="AA191" i="52"/>
  <c r="BI191" i="52" s="1"/>
  <c r="S192" i="52"/>
  <c r="BD192" i="52" s="1"/>
  <c r="AA192" i="52"/>
  <c r="BI192" i="52" s="1"/>
  <c r="S193" i="52"/>
  <c r="AZ193" i="52" s="1"/>
  <c r="AA193" i="52"/>
  <c r="BI193" i="52" s="1"/>
  <c r="S196" i="52"/>
  <c r="AU196" i="52" s="1"/>
  <c r="AA196" i="52"/>
  <c r="BI196" i="52"/>
  <c r="AH196" i="52"/>
  <c r="S197" i="52"/>
  <c r="AZ197" i="52" s="1"/>
  <c r="AA197" i="52"/>
  <c r="BI197" i="52" s="1"/>
  <c r="S198" i="52"/>
  <c r="AA198" i="52"/>
  <c r="BI198" i="52" s="1"/>
  <c r="H202" i="52"/>
  <c r="S202" i="52"/>
  <c r="H203" i="52"/>
  <c r="S203" i="52"/>
  <c r="H204" i="52"/>
  <c r="S204" i="52"/>
  <c r="T206" i="52"/>
  <c r="P206" i="52" s="1"/>
  <c r="E225" i="52" s="1"/>
  <c r="Y225" i="52" s="1"/>
  <c r="I225" i="52" s="1"/>
  <c r="R225" i="52" s="1"/>
  <c r="T207" i="52"/>
  <c r="P207" i="52" s="1"/>
  <c r="E226" i="52" s="1"/>
  <c r="Y226" i="52" s="1"/>
  <c r="I226" i="52" s="1"/>
  <c r="R226" i="52" s="1"/>
  <c r="T208" i="52"/>
  <c r="P208" i="52" s="1"/>
  <c r="E227" i="52" s="1"/>
  <c r="Y227" i="52" s="1"/>
  <c r="I227" i="52" s="1"/>
  <c r="R227" i="52" s="1"/>
  <c r="P210" i="52"/>
  <c r="E228" i="52" s="1"/>
  <c r="P211" i="52"/>
  <c r="E229" i="52"/>
  <c r="P234" i="52"/>
  <c r="B236" i="52" s="1"/>
  <c r="R237" i="52"/>
  <c r="K244" i="52"/>
  <c r="T244" i="52"/>
  <c r="BD38" i="55" s="1"/>
  <c r="BE38" i="55" s="1"/>
  <c r="BF38" i="55" s="1"/>
  <c r="E244" i="52" s="1"/>
  <c r="U244" i="52"/>
  <c r="K245" i="52"/>
  <c r="T245" i="52"/>
  <c r="W245" i="52" s="1"/>
  <c r="U245" i="52"/>
  <c r="X245" i="52" s="1"/>
  <c r="G246" i="52"/>
  <c r="T246" i="52"/>
  <c r="BD40" i="55" s="1"/>
  <c r="BE40" i="55" s="1"/>
  <c r="BF40" i="55" s="1"/>
  <c r="E246" i="52" s="1"/>
  <c r="K248" i="52"/>
  <c r="T248" i="52"/>
  <c r="BD42" i="55" s="1"/>
  <c r="BE42" i="55" s="1"/>
  <c r="BF42" i="55" s="1"/>
  <c r="E248" i="52" s="1"/>
  <c r="U248" i="52"/>
  <c r="K249" i="52"/>
  <c r="T249" i="52"/>
  <c r="U249" i="52"/>
  <c r="X249" i="52" s="1"/>
  <c r="G250" i="52"/>
  <c r="T250" i="52"/>
  <c r="BD44" i="55" s="1"/>
  <c r="BE44" i="55" s="1"/>
  <c r="BF44" i="55" s="1"/>
  <c r="E250" i="52" s="1"/>
  <c r="K252" i="52"/>
  <c r="T252" i="52"/>
  <c r="BD46" i="55" s="1"/>
  <c r="BE46" i="55" s="1"/>
  <c r="BF46" i="55" s="1"/>
  <c r="E252" i="52" s="1"/>
  <c r="U252" i="52"/>
  <c r="K253" i="52"/>
  <c r="T253" i="52"/>
  <c r="U253" i="52"/>
  <c r="X253" i="52" s="1"/>
  <c r="G254" i="52"/>
  <c r="T254" i="52"/>
  <c r="BD48" i="55" s="1"/>
  <c r="BE48" i="55" s="1"/>
  <c r="BF48" i="55" s="1"/>
  <c r="E254" i="52" s="1"/>
  <c r="T258" i="52"/>
  <c r="P258" i="52" s="1"/>
  <c r="E293" i="52" s="1"/>
  <c r="Y293" i="52" s="1"/>
  <c r="V293" i="52"/>
  <c r="T259" i="52"/>
  <c r="P259" i="52" s="1"/>
  <c r="E294" i="52" s="1"/>
  <c r="T260" i="52"/>
  <c r="P260" i="52" s="1"/>
  <c r="E295" i="52" s="1"/>
  <c r="T261" i="52"/>
  <c r="P261" i="52" s="1"/>
  <c r="E296" i="52" s="1"/>
  <c r="S267" i="52"/>
  <c r="AH267" i="52" s="1"/>
  <c r="AA267" i="52"/>
  <c r="BI267" i="52" s="1"/>
  <c r="S268" i="52"/>
  <c r="AO268" i="52" s="1"/>
  <c r="AA268" i="52"/>
  <c r="BI268" i="52" s="1"/>
  <c r="S269" i="52"/>
  <c r="BG269" i="52" s="1"/>
  <c r="AA269" i="52"/>
  <c r="S272" i="52"/>
  <c r="T273" i="52" s="1"/>
  <c r="AA272" i="52"/>
  <c r="BI272" i="52" s="1"/>
  <c r="S273" i="52"/>
  <c r="AZ273" i="52" s="1"/>
  <c r="AA273" i="52"/>
  <c r="BI273" i="52" s="1"/>
  <c r="S274" i="52"/>
  <c r="BD274" i="52" s="1"/>
  <c r="AA274" i="52"/>
  <c r="BI274" i="52" s="1"/>
  <c r="H278" i="52"/>
  <c r="S278" i="52"/>
  <c r="H279" i="52"/>
  <c r="S279" i="52"/>
  <c r="H280" i="52"/>
  <c r="S280" i="52"/>
  <c r="T282" i="52"/>
  <c r="P282" i="52" s="1"/>
  <c r="E300" i="52" s="1"/>
  <c r="Y300" i="52" s="1"/>
  <c r="I300" i="52" s="1"/>
  <c r="R300" i="52" s="1"/>
  <c r="T283" i="52"/>
  <c r="P283" i="52" s="1"/>
  <c r="E301" i="52" s="1"/>
  <c r="T284" i="52"/>
  <c r="P284" i="52"/>
  <c r="E302" i="52" s="1"/>
  <c r="Y302" i="52" s="1"/>
  <c r="I302" i="52" s="1"/>
  <c r="R302" i="52" s="1"/>
  <c r="P286" i="52"/>
  <c r="E303" i="52" s="1"/>
  <c r="P287" i="52"/>
  <c r="E304" i="52" s="1"/>
  <c r="P309" i="52"/>
  <c r="R312" i="52"/>
  <c r="K319" i="52"/>
  <c r="T319" i="52"/>
  <c r="BD51" i="55" s="1"/>
  <c r="BE51" i="55" s="1"/>
  <c r="BF51" i="55" s="1"/>
  <c r="E319" i="52" s="1"/>
  <c r="U319" i="52"/>
  <c r="I320" i="52"/>
  <c r="K320" i="52"/>
  <c r="T320" i="52"/>
  <c r="Y320" i="52" s="1"/>
  <c r="V320" i="52" s="1"/>
  <c r="BI52" i="55" s="1"/>
  <c r="BJ52" i="55" s="1"/>
  <c r="BK52" i="55" s="1"/>
  <c r="U320" i="52"/>
  <c r="X320" i="52" s="1"/>
  <c r="G321" i="52"/>
  <c r="T321" i="52"/>
  <c r="BD53" i="55" s="1"/>
  <c r="BE53" i="55" s="1"/>
  <c r="BF53" i="55" s="1"/>
  <c r="E321" i="52" s="1"/>
  <c r="K323" i="52"/>
  <c r="T323" i="52"/>
  <c r="Y323" i="52" s="1"/>
  <c r="V323" i="52" s="1"/>
  <c r="BI55" i="55" s="1"/>
  <c r="BJ55" i="55" s="1"/>
  <c r="BK55" i="55" s="1"/>
  <c r="U323" i="52"/>
  <c r="I324" i="52"/>
  <c r="K324" i="52"/>
  <c r="T324" i="52"/>
  <c r="Y324" i="52" s="1"/>
  <c r="V324" i="52" s="1"/>
  <c r="BI56" i="55" s="1"/>
  <c r="BJ56" i="55" s="1"/>
  <c r="BK56" i="55" s="1"/>
  <c r="U324" i="52"/>
  <c r="X324" i="52" s="1"/>
  <c r="G325" i="52"/>
  <c r="T325" i="52"/>
  <c r="BD57" i="55" s="1"/>
  <c r="BE57" i="55" s="1"/>
  <c r="BF57" i="55" s="1"/>
  <c r="E325" i="52" s="1"/>
  <c r="I327" i="52"/>
  <c r="K327" i="52"/>
  <c r="T327" i="52"/>
  <c r="U327" i="52"/>
  <c r="I328" i="52"/>
  <c r="K328" i="52"/>
  <c r="T328" i="52"/>
  <c r="W328" i="52" s="1"/>
  <c r="U328" i="52"/>
  <c r="X328" i="52" s="1"/>
  <c r="G329" i="52"/>
  <c r="T329" i="52"/>
  <c r="BD61" i="55" s="1"/>
  <c r="BE61" i="55" s="1"/>
  <c r="BF61" i="55" s="1"/>
  <c r="E329" i="52" s="1"/>
  <c r="T333" i="52"/>
  <c r="P333" i="52" s="1"/>
  <c r="E368" i="52" s="1"/>
  <c r="T334" i="52"/>
  <c r="P334" i="52" s="1"/>
  <c r="E369" i="52" s="1"/>
  <c r="T335" i="52"/>
  <c r="P335" i="52" s="1"/>
  <c r="E370" i="52" s="1"/>
  <c r="Y370" i="52" s="1"/>
  <c r="T336" i="52"/>
  <c r="P336" i="52" s="1"/>
  <c r="E371" i="52" s="1"/>
  <c r="S342" i="52"/>
  <c r="AA342" i="52"/>
  <c r="BI342" i="52" s="1"/>
  <c r="S343" i="52"/>
  <c r="AA343" i="52"/>
  <c r="BI343" i="52"/>
  <c r="S344" i="52"/>
  <c r="AO344" i="52" s="1"/>
  <c r="AA344" i="52"/>
  <c r="BI344" i="52"/>
  <c r="S347" i="52"/>
  <c r="AA347" i="52"/>
  <c r="BI347" i="52"/>
  <c r="S348" i="52"/>
  <c r="AH348" i="52" s="1"/>
  <c r="AA348" i="52"/>
  <c r="BI348" i="52" s="1"/>
  <c r="S349" i="52"/>
  <c r="AA349" i="52"/>
  <c r="BI349" i="52" s="1"/>
  <c r="H353" i="52"/>
  <c r="S353" i="52"/>
  <c r="H354" i="52"/>
  <c r="S354" i="52"/>
  <c r="H355" i="52"/>
  <c r="S355" i="52"/>
  <c r="T357" i="52"/>
  <c r="P357" i="52" s="1"/>
  <c r="E375" i="52" s="1"/>
  <c r="Y375" i="52" s="1"/>
  <c r="I375" i="52" s="1"/>
  <c r="R375" i="52" s="1"/>
  <c r="T358" i="52"/>
  <c r="P358" i="52" s="1"/>
  <c r="E376" i="52" s="1"/>
  <c r="Y376" i="52" s="1"/>
  <c r="I376" i="52" s="1"/>
  <c r="R376" i="52" s="1"/>
  <c r="T359" i="52"/>
  <c r="P359" i="52" s="1"/>
  <c r="E377" i="52" s="1"/>
  <c r="P361" i="52"/>
  <c r="E378" i="52" s="1"/>
  <c r="P362" i="52"/>
  <c r="E379" i="52" s="1"/>
  <c r="P385" i="52"/>
  <c r="S386" i="52"/>
  <c r="P386" i="52" s="1"/>
  <c r="E533" i="52" s="1"/>
  <c r="V533" i="52" s="1"/>
  <c r="I533" i="52" s="1"/>
  <c r="R533" i="52" s="1"/>
  <c r="S387" i="52"/>
  <c r="S388" i="52"/>
  <c r="S389" i="52"/>
  <c r="S390" i="52"/>
  <c r="K394" i="52"/>
  <c r="T394" i="52"/>
  <c r="BD64" i="55" s="1"/>
  <c r="BE64" i="55" s="1"/>
  <c r="BF64" i="55" s="1"/>
  <c r="E394" i="52" s="1"/>
  <c r="I394" i="52" s="1"/>
  <c r="U394" i="52"/>
  <c r="I395" i="52"/>
  <c r="K395" i="52"/>
  <c r="T395" i="52"/>
  <c r="U395" i="52"/>
  <c r="T396" i="52"/>
  <c r="BD66" i="55" s="1"/>
  <c r="BE66" i="55" s="1"/>
  <c r="BF66" i="55" s="1"/>
  <c r="V397" i="52"/>
  <c r="W397" i="52"/>
  <c r="X397" i="52"/>
  <c r="Y397" i="52"/>
  <c r="T397" i="52"/>
  <c r="BD67" i="55" s="1"/>
  <c r="BE67" i="55" s="1"/>
  <c r="BF67" i="55" s="1"/>
  <c r="K400" i="52"/>
  <c r="T400" i="52"/>
  <c r="BD70" i="55" s="1"/>
  <c r="BE70" i="55" s="1"/>
  <c r="BF70" i="55" s="1"/>
  <c r="E400" i="52" s="1"/>
  <c r="U400" i="52"/>
  <c r="T401" i="52"/>
  <c r="BD71" i="55" s="1"/>
  <c r="BE71" i="55" s="1"/>
  <c r="BF71" i="55" s="1"/>
  <c r="I402" i="52"/>
  <c r="K402" i="52"/>
  <c r="T402" i="52"/>
  <c r="U402" i="52"/>
  <c r="T403" i="52"/>
  <c r="BD73" i="55" s="1"/>
  <c r="BE73" i="55" s="1"/>
  <c r="BF73" i="55" s="1"/>
  <c r="I404" i="52"/>
  <c r="K404" i="52"/>
  <c r="T404" i="52"/>
  <c r="BD74" i="55" s="1"/>
  <c r="BE74" i="55" s="1"/>
  <c r="BF74" i="55" s="1"/>
  <c r="E404" i="52" s="1"/>
  <c r="U404" i="52"/>
  <c r="T405" i="52"/>
  <c r="BD75" i="55" s="1"/>
  <c r="BE75" i="55" s="1"/>
  <c r="BF75" i="55" s="1"/>
  <c r="K406" i="52"/>
  <c r="T406" i="52"/>
  <c r="U406" i="52"/>
  <c r="T407" i="52"/>
  <c r="BD77" i="55" s="1"/>
  <c r="BE77" i="55" s="1"/>
  <c r="BF77" i="55" s="1"/>
  <c r="V408" i="52"/>
  <c r="W408" i="52"/>
  <c r="X408" i="52"/>
  <c r="Y408" i="52"/>
  <c r="Z408" i="52"/>
  <c r="AA408" i="52"/>
  <c r="AB408" i="52"/>
  <c r="AC408" i="52"/>
  <c r="T412" i="52"/>
  <c r="T413" i="52"/>
  <c r="U413" i="52" s="1"/>
  <c r="T415" i="52"/>
  <c r="T416" i="52"/>
  <c r="H419" i="52"/>
  <c r="S419" i="52"/>
  <c r="H420" i="52"/>
  <c r="S420" i="52"/>
  <c r="T422" i="52"/>
  <c r="P422" i="52"/>
  <c r="E544" i="52" s="1"/>
  <c r="V544" i="52" s="1"/>
  <c r="I544" i="52" s="1"/>
  <c r="R544" i="52" s="1"/>
  <c r="T423" i="52"/>
  <c r="P423" i="52" s="1"/>
  <c r="E545" i="52" s="1"/>
  <c r="V545" i="52" s="1"/>
  <c r="I545" i="52" s="1"/>
  <c r="R545" i="52" s="1"/>
  <c r="E546" i="52"/>
  <c r="V546" i="52" s="1"/>
  <c r="I546" i="52" s="1"/>
  <c r="R546" i="52" s="1"/>
  <c r="P436" i="52"/>
  <c r="O438" i="52"/>
  <c r="O439" i="52"/>
  <c r="P440" i="52" s="1"/>
  <c r="E557" i="52" s="1"/>
  <c r="V557" i="52" s="1"/>
  <c r="I557" i="52" s="1"/>
  <c r="R557" i="52" s="1"/>
  <c r="O442" i="52"/>
  <c r="O443" i="52"/>
  <c r="S450" i="52"/>
  <c r="L450" i="52" s="1"/>
  <c r="P450" i="52" s="1"/>
  <c r="AE450" i="52" s="1"/>
  <c r="AF450" i="52" s="1"/>
  <c r="T450" i="52"/>
  <c r="U450" i="52"/>
  <c r="S451" i="52"/>
  <c r="L451" i="52" s="1"/>
  <c r="T451" i="52"/>
  <c r="U451" i="52"/>
  <c r="S452" i="52"/>
  <c r="L452" i="52" s="1"/>
  <c r="T452" i="52"/>
  <c r="U452" i="52"/>
  <c r="S453" i="52"/>
  <c r="L453" i="52" s="1"/>
  <c r="T453" i="52"/>
  <c r="U453" i="52"/>
  <c r="S454" i="52"/>
  <c r="L454" i="52" s="1"/>
  <c r="P454" i="52" s="1"/>
  <c r="AE454" i="52" s="1"/>
  <c r="AF454" i="52" s="1"/>
  <c r="T454" i="52"/>
  <c r="U454" i="52"/>
  <c r="S458" i="52"/>
  <c r="F460" i="52" s="1"/>
  <c r="T458" i="52"/>
  <c r="U458" i="52"/>
  <c r="S459" i="52"/>
  <c r="T459" i="52"/>
  <c r="U459" i="52"/>
  <c r="S460" i="52"/>
  <c r="T460" i="52"/>
  <c r="U460" i="52"/>
  <c r="S461" i="52"/>
  <c r="T461" i="52"/>
  <c r="U461" i="52"/>
  <c r="F464" i="52"/>
  <c r="S464" i="52"/>
  <c r="F467" i="52" s="1"/>
  <c r="T464" i="52"/>
  <c r="U464" i="52"/>
  <c r="S465" i="52"/>
  <c r="T465" i="52"/>
  <c r="U465" i="52"/>
  <c r="S466" i="52"/>
  <c r="T466" i="52"/>
  <c r="U466" i="52"/>
  <c r="S467" i="52"/>
  <c r="T467" i="52"/>
  <c r="U467" i="52"/>
  <c r="S468" i="52"/>
  <c r="T468" i="52"/>
  <c r="U468" i="52"/>
  <c r="F471" i="52"/>
  <c r="S471" i="52"/>
  <c r="F479" i="52" s="1"/>
  <c r="T471" i="52"/>
  <c r="U471" i="52"/>
  <c r="S472" i="52"/>
  <c r="T472" i="52"/>
  <c r="U472" i="52"/>
  <c r="S473" i="52"/>
  <c r="T473" i="52"/>
  <c r="U473" i="52"/>
  <c r="S474" i="52"/>
  <c r="T474" i="52"/>
  <c r="U474" i="52"/>
  <c r="S475" i="52"/>
  <c r="T475" i="52"/>
  <c r="U475" i="52"/>
  <c r="S476" i="52"/>
  <c r="T476" i="52"/>
  <c r="U476" i="52"/>
  <c r="S477" i="52"/>
  <c r="T477" i="52"/>
  <c r="U477" i="52"/>
  <c r="S478" i="52"/>
  <c r="T478" i="52"/>
  <c r="U478" i="52"/>
  <c r="S479" i="52"/>
  <c r="T479" i="52"/>
  <c r="U479" i="52"/>
  <c r="S480" i="52"/>
  <c r="T480" i="52"/>
  <c r="U480" i="52"/>
  <c r="F483" i="52"/>
  <c r="S483" i="52"/>
  <c r="L483" i="52" s="1"/>
  <c r="T483" i="52"/>
  <c r="U483" i="52"/>
  <c r="S484" i="52"/>
  <c r="T484" i="52"/>
  <c r="U484" i="52"/>
  <c r="S485" i="52"/>
  <c r="T485" i="52"/>
  <c r="U485" i="52"/>
  <c r="S486" i="52"/>
  <c r="T486" i="52"/>
  <c r="U486" i="52"/>
  <c r="S487" i="52"/>
  <c r="T487" i="52"/>
  <c r="U487" i="52"/>
  <c r="S488" i="52"/>
  <c r="T488" i="52"/>
  <c r="U488" i="52"/>
  <c r="S489" i="52"/>
  <c r="T489" i="52"/>
  <c r="U489" i="52"/>
  <c r="S490" i="52"/>
  <c r="T490" i="52"/>
  <c r="U490" i="52"/>
  <c r="F491" i="52"/>
  <c r="S491" i="52"/>
  <c r="T491" i="52"/>
  <c r="U491" i="52"/>
  <c r="S492" i="52"/>
  <c r="T492" i="52"/>
  <c r="U492" i="52"/>
  <c r="S493" i="52"/>
  <c r="T493" i="52"/>
  <c r="U493" i="52"/>
  <c r="S494" i="52"/>
  <c r="T494" i="52"/>
  <c r="U494" i="52"/>
  <c r="S495" i="52"/>
  <c r="T495" i="52"/>
  <c r="U495" i="52"/>
  <c r="F499" i="52"/>
  <c r="S499" i="52"/>
  <c r="F506" i="52" s="1"/>
  <c r="T499" i="52"/>
  <c r="U499" i="52"/>
  <c r="S500" i="52"/>
  <c r="T500" i="52"/>
  <c r="U500" i="52"/>
  <c r="S501" i="52"/>
  <c r="T501" i="52"/>
  <c r="U501" i="52"/>
  <c r="S502" i="52"/>
  <c r="T502" i="52"/>
  <c r="U502" i="52"/>
  <c r="S503" i="52"/>
  <c r="T503" i="52"/>
  <c r="U503" i="52"/>
  <c r="S504" i="52"/>
  <c r="T504" i="52"/>
  <c r="U504" i="52"/>
  <c r="S505" i="52"/>
  <c r="T505" i="52"/>
  <c r="U505" i="52"/>
  <c r="S506" i="52"/>
  <c r="T506" i="52"/>
  <c r="U506" i="52"/>
  <c r="S507" i="52"/>
  <c r="T507" i="52"/>
  <c r="U507" i="52"/>
  <c r="S508" i="52"/>
  <c r="T508" i="52"/>
  <c r="U508" i="52"/>
  <c r="S509" i="52"/>
  <c r="T509" i="52"/>
  <c r="U509" i="52"/>
  <c r="P518" i="52"/>
  <c r="E532" i="52"/>
  <c r="V532" i="52" s="1"/>
  <c r="I532" i="52" s="1"/>
  <c r="R532" i="52" s="1"/>
  <c r="E555" i="52"/>
  <c r="V555" i="52" s="1"/>
  <c r="I555" i="52" s="1"/>
  <c r="R555" i="52" s="1"/>
  <c r="E556" i="52"/>
  <c r="V556" i="52" s="1"/>
  <c r="I556" i="52" s="1"/>
  <c r="R556" i="52" s="1"/>
  <c r="P566" i="52"/>
  <c r="E603" i="52" s="1"/>
  <c r="V603" i="52" s="1"/>
  <c r="I603" i="52" s="1"/>
  <c r="R603" i="52" s="1"/>
  <c r="K570" i="52"/>
  <c r="T570" i="52"/>
  <c r="BD80" i="55" s="1"/>
  <c r="BE80" i="55" s="1"/>
  <c r="BF80" i="55" s="1"/>
  <c r="E570" i="52" s="1"/>
  <c r="U570" i="52"/>
  <c r="T571" i="52"/>
  <c r="BD81" i="55" s="1"/>
  <c r="BE81" i="55" s="1"/>
  <c r="BF81" i="55" s="1"/>
  <c r="I572" i="52"/>
  <c r="K572" i="52"/>
  <c r="T572" i="52"/>
  <c r="U572" i="52"/>
  <c r="X572" i="52" s="1"/>
  <c r="T573" i="52"/>
  <c r="BD83" i="55" s="1"/>
  <c r="BE83" i="55" s="1"/>
  <c r="BF83" i="55" s="1"/>
  <c r="I574" i="52"/>
  <c r="K574" i="52"/>
  <c r="T574" i="52"/>
  <c r="Y574" i="52" s="1"/>
  <c r="V574" i="52" s="1"/>
  <c r="BI84" i="55" s="1"/>
  <c r="BJ84" i="55" s="1"/>
  <c r="BK84" i="55" s="1"/>
  <c r="U574" i="52"/>
  <c r="T575" i="52"/>
  <c r="BD85" i="55" s="1"/>
  <c r="BE85" i="55" s="1"/>
  <c r="BF85" i="55" s="1"/>
  <c r="I576" i="52"/>
  <c r="K576" i="52"/>
  <c r="T576" i="52"/>
  <c r="BD86" i="55" s="1"/>
  <c r="BE86" i="55" s="1"/>
  <c r="BF86" i="55" s="1"/>
  <c r="E576" i="52" s="1"/>
  <c r="U576" i="52"/>
  <c r="T577" i="52"/>
  <c r="BD87" i="55" s="1"/>
  <c r="BE87" i="55" s="1"/>
  <c r="BF87" i="55" s="1"/>
  <c r="V578" i="52"/>
  <c r="W578" i="52"/>
  <c r="X578" i="52"/>
  <c r="Y578" i="52"/>
  <c r="Z578" i="52"/>
  <c r="AA578" i="52"/>
  <c r="AB578" i="52"/>
  <c r="AC578" i="52"/>
  <c r="E605" i="52"/>
  <c r="V605" i="52" s="1"/>
  <c r="I605" i="52" s="1"/>
  <c r="R605" i="52" s="1"/>
  <c r="E606" i="52"/>
  <c r="V606" i="52" s="1"/>
  <c r="I606" i="52" s="1"/>
  <c r="R606" i="52" s="1"/>
  <c r="T585" i="52"/>
  <c r="P585" i="52" s="1"/>
  <c r="E607" i="52" s="1"/>
  <c r="V607" i="52" s="1"/>
  <c r="I607" i="52" s="1"/>
  <c r="R607" i="52" s="1"/>
  <c r="P587" i="52"/>
  <c r="E608" i="52" s="1"/>
  <c r="V608" i="52" s="1"/>
  <c r="I608" i="52" s="1"/>
  <c r="R608" i="52" s="1"/>
  <c r="P588" i="52"/>
  <c r="E609" i="52" s="1"/>
  <c r="V609" i="52" s="1"/>
  <c r="I609" i="52" s="1"/>
  <c r="R609" i="52" s="1"/>
  <c r="P589" i="52"/>
  <c r="E610" i="52" s="1"/>
  <c r="V610" i="52" s="1"/>
  <c r="I610" i="52" s="1"/>
  <c r="R610" i="52" s="1"/>
  <c r="P591" i="52"/>
  <c r="E611" i="52" s="1"/>
  <c r="V611" i="52" s="1"/>
  <c r="P592" i="52"/>
  <c r="E612" i="52" s="1"/>
  <c r="V612" i="52" s="1"/>
  <c r="P596" i="52"/>
  <c r="P600" i="52"/>
  <c r="E615" i="52" s="1"/>
  <c r="V615" i="52" s="1"/>
  <c r="C634" i="52"/>
  <c r="F634" i="52" s="1"/>
  <c r="D1" i="54"/>
  <c r="M1" i="54"/>
  <c r="R2" i="54"/>
  <c r="S1" i="54" s="1"/>
  <c r="C646" i="54" s="1"/>
  <c r="P6" i="54"/>
  <c r="E61" i="54" s="1"/>
  <c r="U11" i="54"/>
  <c r="U12" i="54" s="1"/>
  <c r="U13" i="54"/>
  <c r="U14" i="54"/>
  <c r="T18" i="54"/>
  <c r="AT3" i="55" s="1"/>
  <c r="AU3" i="55" s="1"/>
  <c r="AV3" i="55" s="1"/>
  <c r="E19" i="54" s="1"/>
  <c r="K19" i="54"/>
  <c r="T19" i="54"/>
  <c r="W19" i="54" s="1"/>
  <c r="U19" i="54"/>
  <c r="X19" i="54" s="1"/>
  <c r="K20" i="54"/>
  <c r="T20" i="54"/>
  <c r="AT5" i="55" s="1"/>
  <c r="AU5" i="55" s="1"/>
  <c r="AV5" i="55" s="1"/>
  <c r="E21" i="54" s="1"/>
  <c r="G21" i="54"/>
  <c r="K23" i="54"/>
  <c r="T23" i="54"/>
  <c r="U23" i="54"/>
  <c r="K24" i="54"/>
  <c r="T24" i="54"/>
  <c r="W24" i="54" s="1"/>
  <c r="U24" i="54"/>
  <c r="X24" i="54" s="1"/>
  <c r="G25" i="54"/>
  <c r="T25" i="54"/>
  <c r="AT9" i="55" s="1"/>
  <c r="AU9" i="55" s="1"/>
  <c r="AV9" i="55" s="1"/>
  <c r="E25" i="54" s="1"/>
  <c r="S33" i="54"/>
  <c r="AO33" i="54" s="1"/>
  <c r="X33" i="54"/>
  <c r="AQ33" i="54" s="1"/>
  <c r="X34" i="54"/>
  <c r="AL35" i="54"/>
  <c r="X35" i="54"/>
  <c r="X38" i="54"/>
  <c r="X39" i="54"/>
  <c r="X40" i="54"/>
  <c r="T44" i="54"/>
  <c r="P44" i="54" s="1"/>
  <c r="E69" i="54" s="1"/>
  <c r="T45" i="54"/>
  <c r="P45" i="54" s="1"/>
  <c r="E70" i="54" s="1"/>
  <c r="T46" i="54"/>
  <c r="P46" i="54" s="1"/>
  <c r="E71" i="54" s="1"/>
  <c r="T47" i="54"/>
  <c r="P47" i="54" s="1"/>
  <c r="E72" i="54" s="1"/>
  <c r="H51" i="54"/>
  <c r="S51" i="54"/>
  <c r="H52" i="54"/>
  <c r="S52" i="54"/>
  <c r="O52" i="54" s="1"/>
  <c r="T54" i="54"/>
  <c r="P54" i="54" s="1"/>
  <c r="E74" i="54" s="1"/>
  <c r="Y74" i="54" s="1"/>
  <c r="I74" i="54" s="1"/>
  <c r="R74" i="54" s="1"/>
  <c r="T55" i="54"/>
  <c r="P55" i="54" s="1"/>
  <c r="E75" i="54" s="1"/>
  <c r="Y75" i="54" s="1"/>
  <c r="I75" i="54" s="1"/>
  <c r="R75" i="54" s="1"/>
  <c r="P57" i="54"/>
  <c r="E76" i="54" s="1"/>
  <c r="P58" i="54"/>
  <c r="E77" i="54" s="1"/>
  <c r="P81" i="54"/>
  <c r="E138" i="54" s="1"/>
  <c r="Y138" i="54" s="1"/>
  <c r="I138" i="54" s="1"/>
  <c r="R138" i="54" s="1"/>
  <c r="R84" i="54"/>
  <c r="K91" i="54"/>
  <c r="T91" i="54"/>
  <c r="AT12" i="55" s="1"/>
  <c r="AU12" i="55" s="1"/>
  <c r="AV12" i="55" s="1"/>
  <c r="E91" i="54" s="1"/>
  <c r="U91" i="54"/>
  <c r="K92" i="54"/>
  <c r="T92" i="54"/>
  <c r="AT13" i="55" s="1"/>
  <c r="AU13" i="55" s="1"/>
  <c r="AV13" i="55" s="1"/>
  <c r="E92" i="54" s="1"/>
  <c r="U92" i="54"/>
  <c r="X92" i="54" s="1"/>
  <c r="G93" i="54"/>
  <c r="T93" i="54"/>
  <c r="AT14" i="55" s="1"/>
  <c r="AU14" i="55" s="1"/>
  <c r="AV14" i="55" s="1"/>
  <c r="E93" i="54" s="1"/>
  <c r="K95" i="54"/>
  <c r="T95" i="54"/>
  <c r="AT16" i="55" s="1"/>
  <c r="AU16" i="55" s="1"/>
  <c r="AV16" i="55" s="1"/>
  <c r="E95" i="54" s="1"/>
  <c r="U95" i="54"/>
  <c r="K96" i="54"/>
  <c r="T96" i="54"/>
  <c r="U96" i="54"/>
  <c r="X96" i="54" s="1"/>
  <c r="G97" i="54"/>
  <c r="T97" i="54"/>
  <c r="AT18" i="55" s="1"/>
  <c r="AU18" i="55" s="1"/>
  <c r="AV18" i="55" s="1"/>
  <c r="E97" i="54" s="1"/>
  <c r="K99" i="54"/>
  <c r="T99" i="54"/>
  <c r="AT20" i="55" s="1"/>
  <c r="AU20" i="55" s="1"/>
  <c r="AV20" i="55" s="1"/>
  <c r="E99" i="54" s="1"/>
  <c r="U99" i="54"/>
  <c r="K100" i="54"/>
  <c r="T100" i="54"/>
  <c r="W100" i="54" s="1"/>
  <c r="U100" i="54"/>
  <c r="X100" i="54" s="1"/>
  <c r="G101" i="54"/>
  <c r="T101" i="54"/>
  <c r="AT22" i="55" s="1"/>
  <c r="AU22" i="55" s="1"/>
  <c r="AV22" i="55" s="1"/>
  <c r="E101" i="54" s="1"/>
  <c r="T106" i="54"/>
  <c r="P106" i="54" s="1"/>
  <c r="E141" i="54" s="1"/>
  <c r="Y141" i="54" s="1"/>
  <c r="T107" i="54"/>
  <c r="P107" i="54" s="1"/>
  <c r="E142" i="54" s="1"/>
  <c r="Y142" i="54" s="1"/>
  <c r="T108" i="54"/>
  <c r="P108" i="54" s="1"/>
  <c r="E143" i="54" s="1"/>
  <c r="Y143" i="54" s="1"/>
  <c r="T109" i="54"/>
  <c r="P109" i="54" s="1"/>
  <c r="E144" i="54" s="1"/>
  <c r="Y144" i="54" s="1"/>
  <c r="S115" i="54"/>
  <c r="AZ115" i="54" s="1"/>
  <c r="AA115" i="54"/>
  <c r="S116" i="54"/>
  <c r="AU116" i="54" s="1"/>
  <c r="AA116" i="54"/>
  <c r="BI116" i="54" s="1"/>
  <c r="S117" i="54"/>
  <c r="AH117" i="54" s="1"/>
  <c r="AA117" i="54"/>
  <c r="BI117" i="54" s="1"/>
  <c r="S120" i="54"/>
  <c r="AZ120" i="54" s="1"/>
  <c r="AA120" i="54"/>
  <c r="S121" i="54"/>
  <c r="T121" i="54" s="1"/>
  <c r="AA121" i="54"/>
  <c r="BI121" i="54" s="1"/>
  <c r="S122" i="54"/>
  <c r="AZ122" i="54" s="1"/>
  <c r="T122" i="54"/>
  <c r="U122" i="54" s="1"/>
  <c r="AA122" i="54"/>
  <c r="H126" i="54"/>
  <c r="S126" i="54"/>
  <c r="H127" i="54"/>
  <c r="S127" i="54"/>
  <c r="O127" i="54" s="1"/>
  <c r="H128" i="54"/>
  <c r="S128" i="54"/>
  <c r="T130" i="54"/>
  <c r="P130" i="54" s="1"/>
  <c r="E148" i="54" s="1"/>
  <c r="Y148" i="54" s="1"/>
  <c r="I148" i="54" s="1"/>
  <c r="R148" i="54" s="1"/>
  <c r="T131" i="54"/>
  <c r="P131" i="54" s="1"/>
  <c r="E149" i="54" s="1"/>
  <c r="Y149" i="54" s="1"/>
  <c r="I149" i="54" s="1"/>
  <c r="R149" i="54" s="1"/>
  <c r="T132" i="54"/>
  <c r="P132" i="54" s="1"/>
  <c r="E150" i="54" s="1"/>
  <c r="Y150" i="54" s="1"/>
  <c r="I150" i="54" s="1"/>
  <c r="R150" i="54" s="1"/>
  <c r="P134" i="54"/>
  <c r="E151" i="54" s="1"/>
  <c r="P135" i="54"/>
  <c r="E152" i="54" s="1"/>
  <c r="P157" i="54"/>
  <c r="B159" i="54" s="1"/>
  <c r="R160" i="54"/>
  <c r="K168" i="54"/>
  <c r="T168" i="54"/>
  <c r="AT25" i="55" s="1"/>
  <c r="AU25" i="55" s="1"/>
  <c r="AV25" i="55" s="1"/>
  <c r="E168" i="54" s="1"/>
  <c r="U168" i="54"/>
  <c r="I169" i="54"/>
  <c r="K169" i="54"/>
  <c r="T169" i="54"/>
  <c r="W169" i="54" s="1"/>
  <c r="U169" i="54"/>
  <c r="X169" i="54" s="1"/>
  <c r="Y169" i="54"/>
  <c r="V169" i="54" s="1"/>
  <c r="AY26" i="55" s="1"/>
  <c r="AZ26" i="55" s="1"/>
  <c r="BA26" i="55" s="1"/>
  <c r="G170" i="54"/>
  <c r="T170" i="54"/>
  <c r="AT27" i="55" s="1"/>
  <c r="AU27" i="55" s="1"/>
  <c r="AV27" i="55" s="1"/>
  <c r="E170" i="54" s="1"/>
  <c r="K172" i="54"/>
  <c r="T172" i="54"/>
  <c r="AT29" i="55" s="1"/>
  <c r="AU29" i="55" s="1"/>
  <c r="AV29" i="55" s="1"/>
  <c r="E172" i="54" s="1"/>
  <c r="U172" i="54"/>
  <c r="Y172" i="54" s="1"/>
  <c r="V172" i="54" s="1"/>
  <c r="AY29" i="55" s="1"/>
  <c r="AZ29" i="55" s="1"/>
  <c r="BA29" i="55" s="1"/>
  <c r="K173" i="54"/>
  <c r="T173" i="54"/>
  <c r="W173" i="54" s="1"/>
  <c r="U173" i="54"/>
  <c r="X173" i="54" s="1"/>
  <c r="G174" i="54"/>
  <c r="T174" i="54"/>
  <c r="AT31" i="55" s="1"/>
  <c r="AU31" i="55" s="1"/>
  <c r="AV31" i="55" s="1"/>
  <c r="E174" i="54" s="1"/>
  <c r="K176" i="54"/>
  <c r="T176" i="54"/>
  <c r="AT33" i="55" s="1"/>
  <c r="AU33" i="55" s="1"/>
  <c r="AV33" i="55" s="1"/>
  <c r="E176" i="54" s="1"/>
  <c r="U176" i="54"/>
  <c r="K177" i="54"/>
  <c r="T177" i="54"/>
  <c r="U177" i="54"/>
  <c r="X177" i="54" s="1"/>
  <c r="G178" i="54"/>
  <c r="T178" i="54"/>
  <c r="AT35" i="55" s="1"/>
  <c r="AU35" i="55" s="1"/>
  <c r="AV35" i="55" s="1"/>
  <c r="E178" i="54" s="1"/>
  <c r="T182" i="54"/>
  <c r="P182" i="54" s="1"/>
  <c r="E218" i="54" s="1"/>
  <c r="T183" i="54"/>
  <c r="P183" i="54" s="1"/>
  <c r="E219" i="54" s="1"/>
  <c r="Y219" i="54" s="1"/>
  <c r="T184" i="54"/>
  <c r="P184" i="54" s="1"/>
  <c r="E220" i="54" s="1"/>
  <c r="Y220" i="54" s="1"/>
  <c r="T185" i="54"/>
  <c r="P185" i="54" s="1"/>
  <c r="E221" i="54" s="1"/>
  <c r="Y221" i="54" s="1"/>
  <c r="BI193" i="54"/>
  <c r="AO197" i="54"/>
  <c r="AH197" i="54"/>
  <c r="AZ197" i="54"/>
  <c r="BD197" i="54"/>
  <c r="H202" i="54"/>
  <c r="S202" i="54"/>
  <c r="H203" i="54"/>
  <c r="S203" i="54"/>
  <c r="O203" i="54" s="1"/>
  <c r="H204" i="54"/>
  <c r="S204" i="54"/>
  <c r="T206" i="54"/>
  <c r="P206" i="54" s="1"/>
  <c r="E225" i="54" s="1"/>
  <c r="Y225" i="54" s="1"/>
  <c r="I225" i="54" s="1"/>
  <c r="R225" i="54" s="1"/>
  <c r="T207" i="54"/>
  <c r="P207" i="54" s="1"/>
  <c r="E226" i="54" s="1"/>
  <c r="Y226" i="54" s="1"/>
  <c r="I226" i="54" s="1"/>
  <c r="R226" i="54" s="1"/>
  <c r="T208" i="54"/>
  <c r="P208" i="54" s="1"/>
  <c r="E227" i="54" s="1"/>
  <c r="P210" i="54"/>
  <c r="E228" i="54" s="1"/>
  <c r="Y228" i="54" s="1"/>
  <c r="P211" i="54"/>
  <c r="E229" i="54" s="1"/>
  <c r="V218" i="54"/>
  <c r="P234" i="54"/>
  <c r="R237" i="54"/>
  <c r="K244" i="54"/>
  <c r="T244" i="54"/>
  <c r="U244" i="54"/>
  <c r="K245" i="54"/>
  <c r="T245" i="54"/>
  <c r="W245" i="54" s="1"/>
  <c r="U245" i="54"/>
  <c r="X245" i="54" s="1"/>
  <c r="G246" i="54"/>
  <c r="T246" i="54"/>
  <c r="AT40" i="55" s="1"/>
  <c r="AU40" i="55" s="1"/>
  <c r="AV40" i="55" s="1"/>
  <c r="E246" i="54" s="1"/>
  <c r="K248" i="54"/>
  <c r="T248" i="54"/>
  <c r="AT42" i="55" s="1"/>
  <c r="AU42" i="55" s="1"/>
  <c r="AV42" i="55" s="1"/>
  <c r="E248" i="54" s="1"/>
  <c r="U248" i="54"/>
  <c r="K249" i="54"/>
  <c r="T249" i="54"/>
  <c r="AT43" i="55" s="1"/>
  <c r="AU43" i="55" s="1"/>
  <c r="AV43" i="55" s="1"/>
  <c r="E249" i="54" s="1"/>
  <c r="U249" i="54"/>
  <c r="X249" i="54" s="1"/>
  <c r="G250" i="54"/>
  <c r="T250" i="54"/>
  <c r="AT44" i="55" s="1"/>
  <c r="AU44" i="55" s="1"/>
  <c r="AV44" i="55" s="1"/>
  <c r="E250" i="54" s="1"/>
  <c r="K252" i="54"/>
  <c r="U252" i="54"/>
  <c r="K253" i="54"/>
  <c r="U253" i="54"/>
  <c r="X253" i="54" s="1"/>
  <c r="G254" i="54"/>
  <c r="AT48" i="55"/>
  <c r="AU48" i="55" s="1"/>
  <c r="AV48" i="55" s="1"/>
  <c r="E254" i="54" s="1"/>
  <c r="T258" i="54"/>
  <c r="P258" i="54" s="1"/>
  <c r="E293" i="54" s="1"/>
  <c r="Y293" i="54" s="1"/>
  <c r="T259" i="54"/>
  <c r="P259" i="54" s="1"/>
  <c r="E294" i="54" s="1"/>
  <c r="T260" i="54"/>
  <c r="P260" i="54"/>
  <c r="E295" i="54" s="1"/>
  <c r="Y295" i="54" s="1"/>
  <c r="T261" i="54"/>
  <c r="P261" i="54" s="1"/>
  <c r="E296" i="54" s="1"/>
  <c r="Y296" i="54" s="1"/>
  <c r="AH267" i="54"/>
  <c r="AO267" i="54"/>
  <c r="BD267" i="54"/>
  <c r="BD268" i="54"/>
  <c r="BI268" i="54"/>
  <c r="AO268" i="54"/>
  <c r="AU268" i="54"/>
  <c r="BG274" i="54"/>
  <c r="H278" i="54"/>
  <c r="S278" i="54"/>
  <c r="H279" i="54"/>
  <c r="S279" i="54"/>
  <c r="H280" i="54"/>
  <c r="S280" i="54"/>
  <c r="T282" i="54"/>
  <c r="P282" i="54" s="1"/>
  <c r="E300" i="54" s="1"/>
  <c r="Y300" i="54" s="1"/>
  <c r="I300" i="54" s="1"/>
  <c r="R300" i="54" s="1"/>
  <c r="T283" i="54"/>
  <c r="P283" i="54" s="1"/>
  <c r="E301" i="54" s="1"/>
  <c r="Y301" i="54" s="1"/>
  <c r="I301" i="54" s="1"/>
  <c r="R301" i="54" s="1"/>
  <c r="T284" i="54"/>
  <c r="P284" i="54" s="1"/>
  <c r="E302" i="54" s="1"/>
  <c r="P286" i="54"/>
  <c r="E303" i="54" s="1"/>
  <c r="Y303" i="54" s="1"/>
  <c r="P287" i="54"/>
  <c r="E304" i="54" s="1"/>
  <c r="P309" i="54"/>
  <c r="E365" i="54" s="1"/>
  <c r="Y365" i="54" s="1"/>
  <c r="I365" i="54" s="1"/>
  <c r="R365" i="54" s="1"/>
  <c r="R312" i="54"/>
  <c r="K319" i="54"/>
  <c r="T319" i="54"/>
  <c r="AT51" i="55" s="1"/>
  <c r="AU51" i="55" s="1"/>
  <c r="AV51" i="55" s="1"/>
  <c r="E319" i="54" s="1"/>
  <c r="U319" i="54"/>
  <c r="I320" i="54"/>
  <c r="K320" i="54"/>
  <c r="T320" i="54"/>
  <c r="AT52" i="55" s="1"/>
  <c r="AU52" i="55" s="1"/>
  <c r="AV52" i="55" s="1"/>
  <c r="E320" i="54" s="1"/>
  <c r="U320" i="54"/>
  <c r="X320" i="54" s="1"/>
  <c r="G321" i="54"/>
  <c r="T321" i="54"/>
  <c r="AT53" i="55" s="1"/>
  <c r="AU53" i="55" s="1"/>
  <c r="AV53" i="55" s="1"/>
  <c r="E321" i="54" s="1"/>
  <c r="K323" i="54"/>
  <c r="T323" i="54"/>
  <c r="AT55" i="55" s="1"/>
  <c r="AU55" i="55" s="1"/>
  <c r="AV55" i="55" s="1"/>
  <c r="E323" i="54" s="1"/>
  <c r="U323" i="54"/>
  <c r="I324" i="54"/>
  <c r="K324" i="54"/>
  <c r="T324" i="54"/>
  <c r="Y324" i="54" s="1"/>
  <c r="U324" i="54"/>
  <c r="X324" i="54" s="1"/>
  <c r="G325" i="54"/>
  <c r="T325" i="54"/>
  <c r="AT57" i="55" s="1"/>
  <c r="AU57" i="55" s="1"/>
  <c r="AV57" i="55" s="1"/>
  <c r="E325" i="54" s="1"/>
  <c r="K327" i="54"/>
  <c r="T327" i="54"/>
  <c r="U327" i="54"/>
  <c r="I328" i="54"/>
  <c r="K328" i="54"/>
  <c r="T328" i="54"/>
  <c r="Y328" i="54" s="1"/>
  <c r="V328" i="54" s="1"/>
  <c r="AY60" i="55" s="1"/>
  <c r="AZ60" i="55" s="1"/>
  <c r="BA60" i="55" s="1"/>
  <c r="U328" i="54"/>
  <c r="X328" i="54" s="1"/>
  <c r="G329" i="54"/>
  <c r="T329" i="54"/>
  <c r="AT61" i="55" s="1"/>
  <c r="AU61" i="55" s="1"/>
  <c r="AV61" i="55" s="1"/>
  <c r="E329" i="54" s="1"/>
  <c r="T333" i="54"/>
  <c r="P333" i="54" s="1"/>
  <c r="E368" i="54" s="1"/>
  <c r="Y368" i="54" s="1"/>
  <c r="T334" i="54"/>
  <c r="P334" i="54" s="1"/>
  <c r="E369" i="54" s="1"/>
  <c r="Y369" i="54" s="1"/>
  <c r="T335" i="54"/>
  <c r="P335" i="54" s="1"/>
  <c r="E370" i="54" s="1"/>
  <c r="Y370" i="54" s="1"/>
  <c r="T336" i="54"/>
  <c r="P336" i="54" s="1"/>
  <c r="E371" i="54" s="1"/>
  <c r="Y371" i="54" s="1"/>
  <c r="BG343" i="54"/>
  <c r="BI349" i="54"/>
  <c r="AH349" i="54"/>
  <c r="AZ349" i="54"/>
  <c r="BD349" i="54"/>
  <c r="BG349" i="54"/>
  <c r="H353" i="54"/>
  <c r="S353" i="54"/>
  <c r="O353" i="54" s="1"/>
  <c r="H354" i="54"/>
  <c r="S354" i="54"/>
  <c r="H355" i="54"/>
  <c r="S355" i="54"/>
  <c r="T357" i="54"/>
  <c r="P357" i="54" s="1"/>
  <c r="E375" i="54" s="1"/>
  <c r="Y375" i="54" s="1"/>
  <c r="I375" i="54" s="1"/>
  <c r="R375" i="54" s="1"/>
  <c r="T358" i="54"/>
  <c r="P358" i="54" s="1"/>
  <c r="E376" i="54" s="1"/>
  <c r="Y376" i="54" s="1"/>
  <c r="I376" i="54" s="1"/>
  <c r="R376" i="54" s="1"/>
  <c r="T359" i="54"/>
  <c r="P359" i="54" s="1"/>
  <c r="E377" i="54" s="1"/>
  <c r="P361" i="54"/>
  <c r="E378" i="54" s="1"/>
  <c r="Y378" i="54" s="1"/>
  <c r="P362" i="54"/>
  <c r="E379" i="54" s="1"/>
  <c r="P385" i="54"/>
  <c r="S386" i="54"/>
  <c r="S387" i="54"/>
  <c r="S388" i="54"/>
  <c r="S389" i="54"/>
  <c r="S390" i="54"/>
  <c r="K394" i="54"/>
  <c r="U394" i="54"/>
  <c r="Y394" i="54" s="1"/>
  <c r="V394" i="54" s="1"/>
  <c r="AY64" i="55" s="1"/>
  <c r="AZ64" i="55" s="1"/>
  <c r="BA64" i="55" s="1"/>
  <c r="K395" i="54"/>
  <c r="T395" i="54"/>
  <c r="AT65" i="55" s="1"/>
  <c r="AU65" i="55" s="1"/>
  <c r="AV65" i="55" s="1"/>
  <c r="E395" i="54" s="1"/>
  <c r="U395" i="54"/>
  <c r="T396" i="54"/>
  <c r="AT66" i="55" s="1"/>
  <c r="AU66" i="55" s="1"/>
  <c r="AV66" i="55" s="1"/>
  <c r="V397" i="54"/>
  <c r="W397" i="54"/>
  <c r="X397" i="54"/>
  <c r="Y397" i="54"/>
  <c r="T397" i="54"/>
  <c r="AT67" i="55" s="1"/>
  <c r="AU67" i="55" s="1"/>
  <c r="AV67" i="55" s="1"/>
  <c r="K400" i="54"/>
  <c r="T400" i="54"/>
  <c r="AT70" i="55" s="1"/>
  <c r="AU70" i="55" s="1"/>
  <c r="AV70" i="55" s="1"/>
  <c r="E400" i="54" s="1"/>
  <c r="U400" i="54"/>
  <c r="T401" i="54"/>
  <c r="AT71" i="55" s="1"/>
  <c r="AU71" i="55" s="1"/>
  <c r="AV71" i="55" s="1"/>
  <c r="K402" i="54"/>
  <c r="T402" i="54"/>
  <c r="U402" i="54"/>
  <c r="T403" i="54"/>
  <c r="AT73" i="55" s="1"/>
  <c r="AU73" i="55" s="1"/>
  <c r="AV73" i="55" s="1"/>
  <c r="K404" i="54"/>
  <c r="T404" i="54"/>
  <c r="Y404" i="54" s="1"/>
  <c r="V404" i="54" s="1"/>
  <c r="AY74" i="55" s="1"/>
  <c r="AZ74" i="55" s="1"/>
  <c r="BA74" i="55" s="1"/>
  <c r="I404" i="54" s="1"/>
  <c r="U404" i="54"/>
  <c r="T405" i="54"/>
  <c r="AT75" i="55" s="1"/>
  <c r="AU75" i="55" s="1"/>
  <c r="AV75" i="55" s="1"/>
  <c r="I406" i="54"/>
  <c r="K406" i="54"/>
  <c r="T406" i="54"/>
  <c r="AT76" i="55" s="1"/>
  <c r="AU76" i="55" s="1"/>
  <c r="AV76" i="55" s="1"/>
  <c r="E406" i="54" s="1"/>
  <c r="U406" i="54"/>
  <c r="T407" i="54"/>
  <c r="AT77" i="55" s="1"/>
  <c r="AU77" i="55" s="1"/>
  <c r="AV77" i="55" s="1"/>
  <c r="V408" i="54"/>
  <c r="W408" i="54"/>
  <c r="X408" i="54"/>
  <c r="Y408" i="54"/>
  <c r="Z408" i="54"/>
  <c r="AA408" i="54"/>
  <c r="AB408" i="54"/>
  <c r="AC408" i="54"/>
  <c r="T412" i="54"/>
  <c r="T413" i="54"/>
  <c r="U412" i="54" s="1"/>
  <c r="T415" i="54"/>
  <c r="T416" i="54"/>
  <c r="H419" i="54"/>
  <c r="S419" i="54"/>
  <c r="H420" i="54"/>
  <c r="S420" i="54"/>
  <c r="T422" i="54"/>
  <c r="P422" i="54" s="1"/>
  <c r="E544" i="54" s="1"/>
  <c r="V544" i="54" s="1"/>
  <c r="T423" i="54"/>
  <c r="P423" i="54" s="1"/>
  <c r="E545" i="54" s="1"/>
  <c r="E546" i="54"/>
  <c r="E555" i="54"/>
  <c r="E556" i="54"/>
  <c r="O438" i="54"/>
  <c r="O439" i="54"/>
  <c r="O442" i="54"/>
  <c r="O443" i="54"/>
  <c r="S450" i="54"/>
  <c r="L450" i="54" s="1"/>
  <c r="T450" i="54"/>
  <c r="U450" i="54"/>
  <c r="S451" i="54"/>
  <c r="L451" i="54" s="1"/>
  <c r="T451" i="54"/>
  <c r="U451" i="54"/>
  <c r="S452" i="54"/>
  <c r="L452" i="54" s="1"/>
  <c r="T452" i="54"/>
  <c r="U452" i="54"/>
  <c r="S453" i="54"/>
  <c r="L453" i="54" s="1"/>
  <c r="T453" i="54"/>
  <c r="U453" i="54"/>
  <c r="S454" i="54"/>
  <c r="L454" i="54" s="1"/>
  <c r="P454" i="54" s="1"/>
  <c r="AE454" i="54" s="1"/>
  <c r="AF454" i="54" s="1"/>
  <c r="T454" i="54"/>
  <c r="U454" i="54"/>
  <c r="S458" i="54"/>
  <c r="F459" i="54" s="1"/>
  <c r="F460" i="54"/>
  <c r="T458" i="54"/>
  <c r="U458" i="54"/>
  <c r="S459" i="54"/>
  <c r="T459" i="54"/>
  <c r="U459" i="54"/>
  <c r="S460" i="54"/>
  <c r="T460" i="54"/>
  <c r="U460" i="54"/>
  <c r="S461" i="54"/>
  <c r="T461" i="54"/>
  <c r="U461" i="54"/>
  <c r="F464" i="54"/>
  <c r="S464" i="54"/>
  <c r="T464" i="54"/>
  <c r="U464" i="54"/>
  <c r="S465" i="54"/>
  <c r="T465" i="54"/>
  <c r="U465" i="54"/>
  <c r="S466" i="54"/>
  <c r="T466" i="54"/>
  <c r="U466" i="54"/>
  <c r="S467" i="54"/>
  <c r="T467" i="54"/>
  <c r="U467" i="54"/>
  <c r="S468" i="54"/>
  <c r="T468" i="54"/>
  <c r="U468" i="54"/>
  <c r="F471" i="54"/>
  <c r="S471" i="54"/>
  <c r="F476" i="54" s="1"/>
  <c r="T471" i="54"/>
  <c r="U471" i="54"/>
  <c r="S472" i="54"/>
  <c r="T472" i="54"/>
  <c r="U472" i="54"/>
  <c r="S473" i="54"/>
  <c r="T473" i="54"/>
  <c r="U473" i="54"/>
  <c r="S474" i="54"/>
  <c r="T474" i="54"/>
  <c r="U474" i="54"/>
  <c r="S475" i="54"/>
  <c r="T475" i="54"/>
  <c r="U475" i="54"/>
  <c r="S476" i="54"/>
  <c r="T476" i="54"/>
  <c r="U476" i="54"/>
  <c r="S477" i="54"/>
  <c r="T477" i="54"/>
  <c r="U477" i="54"/>
  <c r="S478" i="54"/>
  <c r="T478" i="54"/>
  <c r="U478" i="54"/>
  <c r="S479" i="54"/>
  <c r="T479" i="54"/>
  <c r="U479" i="54"/>
  <c r="S480" i="54"/>
  <c r="T480" i="54"/>
  <c r="U480" i="54"/>
  <c r="F483" i="54"/>
  <c r="S483" i="54"/>
  <c r="T483" i="54"/>
  <c r="U483" i="54"/>
  <c r="S484" i="54"/>
  <c r="T484" i="54"/>
  <c r="U484" i="54"/>
  <c r="S485" i="54"/>
  <c r="T485" i="54"/>
  <c r="U485" i="54"/>
  <c r="S486" i="54"/>
  <c r="T486" i="54"/>
  <c r="U486" i="54"/>
  <c r="S487" i="54"/>
  <c r="T487" i="54"/>
  <c r="U487" i="54"/>
  <c r="S488" i="54"/>
  <c r="T488" i="54"/>
  <c r="U488" i="54"/>
  <c r="S489" i="54"/>
  <c r="T489" i="54"/>
  <c r="U489" i="54"/>
  <c r="S490" i="54"/>
  <c r="T490" i="54"/>
  <c r="U490" i="54"/>
  <c r="S491" i="54"/>
  <c r="T491" i="54"/>
  <c r="U491" i="54"/>
  <c r="S492" i="54"/>
  <c r="T492" i="54"/>
  <c r="U492" i="54"/>
  <c r="S493" i="54"/>
  <c r="T493" i="54"/>
  <c r="U493" i="54"/>
  <c r="S494" i="54"/>
  <c r="T494" i="54"/>
  <c r="U494" i="54"/>
  <c r="S495" i="54"/>
  <c r="T495" i="54"/>
  <c r="U495" i="54"/>
  <c r="F499" i="54"/>
  <c r="S499" i="54"/>
  <c r="T499" i="54"/>
  <c r="U499" i="54"/>
  <c r="S500" i="54"/>
  <c r="T500" i="54"/>
  <c r="U500" i="54"/>
  <c r="S501" i="54"/>
  <c r="T501" i="54"/>
  <c r="U501" i="54"/>
  <c r="S502" i="54"/>
  <c r="T502" i="54"/>
  <c r="U502" i="54"/>
  <c r="S503" i="54"/>
  <c r="T503" i="54"/>
  <c r="U503" i="54"/>
  <c r="S504" i="54"/>
  <c r="T504" i="54"/>
  <c r="U504" i="54"/>
  <c r="S505" i="54"/>
  <c r="T505" i="54"/>
  <c r="U505" i="54"/>
  <c r="S506" i="54"/>
  <c r="T506" i="54"/>
  <c r="U506" i="54"/>
  <c r="S507" i="54"/>
  <c r="T507" i="54"/>
  <c r="U507" i="54"/>
  <c r="S508" i="54"/>
  <c r="T508" i="54"/>
  <c r="U508" i="54"/>
  <c r="S509" i="54"/>
  <c r="T509" i="54"/>
  <c r="U509" i="54"/>
  <c r="P518" i="54"/>
  <c r="P566" i="54"/>
  <c r="E603" i="54" s="1"/>
  <c r="V603" i="54" s="1"/>
  <c r="I603" i="54" s="1"/>
  <c r="R603" i="54" s="1"/>
  <c r="K570" i="54"/>
  <c r="T570" i="54"/>
  <c r="AT80" i="55" s="1"/>
  <c r="AU80" i="55" s="1"/>
  <c r="AV80" i="55" s="1"/>
  <c r="E570" i="54" s="1"/>
  <c r="U570" i="54"/>
  <c r="T571" i="54"/>
  <c r="AT81" i="55" s="1"/>
  <c r="AU81" i="55" s="1"/>
  <c r="AV81" i="55" s="1"/>
  <c r="K572" i="54"/>
  <c r="T572" i="54"/>
  <c r="Y572" i="54" s="1"/>
  <c r="V572" i="54" s="1"/>
  <c r="AY82" i="55" s="1"/>
  <c r="AZ82" i="55" s="1"/>
  <c r="BA82" i="55" s="1"/>
  <c r="I572" i="54" s="1"/>
  <c r="U572" i="54"/>
  <c r="X572" i="54" s="1"/>
  <c r="T573" i="54"/>
  <c r="AT83" i="55" s="1"/>
  <c r="AU83" i="55" s="1"/>
  <c r="AV83" i="55" s="1"/>
  <c r="K574" i="54"/>
  <c r="T574" i="54"/>
  <c r="Y574" i="54" s="1"/>
  <c r="U574" i="54"/>
  <c r="T575" i="54"/>
  <c r="AT85" i="55" s="1"/>
  <c r="AU85" i="55" s="1"/>
  <c r="AV85" i="55" s="1"/>
  <c r="K576" i="54"/>
  <c r="T576" i="54"/>
  <c r="AT86" i="55" s="1"/>
  <c r="AU86" i="55" s="1"/>
  <c r="AV86" i="55" s="1"/>
  <c r="E576" i="54" s="1"/>
  <c r="U576" i="54"/>
  <c r="T577" i="54"/>
  <c r="AT87" i="55" s="1"/>
  <c r="AU87" i="55" s="1"/>
  <c r="AV87" i="55" s="1"/>
  <c r="V578" i="54"/>
  <c r="W578" i="54"/>
  <c r="X578" i="54"/>
  <c r="Y578" i="54"/>
  <c r="Z578" i="54"/>
  <c r="AA578" i="54"/>
  <c r="AB578" i="54"/>
  <c r="AC578" i="54"/>
  <c r="E605" i="54"/>
  <c r="V605" i="54" s="1"/>
  <c r="I605" i="54" s="1"/>
  <c r="R605" i="54" s="1"/>
  <c r="E606" i="54"/>
  <c r="V606" i="54" s="1"/>
  <c r="I606" i="54" s="1"/>
  <c r="R606" i="54" s="1"/>
  <c r="T585" i="54"/>
  <c r="P585" i="54" s="1"/>
  <c r="E607" i="54" s="1"/>
  <c r="V607" i="54" s="1"/>
  <c r="I607" i="54" s="1"/>
  <c r="R607" i="54" s="1"/>
  <c r="P587" i="54"/>
  <c r="E608" i="54" s="1"/>
  <c r="P588" i="54"/>
  <c r="E609" i="54" s="1"/>
  <c r="V609" i="54" s="1"/>
  <c r="I609" i="54" s="1"/>
  <c r="R609" i="54" s="1"/>
  <c r="P589" i="54"/>
  <c r="E610" i="54" s="1"/>
  <c r="P591" i="54"/>
  <c r="E611" i="54" s="1"/>
  <c r="V611" i="54" s="1"/>
  <c r="P592" i="54"/>
  <c r="E612" i="54" s="1"/>
  <c r="V612" i="54" s="1"/>
  <c r="P596" i="54"/>
  <c r="P600" i="54"/>
  <c r="E615" i="54" s="1"/>
  <c r="V615" i="54" s="1"/>
  <c r="C634" i="54"/>
  <c r="D1" i="59"/>
  <c r="F1" i="59"/>
  <c r="D5" i="59"/>
  <c r="D6" i="59" s="1"/>
  <c r="D8" i="59"/>
  <c r="D1" i="60"/>
  <c r="M1" i="60"/>
  <c r="S48" i="60"/>
  <c r="S49" i="60"/>
  <c r="S50" i="60"/>
  <c r="N51" i="60"/>
  <c r="N52" i="60"/>
  <c r="N53" i="60"/>
  <c r="E1" i="39"/>
  <c r="M1" i="39"/>
  <c r="R8" i="39"/>
  <c r="R9" i="39"/>
  <c r="N11" i="39"/>
  <c r="H5" i="39" s="1"/>
  <c r="N12" i="39"/>
  <c r="S52" i="39"/>
  <c r="K3" i="62"/>
  <c r="B11" i="22"/>
  <c r="V44" i="22"/>
  <c r="P44" i="22"/>
  <c r="P45" i="22"/>
  <c r="P11" i="22"/>
  <c r="L43" i="22"/>
  <c r="V43" i="22"/>
  <c r="P43" i="22"/>
  <c r="P51" i="25"/>
  <c r="L77" i="25" s="1"/>
  <c r="AO347" i="54"/>
  <c r="AZ347" i="54"/>
  <c r="AH347" i="54"/>
  <c r="BD347" i="54"/>
  <c r="BG347" i="54"/>
  <c r="V226" i="54"/>
  <c r="AT64" i="55"/>
  <c r="AU64" i="55" s="1"/>
  <c r="AV64" i="55" s="1"/>
  <c r="E394" i="54" s="1"/>
  <c r="AT17" i="55"/>
  <c r="AU17" i="55" s="1"/>
  <c r="AV17" i="55" s="1"/>
  <c r="E96" i="54" s="1"/>
  <c r="W96" i="54"/>
  <c r="Y96" i="54"/>
  <c r="V96" i="54" s="1"/>
  <c r="AY17" i="55" s="1"/>
  <c r="AZ17" i="55" s="1"/>
  <c r="BA17" i="55" s="1"/>
  <c r="AU347" i="54"/>
  <c r="AT56" i="55"/>
  <c r="AU56" i="55" s="1"/>
  <c r="AV56" i="55" s="1"/>
  <c r="E324" i="54" s="1"/>
  <c r="V324" i="54"/>
  <c r="AY56" i="55" s="1"/>
  <c r="AZ56" i="55" s="1"/>
  <c r="BA56" i="55" s="1"/>
  <c r="E290" i="54"/>
  <c r="B236" i="54"/>
  <c r="F473" i="54"/>
  <c r="L473" i="54" s="1"/>
  <c r="AO274" i="54"/>
  <c r="AZ274" i="54"/>
  <c r="AH274" i="54"/>
  <c r="BD274" i="54"/>
  <c r="AU274" i="54"/>
  <c r="AH273" i="54"/>
  <c r="BD273" i="54"/>
  <c r="AU273" i="54"/>
  <c r="AO273" i="54"/>
  <c r="AT30" i="55"/>
  <c r="AU30" i="55" s="1"/>
  <c r="AV30" i="55" s="1"/>
  <c r="E173" i="54" s="1"/>
  <c r="Y173" i="54"/>
  <c r="V173" i="54" s="1"/>
  <c r="AY30" i="55" s="1"/>
  <c r="AZ30" i="55" s="1"/>
  <c r="BA30" i="55" s="1"/>
  <c r="I173" i="54" s="1"/>
  <c r="BI192" i="54"/>
  <c r="BD348" i="54"/>
  <c r="AT39" i="55"/>
  <c r="AU39" i="55" s="1"/>
  <c r="AV39" i="55" s="1"/>
  <c r="E245" i="54" s="1"/>
  <c r="AT47" i="55"/>
  <c r="AU47" i="55" s="1"/>
  <c r="AV47" i="55" s="1"/>
  <c r="E253" i="54" s="1"/>
  <c r="Y253" i="54"/>
  <c r="V253" i="54" s="1"/>
  <c r="AY47" i="55" s="1"/>
  <c r="AZ47" i="55" s="1"/>
  <c r="BA47" i="55" s="1"/>
  <c r="I253" i="54" s="1"/>
  <c r="AO116" i="54"/>
  <c r="BG116" i="54"/>
  <c r="AZ116" i="54"/>
  <c r="AH116" i="54"/>
  <c r="AO349" i="54"/>
  <c r="AZ121" i="54"/>
  <c r="AH121" i="54"/>
  <c r="AU121" i="54"/>
  <c r="AO121" i="54"/>
  <c r="Y249" i="54"/>
  <c r="V249" i="54" s="1"/>
  <c r="AY43" i="55" s="1"/>
  <c r="AZ43" i="55" s="1"/>
  <c r="BA43" i="55" s="1"/>
  <c r="AU349" i="54"/>
  <c r="W253" i="54"/>
  <c r="AT46" i="55"/>
  <c r="AU46" i="55" s="1"/>
  <c r="AV46" i="55" s="1"/>
  <c r="E252" i="54" s="1"/>
  <c r="Y252" i="54"/>
  <c r="V252" i="54" s="1"/>
  <c r="AY46" i="55" s="1"/>
  <c r="AZ46" i="55" s="1"/>
  <c r="BA46" i="55" s="1"/>
  <c r="BD198" i="54"/>
  <c r="AU198" i="54"/>
  <c r="F461" i="52"/>
  <c r="L461" i="52" s="1"/>
  <c r="W461" i="52" s="1"/>
  <c r="BD198" i="52"/>
  <c r="AO198" i="52"/>
  <c r="BI269" i="52"/>
  <c r="AH197" i="52"/>
  <c r="BD197" i="52"/>
  <c r="AO121" i="52"/>
  <c r="AZ121" i="52"/>
  <c r="BD121" i="52"/>
  <c r="AU121" i="52"/>
  <c r="AH121" i="52"/>
  <c r="Y319" i="52"/>
  <c r="V319" i="52" s="1"/>
  <c r="BI51" i="55" s="1"/>
  <c r="BJ51" i="55" s="1"/>
  <c r="BK51" i="55" s="1"/>
  <c r="E290" i="52"/>
  <c r="Y290" i="52" s="1"/>
  <c r="I290" i="52" s="1"/>
  <c r="R290" i="52" s="1"/>
  <c r="P237" i="52"/>
  <c r="E291" i="52" s="1"/>
  <c r="Y291" i="52" s="1"/>
  <c r="I291" i="52" s="1"/>
  <c r="R291" i="52" s="1"/>
  <c r="BD60" i="55"/>
  <c r="BE60" i="55" s="1"/>
  <c r="BF60" i="55" s="1"/>
  <c r="E328" i="52" s="1"/>
  <c r="Y328" i="52"/>
  <c r="V328" i="52" s="1"/>
  <c r="BI60" i="55" s="1"/>
  <c r="BJ60" i="55" s="1"/>
  <c r="BK60" i="55" s="1"/>
  <c r="AZ192" i="52"/>
  <c r="BG192" i="52"/>
  <c r="BD191" i="52"/>
  <c r="BG191" i="52"/>
  <c r="AH272" i="52"/>
  <c r="AZ191" i="52"/>
  <c r="AZ196" i="52"/>
  <c r="T198" i="52"/>
  <c r="BI116" i="52"/>
  <c r="AU347" i="52"/>
  <c r="BD272" i="52"/>
  <c r="AH269" i="52"/>
  <c r="BD34" i="55"/>
  <c r="BE34" i="55" s="1"/>
  <c r="BF34" i="55" s="1"/>
  <c r="E177" i="52" s="1"/>
  <c r="W177" i="52"/>
  <c r="Y177" i="52"/>
  <c r="V177" i="52" s="1"/>
  <c r="BI34" i="55" s="1"/>
  <c r="BJ34" i="55" s="1"/>
  <c r="BK34" i="55" s="1"/>
  <c r="I177" i="52" s="1"/>
  <c r="AZ115" i="52"/>
  <c r="T117" i="52"/>
  <c r="AP117" i="52" s="1"/>
  <c r="AH115" i="52"/>
  <c r="BD115" i="52"/>
  <c r="AU115" i="52"/>
  <c r="AM39" i="52"/>
  <c r="T120" i="52"/>
  <c r="U120" i="52" s="1"/>
  <c r="AJ120" i="52" s="1"/>
  <c r="AO120" i="52"/>
  <c r="AH120" i="52"/>
  <c r="T122" i="52"/>
  <c r="BA122" i="52" s="1"/>
  <c r="AZ120" i="52"/>
  <c r="AO115" i="52"/>
  <c r="AR66" i="51"/>
  <c r="AS66" i="51" s="1"/>
  <c r="AT66" i="51" s="1"/>
  <c r="E386" i="48" s="1"/>
  <c r="AH35" i="52"/>
  <c r="AH3" i="51"/>
  <c r="AI3" i="51" s="1"/>
  <c r="AJ3" i="51" s="1"/>
  <c r="E13" i="50" s="1"/>
  <c r="BD4" i="55"/>
  <c r="BE4" i="55" s="1"/>
  <c r="BF4" i="55" s="1"/>
  <c r="E20" i="52" s="1"/>
  <c r="W19" i="52"/>
  <c r="AC35" i="52"/>
  <c r="E464" i="48"/>
  <c r="Y464" i="48" s="1"/>
  <c r="W94" i="48"/>
  <c r="V94" i="48" s="1"/>
  <c r="AW18" i="51" s="1"/>
  <c r="AX18" i="51" s="1"/>
  <c r="AY18" i="51" s="1"/>
  <c r="F312" i="48"/>
  <c r="M312" i="48" s="1"/>
  <c r="AR63" i="51"/>
  <c r="AS63" i="51" s="1"/>
  <c r="AT63" i="51" s="1"/>
  <c r="E383" i="48" s="1"/>
  <c r="Y383" i="48"/>
  <c r="V383" i="48" s="1"/>
  <c r="AW63" i="51" s="1"/>
  <c r="AX63" i="51" s="1"/>
  <c r="AY63" i="51" s="1"/>
  <c r="F309" i="48"/>
  <c r="M309" i="48" s="1"/>
  <c r="AF48" i="44"/>
  <c r="Z62" i="44" s="1"/>
  <c r="AM62" i="44" s="1"/>
  <c r="W7" i="34"/>
  <c r="V7" i="34" s="1"/>
  <c r="U3" i="35" s="1"/>
  <c r="V3" i="35" s="1"/>
  <c r="W3" i="35" s="1"/>
  <c r="W176" i="48"/>
  <c r="V176" i="48" s="1"/>
  <c r="AW32" i="51" s="1"/>
  <c r="AX32" i="51" s="1"/>
  <c r="AY32" i="51" s="1"/>
  <c r="K29" i="44"/>
  <c r="AR29" i="44" s="1"/>
  <c r="K30" i="44"/>
  <c r="AR30" i="44" s="1"/>
  <c r="K26" i="44"/>
  <c r="AR26" i="44" s="1"/>
  <c r="P5" i="35"/>
  <c r="Q5" i="35" s="1"/>
  <c r="R5" i="35" s="1"/>
  <c r="E9" i="34" s="1"/>
  <c r="W9" i="34"/>
  <c r="V9" i="34" s="1"/>
  <c r="U5" i="35" s="1"/>
  <c r="V5" i="35" s="1"/>
  <c r="W5" i="35" s="1"/>
  <c r="O48" i="44"/>
  <c r="I62" i="44" s="1"/>
  <c r="AL62" i="44" s="1"/>
  <c r="Z13" i="35"/>
  <c r="AA13" i="35" s="1"/>
  <c r="AB13" i="35" s="1"/>
  <c r="E17" i="40" s="1"/>
  <c r="W17" i="40"/>
  <c r="V17" i="40" s="1"/>
  <c r="AE13" i="35" s="1"/>
  <c r="AF13" i="35" s="1"/>
  <c r="AG13" i="35" s="1"/>
  <c r="Z11" i="35"/>
  <c r="AA11" i="35" s="1"/>
  <c r="AB11" i="35" s="1"/>
  <c r="E15" i="40" s="1"/>
  <c r="W15" i="40"/>
  <c r="V15" i="40" s="1"/>
  <c r="AE11" i="35" s="1"/>
  <c r="AF11" i="35" s="1"/>
  <c r="AG11" i="35" s="1"/>
  <c r="P11" i="28"/>
  <c r="Q11" i="28" s="1"/>
  <c r="R11" i="28" s="1"/>
  <c r="E17" i="27" s="1"/>
  <c r="W17" i="27"/>
  <c r="V17" i="27" s="1"/>
  <c r="U11" i="28" s="1"/>
  <c r="V11" i="28" s="1"/>
  <c r="W11" i="28" s="1"/>
  <c r="Z5" i="35"/>
  <c r="AA5" i="35" s="1"/>
  <c r="AB5" i="35" s="1"/>
  <c r="E9" i="40" s="1"/>
  <c r="I9" i="40" s="1"/>
  <c r="W9" i="40"/>
  <c r="V9" i="40" s="1"/>
  <c r="AE5" i="35" s="1"/>
  <c r="AF5" i="35" s="1"/>
  <c r="AG5" i="35" s="1"/>
  <c r="W11" i="27"/>
  <c r="V11" i="27" s="1"/>
  <c r="U5" i="28" s="1"/>
  <c r="V5" i="28" s="1"/>
  <c r="W5" i="28" s="1"/>
  <c r="W11" i="41"/>
  <c r="V11" i="41" s="1"/>
  <c r="AE5" i="28" s="1"/>
  <c r="AF5" i="28" s="1"/>
  <c r="AG5" i="28" s="1"/>
  <c r="BE122" i="52"/>
  <c r="AV122" i="52"/>
  <c r="AI122" i="52"/>
  <c r="AV117" i="52"/>
  <c r="F489" i="52"/>
  <c r="F485" i="52"/>
  <c r="V122" i="52"/>
  <c r="AK122" i="52" s="1"/>
  <c r="V376" i="54"/>
  <c r="AZ273" i="54"/>
  <c r="BG273" i="54"/>
  <c r="AC40" i="54"/>
  <c r="AH40" i="54"/>
  <c r="AL40" i="54"/>
  <c r="AO40" i="54"/>
  <c r="AT74" i="55"/>
  <c r="AU74" i="55" s="1"/>
  <c r="AV74" i="55" s="1"/>
  <c r="E404" i="54" s="1"/>
  <c r="AT72" i="55"/>
  <c r="AU72" i="55" s="1"/>
  <c r="AV72" i="55" s="1"/>
  <c r="E402" i="54" s="1"/>
  <c r="BG267" i="54"/>
  <c r="AU267" i="54"/>
  <c r="AZ267" i="54"/>
  <c r="AZ268" i="54"/>
  <c r="AH268" i="54"/>
  <c r="BG268" i="54"/>
  <c r="BD84" i="55"/>
  <c r="BE84" i="55" s="1"/>
  <c r="BF84" i="55" s="1"/>
  <c r="E574" i="52" s="1"/>
  <c r="B311" i="54"/>
  <c r="BG122" i="52"/>
  <c r="AT26" i="55"/>
  <c r="AU26" i="55" s="1"/>
  <c r="AV26" i="55" s="1"/>
  <c r="E169" i="54" s="1"/>
  <c r="AO347" i="52"/>
  <c r="BG347" i="52"/>
  <c r="T348" i="52"/>
  <c r="AP348" i="52" s="1"/>
  <c r="T349" i="52"/>
  <c r="AC40" i="52"/>
  <c r="AL40" i="52"/>
  <c r="AO40" i="52"/>
  <c r="AH40" i="52"/>
  <c r="AL33" i="52"/>
  <c r="AZ198" i="54"/>
  <c r="AH192" i="52"/>
  <c r="AO192" i="52"/>
  <c r="BD348" i="52"/>
  <c r="AO348" i="52"/>
  <c r="AU348" i="52"/>
  <c r="AO198" i="54"/>
  <c r="AU197" i="54"/>
  <c r="BG197" i="54"/>
  <c r="BG348" i="52"/>
  <c r="AZ347" i="52"/>
  <c r="BG120" i="52"/>
  <c r="Y100" i="52"/>
  <c r="V100" i="52" s="1"/>
  <c r="BI21" i="55" s="1"/>
  <c r="BJ21" i="55" s="1"/>
  <c r="BK21" i="55" s="1"/>
  <c r="I100" i="52" s="1"/>
  <c r="BG343" i="52"/>
  <c r="BD196" i="52"/>
  <c r="T197" i="52"/>
  <c r="BA197" i="52" s="1"/>
  <c r="F314" i="48"/>
  <c r="W19" i="27"/>
  <c r="V19" i="27" s="1"/>
  <c r="U13" i="28" s="1"/>
  <c r="V13" i="28" s="1"/>
  <c r="W13" i="28" s="1"/>
  <c r="I19" i="27" s="1"/>
  <c r="P13" i="28"/>
  <c r="Q13" i="28" s="1"/>
  <c r="R13" i="28" s="1"/>
  <c r="E19" i="27" s="1"/>
  <c r="P3" i="28"/>
  <c r="Q3" i="28" s="1"/>
  <c r="R3" i="28" s="1"/>
  <c r="E9" i="27" s="1"/>
  <c r="AI121" i="52"/>
  <c r="AP121" i="52"/>
  <c r="AB121" i="52"/>
  <c r="BA121" i="52"/>
  <c r="AI349" i="52"/>
  <c r="BE349" i="52"/>
  <c r="AP349" i="52"/>
  <c r="BJ121" i="52"/>
  <c r="AC35" i="54"/>
  <c r="AO35" i="54"/>
  <c r="AH35" i="54"/>
  <c r="U34" i="54"/>
  <c r="AM40" i="54"/>
  <c r="U40" i="54"/>
  <c r="Z40" i="54" s="1"/>
  <c r="AS40" i="54" s="1"/>
  <c r="Y40" i="54"/>
  <c r="AR40" i="54" s="1"/>
  <c r="AQ35" i="54"/>
  <c r="AQ39" i="54"/>
  <c r="AB347" i="54"/>
  <c r="BJ347" i="54" s="1"/>
  <c r="AU191" i="54"/>
  <c r="AO191" i="54"/>
  <c r="BI348" i="54"/>
  <c r="BI273" i="54"/>
  <c r="BE347" i="54"/>
  <c r="AI347" i="54"/>
  <c r="BA347" i="54"/>
  <c r="AP347" i="54"/>
  <c r="AV347" i="54"/>
  <c r="U347" i="54"/>
  <c r="AQ347" i="54" s="1"/>
  <c r="BG348" i="54"/>
  <c r="AH348" i="54"/>
  <c r="AU342" i="54"/>
  <c r="T348" i="54"/>
  <c r="U348" i="54" s="1"/>
  <c r="AJ348" i="54" s="1"/>
  <c r="AZ348" i="54"/>
  <c r="U273" i="54"/>
  <c r="V273" i="54" s="1"/>
  <c r="AR273" i="54" s="1"/>
  <c r="AV273" i="54"/>
  <c r="AP273" i="54"/>
  <c r="BA273" i="54"/>
  <c r="AI273" i="54"/>
  <c r="BE273" i="54"/>
  <c r="AP274" i="54"/>
  <c r="BA274" i="54"/>
  <c r="U274" i="54"/>
  <c r="AQ274" i="54" s="1"/>
  <c r="BE274" i="54"/>
  <c r="AI274" i="54"/>
  <c r="AV197" i="54"/>
  <c r="U197" i="54"/>
  <c r="AJ197" i="54" s="1"/>
  <c r="AI197" i="54"/>
  <c r="BA197" i="54"/>
  <c r="BE197" i="54"/>
  <c r="BE121" i="54"/>
  <c r="U121" i="54"/>
  <c r="AW121" i="54" s="1"/>
  <c r="AV121" i="54"/>
  <c r="AI121" i="54"/>
  <c r="AP121" i="54"/>
  <c r="AB121" i="54"/>
  <c r="BA121" i="54"/>
  <c r="BG121" i="54"/>
  <c r="BD121" i="54"/>
  <c r="T115" i="54"/>
  <c r="BE115" i="54" s="1"/>
  <c r="AO120" i="54"/>
  <c r="AH120" i="54"/>
  <c r="BG122" i="54"/>
  <c r="BD122" i="54"/>
  <c r="AO122" i="54"/>
  <c r="AH122" i="54"/>
  <c r="T120" i="54"/>
  <c r="AV120" i="54" s="1"/>
  <c r="BG120" i="54"/>
  <c r="BD120" i="54"/>
  <c r="AU120" i="54"/>
  <c r="AU115" i="54"/>
  <c r="BG115" i="54"/>
  <c r="BD115" i="54"/>
  <c r="AO115" i="54"/>
  <c r="AH115" i="54"/>
  <c r="AB115" i="54"/>
  <c r="BJ115" i="54" s="1"/>
  <c r="AC347" i="54"/>
  <c r="BK347" i="54" s="1"/>
  <c r="AW274" i="54"/>
  <c r="AJ274" i="54"/>
  <c r="BB274" i="54"/>
  <c r="BB273" i="54"/>
  <c r="BA115" i="54"/>
  <c r="U120" i="54"/>
  <c r="AJ120" i="54" s="1"/>
  <c r="BE120" i="54"/>
  <c r="AI120" i="54"/>
  <c r="AP120" i="54"/>
  <c r="V120" i="54"/>
  <c r="AK120" i="54" s="1"/>
  <c r="BJ121" i="54"/>
  <c r="BI196" i="54"/>
  <c r="BI191" i="54"/>
  <c r="BI347" i="54"/>
  <c r="BI122" i="54"/>
  <c r="BI120" i="54"/>
  <c r="B83" i="54"/>
  <c r="AD38" i="54"/>
  <c r="AM38" i="54"/>
  <c r="AI38" i="54"/>
  <c r="U38" i="54"/>
  <c r="Z38" i="54" s="1"/>
  <c r="AL38" i="54"/>
  <c r="AH38" i="54"/>
  <c r="AO38" i="54"/>
  <c r="AC38" i="54"/>
  <c r="Y38" i="54"/>
  <c r="O51" i="54"/>
  <c r="AR38" i="54"/>
  <c r="AE38" i="54"/>
  <c r="AQ38" i="54"/>
  <c r="P387" i="54"/>
  <c r="E534" i="54" s="1"/>
  <c r="L460" i="54" l="1"/>
  <c r="V460" i="54" s="1"/>
  <c r="P390" i="54"/>
  <c r="E537" i="54" s="1"/>
  <c r="O355" i="54"/>
  <c r="O278" i="54"/>
  <c r="O128" i="54"/>
  <c r="O353" i="52"/>
  <c r="O280" i="52"/>
  <c r="O127" i="52"/>
  <c r="O126" i="52"/>
  <c r="AB23" i="44"/>
  <c r="V44" i="34"/>
  <c r="C81" i="34" s="1"/>
  <c r="O81" i="34" s="1"/>
  <c r="S53" i="34" s="1"/>
  <c r="O65" i="34"/>
  <c r="S51" i="34" s="1"/>
  <c r="O43" i="34"/>
  <c r="S48" i="34" s="1"/>
  <c r="V44" i="40"/>
  <c r="U44" i="40"/>
  <c r="C72" i="40" s="1"/>
  <c r="O72" i="40" s="1"/>
  <c r="S52" i="40" s="1"/>
  <c r="T44" i="40"/>
  <c r="S44" i="40"/>
  <c r="C54" i="40" s="1"/>
  <c r="O54" i="40" s="1"/>
  <c r="S49" i="40" s="1"/>
  <c r="O41" i="40"/>
  <c r="S47" i="40" s="1"/>
  <c r="V75" i="25"/>
  <c r="P75" i="25" s="1"/>
  <c r="R75" i="25" s="1"/>
  <c r="V76" i="25"/>
  <c r="P76" i="25" s="1"/>
  <c r="R76" i="25" s="1"/>
  <c r="V69" i="25"/>
  <c r="P69" i="25" s="1"/>
  <c r="R69" i="25" s="1"/>
  <c r="V67" i="25"/>
  <c r="P67" i="25" s="1"/>
  <c r="R67" i="25" s="1"/>
  <c r="V66" i="25"/>
  <c r="P66" i="25" s="1"/>
  <c r="R66" i="25" s="1"/>
  <c r="V65" i="25"/>
  <c r="P65" i="25" s="1"/>
  <c r="R65" i="25" s="1"/>
  <c r="Z19" i="34"/>
  <c r="Z19" i="40"/>
  <c r="Y18" i="40"/>
  <c r="Z21" i="41"/>
  <c r="Z21" i="27"/>
  <c r="G223" i="50"/>
  <c r="G225" i="50"/>
  <c r="AN407" i="52"/>
  <c r="Y394" i="52"/>
  <c r="V394" i="52" s="1"/>
  <c r="BI64" i="55" s="1"/>
  <c r="BJ64" i="55" s="1"/>
  <c r="BK64" i="55" s="1"/>
  <c r="V610" i="54"/>
  <c r="I610" i="54" s="1"/>
  <c r="R610" i="54" s="1"/>
  <c r="Y406" i="54"/>
  <c r="V406" i="54" s="1"/>
  <c r="AY76" i="55" s="1"/>
  <c r="AZ76" i="55" s="1"/>
  <c r="BA76" i="55" s="1"/>
  <c r="AN407" i="54"/>
  <c r="V77" i="25"/>
  <c r="P77" i="25" s="1"/>
  <c r="R77" i="25" s="1"/>
  <c r="K164" i="37"/>
  <c r="R164" i="37" s="1"/>
  <c r="K162" i="37"/>
  <c r="R162" i="37" s="1"/>
  <c r="K163" i="37"/>
  <c r="R163" i="37" s="1"/>
  <c r="K165" i="37"/>
  <c r="R165" i="37" s="1"/>
  <c r="K161" i="37"/>
  <c r="R161" i="37" s="1"/>
  <c r="K159" i="37"/>
  <c r="R159" i="37" s="1"/>
  <c r="K160" i="37"/>
  <c r="R160" i="37" s="1"/>
  <c r="K158" i="37"/>
  <c r="R158" i="37" s="1"/>
  <c r="K156" i="37"/>
  <c r="R156" i="37" s="1"/>
  <c r="K157" i="37"/>
  <c r="R157" i="37" s="1"/>
  <c r="K111" i="37"/>
  <c r="R111" i="37" s="1"/>
  <c r="K101" i="37"/>
  <c r="R101" i="37" s="1"/>
  <c r="K108" i="37"/>
  <c r="R108" i="37" s="1"/>
  <c r="K97" i="37"/>
  <c r="R97" i="37" s="1"/>
  <c r="K102" i="37"/>
  <c r="R102" i="37" s="1"/>
  <c r="P72" i="25"/>
  <c r="R72" i="25" s="1"/>
  <c r="P71" i="25"/>
  <c r="R71" i="25" s="1"/>
  <c r="K52" i="37"/>
  <c r="R52" i="37" s="1"/>
  <c r="K41" i="37"/>
  <c r="R41" i="37" s="1"/>
  <c r="K50" i="37"/>
  <c r="R50" i="37" s="1"/>
  <c r="U59" i="37"/>
  <c r="U60" i="37" s="1"/>
  <c r="U61" i="37" s="1"/>
  <c r="P58" i="37" s="1"/>
  <c r="G96" i="37" s="1"/>
  <c r="AG24" i="37"/>
  <c r="AJ24" i="37" s="1"/>
  <c r="P31" i="40"/>
  <c r="E96" i="40" s="1"/>
  <c r="W96" i="40" s="1"/>
  <c r="I96" i="40" s="1"/>
  <c r="S96" i="40" s="1"/>
  <c r="O396" i="48"/>
  <c r="P415" i="48"/>
  <c r="E460" i="48" s="1"/>
  <c r="Y460" i="48" s="1"/>
  <c r="J460" i="48" s="1"/>
  <c r="S460" i="48" s="1"/>
  <c r="O397" i="48"/>
  <c r="O399" i="48"/>
  <c r="B412" i="48"/>
  <c r="Y382" i="48"/>
  <c r="V382" i="48" s="1"/>
  <c r="AW62" i="51" s="1"/>
  <c r="AX62" i="51" s="1"/>
  <c r="AY62" i="51" s="1"/>
  <c r="W134" i="48"/>
  <c r="V134" i="48" s="1"/>
  <c r="AW24" i="51" s="1"/>
  <c r="AX24" i="51" s="1"/>
  <c r="AY24" i="51" s="1"/>
  <c r="O398" i="48"/>
  <c r="Y397" i="48" s="1"/>
  <c r="F289" i="48"/>
  <c r="M289" i="48" s="1"/>
  <c r="P413" i="48"/>
  <c r="E458" i="48" s="1"/>
  <c r="Y458" i="48" s="1"/>
  <c r="J458" i="48" s="1"/>
  <c r="S458" i="48" s="1"/>
  <c r="P416" i="48"/>
  <c r="E461" i="48" s="1"/>
  <c r="Y461" i="48" s="1"/>
  <c r="J461" i="48" s="1"/>
  <c r="S461" i="48" s="1"/>
  <c r="M318" i="48"/>
  <c r="W117" i="50"/>
  <c r="J117" i="50" s="1"/>
  <c r="BD55" i="55"/>
  <c r="BE55" i="55" s="1"/>
  <c r="BF55" i="55" s="1"/>
  <c r="E323" i="52" s="1"/>
  <c r="W453" i="52"/>
  <c r="P453" i="52"/>
  <c r="AE453" i="52" s="1"/>
  <c r="AF453" i="52" s="1"/>
  <c r="V371" i="52"/>
  <c r="Y371" i="52"/>
  <c r="V304" i="52"/>
  <c r="Y304" i="52"/>
  <c r="V229" i="52"/>
  <c r="Y229" i="52"/>
  <c r="V141" i="52"/>
  <c r="Y141" i="52"/>
  <c r="I141" i="52" s="1"/>
  <c r="R141" i="52" s="1"/>
  <c r="AH274" i="52"/>
  <c r="V368" i="52"/>
  <c r="Y368" i="52"/>
  <c r="V296" i="52"/>
  <c r="Y296" i="52"/>
  <c r="T40" i="52"/>
  <c r="Y40" i="52" s="1"/>
  <c r="AR40" i="52" s="1"/>
  <c r="BG274" i="52"/>
  <c r="V450" i="52"/>
  <c r="BD268" i="52"/>
  <c r="AH273" i="52"/>
  <c r="V379" i="52"/>
  <c r="Y379" i="52"/>
  <c r="O354" i="52"/>
  <c r="V295" i="52"/>
  <c r="Y295" i="52"/>
  <c r="V228" i="52"/>
  <c r="Y228" i="52"/>
  <c r="T126" i="52"/>
  <c r="AZ268" i="52"/>
  <c r="AH33" i="52"/>
  <c r="V74" i="52"/>
  <c r="Y74" i="52"/>
  <c r="I74" i="52" s="1"/>
  <c r="R74" i="52" s="1"/>
  <c r="V69" i="52"/>
  <c r="Y69" i="52"/>
  <c r="T33" i="52"/>
  <c r="AO33" i="52"/>
  <c r="V369" i="52"/>
  <c r="Y369" i="52"/>
  <c r="AD39" i="52"/>
  <c r="BG273" i="52"/>
  <c r="AU267" i="52"/>
  <c r="AB120" i="52"/>
  <c r="BJ120" i="52" s="1"/>
  <c r="T34" i="52"/>
  <c r="T35" i="52"/>
  <c r="BG197" i="52"/>
  <c r="V378" i="52"/>
  <c r="Y378" i="52"/>
  <c r="V294" i="52"/>
  <c r="Y294" i="52"/>
  <c r="T196" i="52"/>
  <c r="B159" i="52"/>
  <c r="V138" i="52"/>
  <c r="Y138" i="52"/>
  <c r="I138" i="52" s="1"/>
  <c r="R138" i="52" s="1"/>
  <c r="V142" i="52"/>
  <c r="Y142" i="52"/>
  <c r="I142" i="52" s="1"/>
  <c r="R142" i="52" s="1"/>
  <c r="V70" i="52"/>
  <c r="Y70" i="52"/>
  <c r="V218" i="52"/>
  <c r="Y218" i="52"/>
  <c r="P390" i="52"/>
  <c r="E537" i="52" s="1"/>
  <c r="V537" i="52" s="1"/>
  <c r="I537" i="52" s="1"/>
  <c r="R537" i="52" s="1"/>
  <c r="V377" i="52"/>
  <c r="Y377" i="52"/>
  <c r="I377" i="52" s="1"/>
  <c r="R377" i="52" s="1"/>
  <c r="BG344" i="52"/>
  <c r="V301" i="52"/>
  <c r="Y301" i="52"/>
  <c r="I301" i="52" s="1"/>
  <c r="R301" i="52" s="1"/>
  <c r="AU274" i="52"/>
  <c r="AO196" i="52"/>
  <c r="V221" i="52"/>
  <c r="Y221" i="52"/>
  <c r="V144" i="52"/>
  <c r="Y144" i="52"/>
  <c r="I144" i="52" s="1"/>
  <c r="R144" i="52" s="1"/>
  <c r="V72" i="52"/>
  <c r="Y72" i="52"/>
  <c r="V219" i="52"/>
  <c r="Y219" i="52"/>
  <c r="Y75" i="52"/>
  <c r="I75" i="52" s="1"/>
  <c r="R75" i="52" s="1"/>
  <c r="AO274" i="52"/>
  <c r="AU344" i="52"/>
  <c r="AO197" i="52"/>
  <c r="F459" i="52"/>
  <c r="AZ348" i="52"/>
  <c r="BD117" i="52"/>
  <c r="AU197" i="52"/>
  <c r="L458" i="52"/>
  <c r="P389" i="52"/>
  <c r="E536" i="52" s="1"/>
  <c r="V536" i="52" s="1"/>
  <c r="I536" i="52" s="1"/>
  <c r="R536" i="52" s="1"/>
  <c r="AH344" i="52"/>
  <c r="V220" i="52"/>
  <c r="Y220" i="52"/>
  <c r="V152" i="52"/>
  <c r="Y152" i="52"/>
  <c r="V143" i="52"/>
  <c r="Y143" i="52"/>
  <c r="I143" i="52" s="1"/>
  <c r="R143" i="52" s="1"/>
  <c r="V71" i="52"/>
  <c r="Y71" i="52"/>
  <c r="AC38" i="52"/>
  <c r="L506" i="52"/>
  <c r="L491" i="52"/>
  <c r="V491" i="52" s="1"/>
  <c r="L479" i="52"/>
  <c r="W479" i="52" s="1"/>
  <c r="L485" i="52"/>
  <c r="V370" i="52"/>
  <c r="Y253" i="52"/>
  <c r="V253" i="52" s="1"/>
  <c r="BI47" i="55" s="1"/>
  <c r="BJ47" i="55" s="1"/>
  <c r="BK47" i="55" s="1"/>
  <c r="V150" i="52"/>
  <c r="Y150" i="52"/>
  <c r="I150" i="52" s="1"/>
  <c r="R150" i="52" s="1"/>
  <c r="V608" i="54"/>
  <c r="I608" i="54" s="1"/>
  <c r="R608" i="54" s="1"/>
  <c r="I172" i="54"/>
  <c r="R175" i="54" s="1"/>
  <c r="Y227" i="54"/>
  <c r="I227" i="54" s="1"/>
  <c r="R227" i="54" s="1"/>
  <c r="V227" i="54"/>
  <c r="AB122" i="54"/>
  <c r="BJ122" i="54" s="1"/>
  <c r="AO34" i="54"/>
  <c r="O204" i="54"/>
  <c r="AH344" i="54"/>
  <c r="AH34" i="54"/>
  <c r="AB348" i="54"/>
  <c r="BJ348" i="54" s="1"/>
  <c r="V225" i="54"/>
  <c r="V545" i="54"/>
  <c r="I545" i="54" s="1"/>
  <c r="R545" i="54" s="1"/>
  <c r="AV122" i="54"/>
  <c r="AP348" i="54"/>
  <c r="T344" i="54"/>
  <c r="AL34" i="54"/>
  <c r="AJ273" i="54"/>
  <c r="BA348" i="54"/>
  <c r="O354" i="54"/>
  <c r="O280" i="54"/>
  <c r="AU269" i="54"/>
  <c r="AU344" i="54"/>
  <c r="AC120" i="54"/>
  <c r="BK120" i="54" s="1"/>
  <c r="BA120" i="54"/>
  <c r="AW273" i="54"/>
  <c r="AH269" i="54"/>
  <c r="AZ344" i="54"/>
  <c r="AM34" i="54"/>
  <c r="V556" i="54"/>
  <c r="I556" i="54" s="1"/>
  <c r="R556" i="54" s="1"/>
  <c r="Y294" i="54"/>
  <c r="I294" i="54" s="1"/>
  <c r="R294" i="54" s="1"/>
  <c r="AQ273" i="54"/>
  <c r="AW120" i="54"/>
  <c r="BD269" i="54"/>
  <c r="BG344" i="54"/>
  <c r="AD34" i="54"/>
  <c r="BD344" i="54"/>
  <c r="V555" i="54"/>
  <c r="I555" i="54" s="1"/>
  <c r="R555" i="54" s="1"/>
  <c r="V377" i="54"/>
  <c r="Y377" i="54"/>
  <c r="I377" i="54" s="1"/>
  <c r="R377" i="54" s="1"/>
  <c r="BD117" i="54"/>
  <c r="T193" i="54"/>
  <c r="BG269" i="54"/>
  <c r="AI34" i="54"/>
  <c r="V290" i="54"/>
  <c r="Y290" i="54"/>
  <c r="I290" i="54" s="1"/>
  <c r="R290" i="54" s="1"/>
  <c r="Y576" i="54"/>
  <c r="V576" i="54" s="1"/>
  <c r="AY86" i="55" s="1"/>
  <c r="AZ86" i="55" s="1"/>
  <c r="BA86" i="55" s="1"/>
  <c r="V546" i="54"/>
  <c r="I546" i="54" s="1"/>
  <c r="R546" i="54" s="1"/>
  <c r="Y218" i="54"/>
  <c r="I218" i="54" s="1"/>
  <c r="R218" i="54" s="1"/>
  <c r="AZ117" i="54"/>
  <c r="AC34" i="54"/>
  <c r="AO269" i="54"/>
  <c r="F479" i="54"/>
  <c r="L476" i="54"/>
  <c r="W476" i="54" s="1"/>
  <c r="F475" i="54"/>
  <c r="I544" i="54"/>
  <c r="R544" i="54" s="1"/>
  <c r="V534" i="54"/>
  <c r="I534" i="54" s="1"/>
  <c r="R534" i="54" s="1"/>
  <c r="V537" i="54"/>
  <c r="I537" i="54" s="1"/>
  <c r="R537" i="54" s="1"/>
  <c r="I549" i="54"/>
  <c r="R549" i="54" s="1"/>
  <c r="I550" i="54"/>
  <c r="R550" i="54" s="1"/>
  <c r="I547" i="54"/>
  <c r="R547" i="54" s="1"/>
  <c r="I548" i="54"/>
  <c r="R548" i="54" s="1"/>
  <c r="V302" i="54"/>
  <c r="Y302" i="54"/>
  <c r="I302" i="54" s="1"/>
  <c r="R302" i="54" s="1"/>
  <c r="V148" i="54"/>
  <c r="V61" i="54"/>
  <c r="Y61" i="54"/>
  <c r="I61" i="54" s="1"/>
  <c r="R61" i="54" s="1"/>
  <c r="P13" i="54"/>
  <c r="E64" i="54" s="1"/>
  <c r="Y64" i="54" s="1"/>
  <c r="I64" i="54" s="1"/>
  <c r="R64" i="54" s="1"/>
  <c r="AS66" i="44"/>
  <c r="AT66" i="44" s="1"/>
  <c r="AN66" i="44"/>
  <c r="AO66" i="44" s="1"/>
  <c r="Y24" i="54"/>
  <c r="V24" i="54" s="1"/>
  <c r="AY8" i="55" s="1"/>
  <c r="AZ8" i="55" s="1"/>
  <c r="BA8" i="55" s="1"/>
  <c r="Y20" i="27"/>
  <c r="W7" i="40"/>
  <c r="V7" i="40" s="1"/>
  <c r="AE3" i="35" s="1"/>
  <c r="AF3" i="35" s="1"/>
  <c r="AG3" i="35" s="1"/>
  <c r="I7" i="40" s="1"/>
  <c r="AF140" i="37"/>
  <c r="AI140" i="37" s="1"/>
  <c r="AG140" i="37"/>
  <c r="AJ140" i="37" s="1"/>
  <c r="N88" i="37"/>
  <c r="N30" i="37"/>
  <c r="C51" i="39"/>
  <c r="S51" i="39" s="1"/>
  <c r="C61" i="60"/>
  <c r="V14" i="31"/>
  <c r="M15" i="31" s="1"/>
  <c r="S14" i="31" s="1"/>
  <c r="P11" i="31" s="1"/>
  <c r="S19" i="31" s="1"/>
  <c r="T18" i="31" s="1"/>
  <c r="U21" i="26"/>
  <c r="U20" i="26"/>
  <c r="U19" i="26"/>
  <c r="V19" i="26" s="1"/>
  <c r="W19" i="26" s="1"/>
  <c r="AS78" i="37"/>
  <c r="AV78" i="37" s="1"/>
  <c r="AR78" i="37"/>
  <c r="AT78" i="37" s="1"/>
  <c r="N146" i="37"/>
  <c r="AF24" i="37"/>
  <c r="AI24" i="37" s="1"/>
  <c r="W17" i="41"/>
  <c r="V17" i="41" s="1"/>
  <c r="AE11" i="28" s="1"/>
  <c r="AF11" i="28" s="1"/>
  <c r="AG11" i="28" s="1"/>
  <c r="W13" i="41"/>
  <c r="V13" i="41" s="1"/>
  <c r="AE7" i="28" s="1"/>
  <c r="AF7" i="28" s="1"/>
  <c r="AG7" i="28" s="1"/>
  <c r="I13" i="41" s="1"/>
  <c r="I11" i="41"/>
  <c r="I17" i="41"/>
  <c r="W15" i="41"/>
  <c r="V15" i="41" s="1"/>
  <c r="AE9" i="28" s="1"/>
  <c r="AF9" i="28" s="1"/>
  <c r="AG9" i="28" s="1"/>
  <c r="I15" i="41" s="1"/>
  <c r="W9" i="41"/>
  <c r="V9" i="41" s="1"/>
  <c r="AE3" i="28" s="1"/>
  <c r="AF3" i="28" s="1"/>
  <c r="AG3" i="28" s="1"/>
  <c r="I9" i="41" s="1"/>
  <c r="Y20" i="41"/>
  <c r="W19" i="41"/>
  <c r="V19" i="41" s="1"/>
  <c r="AE13" i="28" s="1"/>
  <c r="AF13" i="28" s="1"/>
  <c r="AG13" i="28" s="1"/>
  <c r="I19" i="41" s="1"/>
  <c r="Z20" i="41"/>
  <c r="Z20" i="27"/>
  <c r="G10" i="27" s="1"/>
  <c r="I17" i="27"/>
  <c r="W13" i="27"/>
  <c r="V13" i="27" s="1"/>
  <c r="U7" i="28" s="1"/>
  <c r="V7" i="28" s="1"/>
  <c r="W7" i="28" s="1"/>
  <c r="I13" i="27" s="1"/>
  <c r="I11" i="27"/>
  <c r="W9" i="27"/>
  <c r="V9" i="27" s="1"/>
  <c r="U3" i="28" s="1"/>
  <c r="V3" i="28" s="1"/>
  <c r="W3" i="28" s="1"/>
  <c r="I9" i="27" s="1"/>
  <c r="C63" i="40"/>
  <c r="O63" i="40" s="1"/>
  <c r="S50" i="40" s="1"/>
  <c r="T44" i="34"/>
  <c r="C63" i="34" s="1"/>
  <c r="O63" i="34" s="1"/>
  <c r="S50" i="34" s="1"/>
  <c r="U44" i="34"/>
  <c r="S44" i="34"/>
  <c r="O41" i="34"/>
  <c r="S47" i="34" s="1"/>
  <c r="C54" i="34"/>
  <c r="O54" i="34" s="1"/>
  <c r="S49" i="34" s="1"/>
  <c r="C72" i="34"/>
  <c r="O72" i="34" s="1"/>
  <c r="S52" i="34" s="1"/>
  <c r="O83" i="34"/>
  <c r="S54" i="34" s="1"/>
  <c r="W13" i="40"/>
  <c r="V13" i="40" s="1"/>
  <c r="AE9" i="35" s="1"/>
  <c r="AF9" i="35" s="1"/>
  <c r="AG9" i="35" s="1"/>
  <c r="W15" i="34"/>
  <c r="V15" i="34" s="1"/>
  <c r="U11" i="35" s="1"/>
  <c r="V11" i="35" s="1"/>
  <c r="W11" i="35" s="1"/>
  <c r="I15" i="34" s="1"/>
  <c r="W11" i="34"/>
  <c r="V11" i="34" s="1"/>
  <c r="U7" i="35" s="1"/>
  <c r="V7" i="35" s="1"/>
  <c r="W7" i="35" s="1"/>
  <c r="I9" i="34"/>
  <c r="W17" i="34"/>
  <c r="V17" i="34" s="1"/>
  <c r="U13" i="35" s="1"/>
  <c r="V13" i="35" s="1"/>
  <c r="W13" i="35" s="1"/>
  <c r="I17" i="34" s="1"/>
  <c r="I17" i="40"/>
  <c r="Y18" i="34"/>
  <c r="Z7" i="35"/>
  <c r="AA7" i="35" s="1"/>
  <c r="AB7" i="35" s="1"/>
  <c r="E11" i="40" s="1"/>
  <c r="I11" i="40" s="1"/>
  <c r="W13" i="34"/>
  <c r="V13" i="34" s="1"/>
  <c r="U9" i="35" s="1"/>
  <c r="V9" i="35" s="1"/>
  <c r="W9" i="35" s="1"/>
  <c r="I13" i="34" s="1"/>
  <c r="P7" i="35"/>
  <c r="Q7" i="35" s="1"/>
  <c r="R7" i="35" s="1"/>
  <c r="E11" i="34" s="1"/>
  <c r="I11" i="34" s="1"/>
  <c r="AM13" i="44"/>
  <c r="S13" i="44" s="1"/>
  <c r="AO8" i="44"/>
  <c r="AF7" i="44" s="1"/>
  <c r="K28" i="44"/>
  <c r="AM28" i="44" s="1"/>
  <c r="AM27" i="44"/>
  <c r="K23" i="44"/>
  <c r="AR23" i="44" s="1"/>
  <c r="C45" i="39"/>
  <c r="S45" i="39" s="1"/>
  <c r="C55" i="60"/>
  <c r="S43" i="22"/>
  <c r="S48" i="22"/>
  <c r="S42" i="22"/>
  <c r="S41" i="22"/>
  <c r="S47" i="22"/>
  <c r="S50" i="22"/>
  <c r="S46" i="22"/>
  <c r="S49" i="22"/>
  <c r="S45" i="22"/>
  <c r="S44" i="22"/>
  <c r="T10" i="23"/>
  <c r="T6" i="23"/>
  <c r="T9" i="23"/>
  <c r="T7" i="23"/>
  <c r="T5" i="23"/>
  <c r="T8" i="23"/>
  <c r="T11" i="23"/>
  <c r="C41" i="39"/>
  <c r="S41" i="39" s="1"/>
  <c r="C51" i="60"/>
  <c r="M17" i="32"/>
  <c r="T73" i="60"/>
  <c r="C73" i="60"/>
  <c r="T72" i="60"/>
  <c r="C72" i="60"/>
  <c r="T74" i="60"/>
  <c r="C74" i="60"/>
  <c r="Y91" i="52"/>
  <c r="V91" i="52" s="1"/>
  <c r="BI12" i="55" s="1"/>
  <c r="BJ12" i="55" s="1"/>
  <c r="BK12" i="55" s="1"/>
  <c r="E467" i="48"/>
  <c r="Y467" i="48" s="1"/>
  <c r="W280" i="48"/>
  <c r="W318" i="48"/>
  <c r="M316" i="48"/>
  <c r="AM30" i="44"/>
  <c r="K25" i="44"/>
  <c r="AR25" i="44" s="1"/>
  <c r="K24" i="44"/>
  <c r="AM26" i="44"/>
  <c r="AB27" i="44"/>
  <c r="AO27" i="44" s="1"/>
  <c r="AM29" i="44"/>
  <c r="AO13" i="44"/>
  <c r="Z18" i="34"/>
  <c r="I7" i="34"/>
  <c r="W230" i="48"/>
  <c r="V230" i="48" s="1"/>
  <c r="AW44" i="51" s="1"/>
  <c r="AX44" i="51" s="1"/>
  <c r="AY44" i="51" s="1"/>
  <c r="V303" i="52"/>
  <c r="Y303" i="52"/>
  <c r="V151" i="52"/>
  <c r="Y151" i="52"/>
  <c r="V77" i="52"/>
  <c r="Y77" i="52"/>
  <c r="W24" i="52"/>
  <c r="V76" i="52"/>
  <c r="Y76" i="52"/>
  <c r="Y248" i="54"/>
  <c r="V248" i="54" s="1"/>
  <c r="AY42" i="55" s="1"/>
  <c r="AZ42" i="55" s="1"/>
  <c r="BA42" i="55" s="1"/>
  <c r="I248" i="54"/>
  <c r="I96" i="54"/>
  <c r="Y91" i="54"/>
  <c r="V91" i="54" s="1"/>
  <c r="AY12" i="55" s="1"/>
  <c r="AZ12" i="55" s="1"/>
  <c r="BA12" i="55" s="1"/>
  <c r="AT8" i="55"/>
  <c r="AU8" i="55" s="1"/>
  <c r="AV8" i="55" s="1"/>
  <c r="E24" i="54" s="1"/>
  <c r="I24" i="54" s="1"/>
  <c r="V370" i="54"/>
  <c r="I370" i="54"/>
  <c r="R370" i="54" s="1"/>
  <c r="I295" i="54"/>
  <c r="R295" i="54" s="1"/>
  <c r="V295" i="54"/>
  <c r="V220" i="54"/>
  <c r="I220" i="54"/>
  <c r="R220" i="54" s="1"/>
  <c r="V149" i="54"/>
  <c r="AB267" i="54"/>
  <c r="BJ267" i="54" s="1"/>
  <c r="U267" i="54"/>
  <c r="BE267" i="54"/>
  <c r="AV267" i="54"/>
  <c r="AI267" i="54"/>
  <c r="AP267" i="54"/>
  <c r="BA267" i="54"/>
  <c r="V122" i="54"/>
  <c r="AD122" i="54" s="1"/>
  <c r="BL122" i="54" s="1"/>
  <c r="AC122" i="54"/>
  <c r="BK122" i="54" s="1"/>
  <c r="AQ122" i="54"/>
  <c r="AW122" i="54"/>
  <c r="AJ122" i="54"/>
  <c r="BB122" i="54"/>
  <c r="T354" i="54"/>
  <c r="V371" i="54"/>
  <c r="I371" i="54"/>
  <c r="R371" i="54" s="1"/>
  <c r="AM35" i="54"/>
  <c r="AD35" i="54"/>
  <c r="AI35" i="54"/>
  <c r="U35" i="54"/>
  <c r="Z35" i="54" s="1"/>
  <c r="AS35" i="54" s="1"/>
  <c r="Y35" i="54"/>
  <c r="AR35" i="54" s="1"/>
  <c r="BD193" i="54"/>
  <c r="AV348" i="54"/>
  <c r="AP122" i="54"/>
  <c r="AC39" i="54"/>
  <c r="F474" i="54"/>
  <c r="L474" i="54" s="1"/>
  <c r="V474" i="54" s="1"/>
  <c r="E215" i="54"/>
  <c r="Y215" i="54" s="1"/>
  <c r="I215" i="54" s="1"/>
  <c r="R215" i="54" s="1"/>
  <c r="AB120" i="54"/>
  <c r="BJ120" i="54" s="1"/>
  <c r="AI115" i="54"/>
  <c r="AP193" i="54"/>
  <c r="BE348" i="54"/>
  <c r="V347" i="54"/>
  <c r="W347" i="54" s="1"/>
  <c r="X347" i="54" s="1"/>
  <c r="AM347" i="54" s="1"/>
  <c r="AI122" i="54"/>
  <c r="AU193" i="54"/>
  <c r="AI196" i="54"/>
  <c r="AD40" i="54"/>
  <c r="AL39" i="54"/>
  <c r="AH39" i="54"/>
  <c r="AT82" i="55"/>
  <c r="AU82" i="55" s="1"/>
  <c r="AV82" i="55" s="1"/>
  <c r="E572" i="54" s="1"/>
  <c r="AH343" i="54"/>
  <c r="W460" i="54"/>
  <c r="V379" i="54"/>
  <c r="Y379" i="54"/>
  <c r="V369" i="54"/>
  <c r="I369" i="54"/>
  <c r="R369" i="54" s="1"/>
  <c r="V303" i="54"/>
  <c r="I303" i="54"/>
  <c r="R303" i="54" s="1"/>
  <c r="O202" i="54"/>
  <c r="AO196" i="54"/>
  <c r="V72" i="54"/>
  <c r="Y72" i="54"/>
  <c r="I72" i="54" s="1"/>
  <c r="R72" i="54" s="1"/>
  <c r="P12" i="54"/>
  <c r="E63" i="54" s="1"/>
  <c r="Y63" i="54" s="1"/>
  <c r="I63" i="54" s="1"/>
  <c r="R63" i="54" s="1"/>
  <c r="L471" i="54"/>
  <c r="AJ121" i="54"/>
  <c r="L458" i="54"/>
  <c r="W458" i="54" s="1"/>
  <c r="V121" i="54"/>
  <c r="AK121" i="54" s="1"/>
  <c r="F472" i="54"/>
  <c r="BG193" i="54"/>
  <c r="BD343" i="54"/>
  <c r="F478" i="54"/>
  <c r="L478" i="54" s="1"/>
  <c r="AP115" i="54"/>
  <c r="BE193" i="54"/>
  <c r="AI348" i="54"/>
  <c r="U344" i="54"/>
  <c r="AW347" i="54"/>
  <c r="BE122" i="54"/>
  <c r="AZ193" i="54"/>
  <c r="AZ269" i="54"/>
  <c r="T39" i="54"/>
  <c r="AZ196" i="54"/>
  <c r="AU117" i="54"/>
  <c r="Y319" i="54"/>
  <c r="V319" i="54" s="1"/>
  <c r="AY51" i="55" s="1"/>
  <c r="AZ51" i="55" s="1"/>
  <c r="BA51" i="55" s="1"/>
  <c r="L475" i="54"/>
  <c r="V475" i="54" s="1"/>
  <c r="F477" i="54"/>
  <c r="L477" i="54" s="1"/>
  <c r="V477" i="54" s="1"/>
  <c r="F461" i="54"/>
  <c r="L461" i="54" s="1"/>
  <c r="V461" i="54" s="1"/>
  <c r="V368" i="54"/>
  <c r="I368" i="54"/>
  <c r="R368" i="54" s="1"/>
  <c r="Y323" i="54"/>
  <c r="V323" i="54" s="1"/>
  <c r="AY55" i="55" s="1"/>
  <c r="AZ55" i="55" s="1"/>
  <c r="BA55" i="55" s="1"/>
  <c r="I323" i="54" s="1"/>
  <c r="R326" i="54" s="1"/>
  <c r="AH196" i="54"/>
  <c r="O126" i="54"/>
  <c r="BG117" i="54"/>
  <c r="AH193" i="54"/>
  <c r="T343" i="54"/>
  <c r="AZ343" i="54"/>
  <c r="V229" i="54"/>
  <c r="Y229" i="54"/>
  <c r="V221" i="54"/>
  <c r="I221" i="54"/>
  <c r="R221" i="54" s="1"/>
  <c r="V143" i="54"/>
  <c r="I143" i="54"/>
  <c r="R143" i="54" s="1"/>
  <c r="V70" i="54"/>
  <c r="Y70" i="54"/>
  <c r="I70" i="54" s="1"/>
  <c r="R70" i="54" s="1"/>
  <c r="AQ120" i="54"/>
  <c r="AV115" i="54"/>
  <c r="AV193" i="54"/>
  <c r="BA122" i="54"/>
  <c r="V478" i="54"/>
  <c r="P444" i="54"/>
  <c r="E558" i="54" s="1"/>
  <c r="V558" i="54" s="1"/>
  <c r="AO343" i="54"/>
  <c r="V294" i="54"/>
  <c r="V142" i="54"/>
  <c r="I142" i="54"/>
  <c r="R142" i="54" s="1"/>
  <c r="V69" i="54"/>
  <c r="Y69" i="54"/>
  <c r="I69" i="54" s="1"/>
  <c r="R69" i="54" s="1"/>
  <c r="BA193" i="54"/>
  <c r="AJ40" i="54"/>
  <c r="V228" i="54"/>
  <c r="I228" i="54"/>
  <c r="R228" i="54" s="1"/>
  <c r="BG196" i="54"/>
  <c r="V141" i="54"/>
  <c r="I141" i="54"/>
  <c r="R141" i="54" s="1"/>
  <c r="V144" i="54"/>
  <c r="I144" i="54"/>
  <c r="R144" i="54" s="1"/>
  <c r="V71" i="54"/>
  <c r="Y71" i="54"/>
  <c r="I71" i="54" s="1"/>
  <c r="R71" i="54" s="1"/>
  <c r="U115" i="54"/>
  <c r="BB115" i="54" s="1"/>
  <c r="W478" i="54"/>
  <c r="F480" i="54"/>
  <c r="L480" i="54" s="1"/>
  <c r="V293" i="54"/>
  <c r="I293" i="54"/>
  <c r="R293" i="54" s="1"/>
  <c r="BD196" i="54"/>
  <c r="V219" i="54"/>
  <c r="I219" i="54"/>
  <c r="R219" i="54" s="1"/>
  <c r="V152" i="54"/>
  <c r="Y152" i="54"/>
  <c r="T116" i="54"/>
  <c r="AB273" i="54"/>
  <c r="BJ273" i="54" s="1"/>
  <c r="V304" i="54"/>
  <c r="Y304" i="54"/>
  <c r="V296" i="54"/>
  <c r="I296" i="54"/>
  <c r="R296" i="54" s="1"/>
  <c r="AU196" i="54"/>
  <c r="T349" i="54"/>
  <c r="W378" i="48"/>
  <c r="W224" i="48"/>
  <c r="V224" i="48" s="1"/>
  <c r="AW38" i="51" s="1"/>
  <c r="AX38" i="51" s="1"/>
  <c r="AY38" i="51" s="1"/>
  <c r="Y222" i="48"/>
  <c r="E465" i="48"/>
  <c r="Y465" i="48" s="1"/>
  <c r="E468" i="48"/>
  <c r="Y468" i="48" s="1"/>
  <c r="W174" i="48"/>
  <c r="V174" i="48" s="1"/>
  <c r="AW30" i="51" s="1"/>
  <c r="AX30" i="51" s="1"/>
  <c r="AY30" i="51" s="1"/>
  <c r="G175" i="48"/>
  <c r="Y137" i="48"/>
  <c r="Y97" i="48"/>
  <c r="F311" i="48"/>
  <c r="M311" i="48" s="1"/>
  <c r="V311" i="48" s="1"/>
  <c r="Y384" i="48"/>
  <c r="V384" i="48" s="1"/>
  <c r="AW64" i="51" s="1"/>
  <c r="AX64" i="51" s="1"/>
  <c r="AY64" i="51" s="1"/>
  <c r="W454" i="48"/>
  <c r="F325" i="48"/>
  <c r="M325" i="48" s="1"/>
  <c r="V325" i="48" s="1"/>
  <c r="E364" i="48"/>
  <c r="Y364" i="48" s="1"/>
  <c r="M330" i="48"/>
  <c r="V330" i="48" s="1"/>
  <c r="W18" i="48"/>
  <c r="V18" i="48" s="1"/>
  <c r="AW8" i="51" s="1"/>
  <c r="AX8" i="51" s="1"/>
  <c r="AY8" i="51" s="1"/>
  <c r="J18" i="48" s="1"/>
  <c r="V280" i="48"/>
  <c r="X280" i="48" s="1"/>
  <c r="P280" i="48" s="1"/>
  <c r="AE280" i="48" s="1"/>
  <c r="AF280" i="48" s="1"/>
  <c r="F310" i="48"/>
  <c r="M310" i="48" s="1"/>
  <c r="W310" i="48" s="1"/>
  <c r="F308" i="48"/>
  <c r="M308" i="48" s="1"/>
  <c r="V308" i="48" s="1"/>
  <c r="F313" i="48"/>
  <c r="M313" i="48" s="1"/>
  <c r="M294" i="48"/>
  <c r="W294" i="48" s="1"/>
  <c r="M287" i="48"/>
  <c r="W287" i="48" s="1"/>
  <c r="W284" i="48"/>
  <c r="Y228" i="48"/>
  <c r="F332" i="48"/>
  <c r="M332" i="48" s="1"/>
  <c r="W332" i="48" s="1"/>
  <c r="F331" i="48"/>
  <c r="W16" i="48"/>
  <c r="V16" i="48" s="1"/>
  <c r="AW6" i="51" s="1"/>
  <c r="AX6" i="51" s="1"/>
  <c r="AY6" i="51" s="1"/>
  <c r="J16" i="48" s="1"/>
  <c r="Y177" i="50"/>
  <c r="Y137" i="50"/>
  <c r="Y97" i="50"/>
  <c r="G55" i="50"/>
  <c r="E364" i="50"/>
  <c r="Y364" i="50" s="1"/>
  <c r="G19" i="50"/>
  <c r="Y245" i="54"/>
  <c r="V245" i="54" s="1"/>
  <c r="AY39" i="55" s="1"/>
  <c r="AZ39" i="55" s="1"/>
  <c r="BA39" i="55" s="1"/>
  <c r="I245" i="54" s="1"/>
  <c r="E614" i="54"/>
  <c r="V614" i="54" s="1"/>
  <c r="Y19" i="52"/>
  <c r="V19" i="52" s="1"/>
  <c r="BI4" i="55" s="1"/>
  <c r="BJ4" i="55" s="1"/>
  <c r="BK4" i="55" s="1"/>
  <c r="I20" i="52" s="1"/>
  <c r="I252" i="54"/>
  <c r="R255" i="54" s="1"/>
  <c r="Y100" i="54"/>
  <c r="V100" i="54" s="1"/>
  <c r="AY21" i="55" s="1"/>
  <c r="AZ21" i="55" s="1"/>
  <c r="BA21" i="55" s="1"/>
  <c r="I100" i="54" s="1"/>
  <c r="AT21" i="55"/>
  <c r="AU21" i="55" s="1"/>
  <c r="AV21" i="55" s="1"/>
  <c r="E100" i="54" s="1"/>
  <c r="W92" i="54"/>
  <c r="I249" i="54"/>
  <c r="Y23" i="54"/>
  <c r="V23" i="54" s="1"/>
  <c r="AY7" i="55" s="1"/>
  <c r="AZ7" i="55" s="1"/>
  <c r="BA7" i="55" s="1"/>
  <c r="AT7" i="55"/>
  <c r="AU7" i="55" s="1"/>
  <c r="AV7" i="55" s="1"/>
  <c r="E23" i="54" s="1"/>
  <c r="I323" i="52"/>
  <c r="R326" i="52" s="1"/>
  <c r="I319" i="52"/>
  <c r="R322" i="52" s="1"/>
  <c r="R330" i="52"/>
  <c r="Y172" i="52"/>
  <c r="V172" i="52" s="1"/>
  <c r="BI29" i="55" s="1"/>
  <c r="BJ29" i="55" s="1"/>
  <c r="BK29" i="55" s="1"/>
  <c r="I172" i="52" s="1"/>
  <c r="R175" i="52" s="1"/>
  <c r="I91" i="52"/>
  <c r="R94" i="52" s="1"/>
  <c r="Y23" i="52"/>
  <c r="V23" i="52" s="1"/>
  <c r="BI7" i="55" s="1"/>
  <c r="BJ7" i="55" s="1"/>
  <c r="BK7" i="55" s="1"/>
  <c r="Y402" i="54"/>
  <c r="V402" i="54" s="1"/>
  <c r="AY72" i="55" s="1"/>
  <c r="AZ72" i="55" s="1"/>
  <c r="BA72" i="55" s="1"/>
  <c r="I402" i="54" s="1"/>
  <c r="V378" i="54"/>
  <c r="I378" i="54"/>
  <c r="R378" i="54" s="1"/>
  <c r="I319" i="54"/>
  <c r="R322" i="54" s="1"/>
  <c r="W249" i="54"/>
  <c r="Y244" i="54"/>
  <c r="V244" i="54" s="1"/>
  <c r="AY38" i="55" s="1"/>
  <c r="AZ38" i="55" s="1"/>
  <c r="BA38" i="55" s="1"/>
  <c r="Y168" i="54"/>
  <c r="V168" i="54" s="1"/>
  <c r="AY25" i="55" s="1"/>
  <c r="AZ25" i="55" s="1"/>
  <c r="BA25" i="55" s="1"/>
  <c r="I168" i="54" s="1"/>
  <c r="R171" i="54" s="1"/>
  <c r="V151" i="54"/>
  <c r="Y151" i="54"/>
  <c r="I151" i="54" s="1"/>
  <c r="R151" i="54" s="1"/>
  <c r="V77" i="54"/>
  <c r="Y77" i="54"/>
  <c r="I77" i="54" s="1"/>
  <c r="V76" i="54"/>
  <c r="Y76" i="54"/>
  <c r="I76" i="54" s="1"/>
  <c r="R76" i="54" s="1"/>
  <c r="M9" i="63"/>
  <c r="M19" i="63"/>
  <c r="M18" i="63"/>
  <c r="M14" i="63"/>
  <c r="M24" i="63"/>
  <c r="M16" i="63"/>
  <c r="M13" i="63"/>
  <c r="M12" i="63"/>
  <c r="M17" i="63"/>
  <c r="M23" i="63"/>
  <c r="M22" i="63"/>
  <c r="M8" i="63"/>
  <c r="M20" i="63"/>
  <c r="M11" i="63"/>
  <c r="M10" i="63"/>
  <c r="M15" i="63"/>
  <c r="M7" i="63"/>
  <c r="M21" i="63"/>
  <c r="AB25" i="44"/>
  <c r="AB29" i="44"/>
  <c r="AS23" i="44"/>
  <c r="AO23" i="44"/>
  <c r="AB24" i="44"/>
  <c r="AB26" i="44"/>
  <c r="AB28" i="44"/>
  <c r="AB30" i="44"/>
  <c r="T54" i="34"/>
  <c r="T52" i="34"/>
  <c r="S98" i="34"/>
  <c r="Z18" i="40"/>
  <c r="E12" i="40" s="1"/>
  <c r="O83" i="40"/>
  <c r="S54" i="40" s="1"/>
  <c r="S98" i="40"/>
  <c r="O76" i="40"/>
  <c r="C81" i="40" s="1"/>
  <c r="O81" i="40" s="1"/>
  <c r="S53" i="40" s="1"/>
  <c r="U6" i="37"/>
  <c r="U7" i="37" s="1"/>
  <c r="U8" i="37" s="1"/>
  <c r="P5" i="37" s="1"/>
  <c r="G39" i="37" s="1"/>
  <c r="W15" i="27"/>
  <c r="V15" i="27" s="1"/>
  <c r="U9" i="28" s="1"/>
  <c r="V9" i="28" s="1"/>
  <c r="W9" i="28" s="1"/>
  <c r="I15" i="27" s="1"/>
  <c r="E10" i="27"/>
  <c r="E14" i="27"/>
  <c r="S36" i="27"/>
  <c r="E18" i="27"/>
  <c r="E12" i="27"/>
  <c r="E16" i="27"/>
  <c r="U126" i="37"/>
  <c r="U127" i="37" s="1"/>
  <c r="U128" i="37" s="1"/>
  <c r="P125" i="37" s="1"/>
  <c r="G155" i="37" s="1"/>
  <c r="K155" i="37" s="1"/>
  <c r="O64" i="44"/>
  <c r="AN64" i="44" s="1"/>
  <c r="AO64" i="44" s="1"/>
  <c r="AF64" i="44"/>
  <c r="AS64" i="44" s="1"/>
  <c r="AT64" i="44" s="1"/>
  <c r="AL13" i="44"/>
  <c r="B13" i="44" s="1"/>
  <c r="AN13" i="44"/>
  <c r="AN8" i="44"/>
  <c r="O7" i="44" s="1"/>
  <c r="U1" i="26"/>
  <c r="C24" i="26" s="1"/>
  <c r="T4" i="46"/>
  <c r="C45" i="46" s="1"/>
  <c r="E463" i="48"/>
  <c r="Y463" i="48" s="1"/>
  <c r="R400" i="48"/>
  <c r="B400" i="48" s="1"/>
  <c r="Z222" i="48"/>
  <c r="V318" i="48"/>
  <c r="P414" i="48"/>
  <c r="E459" i="48" s="1"/>
  <c r="Y459" i="48" s="1"/>
  <c r="J459" i="48" s="1"/>
  <c r="S459" i="48" s="1"/>
  <c r="V329" i="48"/>
  <c r="M326" i="48"/>
  <c r="W326" i="48" s="1"/>
  <c r="V284" i="48"/>
  <c r="M331" i="48"/>
  <c r="V331" i="48" s="1"/>
  <c r="Z228" i="48"/>
  <c r="M315" i="48"/>
  <c r="V315" i="48" s="1"/>
  <c r="T262" i="48"/>
  <c r="V309" i="48"/>
  <c r="W309" i="48"/>
  <c r="W289" i="48"/>
  <c r="V289" i="48"/>
  <c r="W328" i="48"/>
  <c r="V328" i="48"/>
  <c r="F293" i="48"/>
  <c r="M293" i="48" s="1"/>
  <c r="F296" i="48"/>
  <c r="M296" i="48" s="1"/>
  <c r="W296" i="48" s="1"/>
  <c r="T435" i="48"/>
  <c r="F300" i="48"/>
  <c r="M300" i="48" s="1"/>
  <c r="V300" i="48" s="1"/>
  <c r="M292" i="48"/>
  <c r="W292" i="48" s="1"/>
  <c r="M286" i="48"/>
  <c r="W286" i="48" s="1"/>
  <c r="F290" i="48"/>
  <c r="M290" i="48" s="1"/>
  <c r="M314" i="48"/>
  <c r="W314" i="48" s="1"/>
  <c r="F323" i="48"/>
  <c r="M323" i="48" s="1"/>
  <c r="F301" i="48"/>
  <c r="M301" i="48" s="1"/>
  <c r="W301" i="48" s="1"/>
  <c r="F295" i="48"/>
  <c r="M295" i="48" s="1"/>
  <c r="M299" i="48"/>
  <c r="W299" i="48" s="1"/>
  <c r="T258" i="48"/>
  <c r="T211" i="48"/>
  <c r="B209" i="48" s="1"/>
  <c r="F322" i="48"/>
  <c r="M322" i="48" s="1"/>
  <c r="W322" i="48" s="1"/>
  <c r="W54" i="48"/>
  <c r="V54" i="48" s="1"/>
  <c r="AW12" i="51" s="1"/>
  <c r="AX12" i="51" s="1"/>
  <c r="AY12" i="51" s="1"/>
  <c r="J54" i="48" s="1"/>
  <c r="T431" i="48"/>
  <c r="S319" i="48"/>
  <c r="F288" i="48"/>
  <c r="M288" i="48" s="1"/>
  <c r="V288" i="48" s="1"/>
  <c r="W222" i="48"/>
  <c r="V222" i="48" s="1"/>
  <c r="AW36" i="51" s="1"/>
  <c r="AX36" i="51" s="1"/>
  <c r="AY36" i="51" s="1"/>
  <c r="J222" i="48" s="1"/>
  <c r="F321" i="48"/>
  <c r="M321" i="48" s="1"/>
  <c r="W321" i="48" s="1"/>
  <c r="S302" i="48"/>
  <c r="M320" i="48"/>
  <c r="V320" i="48" s="1"/>
  <c r="F324" i="48"/>
  <c r="M324" i="48" s="1"/>
  <c r="W324" i="48" s="1"/>
  <c r="P411" i="48"/>
  <c r="Z378" i="48"/>
  <c r="M307" i="48"/>
  <c r="V307" i="48" s="1"/>
  <c r="M333" i="48"/>
  <c r="F297" i="48"/>
  <c r="M297" i="48" s="1"/>
  <c r="W297" i="48" s="1"/>
  <c r="T218" i="48"/>
  <c r="B215" i="48" s="1"/>
  <c r="V293" i="48"/>
  <c r="W293" i="48"/>
  <c r="V313" i="48"/>
  <c r="W313" i="48"/>
  <c r="V286" i="48"/>
  <c r="W323" i="48"/>
  <c r="V323" i="48"/>
  <c r="W312" i="48"/>
  <c r="V312" i="48"/>
  <c r="W311" i="48"/>
  <c r="W282" i="48"/>
  <c r="V282" i="48"/>
  <c r="W335" i="48"/>
  <c r="V335" i="48"/>
  <c r="W316" i="48"/>
  <c r="V316" i="48"/>
  <c r="W281" i="48"/>
  <c r="V281" i="48"/>
  <c r="V326" i="48"/>
  <c r="W283" i="48"/>
  <c r="V283" i="48"/>
  <c r="AR44" i="51"/>
  <c r="AS44" i="51" s="1"/>
  <c r="AT44" i="51" s="1"/>
  <c r="E230" i="48" s="1"/>
  <c r="J230" i="48" s="1"/>
  <c r="P410" i="48"/>
  <c r="E455" i="48" s="1"/>
  <c r="Y455" i="48" s="1"/>
  <c r="J455" i="48" s="1"/>
  <c r="S455" i="48" s="1"/>
  <c r="AR65" i="51"/>
  <c r="AS65" i="51" s="1"/>
  <c r="AT65" i="51" s="1"/>
  <c r="E385" i="48" s="1"/>
  <c r="W307" i="48"/>
  <c r="W329" i="48"/>
  <c r="X329" i="48" s="1"/>
  <c r="P329" i="48" s="1"/>
  <c r="AE290" i="48" s="1"/>
  <c r="AF290" i="48" s="1"/>
  <c r="AR38" i="51"/>
  <c r="AS38" i="51" s="1"/>
  <c r="AT38" i="51" s="1"/>
  <c r="E224" i="48" s="1"/>
  <c r="J224" i="48" s="1"/>
  <c r="AA378" i="48"/>
  <c r="Y381" i="48"/>
  <c r="V381" i="48" s="1"/>
  <c r="AW61" i="51" s="1"/>
  <c r="AX61" i="51" s="1"/>
  <c r="AY61" i="51" s="1"/>
  <c r="J381" i="48" s="1"/>
  <c r="P218" i="48"/>
  <c r="E350" i="48" s="1"/>
  <c r="Y350" i="48" s="1"/>
  <c r="J350" i="48" s="1"/>
  <c r="S350" i="48" s="1"/>
  <c r="P209" i="48"/>
  <c r="E343" i="48" s="1"/>
  <c r="Y343" i="48" s="1"/>
  <c r="J343" i="48" s="1"/>
  <c r="S343" i="48" s="1"/>
  <c r="P211" i="48"/>
  <c r="E345" i="48" s="1"/>
  <c r="Y345" i="48" s="1"/>
  <c r="J345" i="48" s="1"/>
  <c r="S345" i="48" s="1"/>
  <c r="P215" i="48"/>
  <c r="E347" i="48" s="1"/>
  <c r="Y347" i="48" s="1"/>
  <c r="J347" i="48" s="1"/>
  <c r="S347" i="48" s="1"/>
  <c r="P216" i="48"/>
  <c r="E348" i="48" s="1"/>
  <c r="Y348" i="48" s="1"/>
  <c r="J348" i="48" s="1"/>
  <c r="S348" i="48" s="1"/>
  <c r="E341" i="48"/>
  <c r="Y341" i="48" s="1"/>
  <c r="J341" i="48" s="1"/>
  <c r="P208" i="48"/>
  <c r="E342" i="48" s="1"/>
  <c r="Y342" i="48" s="1"/>
  <c r="J342" i="48" s="1"/>
  <c r="S342" i="48" s="1"/>
  <c r="P217" i="48"/>
  <c r="E349" i="48" s="1"/>
  <c r="Y349" i="48" s="1"/>
  <c r="J349" i="48" s="1"/>
  <c r="S349" i="48" s="1"/>
  <c r="P212" i="48"/>
  <c r="E346" i="48" s="1"/>
  <c r="Y346" i="48" s="1"/>
  <c r="J346" i="48" s="1"/>
  <c r="S346" i="48" s="1"/>
  <c r="P219" i="48"/>
  <c r="E351" i="48" s="1"/>
  <c r="Y351" i="48" s="1"/>
  <c r="J351" i="48" s="1"/>
  <c r="S351" i="48" s="1"/>
  <c r="P210" i="48"/>
  <c r="E344" i="48" s="1"/>
  <c r="Y344" i="48" s="1"/>
  <c r="J344" i="48" s="1"/>
  <c r="S344" i="48" s="1"/>
  <c r="P63" i="48"/>
  <c r="E76" i="48" s="1"/>
  <c r="W76" i="48" s="1"/>
  <c r="Z228" i="50"/>
  <c r="Y376" i="48"/>
  <c r="V376" i="48" s="1"/>
  <c r="AW55" i="51" s="1"/>
  <c r="AX55" i="51" s="1"/>
  <c r="AY55" i="51" s="1"/>
  <c r="J376" i="48" s="1"/>
  <c r="W228" i="48"/>
  <c r="V228" i="48" s="1"/>
  <c r="AW42" i="51" s="1"/>
  <c r="AX42" i="51" s="1"/>
  <c r="AY42" i="51" s="1"/>
  <c r="J228" i="48" s="1"/>
  <c r="G177" i="48"/>
  <c r="W178" i="48"/>
  <c r="AR30" i="51"/>
  <c r="AS30" i="51" s="1"/>
  <c r="AT30" i="51" s="1"/>
  <c r="E174" i="48" s="1"/>
  <c r="G135" i="48"/>
  <c r="W138" i="48"/>
  <c r="W136" i="48"/>
  <c r="V136" i="48" s="1"/>
  <c r="AW26" i="51" s="1"/>
  <c r="AX26" i="51" s="1"/>
  <c r="AY26" i="51" s="1"/>
  <c r="J136" i="48" s="1"/>
  <c r="W96" i="48"/>
  <c r="V96" i="48" s="1"/>
  <c r="AW20" i="51" s="1"/>
  <c r="AX20" i="51" s="1"/>
  <c r="AY20" i="51" s="1"/>
  <c r="J96" i="48" s="1"/>
  <c r="G55" i="48"/>
  <c r="W56" i="48"/>
  <c r="V56" i="48" s="1"/>
  <c r="AW14" i="51" s="1"/>
  <c r="AX14" i="51" s="1"/>
  <c r="AY14" i="51" s="1"/>
  <c r="W58" i="48"/>
  <c r="W20" i="48"/>
  <c r="G14" i="48"/>
  <c r="J383" i="48"/>
  <c r="J385" i="48"/>
  <c r="J386" i="48"/>
  <c r="J382" i="48"/>
  <c r="J384" i="48"/>
  <c r="X378" i="48"/>
  <c r="Y378" i="48" s="1"/>
  <c r="V378" i="48" s="1"/>
  <c r="AW57" i="51" s="1"/>
  <c r="AX57" i="51" s="1"/>
  <c r="AY57" i="51" s="1"/>
  <c r="J378" i="48" s="1"/>
  <c r="J176" i="48"/>
  <c r="J134" i="48"/>
  <c r="J94" i="48"/>
  <c r="W98" i="48"/>
  <c r="J56" i="48"/>
  <c r="W13" i="48"/>
  <c r="V13" i="48" s="1"/>
  <c r="AW3" i="51" s="1"/>
  <c r="AX3" i="51" s="1"/>
  <c r="AY3" i="51" s="1"/>
  <c r="J13" i="48" s="1"/>
  <c r="R15" i="48" s="1"/>
  <c r="Y386" i="50"/>
  <c r="V386" i="50" s="1"/>
  <c r="AM66" i="51" s="1"/>
  <c r="AN66" i="51" s="1"/>
  <c r="AO66" i="51" s="1"/>
  <c r="Y381" i="50"/>
  <c r="V381" i="50" s="1"/>
  <c r="AM61" i="51" s="1"/>
  <c r="AN61" i="51" s="1"/>
  <c r="AO61" i="51" s="1"/>
  <c r="Y376" i="50"/>
  <c r="V376" i="50" s="1"/>
  <c r="AM55" i="51" s="1"/>
  <c r="AN55" i="51" s="1"/>
  <c r="AO55" i="51" s="1"/>
  <c r="Y228" i="50"/>
  <c r="W136" i="50"/>
  <c r="V136" i="50" s="1"/>
  <c r="AM26" i="51" s="1"/>
  <c r="AN26" i="51" s="1"/>
  <c r="AO26" i="51" s="1"/>
  <c r="J136" i="50" s="1"/>
  <c r="W56" i="50"/>
  <c r="V56" i="50" s="1"/>
  <c r="AM14" i="51" s="1"/>
  <c r="AN14" i="51" s="1"/>
  <c r="AO14" i="51" s="1"/>
  <c r="W18" i="50"/>
  <c r="V18" i="50" s="1"/>
  <c r="AM8" i="51" s="1"/>
  <c r="AN8" i="51" s="1"/>
  <c r="AO8" i="51" s="1"/>
  <c r="Y400" i="52"/>
  <c r="V400" i="52" s="1"/>
  <c r="BI70" i="55" s="1"/>
  <c r="BJ70" i="55" s="1"/>
  <c r="BK70" i="55" s="1"/>
  <c r="I400" i="52" s="1"/>
  <c r="Y404" i="52"/>
  <c r="V404" i="52" s="1"/>
  <c r="BI74" i="55" s="1"/>
  <c r="BJ74" i="55" s="1"/>
  <c r="BK74" i="55" s="1"/>
  <c r="AL396" i="52"/>
  <c r="AM396" i="52" s="1"/>
  <c r="BD7" i="55"/>
  <c r="BE7" i="55" s="1"/>
  <c r="BF7" i="55" s="1"/>
  <c r="E23" i="52" s="1"/>
  <c r="R11" i="39"/>
  <c r="F318" i="50"/>
  <c r="W174" i="50"/>
  <c r="V174" i="50" s="1"/>
  <c r="AM30" i="51" s="1"/>
  <c r="AN30" i="51" s="1"/>
  <c r="AO30" i="51" s="1"/>
  <c r="J174" i="50" s="1"/>
  <c r="M318" i="50"/>
  <c r="V318" i="50" s="1"/>
  <c r="W224" i="50"/>
  <c r="V224" i="50" s="1"/>
  <c r="AM38" i="51" s="1"/>
  <c r="AN38" i="51" s="1"/>
  <c r="AO38" i="51" s="1"/>
  <c r="F296" i="50"/>
  <c r="M296" i="50" s="1"/>
  <c r="V296" i="50" s="1"/>
  <c r="F310" i="50"/>
  <c r="M310" i="50" s="1"/>
  <c r="F333" i="50"/>
  <c r="M333" i="50" s="1"/>
  <c r="W333" i="50" s="1"/>
  <c r="M330" i="50"/>
  <c r="AH44" i="51"/>
  <c r="AI44" i="51" s="1"/>
  <c r="AJ44" i="51" s="1"/>
  <c r="E230" i="50" s="1"/>
  <c r="W230" i="50"/>
  <c r="V230" i="50" s="1"/>
  <c r="AM44" i="51" s="1"/>
  <c r="AN44" i="51" s="1"/>
  <c r="AO44" i="51" s="1"/>
  <c r="V335" i="50"/>
  <c r="M299" i="50"/>
  <c r="W299" i="50" s="1"/>
  <c r="F294" i="50"/>
  <c r="M294" i="50" s="1"/>
  <c r="W294" i="50" s="1"/>
  <c r="W282" i="50"/>
  <c r="Y384" i="50"/>
  <c r="V384" i="50" s="1"/>
  <c r="AM64" i="51" s="1"/>
  <c r="AN64" i="51" s="1"/>
  <c r="AO64" i="51" s="1"/>
  <c r="J384" i="50" s="1"/>
  <c r="R400" i="50"/>
  <c r="B400" i="50" s="1"/>
  <c r="V281" i="50"/>
  <c r="T262" i="50"/>
  <c r="W134" i="50"/>
  <c r="V134" i="50" s="1"/>
  <c r="AM24" i="51" s="1"/>
  <c r="AN24" i="51" s="1"/>
  <c r="AO24" i="51" s="1"/>
  <c r="J134" i="50" s="1"/>
  <c r="W16" i="50"/>
  <c r="V16" i="50" s="1"/>
  <c r="AM6" i="51" s="1"/>
  <c r="AN6" i="51" s="1"/>
  <c r="AO6" i="51" s="1"/>
  <c r="J16" i="50" s="1"/>
  <c r="M309" i="50"/>
  <c r="W309" i="50" s="1"/>
  <c r="F311" i="50"/>
  <c r="M311" i="50" s="1"/>
  <c r="V311" i="50" s="1"/>
  <c r="AH66" i="51"/>
  <c r="AI66" i="51" s="1"/>
  <c r="AJ66" i="51" s="1"/>
  <c r="E386" i="50" s="1"/>
  <c r="Y382" i="50"/>
  <c r="V382" i="50" s="1"/>
  <c r="AM62" i="51" s="1"/>
  <c r="AN62" i="51" s="1"/>
  <c r="AO62" i="51" s="1"/>
  <c r="J382" i="50" s="1"/>
  <c r="F326" i="50"/>
  <c r="M326" i="50" s="1"/>
  <c r="V326" i="50" s="1"/>
  <c r="M315" i="50"/>
  <c r="W315" i="50" s="1"/>
  <c r="W281" i="50"/>
  <c r="O396" i="50"/>
  <c r="F331" i="50"/>
  <c r="M331" i="50" s="1"/>
  <c r="W331" i="50" s="1"/>
  <c r="M322" i="50"/>
  <c r="V322" i="50" s="1"/>
  <c r="F295" i="50"/>
  <c r="M295" i="50" s="1"/>
  <c r="V295" i="50" s="1"/>
  <c r="M287" i="50"/>
  <c r="W287" i="50" s="1"/>
  <c r="F288" i="50"/>
  <c r="M288" i="50" s="1"/>
  <c r="W288" i="50" s="1"/>
  <c r="F313" i="50"/>
  <c r="M313" i="50" s="1"/>
  <c r="W313" i="50" s="1"/>
  <c r="W228" i="50"/>
  <c r="V228" i="50" s="1"/>
  <c r="AM42" i="51" s="1"/>
  <c r="AN42" i="51" s="1"/>
  <c r="AO42" i="51" s="1"/>
  <c r="J228" i="50" s="1"/>
  <c r="AH61" i="51"/>
  <c r="AI61" i="51" s="1"/>
  <c r="AJ61" i="51" s="1"/>
  <c r="E381" i="50" s="1"/>
  <c r="T431" i="50"/>
  <c r="P412" i="50"/>
  <c r="E457" i="50" s="1"/>
  <c r="Y457" i="50" s="1"/>
  <c r="J457" i="50" s="1"/>
  <c r="S457" i="50" s="1"/>
  <c r="M307" i="50"/>
  <c r="V307" i="50" s="1"/>
  <c r="F290" i="50"/>
  <c r="M290" i="50" s="1"/>
  <c r="V290" i="50" s="1"/>
  <c r="M286" i="50"/>
  <c r="W286" i="50" s="1"/>
  <c r="W176" i="50"/>
  <c r="V176" i="50" s="1"/>
  <c r="AM32" i="51" s="1"/>
  <c r="AN32" i="51" s="1"/>
  <c r="AO32" i="51" s="1"/>
  <c r="J176" i="50" s="1"/>
  <c r="F289" i="50"/>
  <c r="M289" i="50" s="1"/>
  <c r="W289" i="50" s="1"/>
  <c r="P415" i="50"/>
  <c r="E460" i="50" s="1"/>
  <c r="Y460" i="50" s="1"/>
  <c r="J460" i="50" s="1"/>
  <c r="S460" i="50" s="1"/>
  <c r="W54" i="50"/>
  <c r="V54" i="50" s="1"/>
  <c r="AM12" i="51" s="1"/>
  <c r="AN12" i="51" s="1"/>
  <c r="AO12" i="51" s="1"/>
  <c r="J54" i="50" s="1"/>
  <c r="W96" i="50"/>
  <c r="V96" i="50" s="1"/>
  <c r="AM20" i="51" s="1"/>
  <c r="AN20" i="51" s="1"/>
  <c r="AO20" i="51" s="1"/>
  <c r="J96" i="50" s="1"/>
  <c r="F308" i="50"/>
  <c r="M308" i="50" s="1"/>
  <c r="F316" i="50"/>
  <c r="M316" i="50" s="1"/>
  <c r="V316" i="50" s="1"/>
  <c r="M293" i="50"/>
  <c r="Z378" i="50"/>
  <c r="V282" i="50"/>
  <c r="T218" i="50"/>
  <c r="B215" i="50" s="1"/>
  <c r="P411" i="50"/>
  <c r="B455" i="50" s="1"/>
  <c r="F312" i="50"/>
  <c r="M312" i="50" s="1"/>
  <c r="W312" i="50" s="1"/>
  <c r="AA378" i="50"/>
  <c r="AH38" i="51"/>
  <c r="AI38" i="51" s="1"/>
  <c r="AJ38" i="51" s="1"/>
  <c r="E224" i="50" s="1"/>
  <c r="W222" i="50"/>
  <c r="V222" i="50" s="1"/>
  <c r="AM36" i="51" s="1"/>
  <c r="AN36" i="51" s="1"/>
  <c r="AO36" i="51" s="1"/>
  <c r="J222" i="50" s="1"/>
  <c r="P414" i="50"/>
  <c r="E459" i="50" s="1"/>
  <c r="Y459" i="50" s="1"/>
  <c r="J459" i="50" s="1"/>
  <c r="S459" i="50" s="1"/>
  <c r="M320" i="50"/>
  <c r="V329" i="50"/>
  <c r="O397" i="50"/>
  <c r="V328" i="50"/>
  <c r="F325" i="50"/>
  <c r="M325" i="50" s="1"/>
  <c r="W325" i="50" s="1"/>
  <c r="M292" i="50"/>
  <c r="F324" i="50"/>
  <c r="M324" i="50" s="1"/>
  <c r="W324" i="50" s="1"/>
  <c r="Y383" i="50"/>
  <c r="V383" i="50" s="1"/>
  <c r="AM63" i="51" s="1"/>
  <c r="AN63" i="51" s="1"/>
  <c r="AO63" i="51" s="1"/>
  <c r="J383" i="50" s="1"/>
  <c r="F297" i="50"/>
  <c r="M297" i="50" s="1"/>
  <c r="F300" i="50"/>
  <c r="M300" i="50" s="1"/>
  <c r="W300" i="50" s="1"/>
  <c r="AH8" i="51"/>
  <c r="AI8" i="51" s="1"/>
  <c r="AJ8" i="51" s="1"/>
  <c r="E18" i="50" s="1"/>
  <c r="J18" i="50" s="1"/>
  <c r="O399" i="50"/>
  <c r="Y378" i="50"/>
  <c r="V378" i="50" s="1"/>
  <c r="AM57" i="51" s="1"/>
  <c r="AN57" i="51" s="1"/>
  <c r="AO57" i="51" s="1"/>
  <c r="J378" i="50" s="1"/>
  <c r="F323" i="50"/>
  <c r="M323" i="50" s="1"/>
  <c r="T258" i="50"/>
  <c r="P413" i="50"/>
  <c r="E458" i="50" s="1"/>
  <c r="Y458" i="50" s="1"/>
  <c r="J458" i="50" s="1"/>
  <c r="S458" i="50" s="1"/>
  <c r="W284" i="50"/>
  <c r="O398" i="50"/>
  <c r="P416" i="50"/>
  <c r="E461" i="50" s="1"/>
  <c r="Y461" i="50" s="1"/>
  <c r="J461" i="50" s="1"/>
  <c r="S461" i="50" s="1"/>
  <c r="T435" i="50"/>
  <c r="B412" i="50"/>
  <c r="F321" i="50"/>
  <c r="M321" i="50" s="1"/>
  <c r="W321" i="50" s="1"/>
  <c r="F301" i="50"/>
  <c r="M301" i="50" s="1"/>
  <c r="W301" i="50" s="1"/>
  <c r="W378" i="50"/>
  <c r="Y385" i="50"/>
  <c r="V385" i="50" s="1"/>
  <c r="AM65" i="51" s="1"/>
  <c r="AN65" i="51" s="1"/>
  <c r="AO65" i="51" s="1"/>
  <c r="J385" i="50" s="1"/>
  <c r="M332" i="50"/>
  <c r="V332" i="50" s="1"/>
  <c r="F314" i="50"/>
  <c r="M314" i="50" s="1"/>
  <c r="S302" i="50"/>
  <c r="P216" i="50"/>
  <c r="E348" i="50" s="1"/>
  <c r="Y348" i="50" s="1"/>
  <c r="J348" i="50" s="1"/>
  <c r="S348" i="50" s="1"/>
  <c r="W94" i="50"/>
  <c r="V94" i="50" s="1"/>
  <c r="AM18" i="51" s="1"/>
  <c r="AN18" i="51" s="1"/>
  <c r="AO18" i="51" s="1"/>
  <c r="J94" i="50" s="1"/>
  <c r="V376" i="52"/>
  <c r="V148" i="52"/>
  <c r="P483" i="52"/>
  <c r="V483" i="52"/>
  <c r="BA115" i="52"/>
  <c r="U117" i="52"/>
  <c r="AW117" i="52" s="1"/>
  <c r="AV115" i="52"/>
  <c r="BE115" i="52"/>
  <c r="AB115" i="52"/>
  <c r="BJ115" i="52" s="1"/>
  <c r="AI115" i="52"/>
  <c r="AH122" i="52"/>
  <c r="F495" i="52"/>
  <c r="L495" i="52" s="1"/>
  <c r="W495" i="52" s="1"/>
  <c r="V120" i="52"/>
  <c r="W120" i="52" s="1"/>
  <c r="AE120" i="52" s="1"/>
  <c r="BM120" i="52" s="1"/>
  <c r="AP120" i="52"/>
  <c r="W324" i="52"/>
  <c r="F475" i="52"/>
  <c r="L475" i="52" s="1"/>
  <c r="W475" i="52" s="1"/>
  <c r="Y570" i="52"/>
  <c r="V570" i="52" s="1"/>
  <c r="BI80" i="55" s="1"/>
  <c r="BJ80" i="55" s="1"/>
  <c r="BK80" i="55" s="1"/>
  <c r="I570" i="52" s="1"/>
  <c r="L464" i="52"/>
  <c r="P388" i="52"/>
  <c r="E535" i="52" s="1"/>
  <c r="V535" i="52" s="1"/>
  <c r="I535" i="52" s="1"/>
  <c r="R535" i="52" s="1"/>
  <c r="W320" i="52"/>
  <c r="AZ274" i="52"/>
  <c r="BD39" i="55"/>
  <c r="BE39" i="55" s="1"/>
  <c r="BF39" i="55" s="1"/>
  <c r="E245" i="52" s="1"/>
  <c r="F466" i="52"/>
  <c r="L466" i="52" s="1"/>
  <c r="V453" i="52"/>
  <c r="X453" i="52" s="1"/>
  <c r="W451" i="52"/>
  <c r="AV120" i="52"/>
  <c r="V215" i="52"/>
  <c r="BD122" i="52"/>
  <c r="F473" i="52"/>
  <c r="L473" i="52" s="1"/>
  <c r="V473" i="52" s="1"/>
  <c r="AR122" i="52"/>
  <c r="V121" i="52"/>
  <c r="AR121" i="52" s="1"/>
  <c r="O419" i="52"/>
  <c r="P419" i="52" s="1"/>
  <c r="E542" i="52" s="1"/>
  <c r="T274" i="52"/>
  <c r="BE274" i="52" s="1"/>
  <c r="W491" i="52"/>
  <c r="F486" i="52"/>
  <c r="L486" i="52" s="1"/>
  <c r="W486" i="52" s="1"/>
  <c r="AQ120" i="52"/>
  <c r="AI120" i="52"/>
  <c r="F493" i="52"/>
  <c r="L493" i="52" s="1"/>
  <c r="AX122" i="52"/>
  <c r="Y95" i="52"/>
  <c r="V95" i="52" s="1"/>
  <c r="BI16" i="55" s="1"/>
  <c r="BJ16" i="55" s="1"/>
  <c r="BK16" i="55" s="1"/>
  <c r="I95" i="52" s="1"/>
  <c r="R98" i="52" s="1"/>
  <c r="F468" i="52"/>
  <c r="L468" i="52" s="1"/>
  <c r="F500" i="52"/>
  <c r="L500" i="52" s="1"/>
  <c r="W500" i="52" s="1"/>
  <c r="AW120" i="52"/>
  <c r="BB120" i="52"/>
  <c r="AZ122" i="52"/>
  <c r="AB348" i="52"/>
  <c r="U34" i="52"/>
  <c r="AE34" i="52" s="1"/>
  <c r="AI348" i="52"/>
  <c r="BG268" i="52"/>
  <c r="Y576" i="52"/>
  <c r="V576" i="52" s="1"/>
  <c r="BI86" i="55" s="1"/>
  <c r="BJ86" i="55" s="1"/>
  <c r="BK86" i="55" s="1"/>
  <c r="F494" i="52"/>
  <c r="L494" i="52" s="1"/>
  <c r="W494" i="52" s="1"/>
  <c r="F502" i="52"/>
  <c r="AP122" i="52"/>
  <c r="AO122" i="52"/>
  <c r="AU192" i="52"/>
  <c r="AO273" i="52"/>
  <c r="O279" i="52"/>
  <c r="BG196" i="52"/>
  <c r="O202" i="52"/>
  <c r="BD56" i="55"/>
  <c r="BE56" i="55" s="1"/>
  <c r="BF56" i="55" s="1"/>
  <c r="E324" i="52" s="1"/>
  <c r="F465" i="52"/>
  <c r="F490" i="52"/>
  <c r="L490" i="52" s="1"/>
  <c r="BA120" i="52"/>
  <c r="T127" i="52"/>
  <c r="U126" i="52" s="1"/>
  <c r="V126" i="52" s="1"/>
  <c r="F492" i="52"/>
  <c r="L492" i="52" s="1"/>
  <c r="AB197" i="52"/>
  <c r="BJ197" i="52" s="1"/>
  <c r="U33" i="52"/>
  <c r="V33" i="52" s="1"/>
  <c r="AF33" i="52" s="1"/>
  <c r="BE348" i="52"/>
  <c r="AU273" i="52"/>
  <c r="J13" i="50"/>
  <c r="R15" i="50" s="1"/>
  <c r="E468" i="50"/>
  <c r="Y468" i="50" s="1"/>
  <c r="E467" i="50"/>
  <c r="Y467" i="50" s="1"/>
  <c r="E341" i="50"/>
  <c r="Y341" i="50" s="1"/>
  <c r="J341" i="50" s="1"/>
  <c r="S341" i="50" s="1"/>
  <c r="W280" i="50"/>
  <c r="V280" i="50"/>
  <c r="E465" i="50"/>
  <c r="Y465" i="50" s="1"/>
  <c r="AH55" i="51"/>
  <c r="AI55" i="51" s="1"/>
  <c r="AJ55" i="51" s="1"/>
  <c r="E376" i="50" s="1"/>
  <c r="V284" i="50"/>
  <c r="W328" i="50"/>
  <c r="E463" i="50"/>
  <c r="Y463" i="50" s="1"/>
  <c r="W335" i="50"/>
  <c r="P208" i="50"/>
  <c r="E342" i="50" s="1"/>
  <c r="Y342" i="50" s="1"/>
  <c r="J342" i="50" s="1"/>
  <c r="S342" i="50" s="1"/>
  <c r="P218" i="50"/>
  <c r="E350" i="50" s="1"/>
  <c r="Y350" i="50" s="1"/>
  <c r="J350" i="50" s="1"/>
  <c r="S350" i="50" s="1"/>
  <c r="P217" i="50"/>
  <c r="E349" i="50" s="1"/>
  <c r="Y349" i="50" s="1"/>
  <c r="J349" i="50" s="1"/>
  <c r="S349" i="50" s="1"/>
  <c r="P219" i="50"/>
  <c r="E351" i="50" s="1"/>
  <c r="Y351" i="50" s="1"/>
  <c r="J351" i="50" s="1"/>
  <c r="S351" i="50" s="1"/>
  <c r="P215" i="50"/>
  <c r="E347" i="50" s="1"/>
  <c r="Y347" i="50" s="1"/>
  <c r="J347" i="50" s="1"/>
  <c r="S347" i="50" s="1"/>
  <c r="W329" i="50"/>
  <c r="P210" i="50"/>
  <c r="E344" i="50" s="1"/>
  <c r="Y344" i="50" s="1"/>
  <c r="J344" i="50" s="1"/>
  <c r="S344" i="50" s="1"/>
  <c r="P209" i="50"/>
  <c r="E343" i="50" s="1"/>
  <c r="Y343" i="50" s="1"/>
  <c r="J343" i="50" s="1"/>
  <c r="S343" i="50" s="1"/>
  <c r="V283" i="50"/>
  <c r="W283" i="50"/>
  <c r="T211" i="50"/>
  <c r="B209" i="50" s="1"/>
  <c r="S319" i="50"/>
  <c r="P211" i="50"/>
  <c r="E345" i="50" s="1"/>
  <c r="Y345" i="50" s="1"/>
  <c r="J345" i="50" s="1"/>
  <c r="S345" i="50" s="1"/>
  <c r="AH14" i="51"/>
  <c r="AI14" i="51" s="1"/>
  <c r="AJ14" i="51" s="1"/>
  <c r="E56" i="50" s="1"/>
  <c r="S2" i="50"/>
  <c r="H500" i="50" s="1"/>
  <c r="S1" i="50"/>
  <c r="C500" i="50" s="1"/>
  <c r="G57" i="50"/>
  <c r="W58" i="50"/>
  <c r="W20" i="50"/>
  <c r="G17" i="50"/>
  <c r="G177" i="50"/>
  <c r="W178" i="50"/>
  <c r="G95" i="50"/>
  <c r="G135" i="50"/>
  <c r="W138" i="50"/>
  <c r="W98" i="50"/>
  <c r="G175" i="50"/>
  <c r="G14" i="50"/>
  <c r="AJ577" i="52"/>
  <c r="AK577" i="52"/>
  <c r="AL577" i="52"/>
  <c r="Y244" i="52"/>
  <c r="V244" i="52" s="1"/>
  <c r="BI38" i="55" s="1"/>
  <c r="BJ38" i="55" s="1"/>
  <c r="BK38" i="55" s="1"/>
  <c r="I244" i="52" s="1"/>
  <c r="Y245" i="52"/>
  <c r="V245" i="52" s="1"/>
  <c r="BI39" i="55" s="1"/>
  <c r="BJ39" i="55" s="1"/>
  <c r="BK39" i="55" s="1"/>
  <c r="Y169" i="52"/>
  <c r="V169" i="52" s="1"/>
  <c r="BI26" i="55" s="1"/>
  <c r="BJ26" i="55" s="1"/>
  <c r="BK26" i="55" s="1"/>
  <c r="Y92" i="52"/>
  <c r="V92" i="52" s="1"/>
  <c r="BI13" i="55" s="1"/>
  <c r="BJ13" i="55" s="1"/>
  <c r="BK13" i="55" s="1"/>
  <c r="BD13" i="55"/>
  <c r="BE13" i="55" s="1"/>
  <c r="BF13" i="55" s="1"/>
  <c r="E92" i="52" s="1"/>
  <c r="Y24" i="52"/>
  <c r="V24" i="52" s="1"/>
  <c r="BI8" i="55" s="1"/>
  <c r="BJ8" i="55" s="1"/>
  <c r="BK8" i="55" s="1"/>
  <c r="I24" i="52" s="1"/>
  <c r="AL407" i="54"/>
  <c r="AM407" i="54" s="1"/>
  <c r="AK407" i="54"/>
  <c r="Y400" i="54"/>
  <c r="V400" i="54" s="1"/>
  <c r="AY70" i="55" s="1"/>
  <c r="AZ70" i="55" s="1"/>
  <c r="BA70" i="55" s="1"/>
  <c r="I400" i="54" s="1"/>
  <c r="AJ407" i="54"/>
  <c r="AJ396" i="54"/>
  <c r="Y176" i="54"/>
  <c r="V176" i="54" s="1"/>
  <c r="AY33" i="55" s="1"/>
  <c r="AZ33" i="55" s="1"/>
  <c r="BA33" i="55" s="1"/>
  <c r="I176" i="54" s="1"/>
  <c r="Y92" i="54"/>
  <c r="V92" i="54" s="1"/>
  <c r="AY13" i="55" s="1"/>
  <c r="AZ13" i="55" s="1"/>
  <c r="BA13" i="55" s="1"/>
  <c r="I92" i="54" s="1"/>
  <c r="Y19" i="54"/>
  <c r="V19" i="54" s="1"/>
  <c r="AY4" i="55" s="1"/>
  <c r="AZ4" i="55" s="1"/>
  <c r="BA4" i="55" s="1"/>
  <c r="Y18" i="54"/>
  <c r="V18" i="54" s="1"/>
  <c r="AY3" i="55" s="1"/>
  <c r="P14" i="54"/>
  <c r="E65" i="54" s="1"/>
  <c r="Y65" i="54" s="1"/>
  <c r="I65" i="54" s="1"/>
  <c r="R65" i="54" s="1"/>
  <c r="B8" i="54"/>
  <c r="P11" i="54"/>
  <c r="E62" i="54" s="1"/>
  <c r="Y62" i="54" s="1"/>
  <c r="I62" i="54" s="1"/>
  <c r="R62" i="54" s="1"/>
  <c r="L465" i="52"/>
  <c r="V465" i="52" s="1"/>
  <c r="W572" i="54"/>
  <c r="T342" i="52"/>
  <c r="AB342" i="52" s="1"/>
  <c r="T344" i="52"/>
  <c r="AO342" i="52"/>
  <c r="AV273" i="52"/>
  <c r="BA273" i="52"/>
  <c r="V149" i="52"/>
  <c r="AV197" i="52"/>
  <c r="BD342" i="52"/>
  <c r="Y252" i="52"/>
  <c r="V252" i="52" s="1"/>
  <c r="BI46" i="55" s="1"/>
  <c r="BJ46" i="55" s="1"/>
  <c r="BK46" i="55" s="1"/>
  <c r="I252" i="52" s="1"/>
  <c r="F505" i="52"/>
  <c r="L505" i="52" s="1"/>
  <c r="W505" i="52" s="1"/>
  <c r="F503" i="52"/>
  <c r="L503" i="52" s="1"/>
  <c r="W503" i="52" s="1"/>
  <c r="F509" i="52"/>
  <c r="L509" i="52" s="1"/>
  <c r="V509" i="52" s="1"/>
  <c r="F501" i="52"/>
  <c r="L501" i="52" s="1"/>
  <c r="V501" i="52" s="1"/>
  <c r="F507" i="52"/>
  <c r="L507" i="52" s="1"/>
  <c r="AJ396" i="52"/>
  <c r="V375" i="52"/>
  <c r="BG349" i="52"/>
  <c r="AZ349" i="52"/>
  <c r="AB349" i="52"/>
  <c r="BJ349" i="52" s="1"/>
  <c r="AH349" i="52"/>
  <c r="AU349" i="52"/>
  <c r="Y96" i="52"/>
  <c r="V96" i="52" s="1"/>
  <c r="BI17" i="55" s="1"/>
  <c r="BJ17" i="55" s="1"/>
  <c r="BK17" i="55" s="1"/>
  <c r="BD17" i="55"/>
  <c r="BE17" i="55" s="1"/>
  <c r="BF17" i="55" s="1"/>
  <c r="E96" i="52" s="1"/>
  <c r="W96" i="52"/>
  <c r="Y18" i="52"/>
  <c r="V18" i="52" s="1"/>
  <c r="BI3" i="55" s="1"/>
  <c r="BJ3" i="55" s="1"/>
  <c r="BK3" i="55" s="1"/>
  <c r="I19" i="52" s="1"/>
  <c r="AI197" i="52"/>
  <c r="T128" i="52"/>
  <c r="BG193" i="52"/>
  <c r="AH342" i="52"/>
  <c r="L489" i="52"/>
  <c r="V489" i="52" s="1"/>
  <c r="F508" i="52"/>
  <c r="L508" i="52" s="1"/>
  <c r="V508" i="52" s="1"/>
  <c r="BA198" i="52"/>
  <c r="AV198" i="52"/>
  <c r="BE198" i="52"/>
  <c r="L499" i="52"/>
  <c r="P499" i="52" s="1"/>
  <c r="T267" i="52"/>
  <c r="AB267" i="52" s="1"/>
  <c r="BJ267" i="52" s="1"/>
  <c r="T269" i="52"/>
  <c r="BE269" i="52" s="1"/>
  <c r="AZ267" i="52"/>
  <c r="AO267" i="52"/>
  <c r="BG267" i="52"/>
  <c r="AZ342" i="52"/>
  <c r="BD269" i="52"/>
  <c r="AU269" i="52"/>
  <c r="AZ269" i="52"/>
  <c r="V226" i="52"/>
  <c r="AP197" i="52"/>
  <c r="T343" i="52"/>
  <c r="BA349" i="52"/>
  <c r="AV349" i="52"/>
  <c r="BE273" i="52"/>
  <c r="AJ117" i="52"/>
  <c r="W169" i="52"/>
  <c r="T268" i="52"/>
  <c r="BG342" i="52"/>
  <c r="V227" i="52"/>
  <c r="AO269" i="52"/>
  <c r="AI273" i="52"/>
  <c r="BB117" i="52"/>
  <c r="BD267" i="52"/>
  <c r="BD21" i="55"/>
  <c r="BE21" i="55" s="1"/>
  <c r="BF21" i="55" s="1"/>
  <c r="E100" i="52" s="1"/>
  <c r="W100" i="52"/>
  <c r="AU342" i="52"/>
  <c r="BA117" i="52"/>
  <c r="AI117" i="52"/>
  <c r="BE197" i="52"/>
  <c r="F504" i="52"/>
  <c r="L504" i="52" s="1"/>
  <c r="W504" i="52" s="1"/>
  <c r="BE117" i="52"/>
  <c r="AP273" i="52"/>
  <c r="T389" i="52"/>
  <c r="B387" i="52" s="1"/>
  <c r="P387" i="52"/>
  <c r="E534" i="52" s="1"/>
  <c r="V534" i="52" s="1"/>
  <c r="I534" i="52" s="1"/>
  <c r="R534" i="52" s="1"/>
  <c r="W249" i="52"/>
  <c r="BD43" i="55"/>
  <c r="BE43" i="55" s="1"/>
  <c r="BF43" i="55" s="1"/>
  <c r="E249" i="52" s="1"/>
  <c r="Y249" i="52"/>
  <c r="V249" i="52" s="1"/>
  <c r="BI43" i="55" s="1"/>
  <c r="BJ43" i="55" s="1"/>
  <c r="BK43" i="55" s="1"/>
  <c r="E614" i="52"/>
  <c r="V614" i="52" s="1"/>
  <c r="AK396" i="52"/>
  <c r="O355" i="52"/>
  <c r="AO35" i="52"/>
  <c r="AL35" i="52"/>
  <c r="V493" i="52"/>
  <c r="W493" i="52"/>
  <c r="B311" i="52"/>
  <c r="E365" i="52"/>
  <c r="Y365" i="52" s="1"/>
  <c r="I365" i="52" s="1"/>
  <c r="R365" i="52" s="1"/>
  <c r="AH191" i="52"/>
  <c r="T192" i="52"/>
  <c r="BD20" i="55"/>
  <c r="BE20" i="55" s="1"/>
  <c r="BF20" i="55" s="1"/>
  <c r="E99" i="52" s="1"/>
  <c r="Y99" i="52"/>
  <c r="V99" i="52" s="1"/>
  <c r="BI20" i="55" s="1"/>
  <c r="BJ20" i="55" s="1"/>
  <c r="BK20" i="55" s="1"/>
  <c r="AU120" i="52"/>
  <c r="U121" i="52"/>
  <c r="AC121" i="52" s="1"/>
  <c r="AB273" i="52"/>
  <c r="BJ273" i="52" s="1"/>
  <c r="AB122" i="52"/>
  <c r="BJ122" i="52" s="1"/>
  <c r="AH34" i="52"/>
  <c r="W173" i="52"/>
  <c r="AO191" i="52"/>
  <c r="F484" i="52"/>
  <c r="L484" i="52" s="1"/>
  <c r="V484" i="52" s="1"/>
  <c r="F487" i="52"/>
  <c r="L487" i="52" s="1"/>
  <c r="F488" i="52"/>
  <c r="L488" i="52" s="1"/>
  <c r="L471" i="52"/>
  <c r="L467" i="52"/>
  <c r="V467" i="52" s="1"/>
  <c r="U412" i="52"/>
  <c r="V412" i="52" s="1"/>
  <c r="W412" i="52" s="1"/>
  <c r="P413" i="52" s="1"/>
  <c r="E540" i="52" s="1"/>
  <c r="V540" i="52" s="1"/>
  <c r="I540" i="52" s="1"/>
  <c r="R540" i="52" s="1"/>
  <c r="T347" i="52"/>
  <c r="BA347" i="52" s="1"/>
  <c r="AH347" i="52"/>
  <c r="BD347" i="52"/>
  <c r="U115" i="52"/>
  <c r="AP115" i="52"/>
  <c r="U116" i="52"/>
  <c r="B83" i="52"/>
  <c r="BD120" i="52"/>
  <c r="P451" i="52"/>
  <c r="AE451" i="52" s="1"/>
  <c r="AF451" i="52" s="1"/>
  <c r="Y35" i="52"/>
  <c r="AR35" i="52" s="1"/>
  <c r="W483" i="52"/>
  <c r="AL34" i="52"/>
  <c r="BD30" i="55"/>
  <c r="BE30" i="55" s="1"/>
  <c r="BF30" i="55" s="1"/>
  <c r="E173" i="52" s="1"/>
  <c r="AB117" i="52"/>
  <c r="BJ117" i="52" s="1"/>
  <c r="AZ117" i="52"/>
  <c r="BD273" i="52"/>
  <c r="W572" i="52"/>
  <c r="BD82" i="55"/>
  <c r="BE82" i="55" s="1"/>
  <c r="BF82" i="55" s="1"/>
  <c r="E572" i="52" s="1"/>
  <c r="Y572" i="52"/>
  <c r="V572" i="52" s="1"/>
  <c r="BI82" i="55" s="1"/>
  <c r="BJ82" i="55" s="1"/>
  <c r="BK82" i="55" s="1"/>
  <c r="AH268" i="52"/>
  <c r="AU268" i="52"/>
  <c r="BG115" i="52"/>
  <c r="T116" i="52"/>
  <c r="L459" i="52"/>
  <c r="Y395" i="52"/>
  <c r="V395" i="52" s="1"/>
  <c r="BI65" i="55" s="1"/>
  <c r="BJ65" i="55" s="1"/>
  <c r="BK65" i="55" s="1"/>
  <c r="BD65" i="55"/>
  <c r="BE65" i="55" s="1"/>
  <c r="BF65" i="55" s="1"/>
  <c r="E395" i="52" s="1"/>
  <c r="AU272" i="52"/>
  <c r="AO272" i="52"/>
  <c r="BD47" i="55"/>
  <c r="BE47" i="55" s="1"/>
  <c r="BF47" i="55" s="1"/>
  <c r="E253" i="52" s="1"/>
  <c r="W253" i="52"/>
  <c r="O51" i="52"/>
  <c r="T52" i="52" s="1"/>
  <c r="E560" i="52"/>
  <c r="V560" i="52" s="1"/>
  <c r="I560" i="52" s="1"/>
  <c r="R560" i="52" s="1"/>
  <c r="O420" i="52"/>
  <c r="P420" i="52" s="1"/>
  <c r="E543" i="52" s="1"/>
  <c r="V543" i="52" s="1"/>
  <c r="AB274" i="52"/>
  <c r="BJ274" i="52" s="1"/>
  <c r="O204" i="52"/>
  <c r="AI577" i="52"/>
  <c r="B578" i="52" s="1"/>
  <c r="L460" i="52"/>
  <c r="AK407" i="52"/>
  <c r="O278" i="52"/>
  <c r="T278" i="52" s="1"/>
  <c r="O203" i="52"/>
  <c r="P12" i="52"/>
  <c r="E63" i="52" s="1"/>
  <c r="AT84" i="55"/>
  <c r="AU84" i="55" s="1"/>
  <c r="AV84" i="55" s="1"/>
  <c r="E574" i="54" s="1"/>
  <c r="AI577" i="54"/>
  <c r="B578" i="54" s="1"/>
  <c r="I576" i="54"/>
  <c r="V574" i="54"/>
  <c r="AY84" i="55" s="1"/>
  <c r="AZ84" i="55" s="1"/>
  <c r="BA84" i="55" s="1"/>
  <c r="I574" i="54" s="1"/>
  <c r="AL396" i="54"/>
  <c r="AM396" i="54" s="1"/>
  <c r="AW197" i="54"/>
  <c r="V197" i="54"/>
  <c r="AD197" i="54" s="1"/>
  <c r="BL197" i="54" s="1"/>
  <c r="BB197" i="54"/>
  <c r="AQ197" i="54"/>
  <c r="AP269" i="54"/>
  <c r="BA269" i="54"/>
  <c r="AV269" i="54"/>
  <c r="BE269" i="54"/>
  <c r="AR120" i="54"/>
  <c r="AX120" i="54"/>
  <c r="V75" i="54"/>
  <c r="AQ34" i="54"/>
  <c r="V348" i="54"/>
  <c r="AQ348" i="54"/>
  <c r="BB348" i="54"/>
  <c r="AW348" i="54"/>
  <c r="AJ34" i="54"/>
  <c r="AE34" i="54"/>
  <c r="Z34" i="54"/>
  <c r="AS34" i="54" s="1"/>
  <c r="V34" i="54"/>
  <c r="AF34" i="54" s="1"/>
  <c r="AL577" i="54"/>
  <c r="AJ577" i="54"/>
  <c r="F505" i="54"/>
  <c r="L505" i="54" s="1"/>
  <c r="W505" i="54" s="1"/>
  <c r="F507" i="54"/>
  <c r="L507" i="54" s="1"/>
  <c r="W507" i="54" s="1"/>
  <c r="F509" i="54"/>
  <c r="L509" i="54" s="1"/>
  <c r="F503" i="54"/>
  <c r="L503" i="54" s="1"/>
  <c r="V503" i="54" s="1"/>
  <c r="F504" i="54"/>
  <c r="L504" i="54" s="1"/>
  <c r="W504" i="54" s="1"/>
  <c r="F506" i="54"/>
  <c r="L506" i="54" s="1"/>
  <c r="W506" i="54" s="1"/>
  <c r="F500" i="54"/>
  <c r="L500" i="54" s="1"/>
  <c r="V500" i="54" s="1"/>
  <c r="F502" i="54"/>
  <c r="L502" i="54" s="1"/>
  <c r="W502" i="54" s="1"/>
  <c r="F501" i="54"/>
  <c r="F484" i="54"/>
  <c r="L484" i="54" s="1"/>
  <c r="W484" i="54" s="1"/>
  <c r="F486" i="54"/>
  <c r="L486" i="54" s="1"/>
  <c r="F488" i="54"/>
  <c r="L488" i="54" s="1"/>
  <c r="V488" i="54" s="1"/>
  <c r="F490" i="54"/>
  <c r="L490" i="54" s="1"/>
  <c r="V490" i="54" s="1"/>
  <c r="F492" i="54"/>
  <c r="L492" i="54" s="1"/>
  <c r="V492" i="54" s="1"/>
  <c r="F494" i="54"/>
  <c r="L494" i="54" s="1"/>
  <c r="V494" i="54" s="1"/>
  <c r="F485" i="54"/>
  <c r="L485" i="54" s="1"/>
  <c r="W485" i="54" s="1"/>
  <c r="F487" i="54"/>
  <c r="L487" i="54" s="1"/>
  <c r="V487" i="54" s="1"/>
  <c r="F489" i="54"/>
  <c r="L489" i="54" s="1"/>
  <c r="W489" i="54" s="1"/>
  <c r="F491" i="54"/>
  <c r="L491" i="54" s="1"/>
  <c r="F493" i="54"/>
  <c r="L493" i="54" s="1"/>
  <c r="V493" i="54" s="1"/>
  <c r="F495" i="54"/>
  <c r="L495" i="54" s="1"/>
  <c r="V495" i="54" s="1"/>
  <c r="V115" i="54"/>
  <c r="F508" i="54"/>
  <c r="L508" i="54" s="1"/>
  <c r="V508" i="54" s="1"/>
  <c r="T128" i="54"/>
  <c r="T127" i="54"/>
  <c r="AQ40" i="54"/>
  <c r="AH33" i="54"/>
  <c r="T33" i="54"/>
  <c r="AL33" i="54"/>
  <c r="AC33" i="54"/>
  <c r="AT34" i="55"/>
  <c r="AU34" i="55" s="1"/>
  <c r="AV34" i="55" s="1"/>
  <c r="E177" i="54" s="1"/>
  <c r="Y177" i="54"/>
  <c r="V177" i="54" s="1"/>
  <c r="AY34" i="55" s="1"/>
  <c r="AZ34" i="55" s="1"/>
  <c r="BA34" i="55" s="1"/>
  <c r="I177" i="54" s="1"/>
  <c r="W177" i="54"/>
  <c r="AS38" i="54"/>
  <c r="W273" i="54"/>
  <c r="AE273" i="54" s="1"/>
  <c r="BM273" i="54" s="1"/>
  <c r="AK273" i="54"/>
  <c r="AX273" i="54"/>
  <c r="U269" i="54"/>
  <c r="AC269" i="54" s="1"/>
  <c r="BK269" i="54" s="1"/>
  <c r="W473" i="54"/>
  <c r="Y327" i="54"/>
  <c r="V327" i="54" s="1"/>
  <c r="AY59" i="55" s="1"/>
  <c r="AZ59" i="55" s="1"/>
  <c r="BA59" i="55" s="1"/>
  <c r="AT59" i="55"/>
  <c r="AU59" i="55" s="1"/>
  <c r="AV59" i="55" s="1"/>
  <c r="E327" i="54" s="1"/>
  <c r="BD342" i="54"/>
  <c r="BG342" i="54"/>
  <c r="AB196" i="54"/>
  <c r="BJ196" i="54" s="1"/>
  <c r="BB120" i="54"/>
  <c r="AR122" i="54"/>
  <c r="AC267" i="54"/>
  <c r="BK267" i="54" s="1"/>
  <c r="AC121" i="54"/>
  <c r="AC348" i="54"/>
  <c r="BK348" i="54" s="1"/>
  <c r="AE40" i="54"/>
  <c r="L459" i="54"/>
  <c r="AO192" i="54"/>
  <c r="T192" i="54"/>
  <c r="AB192" i="54" s="1"/>
  <c r="BJ192" i="54" s="1"/>
  <c r="AH192" i="54"/>
  <c r="BI274" i="54"/>
  <c r="AJ38" i="54"/>
  <c r="U196" i="54"/>
  <c r="T342" i="54"/>
  <c r="X460" i="54"/>
  <c r="P460" i="54" s="1"/>
  <c r="W477" i="54"/>
  <c r="X477" i="54" s="1"/>
  <c r="P477" i="54" s="1"/>
  <c r="T353" i="54"/>
  <c r="U353" i="54" s="1"/>
  <c r="V353" i="54" s="1"/>
  <c r="T355" i="54"/>
  <c r="AB193" i="54"/>
  <c r="AB269" i="54"/>
  <c r="BI343" i="54"/>
  <c r="AX347" i="54"/>
  <c r="BB121" i="54"/>
  <c r="AV196" i="54"/>
  <c r="V40" i="54"/>
  <c r="L479" i="54"/>
  <c r="V479" i="54" s="1"/>
  <c r="V473" i="54"/>
  <c r="U415" i="54"/>
  <c r="U416" i="54"/>
  <c r="O279" i="54"/>
  <c r="AC197" i="54"/>
  <c r="BK197" i="54" s="1"/>
  <c r="AP197" i="54"/>
  <c r="T272" i="54"/>
  <c r="BE272" i="54" s="1"/>
  <c r="V38" i="54"/>
  <c r="AF38" i="54" s="1"/>
  <c r="AQ121" i="54"/>
  <c r="V274" i="54"/>
  <c r="AD274" i="54" s="1"/>
  <c r="BL274" i="54" s="1"/>
  <c r="BA196" i="54"/>
  <c r="AD273" i="54"/>
  <c r="BL273" i="54" s="1"/>
  <c r="AO342" i="54"/>
  <c r="AU192" i="54"/>
  <c r="AB197" i="54"/>
  <c r="AC273" i="54"/>
  <c r="AZ192" i="54"/>
  <c r="AK577" i="54"/>
  <c r="V476" i="54"/>
  <c r="X476" i="54" s="1"/>
  <c r="P476" i="54" s="1"/>
  <c r="W328" i="54"/>
  <c r="AT60" i="55"/>
  <c r="AU60" i="55" s="1"/>
  <c r="AV60" i="55" s="1"/>
  <c r="E328" i="54" s="1"/>
  <c r="W320" i="54"/>
  <c r="Y320" i="54"/>
  <c r="V320" i="54" s="1"/>
  <c r="AY52" i="55" s="1"/>
  <c r="AZ52" i="55" s="1"/>
  <c r="BA52" i="55" s="1"/>
  <c r="V301" i="54"/>
  <c r="T203" i="54"/>
  <c r="T202" i="54"/>
  <c r="T204" i="54"/>
  <c r="V150" i="54"/>
  <c r="T198" i="54"/>
  <c r="AH198" i="54"/>
  <c r="BG198" i="54"/>
  <c r="AO348" i="54"/>
  <c r="AU348" i="54"/>
  <c r="BE196" i="54"/>
  <c r="AH342" i="54"/>
  <c r="T51" i="54"/>
  <c r="AZ342" i="54"/>
  <c r="BG192" i="54"/>
  <c r="L472" i="54"/>
  <c r="V472" i="54" s="1"/>
  <c r="T126" i="54"/>
  <c r="AC274" i="54"/>
  <c r="BK274" i="54" s="1"/>
  <c r="AV274" i="54"/>
  <c r="AB274" i="54"/>
  <c r="BJ274" i="54" s="1"/>
  <c r="BD116" i="54"/>
  <c r="L483" i="54"/>
  <c r="V483" i="54" s="1"/>
  <c r="Y395" i="54"/>
  <c r="V395" i="54" s="1"/>
  <c r="AY65" i="55" s="1"/>
  <c r="AZ65" i="55" s="1"/>
  <c r="BA65" i="55" s="1"/>
  <c r="I395" i="54" s="1"/>
  <c r="W324" i="54"/>
  <c r="AT38" i="55"/>
  <c r="AU38" i="55" s="1"/>
  <c r="AV38" i="55" s="1"/>
  <c r="E244" i="54" s="1"/>
  <c r="P237" i="54"/>
  <c r="E291" i="54" s="1"/>
  <c r="Y291" i="54" s="1"/>
  <c r="I291" i="54" s="1"/>
  <c r="R291" i="54" s="1"/>
  <c r="T117" i="54"/>
  <c r="AU122" i="54"/>
  <c r="P160" i="54"/>
  <c r="E216" i="54" s="1"/>
  <c r="Y216" i="54" s="1"/>
  <c r="I216" i="54" s="1"/>
  <c r="R216" i="54" s="1"/>
  <c r="AB116" i="54"/>
  <c r="L499" i="54"/>
  <c r="P499" i="54" s="1"/>
  <c r="O420" i="54"/>
  <c r="P420" i="54" s="1"/>
  <c r="E543" i="54" s="1"/>
  <c r="V543" i="54" s="1"/>
  <c r="AO117" i="54"/>
  <c r="T268" i="54"/>
  <c r="Y570" i="54"/>
  <c r="V570" i="54" s="1"/>
  <c r="AY80" i="55" s="1"/>
  <c r="AZ80" i="55" s="1"/>
  <c r="BA80" i="55" s="1"/>
  <c r="I570" i="54" s="1"/>
  <c r="E560" i="54"/>
  <c r="V560" i="54" s="1"/>
  <c r="AK396" i="54"/>
  <c r="I394" i="54"/>
  <c r="W471" i="52"/>
  <c r="W464" i="52"/>
  <c r="V451" i="52"/>
  <c r="X451" i="52" s="1"/>
  <c r="W450" i="52"/>
  <c r="X450" i="52" s="1"/>
  <c r="P444" i="52"/>
  <c r="E558" i="52" s="1"/>
  <c r="V558" i="52" s="1"/>
  <c r="I558" i="52" s="1"/>
  <c r="R558" i="52" s="1"/>
  <c r="W485" i="52"/>
  <c r="V485" i="52"/>
  <c r="BJ348" i="52"/>
  <c r="V503" i="52"/>
  <c r="V506" i="52"/>
  <c r="W506" i="52"/>
  <c r="P452" i="52"/>
  <c r="AE452" i="52" s="1"/>
  <c r="AF452" i="52" s="1"/>
  <c r="W452" i="52"/>
  <c r="V452" i="52"/>
  <c r="W468" i="52"/>
  <c r="V468" i="52"/>
  <c r="L502" i="52"/>
  <c r="V225" i="52"/>
  <c r="V486" i="52"/>
  <c r="W122" i="52"/>
  <c r="AI34" i="52"/>
  <c r="Y34" i="52"/>
  <c r="AD34" i="52"/>
  <c r="AM34" i="52"/>
  <c r="V479" i="52"/>
  <c r="X479" i="52" s="1"/>
  <c r="P479" i="52" s="1"/>
  <c r="X491" i="52"/>
  <c r="P491" i="52" s="1"/>
  <c r="AC39" i="52"/>
  <c r="AL39" i="52"/>
  <c r="AO39" i="52"/>
  <c r="Y39" i="52"/>
  <c r="AH39" i="52"/>
  <c r="V461" i="52"/>
  <c r="X461" i="52" s="1"/>
  <c r="P461" i="52"/>
  <c r="BD72" i="55"/>
  <c r="BE72" i="55" s="1"/>
  <c r="BF72" i="55" s="1"/>
  <c r="E402" i="52" s="1"/>
  <c r="Y402" i="52"/>
  <c r="V402" i="52" s="1"/>
  <c r="BI72" i="55" s="1"/>
  <c r="BJ72" i="55" s="1"/>
  <c r="BK72" i="55" s="1"/>
  <c r="V505" i="52"/>
  <c r="X505" i="52" s="1"/>
  <c r="P505" i="52"/>
  <c r="AV348" i="52"/>
  <c r="BA348" i="52"/>
  <c r="AV121" i="52"/>
  <c r="BE121" i="52"/>
  <c r="AD33" i="52"/>
  <c r="U35" i="52"/>
  <c r="AI33" i="52"/>
  <c r="AB269" i="52"/>
  <c r="W454" i="52"/>
  <c r="V454" i="52"/>
  <c r="AX121" i="52"/>
  <c r="V300" i="52"/>
  <c r="U122" i="52"/>
  <c r="BE120" i="52"/>
  <c r="AC120" i="52"/>
  <c r="BK120" i="52" s="1"/>
  <c r="V290" i="52"/>
  <c r="V458" i="52"/>
  <c r="W458" i="52"/>
  <c r="P458" i="52"/>
  <c r="AJ407" i="52"/>
  <c r="AL407" i="52"/>
  <c r="AM407" i="52" s="1"/>
  <c r="BG198" i="52"/>
  <c r="AH198" i="52"/>
  <c r="AB198" i="52"/>
  <c r="AZ198" i="52"/>
  <c r="AH117" i="52"/>
  <c r="BG117" i="52"/>
  <c r="AU117" i="52"/>
  <c r="U348" i="52"/>
  <c r="AB347" i="52"/>
  <c r="BE347" i="52"/>
  <c r="AH343" i="52"/>
  <c r="AO343" i="52"/>
  <c r="AU343" i="52"/>
  <c r="BD343" i="52"/>
  <c r="AH116" i="52"/>
  <c r="AO116" i="52"/>
  <c r="AU116" i="52"/>
  <c r="AZ116" i="52"/>
  <c r="BD116" i="52"/>
  <c r="BG116" i="52"/>
  <c r="AU198" i="52"/>
  <c r="U416" i="52"/>
  <c r="U415" i="52"/>
  <c r="BB116" i="52"/>
  <c r="AW116" i="52"/>
  <c r="V302" i="52"/>
  <c r="AI198" i="52"/>
  <c r="AP198" i="52"/>
  <c r="AZ343" i="52"/>
  <c r="F478" i="52"/>
  <c r="L478" i="52" s="1"/>
  <c r="F472" i="52"/>
  <c r="L472" i="52" s="1"/>
  <c r="F474" i="52"/>
  <c r="L474" i="52" s="1"/>
  <c r="F480" i="52"/>
  <c r="L480" i="52" s="1"/>
  <c r="F476" i="52"/>
  <c r="L476" i="52" s="1"/>
  <c r="F477" i="52"/>
  <c r="L477" i="52" s="1"/>
  <c r="BD76" i="55"/>
  <c r="BE76" i="55" s="1"/>
  <c r="BF76" i="55" s="1"/>
  <c r="E406" i="52" s="1"/>
  <c r="I406" i="52" s="1"/>
  <c r="Y406" i="52"/>
  <c r="V406" i="52" s="1"/>
  <c r="BI76" i="55" s="1"/>
  <c r="BJ76" i="55" s="1"/>
  <c r="BK76" i="55" s="1"/>
  <c r="BD59" i="55"/>
  <c r="BE59" i="55" s="1"/>
  <c r="BF59" i="55" s="1"/>
  <c r="E327" i="52" s="1"/>
  <c r="Y327" i="52"/>
  <c r="V327" i="52" s="1"/>
  <c r="BI59" i="55" s="1"/>
  <c r="BJ59" i="55" s="1"/>
  <c r="BK59" i="55" s="1"/>
  <c r="AP274" i="52"/>
  <c r="AV274" i="52"/>
  <c r="BD193" i="52"/>
  <c r="AH193" i="52"/>
  <c r="AO193" i="52"/>
  <c r="AU193" i="52"/>
  <c r="AO349" i="52"/>
  <c r="Y248" i="52"/>
  <c r="V248" i="52" s="1"/>
  <c r="BI42" i="55" s="1"/>
  <c r="BJ42" i="55" s="1"/>
  <c r="BK42" i="55" s="1"/>
  <c r="I248" i="52" s="1"/>
  <c r="Y176" i="52"/>
  <c r="V176" i="52" s="1"/>
  <c r="BI33" i="55" s="1"/>
  <c r="BJ33" i="55" s="1"/>
  <c r="BK33" i="55" s="1"/>
  <c r="I176" i="52" s="1"/>
  <c r="R179" i="52" s="1"/>
  <c r="Y168" i="52"/>
  <c r="V168" i="52" s="1"/>
  <c r="BI25" i="55" s="1"/>
  <c r="BJ25" i="55" s="1"/>
  <c r="BK25" i="55" s="1"/>
  <c r="I168" i="52" s="1"/>
  <c r="R171" i="52" s="1"/>
  <c r="AO38" i="52"/>
  <c r="T38" i="52"/>
  <c r="AC34" i="52"/>
  <c r="T191" i="52"/>
  <c r="AL38" i="52"/>
  <c r="AH38" i="52"/>
  <c r="S469" i="52"/>
  <c r="BD349" i="52"/>
  <c r="BD52" i="55"/>
  <c r="BE52" i="55" s="1"/>
  <c r="BF52" i="55" s="1"/>
  <c r="E320" i="52" s="1"/>
  <c r="T272" i="52"/>
  <c r="U196" i="52"/>
  <c r="BD344" i="52"/>
  <c r="P312" i="52"/>
  <c r="E366" i="52" s="1"/>
  <c r="BG272" i="52"/>
  <c r="P84" i="52"/>
  <c r="E139" i="52" s="1"/>
  <c r="Y139" i="52" s="1"/>
  <c r="I139" i="52" s="1"/>
  <c r="R139" i="52" s="1"/>
  <c r="AZ344" i="52"/>
  <c r="AZ272" i="52"/>
  <c r="AU191" i="52"/>
  <c r="T193" i="52"/>
  <c r="P13" i="52"/>
  <c r="E64" i="52" s="1"/>
  <c r="H11" i="61"/>
  <c r="Z86" i="44" s="1"/>
  <c r="B3" i="39"/>
  <c r="H9" i="61"/>
  <c r="K73" i="60" s="1"/>
  <c r="H8" i="61"/>
  <c r="K72" i="60" s="1"/>
  <c r="T1" i="36"/>
  <c r="I17" i="36" s="1"/>
  <c r="P7" i="21"/>
  <c r="C40" i="39" s="1"/>
  <c r="S40" i="39" s="1"/>
  <c r="AF62" i="44"/>
  <c r="AS62" i="44" s="1"/>
  <c r="AT62" i="44" s="1"/>
  <c r="AF63" i="44"/>
  <c r="AS63" i="44" s="1"/>
  <c r="AT63" i="44" s="1"/>
  <c r="AL4" i="44"/>
  <c r="T97" i="44" s="1"/>
  <c r="U45" i="24"/>
  <c r="U48" i="24"/>
  <c r="U46" i="24"/>
  <c r="U51" i="24"/>
  <c r="U50" i="24"/>
  <c r="U49" i="24"/>
  <c r="U52" i="24"/>
  <c r="U44" i="24"/>
  <c r="U47" i="24"/>
  <c r="U43" i="24"/>
  <c r="P37" i="39"/>
  <c r="U1" i="25"/>
  <c r="C81" i="25" s="1"/>
  <c r="M85" i="44"/>
  <c r="V85" i="44" s="1"/>
  <c r="S1" i="52"/>
  <c r="C646" i="52" s="1"/>
  <c r="B3" i="60"/>
  <c r="T1" i="24"/>
  <c r="I55" i="24" s="1"/>
  <c r="T1" i="22"/>
  <c r="I53" i="22" s="1"/>
  <c r="S52" i="60"/>
  <c r="S2" i="54"/>
  <c r="J646" i="54" s="1"/>
  <c r="V1" i="27"/>
  <c r="C39" i="27" s="1"/>
  <c r="O494" i="48"/>
  <c r="M83" i="44"/>
  <c r="O496" i="48"/>
  <c r="O493" i="48"/>
  <c r="V1" i="41"/>
  <c r="C39" i="41" s="1"/>
  <c r="U12" i="52"/>
  <c r="P160" i="52" s="1"/>
  <c r="E216" i="52" s="1"/>
  <c r="Y216" i="52" s="1"/>
  <c r="I216" i="52" s="1"/>
  <c r="R216" i="52" s="1"/>
  <c r="E61" i="52"/>
  <c r="Y61" i="52" s="1"/>
  <c r="I61" i="52" s="1"/>
  <c r="R61" i="52" s="1"/>
  <c r="V291" i="52"/>
  <c r="P11" i="52"/>
  <c r="E62" i="52" s="1"/>
  <c r="Y62" i="52" s="1"/>
  <c r="I62" i="52" s="1"/>
  <c r="R62" i="52" s="1"/>
  <c r="B8" i="52"/>
  <c r="P14" i="52"/>
  <c r="E65" i="52" s="1"/>
  <c r="Y65" i="52" s="1"/>
  <c r="I65" i="52" s="1"/>
  <c r="R65" i="52" s="1"/>
  <c r="T1" i="31"/>
  <c r="I21" i="31" s="1"/>
  <c r="T1" i="33"/>
  <c r="J14" i="33" s="1"/>
  <c r="T1" i="37"/>
  <c r="K176" i="37" s="1"/>
  <c r="T1" i="21"/>
  <c r="I9" i="21" s="1"/>
  <c r="O495" i="48"/>
  <c r="F488" i="48"/>
  <c r="S1" i="48"/>
  <c r="C500" i="48" s="1"/>
  <c r="F634" i="54"/>
  <c r="U1" i="40"/>
  <c r="C101" i="40" s="1"/>
  <c r="V300" i="54"/>
  <c r="V375" i="54"/>
  <c r="V365" i="54"/>
  <c r="P312" i="54"/>
  <c r="E366" i="54" s="1"/>
  <c r="Y366" i="54" s="1"/>
  <c r="I366" i="54" s="1"/>
  <c r="R366" i="54" s="1"/>
  <c r="L501" i="54"/>
  <c r="V501" i="54" s="1"/>
  <c r="M22" i="46"/>
  <c r="M29" i="46"/>
  <c r="V73" i="44"/>
  <c r="Y79" i="44"/>
  <c r="D10" i="59"/>
  <c r="N38" i="39"/>
  <c r="D12" i="59"/>
  <c r="U1" i="30"/>
  <c r="C23" i="30" s="1"/>
  <c r="U1" i="23"/>
  <c r="I15" i="23" s="1"/>
  <c r="O497" i="48"/>
  <c r="T1" i="29"/>
  <c r="I10" i="29" s="1"/>
  <c r="O492" i="48"/>
  <c r="F488" i="50"/>
  <c r="T1" i="64"/>
  <c r="I8" i="64" s="1"/>
  <c r="U1" i="32"/>
  <c r="C20" i="32" s="1"/>
  <c r="U1" i="34"/>
  <c r="C101" i="34" s="1"/>
  <c r="S4" i="46"/>
  <c r="I45" i="46" s="1"/>
  <c r="T19" i="30"/>
  <c r="T20" i="30"/>
  <c r="T5" i="33"/>
  <c r="T6" i="33"/>
  <c r="T7" i="33"/>
  <c r="T8" i="33"/>
  <c r="AT4" i="55"/>
  <c r="AU4" i="55" s="1"/>
  <c r="AV4" i="55" s="1"/>
  <c r="E20" i="54" s="1"/>
  <c r="AI33" i="54"/>
  <c r="AM33" i="54"/>
  <c r="Y33" i="54"/>
  <c r="T52" i="54"/>
  <c r="U51" i="54" s="1"/>
  <c r="U52" i="54" s="1"/>
  <c r="P50" i="54" s="1"/>
  <c r="E73" i="54" s="1"/>
  <c r="BI115" i="54"/>
  <c r="AR115" i="54"/>
  <c r="W120" i="54"/>
  <c r="AD120" i="54"/>
  <c r="BL120" i="54" s="1"/>
  <c r="T191" i="54"/>
  <c r="AB191" i="54" s="1"/>
  <c r="AZ191" i="54"/>
  <c r="AH191" i="54"/>
  <c r="BD191" i="54"/>
  <c r="AJ267" i="54"/>
  <c r="BB267" i="54"/>
  <c r="AQ267" i="54"/>
  <c r="BA272" i="54"/>
  <c r="BG272" i="54"/>
  <c r="AZ272" i="54"/>
  <c r="AH272" i="54"/>
  <c r="BD272" i="54"/>
  <c r="AU272" i="54"/>
  <c r="AO272" i="54"/>
  <c r="U342" i="54"/>
  <c r="BI342" i="54"/>
  <c r="AE347" i="54"/>
  <c r="BM347" i="54" s="1"/>
  <c r="AL347" i="54"/>
  <c r="AK347" i="54"/>
  <c r="AR347" i="54"/>
  <c r="AJ347" i="54"/>
  <c r="AS347" i="54"/>
  <c r="AD347" i="54"/>
  <c r="BB347" i="54"/>
  <c r="AF347" i="54"/>
  <c r="BN347" i="54" s="1"/>
  <c r="U413" i="54"/>
  <c r="V412" i="54" s="1"/>
  <c r="W412" i="54" s="1"/>
  <c r="P413" i="54" s="1"/>
  <c r="E540" i="54" s="1"/>
  <c r="V540" i="54" s="1"/>
  <c r="V454" i="54"/>
  <c r="S469" i="54"/>
  <c r="F466" i="54"/>
  <c r="L466" i="54" s="1"/>
  <c r="V466" i="54" s="1"/>
  <c r="V505" i="54"/>
  <c r="X505" i="54" s="1"/>
  <c r="P505" i="54" s="1"/>
  <c r="W509" i="54"/>
  <c r="V509" i="54"/>
  <c r="W503" i="54"/>
  <c r="X503" i="54" s="1"/>
  <c r="P503" i="54" s="1"/>
  <c r="W495" i="54"/>
  <c r="W493" i="54"/>
  <c r="W491" i="54"/>
  <c r="W486" i="54"/>
  <c r="V491" i="54"/>
  <c r="V486" i="54"/>
  <c r="W492" i="54"/>
  <c r="X492" i="54" s="1"/>
  <c r="P492" i="54" s="1"/>
  <c r="W487" i="54"/>
  <c r="X487" i="54" s="1"/>
  <c r="P487" i="54" s="1"/>
  <c r="W488" i="54"/>
  <c r="X488" i="54" s="1"/>
  <c r="P488" i="54" s="1"/>
  <c r="F465" i="54"/>
  <c r="L465" i="54" s="1"/>
  <c r="V465" i="54" s="1"/>
  <c r="F467" i="54"/>
  <c r="L467" i="54" s="1"/>
  <c r="V467" i="54" s="1"/>
  <c r="L464" i="54"/>
  <c r="F468" i="54"/>
  <c r="L468" i="54" s="1"/>
  <c r="W468" i="54" s="1"/>
  <c r="V450" i="54"/>
  <c r="W454" i="54"/>
  <c r="V453" i="54"/>
  <c r="W453" i="54"/>
  <c r="P453" i="54"/>
  <c r="AE453" i="54" s="1"/>
  <c r="AF453" i="54" s="1"/>
  <c r="V452" i="54"/>
  <c r="W452" i="54"/>
  <c r="P452" i="54"/>
  <c r="AE452" i="54" s="1"/>
  <c r="AF452" i="54" s="1"/>
  <c r="P451" i="54"/>
  <c r="AE451" i="54" s="1"/>
  <c r="AF451" i="54" s="1"/>
  <c r="V451" i="54"/>
  <c r="W451" i="54"/>
  <c r="W450" i="54"/>
  <c r="P440" i="54"/>
  <c r="E557" i="54" s="1"/>
  <c r="V557" i="54" s="1"/>
  <c r="O419" i="54"/>
  <c r="P419" i="54" s="1"/>
  <c r="E542" i="54" s="1"/>
  <c r="V542" i="54" s="1"/>
  <c r="T389" i="54"/>
  <c r="B387" i="54" s="1"/>
  <c r="E532" i="54"/>
  <c r="P386" i="54"/>
  <c r="E533" i="54" s="1"/>
  <c r="P389" i="54"/>
  <c r="E536" i="54" s="1"/>
  <c r="P388" i="54"/>
  <c r="E535" i="54" s="1"/>
  <c r="V138" i="54"/>
  <c r="V74" i="54"/>
  <c r="V216" i="54"/>
  <c r="P84" i="54"/>
  <c r="E139" i="54" s="1"/>
  <c r="Y139" i="54" s="1"/>
  <c r="I139" i="54" s="1"/>
  <c r="R139" i="54" s="1"/>
  <c r="V63" i="54"/>
  <c r="V65" i="54"/>
  <c r="V64" i="54"/>
  <c r="Y99" i="54"/>
  <c r="V99" i="54" s="1"/>
  <c r="AY20" i="55" s="1"/>
  <c r="AZ20" i="55" s="1"/>
  <c r="BA20" i="55" s="1"/>
  <c r="I99" i="54" s="1"/>
  <c r="Y95" i="54"/>
  <c r="V95" i="54" s="1"/>
  <c r="AY16" i="55" s="1"/>
  <c r="AZ16" i="55" s="1"/>
  <c r="BA16" i="55" s="1"/>
  <c r="I95" i="54" s="1"/>
  <c r="I91" i="54"/>
  <c r="V542" i="52" l="1"/>
  <c r="I542" i="52" s="1"/>
  <c r="R542" i="52" s="1"/>
  <c r="T50" i="34"/>
  <c r="T354" i="52"/>
  <c r="V20" i="26"/>
  <c r="W20" i="26" s="1"/>
  <c r="P22" i="26" s="1"/>
  <c r="C47" i="39" s="1"/>
  <c r="S47" i="39" s="1"/>
  <c r="T17" i="31"/>
  <c r="G18" i="34"/>
  <c r="G10" i="34"/>
  <c r="G16" i="34"/>
  <c r="G12" i="34"/>
  <c r="G8" i="34"/>
  <c r="G14" i="34"/>
  <c r="G18" i="40"/>
  <c r="G14" i="40"/>
  <c r="G12" i="40"/>
  <c r="G10" i="40"/>
  <c r="G16" i="40"/>
  <c r="G8" i="40"/>
  <c r="G10" i="41"/>
  <c r="G20" i="41"/>
  <c r="G14" i="41"/>
  <c r="G12" i="41"/>
  <c r="G18" i="41"/>
  <c r="G16" i="41"/>
  <c r="G20" i="27"/>
  <c r="G14" i="27"/>
  <c r="G12" i="27"/>
  <c r="G18" i="27"/>
  <c r="G16" i="27"/>
  <c r="G31" i="39"/>
  <c r="N14" i="39"/>
  <c r="G223" i="48"/>
  <c r="G229" i="48"/>
  <c r="G231" i="48"/>
  <c r="G225" i="48"/>
  <c r="G229" i="50"/>
  <c r="G231" i="50"/>
  <c r="G407" i="52"/>
  <c r="G405" i="52"/>
  <c r="G401" i="52"/>
  <c r="G403" i="52"/>
  <c r="G401" i="54"/>
  <c r="G405" i="54"/>
  <c r="G407" i="54"/>
  <c r="G403" i="54"/>
  <c r="P17" i="32"/>
  <c r="T17" i="32" s="1"/>
  <c r="S71" i="25"/>
  <c r="S74" i="25"/>
  <c r="S77" i="25"/>
  <c r="S67" i="25"/>
  <c r="S75" i="25"/>
  <c r="S66" i="25"/>
  <c r="S68" i="25"/>
  <c r="S78" i="25"/>
  <c r="S69" i="25"/>
  <c r="S72" i="25"/>
  <c r="S76" i="25"/>
  <c r="S70" i="25"/>
  <c r="S73" i="25"/>
  <c r="S65" i="25"/>
  <c r="AU78" i="37"/>
  <c r="AW78" i="37"/>
  <c r="N81" i="37" s="1"/>
  <c r="P89" i="37" s="1"/>
  <c r="G121" i="37" s="1"/>
  <c r="R121" i="37" s="1"/>
  <c r="AH140" i="37"/>
  <c r="AK140" i="37" s="1"/>
  <c r="N141" i="37" s="1"/>
  <c r="P147" i="37" s="1"/>
  <c r="G166" i="37" s="1"/>
  <c r="Y395" i="48"/>
  <c r="Y398" i="48"/>
  <c r="W288" i="48"/>
  <c r="V310" i="48"/>
  <c r="X310" i="48" s="1"/>
  <c r="P310" i="48" s="1"/>
  <c r="Y396" i="48"/>
  <c r="Z395" i="48" s="1"/>
  <c r="AA395" i="48" s="1"/>
  <c r="Z396" i="48" s="1"/>
  <c r="AA396" i="48" s="1"/>
  <c r="Z397" i="48" s="1"/>
  <c r="AA397" i="48" s="1"/>
  <c r="P400" i="48" s="1"/>
  <c r="E452" i="48" s="1"/>
  <c r="V332" i="48"/>
  <c r="X318" i="48"/>
  <c r="P318" i="48" s="1"/>
  <c r="W308" i="48"/>
  <c r="V324" i="48"/>
  <c r="W331" i="48"/>
  <c r="X331" i="48" s="1"/>
  <c r="P331" i="48" s="1"/>
  <c r="U435" i="48"/>
  <c r="P429" i="48" s="1"/>
  <c r="E466" i="48" s="1"/>
  <c r="Y466" i="48" s="1"/>
  <c r="AJ34" i="52"/>
  <c r="T355" i="52"/>
  <c r="AM40" i="52"/>
  <c r="U342" i="52"/>
  <c r="AD40" i="52"/>
  <c r="V504" i="52"/>
  <c r="X504" i="52" s="1"/>
  <c r="P504" i="52" s="1"/>
  <c r="T353" i="52"/>
  <c r="U353" i="52" s="1"/>
  <c r="V353" i="52" s="1"/>
  <c r="U354" i="52" s="1"/>
  <c r="V354" i="52" s="1"/>
  <c r="P352" i="52" s="1"/>
  <c r="E374" i="52" s="1"/>
  <c r="T203" i="52"/>
  <c r="AD35" i="52"/>
  <c r="AM35" i="52"/>
  <c r="AI35" i="52"/>
  <c r="V63" i="52"/>
  <c r="Y63" i="52"/>
  <c r="I63" i="52" s="1"/>
  <c r="R63" i="52" s="1"/>
  <c r="V216" i="52"/>
  <c r="Z34" i="52"/>
  <c r="AS34" i="52" s="1"/>
  <c r="AQ117" i="52"/>
  <c r="Y33" i="52"/>
  <c r="AR33" i="52" s="1"/>
  <c r="AM33" i="52"/>
  <c r="BA342" i="52"/>
  <c r="AK121" i="52"/>
  <c r="E573" i="52"/>
  <c r="BA196" i="52"/>
  <c r="U197" i="52"/>
  <c r="BE196" i="52"/>
  <c r="AP196" i="52"/>
  <c r="AI196" i="52"/>
  <c r="AV196" i="52"/>
  <c r="U198" i="52"/>
  <c r="AB196" i="52"/>
  <c r="BJ196" i="52" s="1"/>
  <c r="V366" i="52"/>
  <c r="Y366" i="52"/>
  <c r="I366" i="52" s="1"/>
  <c r="R366" i="52" s="1"/>
  <c r="AV269" i="52"/>
  <c r="Y64" i="52"/>
  <c r="I64" i="52" s="1"/>
  <c r="R64" i="52" s="1"/>
  <c r="AI40" i="52"/>
  <c r="W465" i="52"/>
  <c r="AC117" i="52"/>
  <c r="BK117" i="52" s="1"/>
  <c r="W501" i="52"/>
  <c r="W508" i="52"/>
  <c r="X508" i="52" s="1"/>
  <c r="P508" i="52" s="1"/>
  <c r="X483" i="52"/>
  <c r="W467" i="52"/>
  <c r="X467" i="52" s="1"/>
  <c r="P467" i="52" s="1"/>
  <c r="I249" i="52"/>
  <c r="R251" i="52" s="1"/>
  <c r="O251" i="52" s="1"/>
  <c r="AA253" i="52" s="1"/>
  <c r="I245" i="52"/>
  <c r="R247" i="52" s="1"/>
  <c r="O247" i="52" s="1"/>
  <c r="AA252" i="52" s="1"/>
  <c r="I253" i="52"/>
  <c r="R255" i="52" s="1"/>
  <c r="O255" i="52" s="1"/>
  <c r="AA254" i="52" s="1"/>
  <c r="W508" i="54"/>
  <c r="X508" i="54" s="1"/>
  <c r="P508" i="54" s="1"/>
  <c r="U202" i="54"/>
  <c r="V202" i="54" s="1"/>
  <c r="AI344" i="54"/>
  <c r="BA344" i="54"/>
  <c r="AP344" i="54"/>
  <c r="BE344" i="54"/>
  <c r="AV344" i="54"/>
  <c r="AB344" i="54"/>
  <c r="BJ344" i="54" s="1"/>
  <c r="AI193" i="54"/>
  <c r="U193" i="54"/>
  <c r="V291" i="54"/>
  <c r="V502" i="54"/>
  <c r="W475" i="54"/>
  <c r="X475" i="54" s="1"/>
  <c r="P475" i="54" s="1"/>
  <c r="V506" i="54"/>
  <c r="W474" i="54"/>
  <c r="X474" i="54" s="1"/>
  <c r="P474" i="54" s="1"/>
  <c r="W490" i="54"/>
  <c r="X490" i="54" s="1"/>
  <c r="P490" i="54" s="1"/>
  <c r="W501" i="54"/>
  <c r="W479" i="54"/>
  <c r="X479" i="54" s="1"/>
  <c r="P479" i="54" s="1"/>
  <c r="V535" i="54"/>
  <c r="I535" i="54" s="1"/>
  <c r="R535" i="54" s="1"/>
  <c r="V533" i="54"/>
  <c r="I533" i="54" s="1"/>
  <c r="R533" i="54" s="1"/>
  <c r="V536" i="54"/>
  <c r="I536" i="54" s="1"/>
  <c r="R536" i="54" s="1"/>
  <c r="V532" i="54"/>
  <c r="I532" i="54" s="1"/>
  <c r="R532" i="54" s="1"/>
  <c r="R98" i="54"/>
  <c r="O98" i="54" s="1"/>
  <c r="R251" i="54"/>
  <c r="O251" i="54" s="1"/>
  <c r="L639" i="54"/>
  <c r="M42" i="46"/>
  <c r="L497" i="48"/>
  <c r="L497" i="50"/>
  <c r="L496" i="50"/>
  <c r="I20" i="54"/>
  <c r="AZ3" i="55"/>
  <c r="BA3" i="55" s="1"/>
  <c r="I19" i="54" s="1"/>
  <c r="T19" i="31"/>
  <c r="T41" i="22"/>
  <c r="U41" i="22" s="1"/>
  <c r="T42" i="22" s="1"/>
  <c r="U42" i="22" s="1"/>
  <c r="T43" i="22" s="1"/>
  <c r="U43" i="22" s="1"/>
  <c r="T44" i="22" s="1"/>
  <c r="U44" i="22" s="1"/>
  <c r="T45" i="22" s="1"/>
  <c r="U45" i="22" s="1"/>
  <c r="T46" i="22" s="1"/>
  <c r="U46" i="22" s="1"/>
  <c r="T47" i="22" s="1"/>
  <c r="U47" i="22" s="1"/>
  <c r="T48" i="22" s="1"/>
  <c r="U48" i="22" s="1"/>
  <c r="T49" i="22" s="1"/>
  <c r="U49" i="22" s="1"/>
  <c r="P51" i="22" s="1"/>
  <c r="E20" i="27"/>
  <c r="X11" i="27" s="1"/>
  <c r="L495" i="48"/>
  <c r="L496" i="48"/>
  <c r="N62" i="60"/>
  <c r="N54" i="60"/>
  <c r="L643" i="54"/>
  <c r="K39" i="37"/>
  <c r="R39" i="37" s="1"/>
  <c r="U19" i="30"/>
  <c r="V19" i="30" s="1"/>
  <c r="P21" i="30" s="1"/>
  <c r="C57" i="60"/>
  <c r="U17" i="31"/>
  <c r="V17" i="31" s="1"/>
  <c r="C50" i="60"/>
  <c r="K96" i="37"/>
  <c r="R96" i="37" s="1"/>
  <c r="AH24" i="37"/>
  <c r="AK24" i="37" s="1"/>
  <c r="N25" i="37" s="1"/>
  <c r="P31" i="37" s="1"/>
  <c r="G54" i="37" s="1"/>
  <c r="E18" i="41"/>
  <c r="E12" i="41"/>
  <c r="E10" i="41"/>
  <c r="E20" i="41"/>
  <c r="E16" i="41"/>
  <c r="E14" i="41"/>
  <c r="T49" i="40"/>
  <c r="T51" i="34"/>
  <c r="T47" i="34"/>
  <c r="T49" i="34"/>
  <c r="T53" i="34"/>
  <c r="T48" i="34"/>
  <c r="E14" i="40"/>
  <c r="E8" i="34"/>
  <c r="E10" i="40"/>
  <c r="E8" i="40"/>
  <c r="E16" i="40"/>
  <c r="E12" i="34"/>
  <c r="E10" i="34"/>
  <c r="E18" i="34"/>
  <c r="E16" i="34"/>
  <c r="E14" i="34"/>
  <c r="L640" i="52"/>
  <c r="L642" i="52"/>
  <c r="L644" i="52"/>
  <c r="Z94" i="44"/>
  <c r="L641" i="52"/>
  <c r="L638" i="52"/>
  <c r="L644" i="54"/>
  <c r="L643" i="52"/>
  <c r="L493" i="48"/>
  <c r="M34" i="46"/>
  <c r="L494" i="50"/>
  <c r="Z85" i="44"/>
  <c r="AE85" i="44" s="1"/>
  <c r="L493" i="50"/>
  <c r="L498" i="50"/>
  <c r="L492" i="50"/>
  <c r="M35" i="46"/>
  <c r="AR28" i="44"/>
  <c r="L642" i="54"/>
  <c r="L495" i="50"/>
  <c r="L492" i="48"/>
  <c r="L641" i="54"/>
  <c r="L639" i="52"/>
  <c r="AM23" i="44"/>
  <c r="AM25" i="44"/>
  <c r="U5" i="23"/>
  <c r="V5" i="23" s="1"/>
  <c r="U6" i="23" s="1"/>
  <c r="V6" i="23" s="1"/>
  <c r="U7" i="23" s="1"/>
  <c r="V7" i="23" s="1"/>
  <c r="U8" i="23" s="1"/>
  <c r="V8" i="23" s="1"/>
  <c r="U9" i="23" s="1"/>
  <c r="V9" i="23" s="1"/>
  <c r="U10" i="23" s="1"/>
  <c r="V10" i="23" s="1"/>
  <c r="P12" i="23" s="1"/>
  <c r="L498" i="48"/>
  <c r="G9" i="39"/>
  <c r="G36" i="39"/>
  <c r="G25" i="39"/>
  <c r="G17" i="39"/>
  <c r="G24" i="39"/>
  <c r="G34" i="39"/>
  <c r="G32" i="39"/>
  <c r="G26" i="39"/>
  <c r="G14" i="39"/>
  <c r="G23" i="39"/>
  <c r="N32" i="39"/>
  <c r="AF12" i="44"/>
  <c r="AF14" i="44" s="1"/>
  <c r="X284" i="48"/>
  <c r="P284" i="48" s="1"/>
  <c r="AE284" i="48" s="1"/>
  <c r="AF284" i="48" s="1"/>
  <c r="AS27" i="44"/>
  <c r="AR24" i="44"/>
  <c r="AM24" i="44"/>
  <c r="AP30" i="44"/>
  <c r="K32" i="44" s="1"/>
  <c r="E223" i="48"/>
  <c r="R22" i="52"/>
  <c r="O22" i="52" s="1"/>
  <c r="AA25" i="52" s="1"/>
  <c r="E401" i="54"/>
  <c r="E407" i="54"/>
  <c r="E405" i="54"/>
  <c r="R179" i="54"/>
  <c r="O179" i="54" s="1"/>
  <c r="AA178" i="54" s="1"/>
  <c r="AI39" i="54"/>
  <c r="AM39" i="54"/>
  <c r="U39" i="54"/>
  <c r="Z39" i="54" s="1"/>
  <c r="AS39" i="54" s="1"/>
  <c r="AD39" i="54"/>
  <c r="P483" i="54"/>
  <c r="AP272" i="54"/>
  <c r="AC115" i="54"/>
  <c r="BK115" i="54" s="1"/>
  <c r="W500" i="54"/>
  <c r="X500" i="54" s="1"/>
  <c r="P500" i="54" s="1"/>
  <c r="U126" i="54"/>
  <c r="V126" i="54" s="1"/>
  <c r="U127" i="54" s="1"/>
  <c r="V127" i="54" s="1"/>
  <c r="P125" i="54" s="1"/>
  <c r="E147" i="54" s="1"/>
  <c r="Y147" i="54" s="1"/>
  <c r="X473" i="54"/>
  <c r="P473" i="54" s="1"/>
  <c r="AQ115" i="54"/>
  <c r="BA349" i="54"/>
  <c r="U349" i="54"/>
  <c r="BE349" i="54"/>
  <c r="AV349" i="54"/>
  <c r="AI349" i="54"/>
  <c r="AP349" i="54"/>
  <c r="W461" i="54"/>
  <c r="X461" i="54" s="1"/>
  <c r="P461" i="54" s="1"/>
  <c r="AW344" i="54"/>
  <c r="AJ344" i="54"/>
  <c r="AQ344" i="54"/>
  <c r="BB344" i="54"/>
  <c r="V344" i="54"/>
  <c r="U272" i="54"/>
  <c r="V272" i="54" s="1"/>
  <c r="AR272" i="54" s="1"/>
  <c r="AJ115" i="54"/>
  <c r="AW115" i="54"/>
  <c r="U343" i="54"/>
  <c r="AP343" i="54"/>
  <c r="AV343" i="54"/>
  <c r="BE343" i="54"/>
  <c r="AI343" i="54"/>
  <c r="BA343" i="54"/>
  <c r="Y39" i="54"/>
  <c r="AJ35" i="54"/>
  <c r="AE35" i="54"/>
  <c r="V73" i="54"/>
  <c r="Y73" i="54"/>
  <c r="I73" i="54" s="1"/>
  <c r="R73" i="54" s="1"/>
  <c r="AA38" i="54"/>
  <c r="AT38" i="54" s="1"/>
  <c r="AD121" i="54"/>
  <c r="BL121" i="54" s="1"/>
  <c r="AX121" i="54"/>
  <c r="V458" i="54"/>
  <c r="X458" i="54" s="1"/>
  <c r="V215" i="54"/>
  <c r="V499" i="54"/>
  <c r="W472" i="54"/>
  <c r="X472" i="54" s="1"/>
  <c r="P472" i="54" s="1"/>
  <c r="P458" i="54"/>
  <c r="AR121" i="54"/>
  <c r="W121" i="54"/>
  <c r="AE121" i="54" s="1"/>
  <c r="BM121" i="54" s="1"/>
  <c r="X478" i="54"/>
  <c r="P478" i="54" s="1"/>
  <c r="W471" i="54"/>
  <c r="P471" i="54"/>
  <c r="V471" i="54"/>
  <c r="V485" i="54"/>
  <c r="X485" i="54" s="1"/>
  <c r="P485" i="54" s="1"/>
  <c r="W494" i="54"/>
  <c r="X494" i="54" s="1"/>
  <c r="P494" i="54" s="1"/>
  <c r="W499" i="54"/>
  <c r="V35" i="54"/>
  <c r="AF35" i="54" s="1"/>
  <c r="AB343" i="54"/>
  <c r="BJ343" i="54" s="1"/>
  <c r="AW267" i="54"/>
  <c r="V267" i="54"/>
  <c r="U116" i="54"/>
  <c r="AI116" i="54"/>
  <c r="BE116" i="54"/>
  <c r="AP116" i="54"/>
  <c r="AV116" i="54"/>
  <c r="BA116" i="54"/>
  <c r="V480" i="54"/>
  <c r="W480" i="54"/>
  <c r="AC344" i="54"/>
  <c r="BK344" i="54" s="1"/>
  <c r="AB349" i="54"/>
  <c r="BJ349" i="54" s="1"/>
  <c r="W122" i="54"/>
  <c r="AK122" i="54"/>
  <c r="AX122" i="54"/>
  <c r="R385" i="48"/>
  <c r="R386" i="48" s="1"/>
  <c r="P387" i="48" s="1"/>
  <c r="E450" i="48" s="1"/>
  <c r="J174" i="48"/>
  <c r="R178" i="48" s="1"/>
  <c r="R58" i="48"/>
  <c r="O58" i="48" s="1"/>
  <c r="Y59" i="48" s="1"/>
  <c r="R98" i="48"/>
  <c r="O98" i="48" s="1"/>
  <c r="Y99" i="48" s="1"/>
  <c r="R138" i="48"/>
  <c r="O138" i="48" s="1"/>
  <c r="Y139" i="48" s="1"/>
  <c r="W290" i="48"/>
  <c r="V290" i="48"/>
  <c r="W315" i="48"/>
  <c r="X315" i="48" s="1"/>
  <c r="P315" i="48" s="1"/>
  <c r="E229" i="48"/>
  <c r="E231" i="48"/>
  <c r="E225" i="48"/>
  <c r="V287" i="48"/>
  <c r="X287" i="48" s="1"/>
  <c r="P287" i="48" s="1"/>
  <c r="V321" i="48"/>
  <c r="X321" i="48" s="1"/>
  <c r="P321" i="48" s="1"/>
  <c r="W330" i="48"/>
  <c r="X330" i="48" s="1"/>
  <c r="P330" i="48" s="1"/>
  <c r="B334" i="48"/>
  <c r="V322" i="48"/>
  <c r="X322" i="48" s="1"/>
  <c r="P322" i="48" s="1"/>
  <c r="V314" i="48"/>
  <c r="X314" i="48" s="1"/>
  <c r="P314" i="48" s="1"/>
  <c r="W325" i="48"/>
  <c r="V299" i="48"/>
  <c r="V294" i="48"/>
  <c r="X294" i="48" s="1"/>
  <c r="P294" i="48" s="1"/>
  <c r="R20" i="48"/>
  <c r="O20" i="48" s="1"/>
  <c r="Y20" i="48" s="1"/>
  <c r="J381" i="50"/>
  <c r="W322" i="50"/>
  <c r="X322" i="50" s="1"/>
  <c r="P322" i="50" s="1"/>
  <c r="V287" i="50"/>
  <c r="X335" i="50"/>
  <c r="P335" i="50" s="1"/>
  <c r="AE292" i="50" s="1"/>
  <c r="AF292" i="50" s="1"/>
  <c r="W318" i="50"/>
  <c r="X318" i="50" s="1"/>
  <c r="P318" i="50" s="1"/>
  <c r="E571" i="52"/>
  <c r="E577" i="52"/>
  <c r="R102" i="54"/>
  <c r="O102" i="54" s="1"/>
  <c r="AA101" i="54" s="1"/>
  <c r="E403" i="54"/>
  <c r="I23" i="54"/>
  <c r="R26" i="54" s="1"/>
  <c r="O26" i="54" s="1"/>
  <c r="AA26" i="54" s="1"/>
  <c r="R20" i="50"/>
  <c r="O20" i="50" s="1"/>
  <c r="I99" i="52"/>
  <c r="R102" i="52" s="1"/>
  <c r="O102" i="52" s="1"/>
  <c r="AA101" i="52" s="1"/>
  <c r="I23" i="52"/>
  <c r="R26" i="52" s="1"/>
  <c r="O26" i="52" s="1"/>
  <c r="AA26" i="52" s="1"/>
  <c r="I244" i="54"/>
  <c r="R247" i="54" s="1"/>
  <c r="O247" i="54" s="1"/>
  <c r="AA252" i="54" s="1"/>
  <c r="R94" i="54"/>
  <c r="O94" i="54" s="1"/>
  <c r="AA99" i="54" s="1"/>
  <c r="N7" i="63"/>
  <c r="O7" i="63" s="1"/>
  <c r="N8" i="63" s="1"/>
  <c r="O8" i="63" s="1"/>
  <c r="N9" i="63" s="1"/>
  <c r="O9" i="63" s="1"/>
  <c r="N10" i="63" s="1"/>
  <c r="O10" i="63" s="1"/>
  <c r="N11" i="63" s="1"/>
  <c r="O11" i="63" s="1"/>
  <c r="N12" i="63" s="1"/>
  <c r="O12" i="63" s="1"/>
  <c r="N13" i="63" s="1"/>
  <c r="O13" i="63" s="1"/>
  <c r="N14" i="63" s="1"/>
  <c r="O14" i="63" s="1"/>
  <c r="N15" i="63" s="1"/>
  <c r="O15" i="63" s="1"/>
  <c r="N16" i="63" s="1"/>
  <c r="O16" i="63" s="1"/>
  <c r="N17" i="63" s="1"/>
  <c r="O17" i="63" s="1"/>
  <c r="N18" i="63" s="1"/>
  <c r="O18" i="63" s="1"/>
  <c r="N19" i="63" s="1"/>
  <c r="O19" i="63" s="1"/>
  <c r="N20" i="63" s="1"/>
  <c r="O20" i="63" s="1"/>
  <c r="N21" i="63" s="1"/>
  <c r="O21" i="63" s="1"/>
  <c r="N22" i="63" s="1"/>
  <c r="O22" i="63" s="1"/>
  <c r="N23" i="63" s="1"/>
  <c r="O23" i="63" s="1"/>
  <c r="D8" i="63" s="1"/>
  <c r="AF65" i="44"/>
  <c r="AS65" i="44" s="1"/>
  <c r="AT65" i="44" s="1"/>
  <c r="AO29" i="44"/>
  <c r="AS29" i="44"/>
  <c r="AS25" i="44"/>
  <c r="AO25" i="44"/>
  <c r="AO28" i="44"/>
  <c r="AS28" i="44"/>
  <c r="AS26" i="44"/>
  <c r="AO26" i="44"/>
  <c r="AS24" i="44"/>
  <c r="AO24" i="44"/>
  <c r="AQ30" i="44"/>
  <c r="AB32" i="44" s="1"/>
  <c r="AO30" i="44"/>
  <c r="AS30" i="44"/>
  <c r="O63" i="44"/>
  <c r="AN63" i="44" s="1"/>
  <c r="AO63" i="44" s="1"/>
  <c r="O62" i="44"/>
  <c r="AN62" i="44" s="1"/>
  <c r="AO62" i="44" s="1"/>
  <c r="O65" i="44"/>
  <c r="AN65" i="44" s="1"/>
  <c r="AO65" i="44" s="1"/>
  <c r="U47" i="34"/>
  <c r="V47" i="34" s="1"/>
  <c r="U48" i="34" s="1"/>
  <c r="V48" i="34" s="1"/>
  <c r="U49" i="34" s="1"/>
  <c r="V49" i="34" s="1"/>
  <c r="U50" i="34" s="1"/>
  <c r="V50" i="34" s="1"/>
  <c r="U51" i="34" s="1"/>
  <c r="V51" i="34" s="1"/>
  <c r="U52" i="34" s="1"/>
  <c r="V52" i="34" s="1"/>
  <c r="U53" i="34" s="1"/>
  <c r="V53" i="34" s="1"/>
  <c r="P84" i="34" s="1"/>
  <c r="E97" i="34" s="1"/>
  <c r="S97" i="34" s="1"/>
  <c r="E18" i="40"/>
  <c r="T54" i="40"/>
  <c r="T50" i="40"/>
  <c r="T47" i="40"/>
  <c r="T52" i="40"/>
  <c r="T48" i="40"/>
  <c r="T51" i="40"/>
  <c r="T53" i="40"/>
  <c r="R155" i="37"/>
  <c r="O12" i="44"/>
  <c r="O14" i="44" s="1"/>
  <c r="C37" i="60"/>
  <c r="N37" i="60" s="1"/>
  <c r="E379" i="48"/>
  <c r="G379" i="48" s="1"/>
  <c r="E377" i="48"/>
  <c r="V297" i="48"/>
  <c r="X297" i="48" s="1"/>
  <c r="P297" i="48" s="1"/>
  <c r="X293" i="48"/>
  <c r="P293" i="48" s="1"/>
  <c r="V292" i="48"/>
  <c r="X292" i="48" s="1"/>
  <c r="P292" i="48" s="1"/>
  <c r="V301" i="48"/>
  <c r="X301" i="48" s="1"/>
  <c r="P301" i="48" s="1"/>
  <c r="W300" i="48"/>
  <c r="X300" i="48" s="1"/>
  <c r="P300" i="48" s="1"/>
  <c r="X308" i="48"/>
  <c r="P308" i="48" s="1"/>
  <c r="X328" i="48"/>
  <c r="P328" i="48" s="1"/>
  <c r="AE289" i="48" s="1"/>
  <c r="AF289" i="48" s="1"/>
  <c r="X290" i="48"/>
  <c r="P290" i="48" s="1"/>
  <c r="X307" i="48"/>
  <c r="P307" i="48" s="1"/>
  <c r="X286" i="48"/>
  <c r="P286" i="48" s="1"/>
  <c r="P256" i="48"/>
  <c r="E363" i="48" s="1"/>
  <c r="Y363" i="48" s="1"/>
  <c r="B26" i="48"/>
  <c r="P62" i="48"/>
  <c r="E75" i="48" s="1"/>
  <c r="W75" i="48" s="1"/>
  <c r="W333" i="48"/>
  <c r="B456" i="48"/>
  <c r="C411" i="48"/>
  <c r="E456" i="48"/>
  <c r="Y456" i="48" s="1"/>
  <c r="J456" i="48" s="1"/>
  <c r="S456" i="48" s="1"/>
  <c r="B455" i="48"/>
  <c r="V333" i="48"/>
  <c r="X316" i="48"/>
  <c r="P316" i="48" s="1"/>
  <c r="B327" i="48"/>
  <c r="X289" i="48"/>
  <c r="P289" i="48" s="1"/>
  <c r="V296" i="48"/>
  <c r="X296" i="48" s="1"/>
  <c r="P296" i="48" s="1"/>
  <c r="X323" i="48"/>
  <c r="P323" i="48" s="1"/>
  <c r="X332" i="48"/>
  <c r="P332" i="48" s="1"/>
  <c r="X309" i="48"/>
  <c r="P309" i="48" s="1"/>
  <c r="W320" i="48"/>
  <c r="X320" i="48" s="1"/>
  <c r="P320" i="48" s="1"/>
  <c r="X282" i="48"/>
  <c r="P282" i="48" s="1"/>
  <c r="AE282" i="48" s="1"/>
  <c r="AF282" i="48" s="1"/>
  <c r="B64" i="48"/>
  <c r="P142" i="48"/>
  <c r="E155" i="48" s="1"/>
  <c r="W155" i="48" s="1"/>
  <c r="B184" i="48"/>
  <c r="P143" i="48"/>
  <c r="E156" i="48" s="1"/>
  <c r="W156" i="48" s="1"/>
  <c r="B144" i="48"/>
  <c r="X326" i="48"/>
  <c r="P326" i="48" s="1"/>
  <c r="X324" i="48"/>
  <c r="P324" i="48" s="1"/>
  <c r="X335" i="48"/>
  <c r="P335" i="48" s="1"/>
  <c r="AE292" i="48" s="1"/>
  <c r="AF292" i="48" s="1"/>
  <c r="X313" i="48"/>
  <c r="P313" i="48" s="1"/>
  <c r="P25" i="48"/>
  <c r="E37" i="48" s="1"/>
  <c r="W37" i="48" s="1"/>
  <c r="X325" i="48"/>
  <c r="P325" i="48" s="1"/>
  <c r="X281" i="48"/>
  <c r="P281" i="48" s="1"/>
  <c r="AE281" i="48" s="1"/>
  <c r="AF281" i="48" s="1"/>
  <c r="W295" i="48"/>
  <c r="V295" i="48"/>
  <c r="X299" i="48"/>
  <c r="P299" i="48" s="1"/>
  <c r="X283" i="48"/>
  <c r="P283" i="48" s="1"/>
  <c r="AE283" i="48" s="1"/>
  <c r="AF283" i="48" s="1"/>
  <c r="X288" i="48"/>
  <c r="P288" i="48" s="1"/>
  <c r="X311" i="48"/>
  <c r="P311" i="48" s="1"/>
  <c r="X312" i="48"/>
  <c r="P312" i="48" s="1"/>
  <c r="E195" i="48"/>
  <c r="W195" i="48" s="1"/>
  <c r="P24" i="48"/>
  <c r="E36" i="48" s="1"/>
  <c r="W36" i="48" s="1"/>
  <c r="B104" i="48"/>
  <c r="P103" i="48"/>
  <c r="E116" i="48" s="1"/>
  <c r="W116" i="48" s="1"/>
  <c r="P102" i="48"/>
  <c r="E115" i="48" s="1"/>
  <c r="W115" i="48" s="1"/>
  <c r="E196" i="48"/>
  <c r="W196" i="48" s="1"/>
  <c r="O15" i="48"/>
  <c r="Y19" i="48" s="1"/>
  <c r="J386" i="50"/>
  <c r="J376" i="50"/>
  <c r="J230" i="50"/>
  <c r="J224" i="50"/>
  <c r="J56" i="50"/>
  <c r="R58" i="50" s="1"/>
  <c r="O58" i="50" s="1"/>
  <c r="Y59" i="50" s="1"/>
  <c r="E575" i="52"/>
  <c r="G573" i="52"/>
  <c r="G575" i="52"/>
  <c r="B327" i="50"/>
  <c r="W330" i="50"/>
  <c r="B334" i="50"/>
  <c r="V299" i="50"/>
  <c r="X299" i="50" s="1"/>
  <c r="P299" i="50" s="1"/>
  <c r="W296" i="50"/>
  <c r="X296" i="50" s="1"/>
  <c r="P296" i="50" s="1"/>
  <c r="V333" i="50"/>
  <c r="X333" i="50" s="1"/>
  <c r="P333" i="50" s="1"/>
  <c r="W307" i="50"/>
  <c r="X307" i="50" s="1"/>
  <c r="P307" i="50" s="1"/>
  <c r="W311" i="50"/>
  <c r="X311" i="50" s="1"/>
  <c r="P311" i="50" s="1"/>
  <c r="V286" i="50"/>
  <c r="X286" i="50" s="1"/>
  <c r="P286" i="50" s="1"/>
  <c r="V301" i="50"/>
  <c r="X301" i="50" s="1"/>
  <c r="P301" i="50" s="1"/>
  <c r="V330" i="50"/>
  <c r="P256" i="50"/>
  <c r="E363" i="50" s="1"/>
  <c r="Y363" i="50" s="1"/>
  <c r="W326" i="50"/>
  <c r="X326" i="50" s="1"/>
  <c r="P326" i="50" s="1"/>
  <c r="V300" i="50"/>
  <c r="X300" i="50" s="1"/>
  <c r="P300" i="50" s="1"/>
  <c r="V309" i="50"/>
  <c r="X309" i="50" s="1"/>
  <c r="P309" i="50" s="1"/>
  <c r="V289" i="50"/>
  <c r="X289" i="50" s="1"/>
  <c r="P289" i="50" s="1"/>
  <c r="X282" i="50"/>
  <c r="P282" i="50" s="1"/>
  <c r="AE282" i="50" s="1"/>
  <c r="AF282" i="50" s="1"/>
  <c r="V315" i="50"/>
  <c r="X315" i="50" s="1"/>
  <c r="P315" i="50" s="1"/>
  <c r="X281" i="50"/>
  <c r="P281" i="50" s="1"/>
  <c r="AE281" i="50" s="1"/>
  <c r="AF281" i="50" s="1"/>
  <c r="E377" i="50"/>
  <c r="V294" i="50"/>
  <c r="X294" i="50" s="1"/>
  <c r="P294" i="50" s="1"/>
  <c r="E379" i="50"/>
  <c r="V324" i="50"/>
  <c r="X324" i="50" s="1"/>
  <c r="P324" i="50" s="1"/>
  <c r="U435" i="50"/>
  <c r="P429" i="50" s="1"/>
  <c r="E466" i="50" s="1"/>
  <c r="Y466" i="50" s="1"/>
  <c r="V312" i="50"/>
  <c r="X312" i="50" s="1"/>
  <c r="P312" i="50" s="1"/>
  <c r="W332" i="50"/>
  <c r="X332" i="50" s="1"/>
  <c r="P332" i="50" s="1"/>
  <c r="X329" i="50"/>
  <c r="P329" i="50" s="1"/>
  <c r="AE290" i="50" s="1"/>
  <c r="AF290" i="50" s="1"/>
  <c r="W308" i="50"/>
  <c r="V308" i="50"/>
  <c r="Y398" i="50"/>
  <c r="W295" i="50"/>
  <c r="X295" i="50" s="1"/>
  <c r="P295" i="50" s="1"/>
  <c r="Y397" i="50"/>
  <c r="C411" i="50"/>
  <c r="V313" i="50"/>
  <c r="X313" i="50" s="1"/>
  <c r="P313" i="50" s="1"/>
  <c r="E456" i="50"/>
  <c r="Y456" i="50" s="1"/>
  <c r="J456" i="50" s="1"/>
  <c r="S456" i="50" s="1"/>
  <c r="V288" i="50"/>
  <c r="X288" i="50" s="1"/>
  <c r="P288" i="50" s="1"/>
  <c r="X284" i="50"/>
  <c r="P284" i="50" s="1"/>
  <c r="AE284" i="50" s="1"/>
  <c r="AF284" i="50" s="1"/>
  <c r="Y395" i="50"/>
  <c r="B456" i="50"/>
  <c r="V293" i="50"/>
  <c r="W293" i="50"/>
  <c r="E225" i="50"/>
  <c r="E223" i="50"/>
  <c r="V323" i="50"/>
  <c r="W323" i="50"/>
  <c r="V314" i="50"/>
  <c r="W314" i="50"/>
  <c r="X328" i="50"/>
  <c r="P328" i="50" s="1"/>
  <c r="AE289" i="50" s="1"/>
  <c r="AF289" i="50" s="1"/>
  <c r="V321" i="50"/>
  <c r="X321" i="50" s="1"/>
  <c r="P321" i="50" s="1"/>
  <c r="Y396" i="50"/>
  <c r="W290" i="50"/>
  <c r="X290" i="50" s="1"/>
  <c r="P290" i="50" s="1"/>
  <c r="W297" i="50"/>
  <c r="V297" i="50"/>
  <c r="W292" i="50"/>
  <c r="V292" i="50"/>
  <c r="W316" i="50"/>
  <c r="X316" i="50" s="1"/>
  <c r="P316" i="50" s="1"/>
  <c r="V331" i="50"/>
  <c r="X331" i="50" s="1"/>
  <c r="P331" i="50" s="1"/>
  <c r="V325" i="50"/>
  <c r="X325" i="50" s="1"/>
  <c r="P325" i="50" s="1"/>
  <c r="X280" i="50"/>
  <c r="P280" i="50" s="1"/>
  <c r="AE280" i="50" s="1"/>
  <c r="AF280" i="50" s="1"/>
  <c r="V320" i="50"/>
  <c r="W320" i="50"/>
  <c r="X287" i="50"/>
  <c r="P287" i="50" s="1"/>
  <c r="R98" i="50"/>
  <c r="B144" i="50"/>
  <c r="P142" i="50"/>
  <c r="E155" i="50" s="1"/>
  <c r="W155" i="50" s="1"/>
  <c r="P182" i="50"/>
  <c r="E195" i="50" s="1"/>
  <c r="W195" i="50" s="1"/>
  <c r="P143" i="50"/>
  <c r="E156" i="50" s="1"/>
  <c r="W156" i="50" s="1"/>
  <c r="P183" i="50"/>
  <c r="E196" i="50" s="1"/>
  <c r="W196" i="50" s="1"/>
  <c r="B184" i="50"/>
  <c r="P103" i="50"/>
  <c r="E116" i="50" s="1"/>
  <c r="P102" i="50"/>
  <c r="E115" i="50" s="1"/>
  <c r="W115" i="50" s="1"/>
  <c r="B104" i="50"/>
  <c r="G577" i="52"/>
  <c r="B64" i="50"/>
  <c r="P62" i="50"/>
  <c r="E75" i="50" s="1"/>
  <c r="W75" i="50" s="1"/>
  <c r="J75" i="50" s="1"/>
  <c r="S75" i="50" s="1"/>
  <c r="P63" i="50"/>
  <c r="E76" i="50" s="1"/>
  <c r="W121" i="52"/>
  <c r="AD121" i="52"/>
  <c r="BL121" i="52" s="1"/>
  <c r="AR120" i="52"/>
  <c r="AD120" i="52"/>
  <c r="BL120" i="52" s="1"/>
  <c r="AK120" i="52"/>
  <c r="AQ121" i="52"/>
  <c r="AA33" i="52"/>
  <c r="AT33" i="52" s="1"/>
  <c r="P464" i="52"/>
  <c r="V464" i="52"/>
  <c r="X464" i="52" s="1"/>
  <c r="V64" i="52"/>
  <c r="AJ121" i="52"/>
  <c r="W473" i="52"/>
  <c r="V500" i="52"/>
  <c r="X500" i="52" s="1"/>
  <c r="P500" i="52" s="1"/>
  <c r="V34" i="52"/>
  <c r="AF34" i="52" s="1"/>
  <c r="AJ33" i="52"/>
  <c r="AI274" i="52"/>
  <c r="T51" i="52"/>
  <c r="U51" i="52" s="1"/>
  <c r="U52" i="52" s="1"/>
  <c r="P50" i="52" s="1"/>
  <c r="E73" i="52" s="1"/>
  <c r="U349" i="52"/>
  <c r="BB121" i="52"/>
  <c r="U127" i="52"/>
  <c r="V127" i="52" s="1"/>
  <c r="P125" i="52" s="1"/>
  <c r="E147" i="52" s="1"/>
  <c r="BA274" i="52"/>
  <c r="G571" i="52"/>
  <c r="V495" i="52"/>
  <c r="X495" i="52" s="1"/>
  <c r="P495" i="52" s="1"/>
  <c r="Z33" i="52"/>
  <c r="W466" i="52"/>
  <c r="V466" i="52"/>
  <c r="AE33" i="52"/>
  <c r="V35" i="52"/>
  <c r="AF35" i="52" s="1"/>
  <c r="AX120" i="52"/>
  <c r="AW121" i="52"/>
  <c r="T202" i="52"/>
  <c r="V494" i="52"/>
  <c r="X494" i="52" s="1"/>
  <c r="P494" i="52" s="1"/>
  <c r="U343" i="52"/>
  <c r="AC343" i="52" s="1"/>
  <c r="T204" i="52"/>
  <c r="V475" i="52"/>
  <c r="X475" i="52" s="1"/>
  <c r="P475" i="52" s="1"/>
  <c r="P25" i="50"/>
  <c r="E37" i="50" s="1"/>
  <c r="W37" i="50" s="1"/>
  <c r="P24" i="50"/>
  <c r="X283" i="50"/>
  <c r="P283" i="50" s="1"/>
  <c r="AE283" i="50" s="1"/>
  <c r="AF283" i="50" s="1"/>
  <c r="E229" i="50"/>
  <c r="V310" i="50"/>
  <c r="W310" i="50"/>
  <c r="E231" i="50"/>
  <c r="R178" i="50"/>
  <c r="O178" i="50" s="1"/>
  <c r="R138" i="50"/>
  <c r="O15" i="50"/>
  <c r="Y19" i="50" s="1"/>
  <c r="E405" i="52"/>
  <c r="E397" i="52"/>
  <c r="I327" i="54"/>
  <c r="V62" i="54"/>
  <c r="G577" i="54"/>
  <c r="BE192" i="52"/>
  <c r="AP192" i="52"/>
  <c r="AB192" i="52"/>
  <c r="BJ192" i="52" s="1"/>
  <c r="BA192" i="52"/>
  <c r="AI192" i="52"/>
  <c r="AV192" i="52"/>
  <c r="E396" i="52"/>
  <c r="X454" i="52"/>
  <c r="AP342" i="52"/>
  <c r="W489" i="52"/>
  <c r="X489" i="52" s="1"/>
  <c r="P489" i="52" s="1"/>
  <c r="X452" i="52"/>
  <c r="V460" i="52"/>
  <c r="W460" i="52"/>
  <c r="X493" i="52"/>
  <c r="P493" i="52" s="1"/>
  <c r="AP116" i="52"/>
  <c r="AI116" i="52"/>
  <c r="BE116" i="52"/>
  <c r="AV116" i="52"/>
  <c r="BA116" i="52"/>
  <c r="BE267" i="52"/>
  <c r="U268" i="52"/>
  <c r="BA267" i="52"/>
  <c r="AP267" i="52"/>
  <c r="AI267" i="52"/>
  <c r="U269" i="52"/>
  <c r="AC269" i="52" s="1"/>
  <c r="BK269" i="52" s="1"/>
  <c r="U267" i="52"/>
  <c r="AV267" i="52"/>
  <c r="W484" i="52"/>
  <c r="X484" i="52" s="1"/>
  <c r="P484" i="52" s="1"/>
  <c r="V459" i="52"/>
  <c r="W459" i="52"/>
  <c r="AI347" i="52"/>
  <c r="U347" i="52"/>
  <c r="AC347" i="52" s="1"/>
  <c r="AV347" i="52"/>
  <c r="AP347" i="52"/>
  <c r="AP269" i="52"/>
  <c r="AI269" i="52"/>
  <c r="BA269" i="52"/>
  <c r="U202" i="52"/>
  <c r="V202" i="52" s="1"/>
  <c r="BA343" i="52"/>
  <c r="AP343" i="52"/>
  <c r="BE343" i="52"/>
  <c r="AI343" i="52"/>
  <c r="AV343" i="52"/>
  <c r="AB343" i="52"/>
  <c r="BJ343" i="52" s="1"/>
  <c r="AB344" i="52"/>
  <c r="BJ344" i="52" s="1"/>
  <c r="BA344" i="52"/>
  <c r="AP344" i="52"/>
  <c r="AV344" i="52"/>
  <c r="AI344" i="52"/>
  <c r="BE344" i="52"/>
  <c r="V471" i="52"/>
  <c r="X471" i="52" s="1"/>
  <c r="P471" i="52"/>
  <c r="U344" i="52"/>
  <c r="BE342" i="52"/>
  <c r="AV342" i="52"/>
  <c r="W499" i="52"/>
  <c r="W509" i="52"/>
  <c r="X509" i="52" s="1"/>
  <c r="P509" i="52" s="1"/>
  <c r="W488" i="52"/>
  <c r="V488" i="52"/>
  <c r="V365" i="52"/>
  <c r="AJ116" i="52"/>
  <c r="AQ116" i="52"/>
  <c r="AV268" i="52"/>
  <c r="AB268" i="52"/>
  <c r="BJ268" i="52" s="1"/>
  <c r="AI268" i="52"/>
  <c r="BE268" i="52"/>
  <c r="BA268" i="52"/>
  <c r="AP268" i="52"/>
  <c r="V139" i="52"/>
  <c r="AC116" i="52"/>
  <c r="BK116" i="52" s="1"/>
  <c r="AB116" i="52"/>
  <c r="AI342" i="52"/>
  <c r="V499" i="52"/>
  <c r="T280" i="52"/>
  <c r="T279" i="52"/>
  <c r="U278" i="52" s="1"/>
  <c r="V278" i="52" s="1"/>
  <c r="BB115" i="52"/>
  <c r="AC115" i="52"/>
  <c r="BK115" i="52" s="1"/>
  <c r="V115" i="52"/>
  <c r="V117" i="52"/>
  <c r="AQ115" i="52"/>
  <c r="AJ115" i="52"/>
  <c r="AW115" i="52"/>
  <c r="V116" i="52"/>
  <c r="G573" i="54"/>
  <c r="G571" i="54"/>
  <c r="E571" i="54"/>
  <c r="G575" i="54"/>
  <c r="E575" i="54"/>
  <c r="E577" i="54"/>
  <c r="E573" i="54"/>
  <c r="V415" i="54"/>
  <c r="W415" i="54" s="1"/>
  <c r="P416" i="54" s="1"/>
  <c r="E541" i="54" s="1"/>
  <c r="V541" i="54" s="1"/>
  <c r="BE342" i="54"/>
  <c r="AV342" i="54"/>
  <c r="AP342" i="54"/>
  <c r="AX348" i="54"/>
  <c r="W348" i="54"/>
  <c r="AE348" i="54" s="1"/>
  <c r="BM348" i="54" s="1"/>
  <c r="AK348" i="54"/>
  <c r="AR348" i="54"/>
  <c r="V504" i="54"/>
  <c r="X504" i="54" s="1"/>
  <c r="P504" i="54" s="1"/>
  <c r="BA268" i="54"/>
  <c r="AI268" i="54"/>
  <c r="U268" i="54"/>
  <c r="AC268" i="54" s="1"/>
  <c r="BK268" i="54" s="1"/>
  <c r="BE268" i="54"/>
  <c r="AV268" i="54"/>
  <c r="AP268" i="54"/>
  <c r="T280" i="54"/>
  <c r="T278" i="54"/>
  <c r="T279" i="54"/>
  <c r="BJ269" i="54"/>
  <c r="AJ196" i="54"/>
  <c r="BB196" i="54"/>
  <c r="V196" i="54"/>
  <c r="AD196" i="54"/>
  <c r="BL196" i="54" s="1"/>
  <c r="AC196" i="54"/>
  <c r="BK196" i="54" s="1"/>
  <c r="AQ196" i="54"/>
  <c r="AW196" i="54"/>
  <c r="AP192" i="54"/>
  <c r="AI192" i="54"/>
  <c r="AV192" i="54"/>
  <c r="U192" i="54"/>
  <c r="BA192" i="54"/>
  <c r="BE192" i="54"/>
  <c r="BK121" i="54"/>
  <c r="AD348" i="54"/>
  <c r="BL348" i="54" s="1"/>
  <c r="BJ116" i="54"/>
  <c r="X491" i="54"/>
  <c r="P491" i="54" s="1"/>
  <c r="AB342" i="54"/>
  <c r="BJ342" i="54" s="1"/>
  <c r="BK273" i="54"/>
  <c r="AJ269" i="54"/>
  <c r="AW269" i="54"/>
  <c r="V269" i="54"/>
  <c r="AD269" i="54" s="1"/>
  <c r="BL269" i="54" s="1"/>
  <c r="AQ269" i="54"/>
  <c r="BB269" i="54"/>
  <c r="AD33" i="54"/>
  <c r="U33" i="54"/>
  <c r="BE117" i="54"/>
  <c r="U117" i="54"/>
  <c r="AC117" i="54" s="1"/>
  <c r="BK117" i="54" s="1"/>
  <c r="AI117" i="54"/>
  <c r="AP117" i="54"/>
  <c r="AB117" i="54"/>
  <c r="BA117" i="54"/>
  <c r="AV117" i="54"/>
  <c r="BA342" i="54"/>
  <c r="AI198" i="54"/>
  <c r="AV198" i="54"/>
  <c r="BA198" i="54"/>
  <c r="U198" i="54"/>
  <c r="AP198" i="54"/>
  <c r="BE198" i="54"/>
  <c r="U203" i="54"/>
  <c r="V203" i="54" s="1"/>
  <c r="P201" i="54" s="1"/>
  <c r="E224" i="54" s="1"/>
  <c r="Y224" i="54" s="1"/>
  <c r="AL121" i="54"/>
  <c r="X121" i="54"/>
  <c r="AM121" i="54" s="1"/>
  <c r="AS121" i="54"/>
  <c r="BJ193" i="54"/>
  <c r="V507" i="54"/>
  <c r="X507" i="54" s="1"/>
  <c r="P507" i="54" s="1"/>
  <c r="V484" i="54"/>
  <c r="X484" i="54" s="1"/>
  <c r="P484" i="54" s="1"/>
  <c r="AI342" i="54"/>
  <c r="AB198" i="54"/>
  <c r="AI272" i="54"/>
  <c r="AV272" i="54"/>
  <c r="U354" i="54"/>
  <c r="V354" i="54" s="1"/>
  <c r="P352" i="54" s="1"/>
  <c r="E374" i="54" s="1"/>
  <c r="Y374" i="54" s="1"/>
  <c r="AB268" i="54"/>
  <c r="BJ197" i="54"/>
  <c r="AS273" i="54"/>
  <c r="AL273" i="54"/>
  <c r="X273" i="54"/>
  <c r="AM273" i="54" s="1"/>
  <c r="W483" i="54"/>
  <c r="AX274" i="54"/>
  <c r="AK274" i="54"/>
  <c r="AR274" i="54"/>
  <c r="W274" i="54"/>
  <c r="AB272" i="54"/>
  <c r="BJ272" i="54" s="1"/>
  <c r="AA40" i="54"/>
  <c r="AF40" i="54"/>
  <c r="W459" i="54"/>
  <c r="V459" i="54"/>
  <c r="X459" i="54" s="1"/>
  <c r="P459" i="54" s="1"/>
  <c r="P462" i="54" s="1"/>
  <c r="AE457" i="54" s="1"/>
  <c r="AF457" i="54" s="1"/>
  <c r="AD115" i="54"/>
  <c r="BL115" i="54" s="1"/>
  <c r="AK115" i="54"/>
  <c r="AX115" i="54"/>
  <c r="W115" i="54"/>
  <c r="AR197" i="54"/>
  <c r="W197" i="54"/>
  <c r="AE197" i="54" s="1"/>
  <c r="BM197" i="54" s="1"/>
  <c r="AX197" i="54"/>
  <c r="AK197" i="54"/>
  <c r="V489" i="54"/>
  <c r="X489" i="54" s="1"/>
  <c r="P489" i="54" s="1"/>
  <c r="AK272" i="54"/>
  <c r="AA35" i="54"/>
  <c r="AA34" i="54"/>
  <c r="AT34" i="54" s="1"/>
  <c r="E397" i="54"/>
  <c r="E396" i="54"/>
  <c r="W466" i="54"/>
  <c r="X466" i="54" s="1"/>
  <c r="P466" i="54" s="1"/>
  <c r="X501" i="52"/>
  <c r="P501" i="52" s="1"/>
  <c r="X485" i="52"/>
  <c r="P485" i="52" s="1"/>
  <c r="AI38" i="52"/>
  <c r="U40" i="52"/>
  <c r="Y38" i="52"/>
  <c r="U38" i="52"/>
  <c r="Z38" i="52" s="1"/>
  <c r="AS38" i="52" s="1"/>
  <c r="AM38" i="52"/>
  <c r="AD38" i="52"/>
  <c r="U39" i="52"/>
  <c r="AW343" i="52"/>
  <c r="AJ343" i="52"/>
  <c r="AQ343" i="52"/>
  <c r="V474" i="52"/>
  <c r="W474" i="52"/>
  <c r="BJ116" i="52"/>
  <c r="W502" i="52"/>
  <c r="V502" i="52"/>
  <c r="V490" i="52"/>
  <c r="W490" i="52"/>
  <c r="W472" i="52"/>
  <c r="V472" i="52"/>
  <c r="AJ35" i="52"/>
  <c r="AE35" i="52"/>
  <c r="Z35" i="52"/>
  <c r="AR34" i="52"/>
  <c r="X503" i="52"/>
  <c r="P503" i="52" s="1"/>
  <c r="U274" i="52"/>
  <c r="AP272" i="52"/>
  <c r="AI272" i="52"/>
  <c r="AV272" i="52"/>
  <c r="U272" i="52"/>
  <c r="U273" i="52"/>
  <c r="AB272" i="52"/>
  <c r="BE272" i="52"/>
  <c r="BA272" i="52"/>
  <c r="W480" i="52"/>
  <c r="V480" i="52"/>
  <c r="AS121" i="52"/>
  <c r="AL121" i="52"/>
  <c r="E401" i="52"/>
  <c r="V478" i="52"/>
  <c r="W478" i="52"/>
  <c r="BB122" i="52"/>
  <c r="AW122" i="52"/>
  <c r="AJ122" i="52"/>
  <c r="AD122" i="52"/>
  <c r="BL122" i="52" s="1"/>
  <c r="AQ122" i="52"/>
  <c r="AC122" i="52"/>
  <c r="BJ269" i="52"/>
  <c r="X468" i="52"/>
  <c r="P468" i="52" s="1"/>
  <c r="BJ347" i="52"/>
  <c r="V507" i="52"/>
  <c r="W507" i="52"/>
  <c r="AW342" i="52"/>
  <c r="AQ342" i="52"/>
  <c r="V343" i="52"/>
  <c r="V342" i="52"/>
  <c r="AJ342" i="52"/>
  <c r="BB342" i="52"/>
  <c r="V344" i="52"/>
  <c r="AC342" i="52"/>
  <c r="BK342" i="52" s="1"/>
  <c r="U203" i="52"/>
  <c r="V203" i="52" s="1"/>
  <c r="P201" i="52" s="1"/>
  <c r="E224" i="52" s="1"/>
  <c r="BJ198" i="52"/>
  <c r="E403" i="52"/>
  <c r="AI191" i="52"/>
  <c r="BA191" i="52"/>
  <c r="AP191" i="52"/>
  <c r="U193" i="52"/>
  <c r="AC193" i="52" s="1"/>
  <c r="BK193" i="52" s="1"/>
  <c r="U191" i="52"/>
  <c r="AC191" i="52" s="1"/>
  <c r="BK191" i="52" s="1"/>
  <c r="AB191" i="52"/>
  <c r="AV191" i="52"/>
  <c r="U192" i="52"/>
  <c r="BE191" i="52"/>
  <c r="E407" i="52"/>
  <c r="V477" i="52"/>
  <c r="W477" i="52"/>
  <c r="AJ349" i="52"/>
  <c r="AW349" i="52"/>
  <c r="BB349" i="52"/>
  <c r="AQ349" i="52"/>
  <c r="AC349" i="52"/>
  <c r="X458" i="52"/>
  <c r="BJ342" i="52"/>
  <c r="V487" i="52"/>
  <c r="W487" i="52"/>
  <c r="X122" i="52"/>
  <c r="AM122" i="52" s="1"/>
  <c r="X121" i="52"/>
  <c r="AM121" i="52" s="1"/>
  <c r="X120" i="52"/>
  <c r="AM120" i="52" s="1"/>
  <c r="AS120" i="52"/>
  <c r="AL120" i="52"/>
  <c r="X486" i="52"/>
  <c r="P486" i="52" s="1"/>
  <c r="X465" i="52"/>
  <c r="P465" i="52" s="1"/>
  <c r="B469" i="52" s="1"/>
  <c r="X506" i="52"/>
  <c r="P506" i="52" s="1"/>
  <c r="BE193" i="52"/>
  <c r="AI193" i="52"/>
  <c r="AP193" i="52"/>
  <c r="AB193" i="52"/>
  <c r="AV193" i="52"/>
  <c r="BA193" i="52"/>
  <c r="AW348" i="52"/>
  <c r="AJ348" i="52"/>
  <c r="AQ348" i="52"/>
  <c r="BB348" i="52"/>
  <c r="AC348" i="52"/>
  <c r="BK121" i="52"/>
  <c r="AQ196" i="52"/>
  <c r="V196" i="52"/>
  <c r="AD196" i="52" s="1"/>
  <c r="BL196" i="52" s="1"/>
  <c r="AJ196" i="52"/>
  <c r="BB196" i="52"/>
  <c r="V198" i="52"/>
  <c r="AW196" i="52"/>
  <c r="V197" i="52"/>
  <c r="AC196" i="52"/>
  <c r="W476" i="52"/>
  <c r="V476" i="52"/>
  <c r="V415" i="52"/>
  <c r="W415" i="52" s="1"/>
  <c r="P416" i="52" s="1"/>
  <c r="E541" i="52" s="1"/>
  <c r="AE121" i="52"/>
  <c r="BM121" i="52" s="1"/>
  <c r="AR39" i="52"/>
  <c r="AL122" i="52"/>
  <c r="AS122" i="52"/>
  <c r="AE122" i="52"/>
  <c r="BM122" i="52" s="1"/>
  <c r="V492" i="52"/>
  <c r="W492" i="52"/>
  <c r="X473" i="52"/>
  <c r="P473" i="52" s="1"/>
  <c r="O171" i="52"/>
  <c r="L638" i="54"/>
  <c r="L640" i="54"/>
  <c r="O326" i="52"/>
  <c r="L494" i="48"/>
  <c r="G54" i="60"/>
  <c r="V43" i="24"/>
  <c r="W43" i="24" s="1"/>
  <c r="V44" i="24" s="1"/>
  <c r="W44" i="24" s="1"/>
  <c r="V45" i="24" s="1"/>
  <c r="W45" i="24" s="1"/>
  <c r="V46" i="24" s="1"/>
  <c r="W46" i="24" s="1"/>
  <c r="V47" i="24" s="1"/>
  <c r="W47" i="24" s="1"/>
  <c r="V48" i="24" s="1"/>
  <c r="W48" i="24" s="1"/>
  <c r="V49" i="24" s="1"/>
  <c r="W49" i="24" s="1"/>
  <c r="V50" i="24" s="1"/>
  <c r="W50" i="24" s="1"/>
  <c r="V51" i="24" s="1"/>
  <c r="W51" i="24" s="1"/>
  <c r="P53" i="24" s="1"/>
  <c r="D14" i="59"/>
  <c r="N34" i="39" s="1"/>
  <c r="Q55" i="60"/>
  <c r="G48" i="60"/>
  <c r="Q56" i="60"/>
  <c r="V366" i="54"/>
  <c r="O330" i="52"/>
  <c r="V61" i="52"/>
  <c r="V65" i="52"/>
  <c r="V62" i="52"/>
  <c r="O94" i="52"/>
  <c r="O175" i="52"/>
  <c r="O179" i="52"/>
  <c r="AA178" i="52" s="1"/>
  <c r="O98" i="52"/>
  <c r="O322" i="52"/>
  <c r="C50" i="39"/>
  <c r="S50" i="39" s="1"/>
  <c r="C60" i="60"/>
  <c r="U5" i="33"/>
  <c r="V5" i="33" s="1"/>
  <c r="U6" i="33" s="1"/>
  <c r="V6" i="33" s="1"/>
  <c r="U7" i="33" s="1"/>
  <c r="V7" i="33" s="1"/>
  <c r="P9" i="33" s="1"/>
  <c r="AR33" i="54"/>
  <c r="AL120" i="54"/>
  <c r="X120" i="54"/>
  <c r="AE120" i="54"/>
  <c r="BM120" i="54" s="1"/>
  <c r="AS120" i="54"/>
  <c r="BJ191" i="54"/>
  <c r="U191" i="54"/>
  <c r="V191" i="54" s="1"/>
  <c r="AC191" i="54"/>
  <c r="BK191" i="54" s="1"/>
  <c r="AV191" i="54"/>
  <c r="BA191" i="54"/>
  <c r="BE191" i="54"/>
  <c r="AI191" i="54"/>
  <c r="AP191" i="54"/>
  <c r="BI267" i="54"/>
  <c r="BB272" i="54"/>
  <c r="AD272" i="54"/>
  <c r="BL272" i="54" s="1"/>
  <c r="AJ342" i="54"/>
  <c r="V342" i="54"/>
  <c r="AW342" i="54"/>
  <c r="AQ342" i="54"/>
  <c r="BB342" i="54"/>
  <c r="AC342" i="54"/>
  <c r="BK342" i="54" s="1"/>
  <c r="BL347" i="54"/>
  <c r="AA350" i="54"/>
  <c r="X454" i="54"/>
  <c r="X450" i="54"/>
  <c r="P450" i="54" s="1"/>
  <c r="AE450" i="54" s="1"/>
  <c r="AF450" i="54" s="1"/>
  <c r="W465" i="54"/>
  <c r="X465" i="54" s="1"/>
  <c r="P465" i="54" s="1"/>
  <c r="B469" i="54" s="1"/>
  <c r="X502" i="54"/>
  <c r="P502" i="54" s="1"/>
  <c r="X506" i="54"/>
  <c r="P506" i="54" s="1"/>
  <c r="X501" i="54"/>
  <c r="P501" i="54" s="1"/>
  <c r="X509" i="54"/>
  <c r="P509" i="54" s="1"/>
  <c r="X486" i="54"/>
  <c r="P486" i="54" s="1"/>
  <c r="X493" i="54"/>
  <c r="P493" i="54" s="1"/>
  <c r="X495" i="54"/>
  <c r="P495" i="54" s="1"/>
  <c r="X483" i="54"/>
  <c r="V468" i="54"/>
  <c r="X468" i="54" s="1"/>
  <c r="P468" i="54" s="1"/>
  <c r="V464" i="54"/>
  <c r="W464" i="54"/>
  <c r="W467" i="54"/>
  <c r="X467" i="54" s="1"/>
  <c r="P467" i="54" s="1"/>
  <c r="X453" i="54"/>
  <c r="X452" i="54"/>
  <c r="X451" i="54"/>
  <c r="O171" i="54"/>
  <c r="V139" i="54"/>
  <c r="O175" i="54"/>
  <c r="O322" i="54"/>
  <c r="O326" i="54"/>
  <c r="O255" i="54"/>
  <c r="V541" i="52" l="1"/>
  <c r="I541" i="52" s="1"/>
  <c r="R541" i="52" s="1"/>
  <c r="U17" i="32"/>
  <c r="U7" i="32"/>
  <c r="U9" i="32"/>
  <c r="U14" i="32"/>
  <c r="U11" i="32"/>
  <c r="U13" i="32"/>
  <c r="U16" i="32"/>
  <c r="U10" i="32"/>
  <c r="U8" i="32"/>
  <c r="U12" i="32"/>
  <c r="U15" i="32"/>
  <c r="G377" i="50"/>
  <c r="G379" i="50"/>
  <c r="G377" i="48"/>
  <c r="G397" i="52"/>
  <c r="G396" i="52"/>
  <c r="G396" i="54"/>
  <c r="G397" i="54"/>
  <c r="T65" i="25"/>
  <c r="U65" i="25" s="1"/>
  <c r="K166" i="37"/>
  <c r="R166" i="37" s="1"/>
  <c r="Y450" i="48"/>
  <c r="J450" i="48" s="1"/>
  <c r="S450" i="48" s="1"/>
  <c r="T66" i="25"/>
  <c r="U66" i="25" s="1"/>
  <c r="T67" i="25" s="1"/>
  <c r="U67" i="25" s="1"/>
  <c r="T68" i="25" s="1"/>
  <c r="U68" i="25" s="1"/>
  <c r="T69" i="25" s="1"/>
  <c r="U69" i="25" s="1"/>
  <c r="T70" i="25" s="1"/>
  <c r="U70" i="25" s="1"/>
  <c r="T71" i="25" s="1"/>
  <c r="U71" i="25" s="1"/>
  <c r="T72" i="25" s="1"/>
  <c r="U72" i="25" s="1"/>
  <c r="T73" i="25" s="1"/>
  <c r="U73" i="25" s="1"/>
  <c r="T74" i="25" s="1"/>
  <c r="U74" i="25" s="1"/>
  <c r="T75" i="25" s="1"/>
  <c r="U75" i="25" s="1"/>
  <c r="T76" i="25" s="1"/>
  <c r="U76" i="25" s="1"/>
  <c r="T77" i="25" s="1"/>
  <c r="U77" i="25" s="1"/>
  <c r="P79" i="25" s="1"/>
  <c r="C48" i="39" s="1"/>
  <c r="S48" i="39" s="1"/>
  <c r="V7" i="32"/>
  <c r="W7" i="32" s="1"/>
  <c r="V8" i="32" s="1"/>
  <c r="W8" i="32" s="1"/>
  <c r="S116" i="37"/>
  <c r="S122" i="37"/>
  <c r="S97" i="37"/>
  <c r="S103" i="37"/>
  <c r="S119" i="37"/>
  <c r="S108" i="37"/>
  <c r="S114" i="37"/>
  <c r="S117" i="37"/>
  <c r="S118" i="37"/>
  <c r="S111" i="37"/>
  <c r="S100" i="37"/>
  <c r="S106" i="37"/>
  <c r="S120" i="37"/>
  <c r="S101" i="37"/>
  <c r="S102" i="37"/>
  <c r="S98" i="37"/>
  <c r="S112" i="37"/>
  <c r="S105" i="37"/>
  <c r="S115" i="37"/>
  <c r="S109" i="37"/>
  <c r="S104" i="37"/>
  <c r="S113" i="37"/>
  <c r="S110" i="37"/>
  <c r="S107" i="37"/>
  <c r="S121" i="37"/>
  <c r="S96" i="37"/>
  <c r="S99" i="37"/>
  <c r="K54" i="37"/>
  <c r="R54" i="37" s="1"/>
  <c r="Y452" i="48"/>
  <c r="J452" i="48" s="1"/>
  <c r="S452" i="48" s="1"/>
  <c r="Z19" i="48"/>
  <c r="Z20" i="48"/>
  <c r="W76" i="50"/>
  <c r="J76" i="50" s="1"/>
  <c r="S76" i="50" s="1"/>
  <c r="W116" i="50"/>
  <c r="J116" i="50" s="1"/>
  <c r="S116" i="50" s="1"/>
  <c r="Y179" i="50"/>
  <c r="Z178" i="50" s="1"/>
  <c r="Y20" i="50"/>
  <c r="V374" i="52"/>
  <c r="Y374" i="52"/>
  <c r="AQ197" i="52"/>
  <c r="AW197" i="52"/>
  <c r="BB197" i="52"/>
  <c r="AJ197" i="52"/>
  <c r="AC197" i="52"/>
  <c r="BK197" i="52" s="1"/>
  <c r="X499" i="52"/>
  <c r="V73" i="52"/>
  <c r="Y73" i="52"/>
  <c r="AJ198" i="52"/>
  <c r="BB198" i="52"/>
  <c r="AW198" i="52"/>
  <c r="AC198" i="52"/>
  <c r="BK198" i="52" s="1"/>
  <c r="AQ198" i="52"/>
  <c r="V147" i="52"/>
  <c r="Y147" i="52"/>
  <c r="I147" i="52" s="1"/>
  <c r="R147" i="52" s="1"/>
  <c r="V224" i="52"/>
  <c r="Y224" i="52"/>
  <c r="AA35" i="52"/>
  <c r="AT35" i="52" s="1"/>
  <c r="BB343" i="52"/>
  <c r="X476" i="52"/>
  <c r="P476" i="52" s="1"/>
  <c r="X472" i="52"/>
  <c r="P472" i="52" s="1"/>
  <c r="X488" i="52"/>
  <c r="P488" i="52" s="1"/>
  <c r="X466" i="52"/>
  <c r="P466" i="52" s="1"/>
  <c r="AA329" i="52"/>
  <c r="AA327" i="52"/>
  <c r="AA328" i="52"/>
  <c r="AA176" i="52"/>
  <c r="AA177" i="52"/>
  <c r="AA99" i="52"/>
  <c r="AA100" i="52"/>
  <c r="AJ272" i="54"/>
  <c r="AW272" i="54"/>
  <c r="W272" i="54"/>
  <c r="AF273" i="54"/>
  <c r="BN273" i="54" s="1"/>
  <c r="AX272" i="54"/>
  <c r="AC272" i="54"/>
  <c r="BK272" i="54" s="1"/>
  <c r="V193" i="54"/>
  <c r="AJ193" i="54"/>
  <c r="BB193" i="54"/>
  <c r="AQ193" i="54"/>
  <c r="AW193" i="54"/>
  <c r="AC193" i="54"/>
  <c r="BK193" i="54" s="1"/>
  <c r="AD193" i="54"/>
  <c r="BL193" i="54" s="1"/>
  <c r="AQ272" i="54"/>
  <c r="X499" i="54"/>
  <c r="Y36" i="54"/>
  <c r="AA328" i="54"/>
  <c r="AA327" i="54"/>
  <c r="AA254" i="54"/>
  <c r="AA253" i="54"/>
  <c r="AA177" i="54"/>
  <c r="AA176" i="54"/>
  <c r="R22" i="54"/>
  <c r="O22" i="54" s="1"/>
  <c r="AA25" i="54" s="1"/>
  <c r="AC403" i="54"/>
  <c r="AC404" i="54" s="1"/>
  <c r="P408" i="54" s="1"/>
  <c r="E539" i="54" s="1"/>
  <c r="V539" i="54" s="1"/>
  <c r="AA100" i="54"/>
  <c r="U18" i="31"/>
  <c r="V18" i="31" s="1"/>
  <c r="P16" i="31" s="1"/>
  <c r="C56" i="60" s="1"/>
  <c r="AR31" i="44"/>
  <c r="AR32" i="44" s="1"/>
  <c r="X11" i="41"/>
  <c r="X9" i="41" s="1"/>
  <c r="R21" i="41" s="1"/>
  <c r="S21" i="41" s="1"/>
  <c r="X9" i="27"/>
  <c r="R21" i="27" s="1"/>
  <c r="R17" i="27" s="1"/>
  <c r="X9" i="40"/>
  <c r="X7" i="40" s="1"/>
  <c r="R19" i="40" s="1"/>
  <c r="R15" i="40" s="1"/>
  <c r="X9" i="34"/>
  <c r="X7" i="34" s="1"/>
  <c r="R19" i="34" s="1"/>
  <c r="AM32" i="44"/>
  <c r="N26" i="44" s="1"/>
  <c r="AO32" i="44"/>
  <c r="AP15" i="44"/>
  <c r="AQ15" i="44" s="1"/>
  <c r="AP16" i="44"/>
  <c r="AQ16" i="44" s="1"/>
  <c r="D7" i="45"/>
  <c r="D8" i="45" s="1"/>
  <c r="D9" i="45" s="1"/>
  <c r="AO21" i="44" s="1"/>
  <c r="C54" i="60"/>
  <c r="C44" i="39"/>
  <c r="S44" i="39" s="1"/>
  <c r="C42" i="39"/>
  <c r="S42" i="39" s="1"/>
  <c r="C52" i="60"/>
  <c r="R232" i="48"/>
  <c r="AC223" i="48"/>
  <c r="O226" i="48" s="1"/>
  <c r="X333" i="48"/>
  <c r="P333" i="48" s="1"/>
  <c r="X330" i="50"/>
  <c r="P330" i="50" s="1"/>
  <c r="AS31" i="44"/>
  <c r="AS32" i="44" s="1"/>
  <c r="AX267" i="54"/>
  <c r="AK267" i="54"/>
  <c r="AD267" i="54"/>
  <c r="BL267" i="54" s="1"/>
  <c r="AR267" i="54"/>
  <c r="W267" i="54"/>
  <c r="BB116" i="54"/>
  <c r="AQ116" i="54"/>
  <c r="AJ116" i="54"/>
  <c r="V116" i="54"/>
  <c r="AW116" i="54"/>
  <c r="X480" i="54"/>
  <c r="P480" i="54" s="1"/>
  <c r="P481" i="54" s="1"/>
  <c r="Z450" i="54" s="1"/>
  <c r="AJ349" i="54"/>
  <c r="AQ349" i="54"/>
  <c r="BB349" i="54"/>
  <c r="AW349" i="54"/>
  <c r="V349" i="54"/>
  <c r="AD349" i="54" s="1"/>
  <c r="BL349" i="54" s="1"/>
  <c r="AC349" i="54"/>
  <c r="BK349" i="54" s="1"/>
  <c r="P510" i="54"/>
  <c r="Z452" i="54" s="1"/>
  <c r="X41" i="54"/>
  <c r="X122" i="54"/>
  <c r="AM122" i="54" s="1"/>
  <c r="AS122" i="54"/>
  <c r="AE122" i="54"/>
  <c r="AL122" i="54"/>
  <c r="AC116" i="54"/>
  <c r="BK116" i="54" s="1"/>
  <c r="AR39" i="54"/>
  <c r="V147" i="54"/>
  <c r="I147" i="54"/>
  <c r="R147" i="54" s="1"/>
  <c r="BB343" i="54"/>
  <c r="AQ343" i="54"/>
  <c r="V343" i="54"/>
  <c r="AJ343" i="54"/>
  <c r="AW343" i="54"/>
  <c r="AC343" i="54"/>
  <c r="BK343" i="54" s="1"/>
  <c r="AD343" i="54"/>
  <c r="BL343" i="54" s="1"/>
  <c r="V374" i="54"/>
  <c r="I374" i="54"/>
  <c r="R374" i="54" s="1"/>
  <c r="X471" i="54"/>
  <c r="AE39" i="54"/>
  <c r="AJ39" i="54"/>
  <c r="V39" i="54"/>
  <c r="AF39" i="54" s="1"/>
  <c r="P496" i="54"/>
  <c r="Z451" i="54" s="1"/>
  <c r="V224" i="54"/>
  <c r="I224" i="54"/>
  <c r="R224" i="54" s="1"/>
  <c r="AR344" i="54"/>
  <c r="AX344" i="54"/>
  <c r="AD344" i="54"/>
  <c r="BL344" i="54" s="1"/>
  <c r="W344" i="54"/>
  <c r="AK344" i="54"/>
  <c r="Z99" i="48"/>
  <c r="Z58" i="48"/>
  <c r="AC229" i="48"/>
  <c r="O232" i="48" s="1"/>
  <c r="P291" i="48"/>
  <c r="N291" i="48" s="1"/>
  <c r="O178" i="48"/>
  <c r="Y179" i="48" s="1"/>
  <c r="AC573" i="52"/>
  <c r="R385" i="50"/>
  <c r="R386" i="50" s="1"/>
  <c r="O138" i="50"/>
  <c r="Y139" i="50" s="1"/>
  <c r="O98" i="50"/>
  <c r="AC395" i="52"/>
  <c r="R330" i="54"/>
  <c r="O330" i="54" s="1"/>
  <c r="AA329" i="54" s="1"/>
  <c r="AC395" i="54"/>
  <c r="E7" i="45"/>
  <c r="E8" i="45" s="1"/>
  <c r="E9" i="45" s="1"/>
  <c r="AP21" i="44" s="1"/>
  <c r="K37" i="60"/>
  <c r="U47" i="40"/>
  <c r="V47" i="40" s="1"/>
  <c r="U48" i="40" s="1"/>
  <c r="V48" i="40" s="1"/>
  <c r="U49" i="40" s="1"/>
  <c r="V49" i="40" s="1"/>
  <c r="U50" i="40" s="1"/>
  <c r="V50" i="40" s="1"/>
  <c r="U51" i="40" s="1"/>
  <c r="V51" i="40" s="1"/>
  <c r="U52" i="40" s="1"/>
  <c r="V52" i="40" s="1"/>
  <c r="U53" i="40" s="1"/>
  <c r="V53" i="40" s="1"/>
  <c r="P84" i="40" s="1"/>
  <c r="E97" i="40" s="1"/>
  <c r="S97" i="40" s="1"/>
  <c r="AB376" i="48"/>
  <c r="R378" i="48" s="1"/>
  <c r="R377" i="48" s="1"/>
  <c r="R379" i="48" s="1"/>
  <c r="P380" i="48" s="1"/>
  <c r="P317" i="48"/>
  <c r="T319" i="48" s="1"/>
  <c r="P319" i="48" s="1"/>
  <c r="P334" i="48"/>
  <c r="AE291" i="48" s="1"/>
  <c r="AF291" i="48" s="1"/>
  <c r="P327" i="48"/>
  <c r="AE288" i="48" s="1"/>
  <c r="AF288" i="48" s="1"/>
  <c r="X295" i="48"/>
  <c r="P295" i="48" s="1"/>
  <c r="T302" i="48" s="1"/>
  <c r="P302" i="48" s="1"/>
  <c r="Z280" i="48" s="1"/>
  <c r="J116" i="48"/>
  <c r="S116" i="48" s="1"/>
  <c r="J117" i="48"/>
  <c r="S117" i="48" s="1"/>
  <c r="J115" i="48"/>
  <c r="S115" i="48" s="1"/>
  <c r="J196" i="48"/>
  <c r="S196" i="48" s="1"/>
  <c r="J195" i="48"/>
  <c r="S195" i="48" s="1"/>
  <c r="J197" i="48"/>
  <c r="S197" i="48" s="1"/>
  <c r="J156" i="48"/>
  <c r="S156" i="48" s="1"/>
  <c r="J155" i="48"/>
  <c r="S155" i="48" s="1"/>
  <c r="J157" i="48"/>
  <c r="S157" i="48" s="1"/>
  <c r="J76" i="48"/>
  <c r="S76" i="48" s="1"/>
  <c r="J77" i="48"/>
  <c r="S77" i="48" s="1"/>
  <c r="J75" i="48"/>
  <c r="S75" i="48" s="1"/>
  <c r="J37" i="48"/>
  <c r="S37" i="48" s="1"/>
  <c r="J36" i="48"/>
  <c r="S36" i="48" s="1"/>
  <c r="J38" i="48"/>
  <c r="S38" i="48" s="1"/>
  <c r="X320" i="50"/>
  <c r="P320" i="50" s="1"/>
  <c r="X297" i="50"/>
  <c r="P297" i="50" s="1"/>
  <c r="X323" i="50"/>
  <c r="P323" i="50" s="1"/>
  <c r="X292" i="50"/>
  <c r="P292" i="50" s="1"/>
  <c r="P317" i="50"/>
  <c r="AE287" i="50" s="1"/>
  <c r="AF287" i="50" s="1"/>
  <c r="X308" i="50"/>
  <c r="P308" i="50" s="1"/>
  <c r="AB376" i="50"/>
  <c r="R378" i="50" s="1"/>
  <c r="R377" i="50" s="1"/>
  <c r="Z395" i="50"/>
  <c r="AA395" i="50" s="1"/>
  <c r="Z396" i="50" s="1"/>
  <c r="AA396" i="50" s="1"/>
  <c r="Z397" i="50" s="1"/>
  <c r="AA397" i="50" s="1"/>
  <c r="P400" i="50" s="1"/>
  <c r="E452" i="50" s="1"/>
  <c r="Y452" i="50" s="1"/>
  <c r="J452" i="50" s="1"/>
  <c r="P334" i="50"/>
  <c r="AE291" i="50" s="1"/>
  <c r="AF291" i="50" s="1"/>
  <c r="P291" i="50"/>
  <c r="N291" i="50" s="1"/>
  <c r="X293" i="50"/>
  <c r="P293" i="50" s="1"/>
  <c r="AC223" i="50"/>
  <c r="O226" i="50" s="1"/>
  <c r="X314" i="50"/>
  <c r="P314" i="50" s="1"/>
  <c r="P327" i="50"/>
  <c r="AE288" i="50" s="1"/>
  <c r="AF288" i="50" s="1"/>
  <c r="AC229" i="50"/>
  <c r="O232" i="50" s="1"/>
  <c r="AS33" i="52"/>
  <c r="X36" i="52"/>
  <c r="X460" i="52"/>
  <c r="P460" i="52" s="1"/>
  <c r="AA34" i="52"/>
  <c r="AT34" i="52" s="1"/>
  <c r="AD343" i="52"/>
  <c r="BL343" i="52" s="1"/>
  <c r="U279" i="52"/>
  <c r="V279" i="52" s="1"/>
  <c r="P277" i="52" s="1"/>
  <c r="E299" i="52" s="1"/>
  <c r="E36" i="50"/>
  <c r="W36" i="50" s="1"/>
  <c r="R232" i="50"/>
  <c r="X310" i="50"/>
  <c r="J77" i="50"/>
  <c r="S77" i="50" s="1"/>
  <c r="J195" i="50"/>
  <c r="S195" i="50" s="1"/>
  <c r="J197" i="50"/>
  <c r="S197" i="50" s="1"/>
  <c r="J196" i="50"/>
  <c r="S196" i="50" s="1"/>
  <c r="J115" i="50"/>
  <c r="S115" i="50" s="1"/>
  <c r="S117" i="50"/>
  <c r="J157" i="50"/>
  <c r="S157" i="50" s="1"/>
  <c r="J156" i="50"/>
  <c r="S156" i="50" s="1"/>
  <c r="J155" i="50"/>
  <c r="S155" i="50" s="1"/>
  <c r="J37" i="50"/>
  <c r="S37" i="50" s="1"/>
  <c r="J38" i="50"/>
  <c r="S38" i="50" s="1"/>
  <c r="BK347" i="52"/>
  <c r="I368" i="52"/>
  <c r="R368" i="52" s="1"/>
  <c r="X459" i="52"/>
  <c r="P459" i="52" s="1"/>
  <c r="AK116" i="52"/>
  <c r="AR116" i="52"/>
  <c r="AX116" i="52"/>
  <c r="AD116" i="52"/>
  <c r="BL116" i="52" s="1"/>
  <c r="AW347" i="52"/>
  <c r="V348" i="52"/>
  <c r="BB347" i="52"/>
  <c r="V349" i="52"/>
  <c r="V347" i="52"/>
  <c r="AQ347" i="52"/>
  <c r="AJ347" i="52"/>
  <c r="AJ344" i="52"/>
  <c r="AQ344" i="52"/>
  <c r="BB344" i="52"/>
  <c r="AW344" i="52"/>
  <c r="AJ267" i="52"/>
  <c r="AQ267" i="52"/>
  <c r="BB267" i="52"/>
  <c r="V269" i="52"/>
  <c r="AW267" i="52"/>
  <c r="V268" i="52"/>
  <c r="V267" i="52"/>
  <c r="AD267" i="52" s="1"/>
  <c r="BL267" i="52" s="1"/>
  <c r="AF120" i="52"/>
  <c r="AR117" i="52"/>
  <c r="AX117" i="52"/>
  <c r="AK117" i="52"/>
  <c r="AD117" i="52"/>
  <c r="BL117" i="52" s="1"/>
  <c r="AW269" i="52"/>
  <c r="BB269" i="52"/>
  <c r="AJ269" i="52"/>
  <c r="AQ269" i="52"/>
  <c r="Y36" i="52"/>
  <c r="AK115" i="52"/>
  <c r="AR115" i="52"/>
  <c r="W117" i="52"/>
  <c r="W115" i="52"/>
  <c r="W116" i="52"/>
  <c r="AX115" i="52"/>
  <c r="AD115" i="52"/>
  <c r="BL115" i="52" s="1"/>
  <c r="AW268" i="52"/>
  <c r="BB268" i="52"/>
  <c r="AQ268" i="52"/>
  <c r="AJ268" i="52"/>
  <c r="AC344" i="52"/>
  <c r="BK344" i="52" s="1"/>
  <c r="AE116" i="52"/>
  <c r="BM116" i="52" s="1"/>
  <c r="X480" i="52"/>
  <c r="P480" i="52" s="1"/>
  <c r="X474" i="52"/>
  <c r="P474" i="52" s="1"/>
  <c r="AC267" i="52"/>
  <c r="BK267" i="52" s="1"/>
  <c r="AC268" i="52"/>
  <c r="BK268" i="52" s="1"/>
  <c r="AC573" i="54"/>
  <c r="AT35" i="54"/>
  <c r="Z36" i="54"/>
  <c r="X197" i="54"/>
  <c r="AM197" i="54" s="1"/>
  <c r="AL197" i="54"/>
  <c r="AS197" i="54"/>
  <c r="AQ198" i="54"/>
  <c r="BB198" i="54"/>
  <c r="AW198" i="54"/>
  <c r="V198" i="54"/>
  <c r="AD198" i="54" s="1"/>
  <c r="BL198" i="54" s="1"/>
  <c r="AJ198" i="54"/>
  <c r="BJ117" i="54"/>
  <c r="AB275" i="54"/>
  <c r="AS274" i="54"/>
  <c r="AL274" i="54"/>
  <c r="X274" i="54"/>
  <c r="AM274" i="54" s="1"/>
  <c r="U278" i="54"/>
  <c r="V278" i="54" s="1"/>
  <c r="U279" i="54" s="1"/>
  <c r="V279" i="54" s="1"/>
  <c r="P277" i="54" s="1"/>
  <c r="E299" i="54" s="1"/>
  <c r="Y299" i="54" s="1"/>
  <c r="AW192" i="54"/>
  <c r="V192" i="54"/>
  <c r="AD192" i="54" s="1"/>
  <c r="BL192" i="54" s="1"/>
  <c r="AQ192" i="54"/>
  <c r="AJ192" i="54"/>
  <c r="BB192" i="54"/>
  <c r="AE274" i="54"/>
  <c r="W196" i="54"/>
  <c r="AE196" i="54" s="1"/>
  <c r="BM196" i="54" s="1"/>
  <c r="AX196" i="54"/>
  <c r="AR196" i="54"/>
  <c r="AK196" i="54"/>
  <c r="AE115" i="54"/>
  <c r="BM115" i="54" s="1"/>
  <c r="X115" i="54"/>
  <c r="AM115" i="54" s="1"/>
  <c r="AF115" i="54"/>
  <c r="BN115" i="54" s="1"/>
  <c r="AL115" i="54"/>
  <c r="AS115" i="54"/>
  <c r="BJ268" i="54"/>
  <c r="AC198" i="54"/>
  <c r="BK198" i="54" s="1"/>
  <c r="AQ117" i="54"/>
  <c r="BB117" i="54"/>
  <c r="V117" i="54"/>
  <c r="AD117" i="54" s="1"/>
  <c r="BL117" i="54" s="1"/>
  <c r="AW117" i="54"/>
  <c r="AJ117" i="54"/>
  <c r="AT40" i="54"/>
  <c r="Z41" i="54"/>
  <c r="BJ198" i="54"/>
  <c r="W269" i="54"/>
  <c r="AE269" i="54" s="1"/>
  <c r="BM269" i="54" s="1"/>
  <c r="AK269" i="54"/>
  <c r="AX269" i="54"/>
  <c r="AR269" i="54"/>
  <c r="AS272" i="54"/>
  <c r="X272" i="54"/>
  <c r="AM272" i="54" s="1"/>
  <c r="AL272" i="54"/>
  <c r="AE272" i="54"/>
  <c r="BM272" i="54" s="1"/>
  <c r="AX191" i="54"/>
  <c r="AR191" i="54"/>
  <c r="AK191" i="54"/>
  <c r="W191" i="54"/>
  <c r="AF121" i="54"/>
  <c r="AJ33" i="54"/>
  <c r="V33" i="54"/>
  <c r="AF33" i="54" s="1"/>
  <c r="Z33" i="54"/>
  <c r="AE33" i="54"/>
  <c r="AC192" i="54"/>
  <c r="AW268" i="54"/>
  <c r="AJ268" i="54"/>
  <c r="AQ268" i="54"/>
  <c r="V268" i="54"/>
  <c r="BB268" i="54"/>
  <c r="AS348" i="54"/>
  <c r="X348" i="54"/>
  <c r="AM348" i="54" s="1"/>
  <c r="AL348" i="54"/>
  <c r="X487" i="52"/>
  <c r="P487" i="52" s="1"/>
  <c r="X477" i="52"/>
  <c r="P477" i="52" s="1"/>
  <c r="X507" i="52"/>
  <c r="P507" i="52" s="1"/>
  <c r="R27" i="52"/>
  <c r="X492" i="52"/>
  <c r="P492" i="52" s="1"/>
  <c r="BK349" i="52"/>
  <c r="X490" i="52"/>
  <c r="P490" i="52" s="1"/>
  <c r="AJ40" i="52"/>
  <c r="AE40" i="52"/>
  <c r="Z40" i="52"/>
  <c r="BK348" i="52"/>
  <c r="AJ193" i="52"/>
  <c r="AW193" i="52"/>
  <c r="AQ193" i="52"/>
  <c r="BB193" i="52"/>
  <c r="V273" i="52"/>
  <c r="BB272" i="52"/>
  <c r="V272" i="52"/>
  <c r="AD272" i="52" s="1"/>
  <c r="AQ272" i="52"/>
  <c r="V274" i="52"/>
  <c r="AD274" i="52" s="1"/>
  <c r="BL274" i="52" s="1"/>
  <c r="AJ272" i="52"/>
  <c r="AW272" i="52"/>
  <c r="AR38" i="52"/>
  <c r="AF122" i="52"/>
  <c r="BN122" i="52" s="1"/>
  <c r="AK198" i="52"/>
  <c r="AX198" i="52"/>
  <c r="AR198" i="52"/>
  <c r="AD198" i="52"/>
  <c r="AR344" i="52"/>
  <c r="AK344" i="52"/>
  <c r="AX344" i="52"/>
  <c r="AD344" i="52"/>
  <c r="X478" i="52"/>
  <c r="P478" i="52" s="1"/>
  <c r="AW192" i="52"/>
  <c r="AQ192" i="52"/>
  <c r="BB192" i="52"/>
  <c r="AC192" i="52"/>
  <c r="AJ192" i="52"/>
  <c r="AC403" i="52"/>
  <c r="X502" i="52"/>
  <c r="P502" i="52" s="1"/>
  <c r="AE39" i="52"/>
  <c r="Z39" i="52"/>
  <c r="AJ39" i="52"/>
  <c r="AJ274" i="52"/>
  <c r="AW274" i="52"/>
  <c r="AQ274" i="52"/>
  <c r="AC274" i="52"/>
  <c r="BB274" i="52"/>
  <c r="BJ272" i="52"/>
  <c r="BK196" i="52"/>
  <c r="P469" i="52"/>
  <c r="AE458" i="52" s="1"/>
  <c r="AF458" i="52" s="1"/>
  <c r="BJ191" i="52"/>
  <c r="AK343" i="52"/>
  <c r="AX343" i="52"/>
  <c r="AR343" i="52"/>
  <c r="BK122" i="52"/>
  <c r="AF121" i="52"/>
  <c r="AC273" i="52"/>
  <c r="AJ273" i="52"/>
  <c r="BB273" i="52"/>
  <c r="AW273" i="52"/>
  <c r="AQ273" i="52"/>
  <c r="AD273" i="52"/>
  <c r="BL273" i="52" s="1"/>
  <c r="AS35" i="52"/>
  <c r="Z36" i="52"/>
  <c r="AR196" i="52"/>
  <c r="W197" i="52"/>
  <c r="AE197" i="52" s="1"/>
  <c r="BM197" i="52" s="1"/>
  <c r="W198" i="52"/>
  <c r="AE198" i="52" s="1"/>
  <c r="BM198" i="52" s="1"/>
  <c r="AK196" i="52"/>
  <c r="W196" i="52"/>
  <c r="AE196" i="52" s="1"/>
  <c r="AX196" i="52"/>
  <c r="AX342" i="52"/>
  <c r="W343" i="52"/>
  <c r="W344" i="52"/>
  <c r="W342" i="52"/>
  <c r="AE342" i="52"/>
  <c r="BM342" i="52" s="1"/>
  <c r="AR342" i="52"/>
  <c r="AK342" i="52"/>
  <c r="BK343" i="52"/>
  <c r="AK197" i="52"/>
  <c r="AD197" i="52"/>
  <c r="AR197" i="52"/>
  <c r="AX197" i="52"/>
  <c r="BJ193" i="52"/>
  <c r="AQ191" i="52"/>
  <c r="V191" i="52"/>
  <c r="BB191" i="52"/>
  <c r="AJ191" i="52"/>
  <c r="AW191" i="52"/>
  <c r="V192" i="52"/>
  <c r="AD192" i="52" s="1"/>
  <c r="BL192" i="52" s="1"/>
  <c r="V193" i="52"/>
  <c r="AD193" i="52" s="1"/>
  <c r="AD342" i="52"/>
  <c r="BL342" i="52" s="1"/>
  <c r="AC272" i="52"/>
  <c r="BK272" i="52" s="1"/>
  <c r="V40" i="52"/>
  <c r="AF40" i="52" s="1"/>
  <c r="V38" i="52"/>
  <c r="AF38" i="52" s="1"/>
  <c r="V39" i="52"/>
  <c r="AF39" i="52" s="1"/>
  <c r="AJ38" i="52"/>
  <c r="AE38" i="52"/>
  <c r="C59" i="60"/>
  <c r="C49" i="39"/>
  <c r="S49" i="39" s="1"/>
  <c r="R254" i="52"/>
  <c r="I152" i="52"/>
  <c r="R152" i="52" s="1"/>
  <c r="I151" i="52"/>
  <c r="R151" i="52" s="1"/>
  <c r="I229" i="52"/>
  <c r="R229" i="52" s="1"/>
  <c r="I224" i="52"/>
  <c r="R224" i="52" s="1"/>
  <c r="I219" i="52"/>
  <c r="R219" i="52" s="1"/>
  <c r="I218" i="52"/>
  <c r="R218" i="52" s="1"/>
  <c r="I220" i="52"/>
  <c r="R220" i="52" s="1"/>
  <c r="I228" i="52"/>
  <c r="R228" i="52" s="1"/>
  <c r="I221" i="52"/>
  <c r="R221" i="52" s="1"/>
  <c r="R101" i="52"/>
  <c r="R329" i="52"/>
  <c r="I374" i="52"/>
  <c r="R374" i="52" s="1"/>
  <c r="I371" i="52"/>
  <c r="R371" i="52" s="1"/>
  <c r="I378" i="52"/>
  <c r="R378" i="52" s="1"/>
  <c r="I369" i="52"/>
  <c r="R369" i="52" s="1"/>
  <c r="I379" i="52"/>
  <c r="R379" i="52" s="1"/>
  <c r="I370" i="52"/>
  <c r="R370" i="52" s="1"/>
  <c r="I295" i="52"/>
  <c r="R295" i="52" s="1"/>
  <c r="I294" i="52"/>
  <c r="R294" i="52" s="1"/>
  <c r="I303" i="52"/>
  <c r="R303" i="52" s="1"/>
  <c r="I296" i="52"/>
  <c r="R296" i="52" s="1"/>
  <c r="I293" i="52"/>
  <c r="R293" i="52" s="1"/>
  <c r="I304" i="52"/>
  <c r="R304" i="52" s="1"/>
  <c r="R178" i="52"/>
  <c r="I72" i="52"/>
  <c r="R72" i="52" s="1"/>
  <c r="I70" i="52"/>
  <c r="R70" i="52" s="1"/>
  <c r="I73" i="52"/>
  <c r="R73" i="52" s="1"/>
  <c r="I69" i="52"/>
  <c r="R69" i="52" s="1"/>
  <c r="I77" i="52"/>
  <c r="R77" i="52" s="1"/>
  <c r="I76" i="52"/>
  <c r="R76" i="52" s="1"/>
  <c r="I71" i="52"/>
  <c r="R71" i="52" s="1"/>
  <c r="C53" i="60"/>
  <c r="C43" i="39"/>
  <c r="S43" i="39" s="1"/>
  <c r="AF120" i="54"/>
  <c r="BN120" i="54" s="1"/>
  <c r="AM120" i="54"/>
  <c r="AW191" i="54"/>
  <c r="BB191" i="54"/>
  <c r="AJ191" i="54"/>
  <c r="AQ191" i="54"/>
  <c r="AD191" i="54"/>
  <c r="BL191" i="54" s="1"/>
  <c r="AK342" i="54"/>
  <c r="AR342" i="54"/>
  <c r="W342" i="54"/>
  <c r="AE342" i="54" s="1"/>
  <c r="BM342" i="54" s="1"/>
  <c r="AX342" i="54"/>
  <c r="AD342" i="54"/>
  <c r="X464" i="54"/>
  <c r="P464" i="54" s="1"/>
  <c r="P469" i="54" s="1"/>
  <c r="AE458" i="54" s="1"/>
  <c r="AF458" i="54" s="1"/>
  <c r="I152" i="54"/>
  <c r="R152" i="54" s="1"/>
  <c r="I304" i="54"/>
  <c r="R304" i="54" s="1"/>
  <c r="I229" i="54"/>
  <c r="R229" i="54" s="1"/>
  <c r="R254" i="54"/>
  <c r="R77" i="54"/>
  <c r="I379" i="54"/>
  <c r="R379" i="54" s="1"/>
  <c r="R178" i="54"/>
  <c r="R101" i="54"/>
  <c r="C46" i="39" l="1"/>
  <c r="S46" i="39" s="1"/>
  <c r="V9" i="32"/>
  <c r="W9" i="32" s="1"/>
  <c r="V10" i="32" s="1"/>
  <c r="W10" i="32" s="1"/>
  <c r="V11" i="32" s="1"/>
  <c r="W11" i="32" s="1"/>
  <c r="V12" i="32" s="1"/>
  <c r="W12" i="32" s="1"/>
  <c r="V13" i="32" s="1"/>
  <c r="W13" i="32" s="1"/>
  <c r="V14" i="32" s="1"/>
  <c r="W14" i="32" s="1"/>
  <c r="V15" i="32" s="1"/>
  <c r="W15" i="32" s="1"/>
  <c r="V16" i="32" s="1"/>
  <c r="W16" i="32" s="1"/>
  <c r="P18" i="32" s="1"/>
  <c r="C39" i="39" s="1"/>
  <c r="S39" i="39" s="1"/>
  <c r="C58" i="60"/>
  <c r="S167" i="37"/>
  <c r="S166" i="37"/>
  <c r="S158" i="37"/>
  <c r="S164" i="37"/>
  <c r="S156" i="37"/>
  <c r="S155" i="37"/>
  <c r="T155" i="37" s="1"/>
  <c r="U155" i="37" s="1"/>
  <c r="S163" i="37"/>
  <c r="S162" i="37"/>
  <c r="S157" i="37"/>
  <c r="S161" i="37"/>
  <c r="S160" i="37"/>
  <c r="S165" i="37"/>
  <c r="S159" i="37"/>
  <c r="T96" i="37"/>
  <c r="U96" i="37" s="1"/>
  <c r="T97" i="37" s="1"/>
  <c r="U97" i="37" s="1"/>
  <c r="T98" i="37" s="1"/>
  <c r="U98" i="37" s="1"/>
  <c r="T99" i="37" s="1"/>
  <c r="U99" i="37" s="1"/>
  <c r="T100" i="37" s="1"/>
  <c r="U100" i="37" s="1"/>
  <c r="T101" i="37" s="1"/>
  <c r="U101" i="37" s="1"/>
  <c r="T102" i="37" s="1"/>
  <c r="U102" i="37" s="1"/>
  <c r="T103" i="37" s="1"/>
  <c r="U103" i="37" s="1"/>
  <c r="T104" i="37" s="1"/>
  <c r="U104" i="37" s="1"/>
  <c r="T105" i="37" s="1"/>
  <c r="U105" i="37" s="1"/>
  <c r="T106" i="37" s="1"/>
  <c r="U106" i="37" s="1"/>
  <c r="T107" i="37" s="1"/>
  <c r="U107" i="37" s="1"/>
  <c r="T108" i="37" s="1"/>
  <c r="U108" i="37" s="1"/>
  <c r="T109" i="37" s="1"/>
  <c r="U109" i="37" s="1"/>
  <c r="T110" i="37" s="1"/>
  <c r="U110" i="37" s="1"/>
  <c r="T111" i="37" s="1"/>
  <c r="U111" i="37" s="1"/>
  <c r="T112" i="37" s="1"/>
  <c r="U112" i="37" s="1"/>
  <c r="T113" i="37" s="1"/>
  <c r="U113" i="37" s="1"/>
  <c r="T114" i="37" s="1"/>
  <c r="U114" i="37" s="1"/>
  <c r="T115" i="37" s="1"/>
  <c r="U115" i="37" s="1"/>
  <c r="T116" i="37" s="1"/>
  <c r="U116" i="37" s="1"/>
  <c r="T117" i="37" s="1"/>
  <c r="U117" i="37" s="1"/>
  <c r="T118" i="37" s="1"/>
  <c r="U118" i="37" s="1"/>
  <c r="T119" i="37" s="1"/>
  <c r="U119" i="37" s="1"/>
  <c r="T120" i="37" s="1"/>
  <c r="U120" i="37" s="1"/>
  <c r="T121" i="37" s="1"/>
  <c r="U121" i="37" s="1"/>
  <c r="P95" i="37" s="1"/>
  <c r="G172" i="37" s="1"/>
  <c r="S40" i="37"/>
  <c r="S52" i="37"/>
  <c r="S47" i="37"/>
  <c r="S51" i="37"/>
  <c r="S46" i="37"/>
  <c r="S50" i="37"/>
  <c r="S54" i="37"/>
  <c r="S39" i="37"/>
  <c r="S42" i="37"/>
  <c r="S55" i="37"/>
  <c r="S44" i="37"/>
  <c r="S49" i="37"/>
  <c r="S43" i="37"/>
  <c r="S41" i="37"/>
  <c r="S53" i="37"/>
  <c r="S48" i="37"/>
  <c r="S45" i="37"/>
  <c r="AE285" i="48"/>
  <c r="AF285" i="48" s="1"/>
  <c r="R233" i="50"/>
  <c r="Z179" i="50"/>
  <c r="P233" i="50"/>
  <c r="Z177" i="50"/>
  <c r="AA177" i="50" s="1"/>
  <c r="AB177" i="50" s="1"/>
  <c r="AA178" i="50" s="1"/>
  <c r="AB178" i="50" s="1"/>
  <c r="Y99" i="50"/>
  <c r="Z98" i="50" s="1"/>
  <c r="V299" i="52"/>
  <c r="Y299" i="52"/>
  <c r="AC574" i="52"/>
  <c r="P578" i="52" s="1"/>
  <c r="E604" i="52" s="1"/>
  <c r="AC396" i="52"/>
  <c r="P398" i="52" s="1"/>
  <c r="E538" i="52" s="1"/>
  <c r="AX193" i="54"/>
  <c r="AK193" i="54"/>
  <c r="AR193" i="54"/>
  <c r="W193" i="54"/>
  <c r="AF274" i="54"/>
  <c r="BN274" i="54" s="1"/>
  <c r="AA450" i="54"/>
  <c r="AB450" i="54" s="1"/>
  <c r="S21" i="27"/>
  <c r="P8" i="27" s="1"/>
  <c r="D33" i="27" s="1"/>
  <c r="AE26" i="44"/>
  <c r="AF33" i="44" s="1"/>
  <c r="Z61" i="44" s="1"/>
  <c r="AR15" i="44"/>
  <c r="O33" i="44"/>
  <c r="I61" i="44" s="1"/>
  <c r="AM16" i="44"/>
  <c r="AN16" i="44" s="1"/>
  <c r="AM15" i="44"/>
  <c r="AN15" i="44" s="1"/>
  <c r="AF17" i="44"/>
  <c r="Z60" i="44" s="1"/>
  <c r="AM60" i="44" s="1"/>
  <c r="AF60" i="44" s="1"/>
  <c r="AB25" i="52"/>
  <c r="BM122" i="54"/>
  <c r="AE267" i="54"/>
  <c r="BM267" i="54" s="1"/>
  <c r="AS267" i="54"/>
  <c r="AL267" i="54"/>
  <c r="X267" i="54"/>
  <c r="AM267" i="54" s="1"/>
  <c r="AF348" i="54"/>
  <c r="AB350" i="54" s="1"/>
  <c r="AA33" i="54"/>
  <c r="AT33" i="54" s="1"/>
  <c r="X344" i="54"/>
  <c r="AM344" i="54" s="1"/>
  <c r="AS344" i="54"/>
  <c r="AL344" i="54"/>
  <c r="AF344" i="54"/>
  <c r="BN344" i="54" s="1"/>
  <c r="AE344" i="54"/>
  <c r="BM344" i="54" s="1"/>
  <c r="AA39" i="54"/>
  <c r="AX343" i="54"/>
  <c r="AR343" i="54"/>
  <c r="AK343" i="54"/>
  <c r="W343" i="54"/>
  <c r="AE343" i="54"/>
  <c r="BM343" i="54" s="1"/>
  <c r="AK349" i="54"/>
  <c r="W349" i="54"/>
  <c r="AX349" i="54"/>
  <c r="AR349" i="54"/>
  <c r="AX116" i="54"/>
  <c r="AD116" i="54"/>
  <c r="BL116" i="54" s="1"/>
  <c r="W116" i="54"/>
  <c r="AR116" i="54"/>
  <c r="AK116" i="54"/>
  <c r="V299" i="54"/>
  <c r="AF122" i="54"/>
  <c r="BN122" i="54" s="1"/>
  <c r="P387" i="50"/>
  <c r="E450" i="50" s="1"/>
  <c r="Z139" i="48"/>
  <c r="Z137" i="48"/>
  <c r="Z138" i="48"/>
  <c r="S341" i="48"/>
  <c r="Z97" i="48"/>
  <c r="Z98" i="48"/>
  <c r="S448" i="48"/>
  <c r="Z57" i="48"/>
  <c r="AA57" i="48" s="1"/>
  <c r="AB57" i="48" s="1"/>
  <c r="Z59" i="48"/>
  <c r="W460" i="48"/>
  <c r="R379" i="50"/>
  <c r="P380" i="50" s="1"/>
  <c r="E449" i="50" s="1"/>
  <c r="Y449" i="50" s="1"/>
  <c r="J449" i="50" s="1"/>
  <c r="Z137" i="50"/>
  <c r="AB178" i="52"/>
  <c r="AB99" i="52"/>
  <c r="AB328" i="52"/>
  <c r="AB177" i="52"/>
  <c r="AB176" i="52"/>
  <c r="AB100" i="52"/>
  <c r="AB327" i="52"/>
  <c r="AB329" i="52"/>
  <c r="AB252" i="52"/>
  <c r="AB101" i="52"/>
  <c r="AB329" i="54"/>
  <c r="AB253" i="52"/>
  <c r="AB254" i="52"/>
  <c r="AB100" i="54"/>
  <c r="AB178" i="54"/>
  <c r="AB177" i="54"/>
  <c r="AB176" i="54"/>
  <c r="AB254" i="54"/>
  <c r="AB252" i="54"/>
  <c r="AB253" i="54"/>
  <c r="AC396" i="54"/>
  <c r="P398" i="54" s="1"/>
  <c r="R329" i="54"/>
  <c r="R27" i="54"/>
  <c r="S19" i="34"/>
  <c r="R15" i="34"/>
  <c r="S19" i="40"/>
  <c r="P19" i="40" s="1"/>
  <c r="E91" i="40" s="1"/>
  <c r="W91" i="40" s="1"/>
  <c r="I91" i="40" s="1"/>
  <c r="S91" i="40" s="1"/>
  <c r="R17" i="41"/>
  <c r="P21" i="41" s="1"/>
  <c r="D33" i="41" s="1"/>
  <c r="Z282" i="48"/>
  <c r="AE286" i="48"/>
  <c r="AF286" i="48" s="1"/>
  <c r="Z283" i="48"/>
  <c r="AE287" i="48"/>
  <c r="AF287" i="48" s="1"/>
  <c r="E449" i="48"/>
  <c r="Y449" i="48" s="1"/>
  <c r="W448" i="48"/>
  <c r="P298" i="50"/>
  <c r="Z281" i="50" s="1"/>
  <c r="T302" i="50"/>
  <c r="P302" i="50" s="1"/>
  <c r="Z280" i="50" s="1"/>
  <c r="Z283" i="50"/>
  <c r="W460" i="50"/>
  <c r="S448" i="50"/>
  <c r="AE285" i="50"/>
  <c r="AF285" i="50" s="1"/>
  <c r="J36" i="50"/>
  <c r="S36" i="50" s="1"/>
  <c r="AA36" i="52"/>
  <c r="B36" i="52" s="1"/>
  <c r="P496" i="52"/>
  <c r="Z451" i="52" s="1"/>
  <c r="P462" i="52"/>
  <c r="AE457" i="52" s="1"/>
  <c r="AF457" i="52" s="1"/>
  <c r="AG452" i="52" s="1"/>
  <c r="P481" i="52"/>
  <c r="Z450" i="52" s="1"/>
  <c r="AZ34" i="52"/>
  <c r="I299" i="52"/>
  <c r="R299" i="52" s="1"/>
  <c r="P310" i="50"/>
  <c r="T319" i="50" s="1"/>
  <c r="P319" i="50" s="1"/>
  <c r="X319" i="50"/>
  <c r="Z19" i="50"/>
  <c r="Z20" i="50"/>
  <c r="AL116" i="52"/>
  <c r="AS116" i="52"/>
  <c r="AK349" i="52"/>
  <c r="AX349" i="52"/>
  <c r="AR349" i="52"/>
  <c r="AD349" i="52"/>
  <c r="AX347" i="52"/>
  <c r="W348" i="52"/>
  <c r="AK347" i="52"/>
  <c r="W347" i="52"/>
  <c r="AE347" i="52"/>
  <c r="BM347" i="52" s="1"/>
  <c r="W349" i="52"/>
  <c r="AR347" i="52"/>
  <c r="AX34" i="52"/>
  <c r="X116" i="52"/>
  <c r="AM116" i="52" s="1"/>
  <c r="AL115" i="52"/>
  <c r="AE115" i="52"/>
  <c r="BM115" i="52" s="1"/>
  <c r="X115" i="52"/>
  <c r="AM115" i="52" s="1"/>
  <c r="AS115" i="52"/>
  <c r="AF115" i="52"/>
  <c r="BN115" i="52" s="1"/>
  <c r="X117" i="52"/>
  <c r="AK267" i="52"/>
  <c r="AR267" i="52"/>
  <c r="W269" i="52"/>
  <c r="AE269" i="52" s="1"/>
  <c r="BM269" i="52" s="1"/>
  <c r="W268" i="52"/>
  <c r="AE268" i="52" s="1"/>
  <c r="BM268" i="52" s="1"/>
  <c r="W267" i="52"/>
  <c r="AX267" i="52"/>
  <c r="AE267" i="52"/>
  <c r="BM267" i="52" s="1"/>
  <c r="AV34" i="52"/>
  <c r="AS117" i="52"/>
  <c r="AL117" i="52"/>
  <c r="AE117" i="52"/>
  <c r="BM117" i="52" s="1"/>
  <c r="AK268" i="52"/>
  <c r="AR268" i="52"/>
  <c r="AX268" i="52"/>
  <c r="AK348" i="52"/>
  <c r="AR348" i="52"/>
  <c r="AX348" i="52"/>
  <c r="AD348" i="52"/>
  <c r="AA38" i="52"/>
  <c r="AT38" i="52" s="1"/>
  <c r="AD268" i="52"/>
  <c r="BL268" i="52" s="1"/>
  <c r="AD269" i="52"/>
  <c r="BL269" i="52" s="1"/>
  <c r="AR269" i="52"/>
  <c r="AX269" i="52"/>
  <c r="AK269" i="52"/>
  <c r="AD347" i="52"/>
  <c r="BN120" i="52"/>
  <c r="AA123" i="52"/>
  <c r="AC574" i="54"/>
  <c r="P578" i="54" s="1"/>
  <c r="BN348" i="54"/>
  <c r="BK192" i="54"/>
  <c r="AL191" i="54"/>
  <c r="AE191" i="54"/>
  <c r="BM191" i="54" s="1"/>
  <c r="X191" i="54"/>
  <c r="AM191" i="54" s="1"/>
  <c r="AS191" i="54"/>
  <c r="BN121" i="54"/>
  <c r="AB123" i="54"/>
  <c r="AK268" i="54"/>
  <c r="AX268" i="54"/>
  <c r="W268" i="54"/>
  <c r="AE268" i="54" s="1"/>
  <c r="BM268" i="54" s="1"/>
  <c r="AR268" i="54"/>
  <c r="AS33" i="54"/>
  <c r="X36" i="54"/>
  <c r="AA36" i="54" s="1"/>
  <c r="B36" i="54" s="1"/>
  <c r="AL196" i="54"/>
  <c r="AS196" i="54"/>
  <c r="X196" i="54"/>
  <c r="AM196" i="54" s="1"/>
  <c r="AF196" i="54"/>
  <c r="AK192" i="54"/>
  <c r="AX192" i="54"/>
  <c r="W192" i="54"/>
  <c r="AR192" i="54"/>
  <c r="AX198" i="54"/>
  <c r="W198" i="54"/>
  <c r="AE198" i="54" s="1"/>
  <c r="BM198" i="54" s="1"/>
  <c r="AK198" i="54"/>
  <c r="AR198" i="54"/>
  <c r="AF197" i="54"/>
  <c r="AD268" i="54"/>
  <c r="AA118" i="54"/>
  <c r="AF272" i="54"/>
  <c r="AS269" i="54"/>
  <c r="AL269" i="54"/>
  <c r="X269" i="54"/>
  <c r="AM269" i="54" s="1"/>
  <c r="W117" i="54"/>
  <c r="AE117" i="54" s="1"/>
  <c r="AX117" i="54"/>
  <c r="AR117" i="54"/>
  <c r="AK117" i="54"/>
  <c r="BM274" i="54"/>
  <c r="P510" i="52"/>
  <c r="Z452" i="52" s="1"/>
  <c r="AB26" i="52"/>
  <c r="BM196" i="52"/>
  <c r="BL193" i="52"/>
  <c r="BL272" i="52"/>
  <c r="AR191" i="52"/>
  <c r="AK191" i="52"/>
  <c r="W192" i="52"/>
  <c r="AE192" i="52" s="1"/>
  <c r="BM192" i="52" s="1"/>
  <c r="W193" i="52"/>
  <c r="AE193" i="52" s="1"/>
  <c r="BM193" i="52" s="1"/>
  <c r="AX191" i="52"/>
  <c r="W191" i="52"/>
  <c r="AE191" i="52" s="1"/>
  <c r="BM191" i="52" s="1"/>
  <c r="AS344" i="52"/>
  <c r="AL344" i="52"/>
  <c r="AL197" i="52"/>
  <c r="AS197" i="52"/>
  <c r="AC404" i="52"/>
  <c r="P408" i="52" s="1"/>
  <c r="AS343" i="52"/>
  <c r="AL343" i="52"/>
  <c r="AG450" i="52"/>
  <c r="AG458" i="52"/>
  <c r="AG453" i="52"/>
  <c r="AG451" i="52"/>
  <c r="AG454" i="52"/>
  <c r="AS39" i="52"/>
  <c r="AK274" i="52"/>
  <c r="AR274" i="52"/>
  <c r="AX274" i="52"/>
  <c r="BB34" i="52"/>
  <c r="AX193" i="52"/>
  <c r="AR193" i="52"/>
  <c r="AK193" i="52"/>
  <c r="BK274" i="52"/>
  <c r="AW34" i="52"/>
  <c r="AR192" i="52"/>
  <c r="AX192" i="52"/>
  <c r="AK192" i="52"/>
  <c r="BK273" i="52"/>
  <c r="AA39" i="52"/>
  <c r="AT39" i="52" s="1"/>
  <c r="BK192" i="52"/>
  <c r="AY34" i="52"/>
  <c r="AL196" i="52"/>
  <c r="AS196" i="52"/>
  <c r="X198" i="52"/>
  <c r="AM198" i="52" s="1"/>
  <c r="X197" i="52"/>
  <c r="AM197" i="52" s="1"/>
  <c r="X196" i="52"/>
  <c r="AE343" i="52"/>
  <c r="BC34" i="52"/>
  <c r="BN121" i="52"/>
  <c r="AB123" i="52"/>
  <c r="BL344" i="52"/>
  <c r="W274" i="52"/>
  <c r="AR272" i="52"/>
  <c r="W273" i="52"/>
  <c r="AE273" i="52" s="1"/>
  <c r="BM273" i="52" s="1"/>
  <c r="W272" i="52"/>
  <c r="AK272" i="52"/>
  <c r="AE272" i="52"/>
  <c r="BM272" i="52" s="1"/>
  <c r="AX272" i="52"/>
  <c r="BL197" i="52"/>
  <c r="AC123" i="52"/>
  <c r="AK273" i="52"/>
  <c r="AX273" i="52"/>
  <c r="AR273" i="52"/>
  <c r="BA34" i="52"/>
  <c r="AA40" i="52"/>
  <c r="AT40" i="52" s="1"/>
  <c r="AD191" i="52"/>
  <c r="X342" i="52"/>
  <c r="AM342" i="52" s="1"/>
  <c r="AS342" i="52"/>
  <c r="X343" i="52"/>
  <c r="AM343" i="52" s="1"/>
  <c r="AL342" i="52"/>
  <c r="X344" i="52"/>
  <c r="AM344" i="52" s="1"/>
  <c r="AL198" i="52"/>
  <c r="AS198" i="52"/>
  <c r="AE344" i="52"/>
  <c r="BM344" i="52" s="1"/>
  <c r="BL198" i="52"/>
  <c r="AS40" i="52"/>
  <c r="AA452" i="54"/>
  <c r="AB452" i="54" s="1"/>
  <c r="AA451" i="54"/>
  <c r="AB451" i="54" s="1"/>
  <c r="AC450" i="54" s="1"/>
  <c r="AD450" i="54" s="1"/>
  <c r="AA123" i="54"/>
  <c r="BW121" i="54"/>
  <c r="BV121" i="54"/>
  <c r="BL342" i="54"/>
  <c r="X342" i="54"/>
  <c r="AM342" i="54" s="1"/>
  <c r="AS342" i="54"/>
  <c r="AL342" i="54"/>
  <c r="AG458" i="54"/>
  <c r="AG452" i="54"/>
  <c r="AG451" i="54"/>
  <c r="AG450" i="54"/>
  <c r="AG453" i="54"/>
  <c r="AG457" i="54"/>
  <c r="AG454" i="54"/>
  <c r="AB101" i="54"/>
  <c r="AB99" i="54"/>
  <c r="I557" i="54"/>
  <c r="R557" i="54" s="1"/>
  <c r="I558" i="54"/>
  <c r="R558" i="54" s="1"/>
  <c r="I540" i="54"/>
  <c r="R540" i="54" s="1"/>
  <c r="I541" i="54"/>
  <c r="R541" i="54" s="1"/>
  <c r="I543" i="54"/>
  <c r="R543" i="54" s="1"/>
  <c r="I542" i="54"/>
  <c r="R542" i="54" s="1"/>
  <c r="I560" i="54"/>
  <c r="R560" i="54" s="1"/>
  <c r="AM196" i="52" l="1"/>
  <c r="AF196" i="52"/>
  <c r="BN196" i="52" s="1"/>
  <c r="AA283" i="48"/>
  <c r="AB283" i="48" s="1"/>
  <c r="T156" i="37"/>
  <c r="U156" i="37" s="1"/>
  <c r="T157" i="37" s="1"/>
  <c r="U157" i="37" s="1"/>
  <c r="T158" i="37" s="1"/>
  <c r="U158" i="37" s="1"/>
  <c r="T159" i="37" s="1"/>
  <c r="U159" i="37" s="1"/>
  <c r="T160" i="37" s="1"/>
  <c r="U160" i="37" s="1"/>
  <c r="C49" i="60"/>
  <c r="AM61" i="44"/>
  <c r="AF61" i="44" s="1"/>
  <c r="AS61" i="44" s="1"/>
  <c r="T161" i="37"/>
  <c r="U161" i="37" s="1"/>
  <c r="T162" i="37" s="1"/>
  <c r="U162" i="37" s="1"/>
  <c r="T163" i="37" s="1"/>
  <c r="U163" i="37" s="1"/>
  <c r="T164" i="37" s="1"/>
  <c r="U164" i="37" s="1"/>
  <c r="T165" i="37" s="1"/>
  <c r="U165" i="37" s="1"/>
  <c r="T166" i="37" s="1"/>
  <c r="U166" i="37" s="1"/>
  <c r="P154" i="37" s="1"/>
  <c r="G173" i="37" s="1"/>
  <c r="T39" i="37"/>
  <c r="U39" i="37" s="1"/>
  <c r="T40" i="37" s="1"/>
  <c r="U40" i="37" s="1"/>
  <c r="T41" i="37" s="1"/>
  <c r="U41" i="37" s="1"/>
  <c r="T42" i="37" s="1"/>
  <c r="U42" i="37" s="1"/>
  <c r="T43" i="37" s="1"/>
  <c r="U43" i="37" s="1"/>
  <c r="T44" i="37" s="1"/>
  <c r="U44" i="37" s="1"/>
  <c r="T45" i="37" s="1"/>
  <c r="U45" i="37" s="1"/>
  <c r="T46" i="37" s="1"/>
  <c r="U46" i="37" s="1"/>
  <c r="T47" i="37" s="1"/>
  <c r="U47" i="37" s="1"/>
  <c r="T48" i="37" s="1"/>
  <c r="U48" i="37" s="1"/>
  <c r="T49" i="37" s="1"/>
  <c r="U49" i="37" s="1"/>
  <c r="T50" i="37" s="1"/>
  <c r="U50" i="37" s="1"/>
  <c r="T51" i="37" s="1"/>
  <c r="U51" i="37" s="1"/>
  <c r="T52" i="37" s="1"/>
  <c r="U52" i="37" s="1"/>
  <c r="T53" i="37" s="1"/>
  <c r="U53" i="37" s="1"/>
  <c r="T54" i="37" s="1"/>
  <c r="U54" i="37" s="1"/>
  <c r="P38" i="37" s="1"/>
  <c r="G171" i="37" s="1"/>
  <c r="H33" i="41"/>
  <c r="S33" i="41" s="1"/>
  <c r="AG286" i="48"/>
  <c r="Y450" i="50"/>
  <c r="J450" i="50" s="1"/>
  <c r="P179" i="50"/>
  <c r="Z99" i="50"/>
  <c r="Z97" i="50"/>
  <c r="AA97" i="50" s="1"/>
  <c r="AB97" i="50" s="1"/>
  <c r="V604" i="52"/>
  <c r="I604" i="52" s="1"/>
  <c r="R604" i="52" s="1"/>
  <c r="V538" i="52"/>
  <c r="I538" i="52" s="1"/>
  <c r="R538" i="52" s="1"/>
  <c r="AG457" i="52"/>
  <c r="AY39" i="52"/>
  <c r="X41" i="52"/>
  <c r="AC25" i="52"/>
  <c r="AD25" i="52" s="1"/>
  <c r="P16" i="52" s="1"/>
  <c r="AC275" i="54"/>
  <c r="AE193" i="54"/>
  <c r="AL193" i="54"/>
  <c r="X193" i="54"/>
  <c r="AM193" i="54" s="1"/>
  <c r="AS193" i="54"/>
  <c r="AF193" i="54"/>
  <c r="BN193" i="54" s="1"/>
  <c r="AF269" i="54"/>
  <c r="BN269" i="54" s="1"/>
  <c r="AC123" i="54"/>
  <c r="AD123" i="54" s="1"/>
  <c r="B123" i="54" s="1"/>
  <c r="BY121" i="54"/>
  <c r="BR121" i="54"/>
  <c r="AC451" i="54"/>
  <c r="AD451" i="54" s="1"/>
  <c r="P512" i="54" s="1"/>
  <c r="BX121" i="54"/>
  <c r="BT121" i="54"/>
  <c r="CA121" i="54"/>
  <c r="BS121" i="54"/>
  <c r="BZ121" i="54"/>
  <c r="BU121" i="54"/>
  <c r="I299" i="54"/>
  <c r="R299" i="54" s="1"/>
  <c r="AS60" i="44"/>
  <c r="AT60" i="44" s="1"/>
  <c r="P19" i="34"/>
  <c r="E91" i="34" s="1"/>
  <c r="AL61" i="44"/>
  <c r="O61" i="44" s="1"/>
  <c r="AN61" i="44" s="1"/>
  <c r="AO61" i="44" s="1"/>
  <c r="AO15" i="44"/>
  <c r="O17" i="44" s="1"/>
  <c r="I60" i="44" s="1"/>
  <c r="AL60" i="44" s="1"/>
  <c r="O60" i="44" s="1"/>
  <c r="J449" i="48"/>
  <c r="S449" i="48" s="1"/>
  <c r="AC327" i="52"/>
  <c r="AD327" i="52" s="1"/>
  <c r="AC328" i="52" s="1"/>
  <c r="AD328" i="52" s="1"/>
  <c r="AL349" i="54"/>
  <c r="AS349" i="54"/>
  <c r="X349" i="54"/>
  <c r="AM349" i="54" s="1"/>
  <c r="AE349" i="54"/>
  <c r="AE116" i="54"/>
  <c r="AS116" i="54"/>
  <c r="AL116" i="54"/>
  <c r="X116" i="54"/>
  <c r="AM116" i="54" s="1"/>
  <c r="AC345" i="54"/>
  <c r="AL343" i="54"/>
  <c r="X343" i="54"/>
  <c r="AM343" i="54" s="1"/>
  <c r="AS343" i="54"/>
  <c r="AF191" i="54"/>
  <c r="AT39" i="54"/>
  <c r="Y41" i="54"/>
  <c r="AA41" i="54" s="1"/>
  <c r="B41" i="54" s="1"/>
  <c r="AF267" i="54"/>
  <c r="BN267" i="54" s="1"/>
  <c r="AC99" i="54"/>
  <c r="AD99" i="54" s="1"/>
  <c r="AC100" i="54" s="1"/>
  <c r="AD100" i="54" s="1"/>
  <c r="W448" i="50"/>
  <c r="J364" i="48"/>
  <c r="S364" i="48" s="1"/>
  <c r="AA97" i="48"/>
  <c r="AB97" i="48" s="1"/>
  <c r="AA98" i="48" s="1"/>
  <c r="AB98" i="48" s="1"/>
  <c r="Z179" i="48"/>
  <c r="Z177" i="48"/>
  <c r="Z178" i="48"/>
  <c r="AA137" i="48"/>
  <c r="AB137" i="48" s="1"/>
  <c r="AA138" i="48" s="1"/>
  <c r="AB138" i="48" s="1"/>
  <c r="Z138" i="50"/>
  <c r="AA137" i="50" s="1"/>
  <c r="AB137" i="50" s="1"/>
  <c r="Z139" i="50"/>
  <c r="AA58" i="48"/>
  <c r="AB58" i="48" s="1"/>
  <c r="AA282" i="48"/>
  <c r="AB282" i="48" s="1"/>
  <c r="AG289" i="48"/>
  <c r="AA19" i="48"/>
  <c r="AB19" i="48" s="1"/>
  <c r="AG291" i="48"/>
  <c r="AC99" i="52"/>
  <c r="AD99" i="52" s="1"/>
  <c r="AC100" i="52" s="1"/>
  <c r="AD100" i="52" s="1"/>
  <c r="S449" i="50"/>
  <c r="AC176" i="52"/>
  <c r="AD176" i="52" s="1"/>
  <c r="AC177" i="52" s="1"/>
  <c r="AD177" i="52" s="1"/>
  <c r="AC252" i="52"/>
  <c r="AD252" i="52" s="1"/>
  <c r="AC253" i="52" s="1"/>
  <c r="AD253" i="52" s="1"/>
  <c r="E538" i="54"/>
  <c r="K556" i="54"/>
  <c r="AB328" i="54"/>
  <c r="AB327" i="54"/>
  <c r="E604" i="54"/>
  <c r="I539" i="54"/>
  <c r="R539" i="54" s="1"/>
  <c r="AC176" i="54"/>
  <c r="AD176" i="54" s="1"/>
  <c r="AC177" i="54" s="1"/>
  <c r="AD177" i="54" s="1"/>
  <c r="AC252" i="54"/>
  <c r="AD252" i="54" s="1"/>
  <c r="AC253" i="54" s="1"/>
  <c r="AD253" i="54" s="1"/>
  <c r="I612" i="54"/>
  <c r="R612" i="54" s="1"/>
  <c r="I615" i="54"/>
  <c r="R615" i="54" s="1"/>
  <c r="I614" i="54"/>
  <c r="R614" i="54" s="1"/>
  <c r="AB25" i="54"/>
  <c r="AB26" i="54"/>
  <c r="AZ61" i="44"/>
  <c r="T97" i="40"/>
  <c r="T98" i="40"/>
  <c r="T95" i="40"/>
  <c r="T96" i="40"/>
  <c r="T92" i="40"/>
  <c r="T93" i="40"/>
  <c r="T94" i="40"/>
  <c r="T91" i="40"/>
  <c r="AG287" i="48"/>
  <c r="AG290" i="48"/>
  <c r="AG288" i="48"/>
  <c r="AG281" i="48"/>
  <c r="AG284" i="48"/>
  <c r="AA281" i="48"/>
  <c r="AB281" i="48" s="1"/>
  <c r="AA280" i="48"/>
  <c r="AB280" i="48" s="1"/>
  <c r="AG283" i="48"/>
  <c r="AG292" i="48"/>
  <c r="AG285" i="48"/>
  <c r="AG280" i="48"/>
  <c r="AG282" i="48"/>
  <c r="J357" i="48"/>
  <c r="S357" i="48" s="1"/>
  <c r="J354" i="48"/>
  <c r="S354" i="48" s="1"/>
  <c r="J362" i="48"/>
  <c r="S362" i="48" s="1"/>
  <c r="AV35" i="52"/>
  <c r="AW35" i="52" s="1"/>
  <c r="AA118" i="52"/>
  <c r="AW39" i="52"/>
  <c r="BC39" i="52"/>
  <c r="AF343" i="52"/>
  <c r="BN343" i="52" s="1"/>
  <c r="AF116" i="52"/>
  <c r="BN116" i="52" s="1"/>
  <c r="Z282" i="50"/>
  <c r="AE286" i="50"/>
  <c r="AF286" i="50" s="1"/>
  <c r="AA19" i="50"/>
  <c r="AB19" i="50" s="1"/>
  <c r="P21" i="50" s="1"/>
  <c r="L197" i="50"/>
  <c r="I611" i="54"/>
  <c r="R611" i="54" s="1"/>
  <c r="X269" i="52"/>
  <c r="AM269" i="52" s="1"/>
  <c r="X267" i="52"/>
  <c r="AM267" i="52" s="1"/>
  <c r="AL267" i="52"/>
  <c r="AS267" i="52"/>
  <c r="X268" i="52"/>
  <c r="AM268" i="52" s="1"/>
  <c r="AS347" i="52"/>
  <c r="X349" i="52"/>
  <c r="AM349" i="52" s="1"/>
  <c r="X348" i="52"/>
  <c r="AM348" i="52" s="1"/>
  <c r="AL347" i="52"/>
  <c r="X347" i="52"/>
  <c r="AM347" i="52" s="1"/>
  <c r="BL347" i="52"/>
  <c r="BL348" i="52"/>
  <c r="AL268" i="52"/>
  <c r="AS268" i="52"/>
  <c r="AF268" i="52"/>
  <c r="BN268" i="52" s="1"/>
  <c r="AL269" i="52"/>
  <c r="AS269" i="52"/>
  <c r="AL348" i="52"/>
  <c r="AS348" i="52"/>
  <c r="AL349" i="52"/>
  <c r="AS349" i="52"/>
  <c r="AX35" i="52"/>
  <c r="AY35" i="52" s="1"/>
  <c r="AZ35" i="52" s="1"/>
  <c r="BA35" i="52" s="1"/>
  <c r="BB35" i="52" s="1"/>
  <c r="P36" i="52" s="1"/>
  <c r="E67" i="52" s="1"/>
  <c r="Y67" i="52" s="1"/>
  <c r="I67" i="52" s="1"/>
  <c r="R67" i="52" s="1"/>
  <c r="Y41" i="52"/>
  <c r="AE349" i="52"/>
  <c r="BM349" i="52" s="1"/>
  <c r="AX39" i="52"/>
  <c r="AE348" i="52"/>
  <c r="BM348" i="52" s="1"/>
  <c r="AM117" i="52"/>
  <c r="AF117" i="52"/>
  <c r="BL349" i="52"/>
  <c r="BL268" i="54"/>
  <c r="AL192" i="54"/>
  <c r="AS192" i="54"/>
  <c r="X192" i="54"/>
  <c r="AM192" i="54" s="1"/>
  <c r="AY34" i="54"/>
  <c r="AZ34" i="54"/>
  <c r="BB34" i="54"/>
  <c r="BC34" i="54"/>
  <c r="AW34" i="54"/>
  <c r="BA34" i="54"/>
  <c r="AX34" i="54"/>
  <c r="AV34" i="54"/>
  <c r="BN197" i="54"/>
  <c r="AB199" i="54"/>
  <c r="AC270" i="54"/>
  <c r="AL117" i="54"/>
  <c r="X117" i="54"/>
  <c r="AM117" i="54" s="1"/>
  <c r="AF117" i="54"/>
  <c r="BN117" i="54" s="1"/>
  <c r="AS117" i="54"/>
  <c r="AE192" i="54"/>
  <c r="X268" i="54"/>
  <c r="AM268" i="54" s="1"/>
  <c r="AS268" i="54"/>
  <c r="AL268" i="54"/>
  <c r="BN272" i="54"/>
  <c r="AA275" i="54"/>
  <c r="AD275" i="54" s="1"/>
  <c r="B275" i="54" s="1"/>
  <c r="BM117" i="54"/>
  <c r="X198" i="54"/>
  <c r="AM198" i="54" s="1"/>
  <c r="AS198" i="54"/>
  <c r="AL198" i="54"/>
  <c r="AA199" i="54"/>
  <c r="BN196" i="54"/>
  <c r="BQ121" i="54"/>
  <c r="BP121" i="54"/>
  <c r="BP122" i="54" s="1"/>
  <c r="BQ122" i="54" s="1"/>
  <c r="BR122" i="54" s="1"/>
  <c r="BS122" i="54" s="1"/>
  <c r="BT122" i="54" s="1"/>
  <c r="BU122" i="54" s="1"/>
  <c r="BV122" i="54" s="1"/>
  <c r="BW122" i="54" s="1"/>
  <c r="BX122" i="54" s="1"/>
  <c r="BY122" i="54" s="1"/>
  <c r="BZ122" i="54" s="1"/>
  <c r="AA452" i="52"/>
  <c r="AB452" i="52" s="1"/>
  <c r="AA451" i="52"/>
  <c r="AB451" i="52" s="1"/>
  <c r="AA450" i="52"/>
  <c r="AB450" i="52" s="1"/>
  <c r="AC450" i="52" s="1"/>
  <c r="AD450" i="52" s="1"/>
  <c r="AL274" i="52"/>
  <c r="AS274" i="52"/>
  <c r="AF342" i="52"/>
  <c r="BA39" i="52"/>
  <c r="AF197" i="52"/>
  <c r="AL193" i="52"/>
  <c r="AS193" i="52"/>
  <c r="AA199" i="52"/>
  <c r="AV39" i="52"/>
  <c r="E539" i="52"/>
  <c r="AS192" i="52"/>
  <c r="AL192" i="52"/>
  <c r="AF344" i="52"/>
  <c r="BN344" i="52" s="1"/>
  <c r="AZ39" i="52"/>
  <c r="BP121" i="52"/>
  <c r="CA121" i="52"/>
  <c r="BS121" i="52"/>
  <c r="BU121" i="52"/>
  <c r="BX121" i="52"/>
  <c r="BY121" i="52"/>
  <c r="BR121" i="52"/>
  <c r="BT121" i="52"/>
  <c r="BQ121" i="52"/>
  <c r="BZ121" i="52"/>
  <c r="BW121" i="52"/>
  <c r="BV121" i="52"/>
  <c r="BM343" i="52"/>
  <c r="AH450" i="52"/>
  <c r="AI450" i="52" s="1"/>
  <c r="AH451" i="52" s="1"/>
  <c r="AI451" i="52" s="1"/>
  <c r="AH452" i="52" s="1"/>
  <c r="AI452" i="52" s="1"/>
  <c r="AH453" i="52" s="1"/>
  <c r="AI453" i="52" s="1"/>
  <c r="AH454" i="52" s="1"/>
  <c r="AI454" i="52" s="1"/>
  <c r="AH457" i="52" s="1"/>
  <c r="AI457" i="52" s="1"/>
  <c r="P514" i="52" s="1"/>
  <c r="AD123" i="52"/>
  <c r="B123" i="52" s="1"/>
  <c r="Z41" i="52"/>
  <c r="BL191" i="52"/>
  <c r="BB39" i="52"/>
  <c r="X273" i="52"/>
  <c r="AM273" i="52" s="1"/>
  <c r="X274" i="52"/>
  <c r="AM274" i="52" s="1"/>
  <c r="AS272" i="52"/>
  <c r="X272" i="52"/>
  <c r="AM272" i="52" s="1"/>
  <c r="AL272" i="52"/>
  <c r="AF198" i="52"/>
  <c r="AS273" i="52"/>
  <c r="AL273" i="52"/>
  <c r="AE274" i="52"/>
  <c r="X191" i="52"/>
  <c r="AM191" i="52" s="1"/>
  <c r="AL191" i="52"/>
  <c r="AF191" i="52"/>
  <c r="BN191" i="52" s="1"/>
  <c r="AS191" i="52"/>
  <c r="X192" i="52"/>
  <c r="AM192" i="52" s="1"/>
  <c r="X193" i="52"/>
  <c r="AM193" i="52" s="1"/>
  <c r="E559" i="54"/>
  <c r="V559" i="54" s="1"/>
  <c r="AF342" i="54"/>
  <c r="AH450" i="54"/>
  <c r="AI450" i="54" s="1"/>
  <c r="AH451" i="54" s="1"/>
  <c r="AI451" i="54" s="1"/>
  <c r="AH452" i="54" s="1"/>
  <c r="AI452" i="54" s="1"/>
  <c r="AH453" i="54" s="1"/>
  <c r="AI453" i="54" s="1"/>
  <c r="AH454" i="54" s="1"/>
  <c r="AI454" i="54" s="1"/>
  <c r="AH457" i="54" s="1"/>
  <c r="AI457" i="54" s="1"/>
  <c r="P514" i="54" s="1"/>
  <c r="E613" i="54" s="1"/>
  <c r="V613" i="54" s="1"/>
  <c r="AT61" i="44" l="1"/>
  <c r="AZ62" i="44"/>
  <c r="R171" i="37"/>
  <c r="W91" i="34"/>
  <c r="I91" i="34" s="1"/>
  <c r="S91" i="34" s="1"/>
  <c r="AA98" i="50"/>
  <c r="AB98" i="50" s="1"/>
  <c r="R172" i="37"/>
  <c r="S171" i="37" s="1"/>
  <c r="T171" i="37" s="1"/>
  <c r="R173" i="37"/>
  <c r="T34" i="41"/>
  <c r="T33" i="41"/>
  <c r="T35" i="41"/>
  <c r="T36" i="41"/>
  <c r="H33" i="27"/>
  <c r="S33" i="27" s="1"/>
  <c r="R233" i="48"/>
  <c r="P233" i="48" s="1"/>
  <c r="E352" i="48" s="1"/>
  <c r="P139" i="48"/>
  <c r="E154" i="48" s="1"/>
  <c r="W154" i="48" s="1"/>
  <c r="J154" i="48" s="1"/>
  <c r="S154" i="48" s="1"/>
  <c r="P99" i="48"/>
  <c r="E114" i="48" s="1"/>
  <c r="W114" i="48" s="1"/>
  <c r="J114" i="48" s="1"/>
  <c r="S114" i="48" s="1"/>
  <c r="P59" i="48"/>
  <c r="E74" i="48" s="1"/>
  <c r="W74" i="48" s="1"/>
  <c r="J74" i="48" s="1"/>
  <c r="S74" i="48" s="1"/>
  <c r="P21" i="48"/>
  <c r="E35" i="48" s="1"/>
  <c r="W35" i="48" s="1"/>
  <c r="J35" i="48" s="1"/>
  <c r="S35" i="48" s="1"/>
  <c r="S450" i="50"/>
  <c r="P99" i="50"/>
  <c r="L117" i="50" s="1"/>
  <c r="V539" i="52"/>
  <c r="I539" i="52" s="1"/>
  <c r="R539" i="52" s="1"/>
  <c r="AF349" i="52"/>
  <c r="BN349" i="52" s="1"/>
  <c r="AA41" i="52"/>
  <c r="B41" i="52" s="1"/>
  <c r="AC451" i="52"/>
  <c r="AD451" i="52" s="1"/>
  <c r="P512" i="52" s="1"/>
  <c r="V604" i="54"/>
  <c r="I604" i="54" s="1"/>
  <c r="R604" i="54" s="1"/>
  <c r="AV40" i="52"/>
  <c r="AW40" i="52" s="1"/>
  <c r="AX40" i="52" s="1"/>
  <c r="AY40" i="52" s="1"/>
  <c r="AZ40" i="52" s="1"/>
  <c r="BA40" i="52" s="1"/>
  <c r="BB40" i="52" s="1"/>
  <c r="P41" i="52" s="1"/>
  <c r="E68" i="52" s="1"/>
  <c r="Y68" i="52" s="1"/>
  <c r="V67" i="52"/>
  <c r="P316" i="52"/>
  <c r="K375" i="52" s="1"/>
  <c r="P241" i="52"/>
  <c r="K300" i="52" s="1"/>
  <c r="P165" i="52"/>
  <c r="E217" i="52" s="1"/>
  <c r="P88" i="52"/>
  <c r="K148" i="52" s="1"/>
  <c r="P123" i="54"/>
  <c r="E146" i="54" s="1"/>
  <c r="BM193" i="54"/>
  <c r="AC194" i="54"/>
  <c r="AF198" i="54"/>
  <c r="BN198" i="54" s="1"/>
  <c r="K611" i="54"/>
  <c r="Y146" i="54"/>
  <c r="I146" i="54" s="1"/>
  <c r="R146" i="54" s="1"/>
  <c r="V538" i="54"/>
  <c r="I538" i="54" s="1"/>
  <c r="R538" i="54" s="1"/>
  <c r="P241" i="54"/>
  <c r="E292" i="54" s="1"/>
  <c r="P165" i="54"/>
  <c r="K225" i="54" s="1"/>
  <c r="P88" i="54"/>
  <c r="AU66" i="44"/>
  <c r="AU64" i="44"/>
  <c r="AU61" i="44"/>
  <c r="AU60" i="44"/>
  <c r="AU65" i="44"/>
  <c r="AU63" i="44"/>
  <c r="AU62" i="44"/>
  <c r="AY61" i="44"/>
  <c r="AN60" i="44"/>
  <c r="AO60" i="44" s="1"/>
  <c r="AP65" i="44" s="1"/>
  <c r="AA138" i="50"/>
  <c r="AB138" i="50" s="1"/>
  <c r="AV35" i="54"/>
  <c r="AW35" i="54" s="1"/>
  <c r="AX35" i="54" s="1"/>
  <c r="AY35" i="54" s="1"/>
  <c r="AZ35" i="54" s="1"/>
  <c r="BA35" i="54" s="1"/>
  <c r="BB35" i="54" s="1"/>
  <c r="P36" i="54" s="1"/>
  <c r="E67" i="54" s="1"/>
  <c r="Y67" i="54" s="1"/>
  <c r="I67" i="54" s="1"/>
  <c r="R67" i="54" s="1"/>
  <c r="AA270" i="54"/>
  <c r="BM349" i="54"/>
  <c r="AY39" i="54"/>
  <c r="AZ39" i="54"/>
  <c r="BB39" i="54"/>
  <c r="AX39" i="54"/>
  <c r="AV39" i="54"/>
  <c r="BA39" i="54"/>
  <c r="BC39" i="54"/>
  <c r="AW39" i="54"/>
  <c r="AF343" i="54"/>
  <c r="AF116" i="54"/>
  <c r="BN116" i="54" s="1"/>
  <c r="AF349" i="54"/>
  <c r="BN349" i="54" s="1"/>
  <c r="BN191" i="54"/>
  <c r="AA194" i="54"/>
  <c r="BM116" i="54"/>
  <c r="J466" i="48"/>
  <c r="S466" i="48" s="1"/>
  <c r="J468" i="48"/>
  <c r="S468" i="48" s="1"/>
  <c r="J463" i="48"/>
  <c r="S463" i="48" s="1"/>
  <c r="J361" i="48"/>
  <c r="S361" i="48" s="1"/>
  <c r="J363" i="48"/>
  <c r="S363" i="48" s="1"/>
  <c r="J356" i="48"/>
  <c r="S356" i="48" s="1"/>
  <c r="J353" i="48"/>
  <c r="S353" i="48" s="1"/>
  <c r="J467" i="48"/>
  <c r="S467" i="48" s="1"/>
  <c r="J355" i="48"/>
  <c r="S355" i="48" s="1"/>
  <c r="J464" i="48"/>
  <c r="S464" i="48" s="1"/>
  <c r="J465" i="48"/>
  <c r="S465" i="48" s="1"/>
  <c r="AA177" i="48"/>
  <c r="AB177" i="48" s="1"/>
  <c r="AA178" i="48" s="1"/>
  <c r="AB178" i="48" s="1"/>
  <c r="AH280" i="48"/>
  <c r="AI280" i="48" s="1"/>
  <c r="AH281" i="48" s="1"/>
  <c r="AI281" i="48" s="1"/>
  <c r="AH282" i="48" s="1"/>
  <c r="AI282" i="48" s="1"/>
  <c r="AH283" i="48" s="1"/>
  <c r="AI283" i="48" s="1"/>
  <c r="AH284" i="48" s="1"/>
  <c r="AI284" i="48" s="1"/>
  <c r="AH285" i="48" s="1"/>
  <c r="AI285" i="48" s="1"/>
  <c r="AH286" i="48" s="1"/>
  <c r="AI286" i="48" s="1"/>
  <c r="AH287" i="48" s="1"/>
  <c r="AI287" i="48" s="1"/>
  <c r="AH288" i="48" s="1"/>
  <c r="AI288" i="48" s="1"/>
  <c r="AH289" i="48" s="1"/>
  <c r="AI289" i="48" s="1"/>
  <c r="AH290" i="48" s="1"/>
  <c r="AI290" i="48" s="1"/>
  <c r="AH291" i="48" s="1"/>
  <c r="AI291" i="48" s="1"/>
  <c r="P337" i="48" s="1"/>
  <c r="E469" i="48" s="1"/>
  <c r="K73" i="52"/>
  <c r="AC327" i="54"/>
  <c r="AD327" i="54" s="1"/>
  <c r="AC328" i="54" s="1"/>
  <c r="AD328" i="54" s="1"/>
  <c r="I559" i="54"/>
  <c r="R559" i="54" s="1"/>
  <c r="U625" i="54"/>
  <c r="E66" i="52"/>
  <c r="AC25" i="54"/>
  <c r="AD25" i="54" s="1"/>
  <c r="P16" i="54" s="1"/>
  <c r="U91" i="40"/>
  <c r="V91" i="40" s="1"/>
  <c r="U92" i="40" s="1"/>
  <c r="V92" i="40" s="1"/>
  <c r="U93" i="40" s="1"/>
  <c r="V93" i="40" s="1"/>
  <c r="U94" i="40" s="1"/>
  <c r="V94" i="40" s="1"/>
  <c r="U95" i="40" s="1"/>
  <c r="V95" i="40" s="1"/>
  <c r="U96" i="40" s="1"/>
  <c r="V96" i="40" s="1"/>
  <c r="U97" i="40" s="1"/>
  <c r="V97" i="40" s="1"/>
  <c r="P90" i="40" s="1"/>
  <c r="S452" i="50"/>
  <c r="AC280" i="48"/>
  <c r="AD280" i="48" s="1"/>
  <c r="AC281" i="48" s="1"/>
  <c r="AD281" i="48" s="1"/>
  <c r="AC282" i="48" s="1"/>
  <c r="AD282" i="48" s="1"/>
  <c r="P336" i="48" s="1"/>
  <c r="W343" i="48" s="1"/>
  <c r="J464" i="50"/>
  <c r="S464" i="50" s="1"/>
  <c r="J356" i="50"/>
  <c r="S356" i="50" s="1"/>
  <c r="J468" i="50"/>
  <c r="S468" i="50" s="1"/>
  <c r="J467" i="50"/>
  <c r="S467" i="50" s="1"/>
  <c r="J364" i="50"/>
  <c r="S364" i="50" s="1"/>
  <c r="J361" i="50"/>
  <c r="S361" i="50" s="1"/>
  <c r="J362" i="50"/>
  <c r="S362" i="50" s="1"/>
  <c r="J463" i="50"/>
  <c r="S463" i="50" s="1"/>
  <c r="J355" i="50"/>
  <c r="S355" i="50" s="1"/>
  <c r="J363" i="50"/>
  <c r="S363" i="50" s="1"/>
  <c r="J354" i="50"/>
  <c r="S354" i="50" s="1"/>
  <c r="J466" i="50"/>
  <c r="S466" i="50" s="1"/>
  <c r="J353" i="50"/>
  <c r="S353" i="50" s="1"/>
  <c r="J465" i="50"/>
  <c r="S465" i="50" s="1"/>
  <c r="J357" i="50"/>
  <c r="S357" i="50" s="1"/>
  <c r="AB118" i="52"/>
  <c r="AB345" i="52"/>
  <c r="AF269" i="52"/>
  <c r="BN269" i="52" s="1"/>
  <c r="AB270" i="52"/>
  <c r="AG290" i="50"/>
  <c r="AG287" i="50"/>
  <c r="AG284" i="50"/>
  <c r="AG282" i="50"/>
  <c r="AG280" i="50"/>
  <c r="AG292" i="50"/>
  <c r="AG285" i="50"/>
  <c r="AG286" i="50"/>
  <c r="AG291" i="50"/>
  <c r="AG289" i="50"/>
  <c r="AG283" i="50"/>
  <c r="AG288" i="50"/>
  <c r="AG281" i="50"/>
  <c r="AA281" i="50"/>
  <c r="AB281" i="50" s="1"/>
  <c r="AA280" i="50"/>
  <c r="AB280" i="50" s="1"/>
  <c r="AA282" i="50"/>
  <c r="AB282" i="50" s="1"/>
  <c r="AA283" i="50"/>
  <c r="AB283" i="50" s="1"/>
  <c r="E194" i="50"/>
  <c r="W194" i="50" s="1"/>
  <c r="J194" i="50" s="1"/>
  <c r="S194" i="50" s="1"/>
  <c r="E114" i="50"/>
  <c r="W114" i="50" s="1"/>
  <c r="J114" i="50" s="1"/>
  <c r="S114" i="50" s="1"/>
  <c r="AC350" i="52"/>
  <c r="AF347" i="52"/>
  <c r="AC118" i="52"/>
  <c r="BN117" i="52"/>
  <c r="BQ116" i="52" s="1"/>
  <c r="AC270" i="52"/>
  <c r="BT116" i="52"/>
  <c r="AF274" i="52"/>
  <c r="BN274" i="52" s="1"/>
  <c r="AF348" i="52"/>
  <c r="AF267" i="52"/>
  <c r="AC118" i="54"/>
  <c r="BS197" i="54"/>
  <c r="BU197" i="54"/>
  <c r="BW197" i="54"/>
  <c r="CA197" i="54"/>
  <c r="BX197" i="54"/>
  <c r="BY197" i="54"/>
  <c r="BQ197" i="54"/>
  <c r="BP197" i="54"/>
  <c r="BP198" i="54" s="1"/>
  <c r="BV197" i="54"/>
  <c r="BT197" i="54"/>
  <c r="BR197" i="54"/>
  <c r="BZ197" i="54"/>
  <c r="AF192" i="54"/>
  <c r="BN192" i="54" s="1"/>
  <c r="AC199" i="54"/>
  <c r="AD199" i="54" s="1"/>
  <c r="B199" i="54" s="1"/>
  <c r="BM192" i="54"/>
  <c r="AF268" i="54"/>
  <c r="CA273" i="54"/>
  <c r="BW273" i="54"/>
  <c r="BP273" i="54"/>
  <c r="BU273" i="54"/>
  <c r="BY273" i="54"/>
  <c r="BZ273" i="54"/>
  <c r="BX273" i="54"/>
  <c r="BT273" i="54"/>
  <c r="BR273" i="54"/>
  <c r="BQ273" i="54"/>
  <c r="BS273" i="54"/>
  <c r="BV273" i="54"/>
  <c r="E559" i="52"/>
  <c r="K556" i="52"/>
  <c r="S522" i="54"/>
  <c r="AA194" i="52"/>
  <c r="I611" i="52"/>
  <c r="R611" i="52" s="1"/>
  <c r="I615" i="52"/>
  <c r="R615" i="52" s="1"/>
  <c r="I543" i="52"/>
  <c r="I612" i="52"/>
  <c r="R612" i="52" s="1"/>
  <c r="I614" i="52"/>
  <c r="R614" i="52" s="1"/>
  <c r="BN197" i="52"/>
  <c r="AB199" i="52"/>
  <c r="AF273" i="52"/>
  <c r="BP122" i="52"/>
  <c r="BQ122" i="52" s="1"/>
  <c r="BR122" i="52" s="1"/>
  <c r="BS122" i="52" s="1"/>
  <c r="BT122" i="52" s="1"/>
  <c r="BU122" i="52" s="1"/>
  <c r="BV122" i="52" s="1"/>
  <c r="BW122" i="52" s="1"/>
  <c r="BX122" i="52" s="1"/>
  <c r="BY122" i="52" s="1"/>
  <c r="BZ122" i="52" s="1"/>
  <c r="P123" i="52" s="1"/>
  <c r="E146" i="52" s="1"/>
  <c r="Y146" i="52" s="1"/>
  <c r="I146" i="52" s="1"/>
  <c r="R146" i="52" s="1"/>
  <c r="AC345" i="52"/>
  <c r="BM274" i="52"/>
  <c r="AF272" i="52"/>
  <c r="AF192" i="52"/>
  <c r="BN198" i="52"/>
  <c r="AC199" i="52"/>
  <c r="AD199" i="52" s="1"/>
  <c r="B199" i="52" s="1"/>
  <c r="E613" i="52"/>
  <c r="K611" i="52"/>
  <c r="AF193" i="52"/>
  <c r="BN342" i="52"/>
  <c r="AA345" i="52"/>
  <c r="V146" i="54"/>
  <c r="BN342" i="54"/>
  <c r="AA345" i="54"/>
  <c r="I613" i="54"/>
  <c r="R613" i="54" s="1"/>
  <c r="U33" i="41" l="1"/>
  <c r="V33" i="41" s="1"/>
  <c r="AV60" i="44"/>
  <c r="AW60" i="44" s="1"/>
  <c r="AV61" i="44" s="1"/>
  <c r="AW61" i="44" s="1"/>
  <c r="AV62" i="44" s="1"/>
  <c r="AW62" i="44" s="1"/>
  <c r="AV63" i="44" s="1"/>
  <c r="AW63" i="44" s="1"/>
  <c r="AV64" i="44" s="1"/>
  <c r="AW64" i="44" s="1"/>
  <c r="AV65" i="44" s="1"/>
  <c r="AW65" i="44" s="1"/>
  <c r="Z67" i="44" s="1"/>
  <c r="AQ70" i="44" s="1"/>
  <c r="AP64" i="44"/>
  <c r="W341" i="48"/>
  <c r="T94" i="34"/>
  <c r="T92" i="34"/>
  <c r="T96" i="34"/>
  <c r="T91" i="34"/>
  <c r="T97" i="34"/>
  <c r="T95" i="34"/>
  <c r="T98" i="34"/>
  <c r="T93" i="34"/>
  <c r="S172" i="37"/>
  <c r="T172" i="37" s="1"/>
  <c r="P170" i="37" s="1"/>
  <c r="C38" i="39" s="1"/>
  <c r="S38" i="39" s="1"/>
  <c r="U34" i="41"/>
  <c r="V34" i="41" s="1"/>
  <c r="U35" i="41" s="1"/>
  <c r="V35" i="41" s="1"/>
  <c r="P32" i="41" s="1"/>
  <c r="C37" i="39" s="1"/>
  <c r="S37" i="39" s="1"/>
  <c r="T34" i="27"/>
  <c r="T36" i="27"/>
  <c r="T35" i="27"/>
  <c r="T33" i="27"/>
  <c r="Y352" i="48"/>
  <c r="J352" i="48" s="1"/>
  <c r="S352" i="48" s="1"/>
  <c r="P179" i="48"/>
  <c r="L157" i="48"/>
  <c r="L117" i="48"/>
  <c r="L77" i="48"/>
  <c r="L37" i="48"/>
  <c r="P139" i="50"/>
  <c r="R543" i="52"/>
  <c r="E367" i="52"/>
  <c r="V367" i="52" s="1"/>
  <c r="E292" i="52"/>
  <c r="V292" i="52" s="1"/>
  <c r="E140" i="52"/>
  <c r="Y140" i="52" s="1"/>
  <c r="I140" i="52" s="1"/>
  <c r="R140" i="52" s="1"/>
  <c r="AC275" i="52"/>
  <c r="Y217" i="52"/>
  <c r="I217" i="52" s="1"/>
  <c r="R217" i="52" s="1"/>
  <c r="K225" i="52"/>
  <c r="V66" i="52"/>
  <c r="Y66" i="52"/>
  <c r="I66" i="52" s="1"/>
  <c r="R66" i="52" s="1"/>
  <c r="BT116" i="54"/>
  <c r="BV116" i="54"/>
  <c r="AC350" i="54"/>
  <c r="AD350" i="54" s="1"/>
  <c r="B350" i="54" s="1"/>
  <c r="BU116" i="54"/>
  <c r="Y292" i="54"/>
  <c r="I292" i="54" s="1"/>
  <c r="R292" i="54" s="1"/>
  <c r="P316" i="54"/>
  <c r="E367" i="54" s="1"/>
  <c r="K300" i="54"/>
  <c r="AP66" i="44"/>
  <c r="AP61" i="44"/>
  <c r="AP60" i="44"/>
  <c r="AP63" i="44"/>
  <c r="AP62" i="44"/>
  <c r="AY62" i="44"/>
  <c r="W452" i="48"/>
  <c r="W456" i="48" s="1"/>
  <c r="L465" i="48" s="1"/>
  <c r="Y469" i="48"/>
  <c r="J469" i="48" s="1"/>
  <c r="S469" i="48" s="1"/>
  <c r="BY116" i="54"/>
  <c r="BN343" i="54"/>
  <c r="AB345" i="54"/>
  <c r="AD345" i="54" s="1"/>
  <c r="B345" i="54" s="1"/>
  <c r="BQ116" i="54"/>
  <c r="BR116" i="54"/>
  <c r="BS116" i="54"/>
  <c r="BX116" i="54"/>
  <c r="BW116" i="54"/>
  <c r="AB118" i="54"/>
  <c r="AD118" i="54" s="1"/>
  <c r="B118" i="54" s="1"/>
  <c r="BR348" i="54"/>
  <c r="BX348" i="54"/>
  <c r="BW348" i="54"/>
  <c r="CA348" i="54"/>
  <c r="BU348" i="54"/>
  <c r="BP348" i="54"/>
  <c r="BY348" i="54"/>
  <c r="BT348" i="54"/>
  <c r="BQ348" i="54"/>
  <c r="BZ348" i="54"/>
  <c r="BV348" i="54"/>
  <c r="BS348" i="54"/>
  <c r="CA116" i="54"/>
  <c r="BZ116" i="54"/>
  <c r="BP116" i="54"/>
  <c r="AV40" i="54"/>
  <c r="AW40" i="54" s="1"/>
  <c r="AX40" i="54" s="1"/>
  <c r="AY40" i="54" s="1"/>
  <c r="AZ40" i="54" s="1"/>
  <c r="BA40" i="54" s="1"/>
  <c r="BB40" i="54" s="1"/>
  <c r="P41" i="54" s="1"/>
  <c r="E68" i="54" s="1"/>
  <c r="E35" i="50"/>
  <c r="W35" i="50" s="1"/>
  <c r="J35" i="50" s="1"/>
  <c r="S35" i="50" s="1"/>
  <c r="R270" i="48"/>
  <c r="E194" i="48"/>
  <c r="W194" i="48" s="1"/>
  <c r="J194" i="48" s="1"/>
  <c r="S194" i="48" s="1"/>
  <c r="E154" i="50"/>
  <c r="U625" i="52"/>
  <c r="V613" i="52"/>
  <c r="U624" i="52"/>
  <c r="V559" i="52"/>
  <c r="I559" i="52" s="1"/>
  <c r="R559" i="52" s="1"/>
  <c r="E217" i="54"/>
  <c r="Y217" i="54" s="1"/>
  <c r="I217" i="54" s="1"/>
  <c r="K148" i="54"/>
  <c r="V217" i="52"/>
  <c r="K73" i="54"/>
  <c r="C45" i="60"/>
  <c r="C35" i="39"/>
  <c r="S35" i="39" s="1"/>
  <c r="C48" i="60"/>
  <c r="E365" i="48"/>
  <c r="Y365" i="48" s="1"/>
  <c r="W347" i="48"/>
  <c r="L361" i="48" s="1"/>
  <c r="T75" i="48"/>
  <c r="T76" i="48"/>
  <c r="T77" i="48"/>
  <c r="T74" i="48"/>
  <c r="T80" i="48"/>
  <c r="T78" i="48"/>
  <c r="T73" i="48"/>
  <c r="T79" i="48"/>
  <c r="T40" i="48"/>
  <c r="T35" i="48"/>
  <c r="T39" i="48"/>
  <c r="T37" i="48"/>
  <c r="T38" i="48"/>
  <c r="T36" i="48"/>
  <c r="T34" i="48"/>
  <c r="AC280" i="50"/>
  <c r="AD280" i="50" s="1"/>
  <c r="AC281" i="50" s="1"/>
  <c r="AD281" i="50" s="1"/>
  <c r="AC282" i="50" s="1"/>
  <c r="AD282" i="50" s="1"/>
  <c r="P336" i="50" s="1"/>
  <c r="AD118" i="52"/>
  <c r="B118" i="52" s="1"/>
  <c r="AH280" i="50"/>
  <c r="AI280" i="50" s="1"/>
  <c r="AH281" i="50" s="1"/>
  <c r="AI281" i="50" s="1"/>
  <c r="AH282" i="50" s="1"/>
  <c r="AI282" i="50" s="1"/>
  <c r="AH283" i="50" s="1"/>
  <c r="AI283" i="50" s="1"/>
  <c r="AH284" i="50" s="1"/>
  <c r="AI284" i="50" s="1"/>
  <c r="AH285" i="50" s="1"/>
  <c r="AI285" i="50" s="1"/>
  <c r="AH286" i="50" s="1"/>
  <c r="AI286" i="50" s="1"/>
  <c r="AH287" i="50" s="1"/>
  <c r="AI287" i="50" s="1"/>
  <c r="AH288" i="50" s="1"/>
  <c r="AI288" i="50" s="1"/>
  <c r="AH289" i="50" s="1"/>
  <c r="AI289" i="50" s="1"/>
  <c r="AH290" i="50" s="1"/>
  <c r="AI290" i="50" s="1"/>
  <c r="AH291" i="50" s="1"/>
  <c r="AI291" i="50" s="1"/>
  <c r="P337" i="50" s="1"/>
  <c r="BP116" i="52"/>
  <c r="BP117" i="52" s="1"/>
  <c r="CA116" i="52"/>
  <c r="BY116" i="52"/>
  <c r="BW116" i="52"/>
  <c r="BU116" i="52"/>
  <c r="BN348" i="52"/>
  <c r="AB350" i="52"/>
  <c r="BZ116" i="52"/>
  <c r="BR116" i="52"/>
  <c r="BX116" i="52"/>
  <c r="BS116" i="52"/>
  <c r="BN347" i="52"/>
  <c r="AA350" i="52"/>
  <c r="AD345" i="52"/>
  <c r="B345" i="52" s="1"/>
  <c r="BN267" i="52"/>
  <c r="AA270" i="52"/>
  <c r="AD270" i="52" s="1"/>
  <c r="B270" i="52" s="1"/>
  <c r="BV116" i="52"/>
  <c r="BP274" i="54"/>
  <c r="BQ274" i="54" s="1"/>
  <c r="BR274" i="54" s="1"/>
  <c r="BS274" i="54" s="1"/>
  <c r="BT274" i="54" s="1"/>
  <c r="BU274" i="54" s="1"/>
  <c r="BV274" i="54" s="1"/>
  <c r="BW274" i="54" s="1"/>
  <c r="BX274" i="54" s="1"/>
  <c r="BY274" i="54" s="1"/>
  <c r="BZ274" i="54" s="1"/>
  <c r="P275" i="54" s="1"/>
  <c r="E298" i="54" s="1"/>
  <c r="V67" i="54"/>
  <c r="BU192" i="54"/>
  <c r="BY192" i="54"/>
  <c r="BR192" i="54"/>
  <c r="BV192" i="54"/>
  <c r="BQ192" i="54"/>
  <c r="BX192" i="54"/>
  <c r="BT192" i="54"/>
  <c r="BW192" i="54"/>
  <c r="CA192" i="54"/>
  <c r="BZ192" i="54"/>
  <c r="BS192" i="54"/>
  <c r="BP192" i="54"/>
  <c r="BN268" i="54"/>
  <c r="AB270" i="54"/>
  <c r="AD270" i="54" s="1"/>
  <c r="B270" i="54" s="1"/>
  <c r="BQ198" i="54"/>
  <c r="BR198" i="54" s="1"/>
  <c r="BS198" i="54" s="1"/>
  <c r="BT198" i="54" s="1"/>
  <c r="BU198" i="54" s="1"/>
  <c r="BV198" i="54" s="1"/>
  <c r="BW198" i="54" s="1"/>
  <c r="BX198" i="54" s="1"/>
  <c r="BY198" i="54" s="1"/>
  <c r="BZ198" i="54" s="1"/>
  <c r="P199" i="54" s="1"/>
  <c r="E223" i="54" s="1"/>
  <c r="AB194" i="54"/>
  <c r="AD194" i="54" s="1"/>
  <c r="B194" i="54" s="1"/>
  <c r="V146" i="52"/>
  <c r="BN272" i="52"/>
  <c r="AA275" i="52"/>
  <c r="V68" i="52"/>
  <c r="S522" i="52"/>
  <c r="BN273" i="52"/>
  <c r="AB275" i="52"/>
  <c r="I613" i="52"/>
  <c r="R613" i="52" s="1"/>
  <c r="BW343" i="52"/>
  <c r="BU343" i="52"/>
  <c r="BR343" i="52"/>
  <c r="BZ343" i="52"/>
  <c r="BS343" i="52"/>
  <c r="BX343" i="52"/>
  <c r="BP343" i="52"/>
  <c r="BT343" i="52"/>
  <c r="BQ343" i="52"/>
  <c r="BV343" i="52"/>
  <c r="CA343" i="52"/>
  <c r="BY343" i="52"/>
  <c r="BN193" i="52"/>
  <c r="AC194" i="52"/>
  <c r="BN192" i="52"/>
  <c r="AB194" i="52"/>
  <c r="BT197" i="52"/>
  <c r="CA197" i="52"/>
  <c r="BX197" i="52"/>
  <c r="BQ197" i="52"/>
  <c r="BU197" i="52"/>
  <c r="BR197" i="52"/>
  <c r="BV197" i="52"/>
  <c r="BW197" i="52"/>
  <c r="BS197" i="52"/>
  <c r="BP197" i="52"/>
  <c r="BY197" i="52"/>
  <c r="BZ197" i="52"/>
  <c r="V292" i="54"/>
  <c r="CA343" i="54"/>
  <c r="BX343" i="54"/>
  <c r="BW343" i="54"/>
  <c r="BR343" i="54"/>
  <c r="BV343" i="54"/>
  <c r="BS343" i="54"/>
  <c r="BP343" i="54"/>
  <c r="BQ343" i="54"/>
  <c r="BT343" i="54"/>
  <c r="BZ343" i="54"/>
  <c r="BU343" i="54"/>
  <c r="BY343" i="54"/>
  <c r="U33" i="27" l="1"/>
  <c r="V33" i="27" s="1"/>
  <c r="U34" i="27" s="1"/>
  <c r="V34" i="27" s="1"/>
  <c r="U35" i="27" s="1"/>
  <c r="V35" i="27" s="1"/>
  <c r="P32" i="27" s="1"/>
  <c r="C36" i="39" s="1"/>
  <c r="S36" i="39" s="1"/>
  <c r="U91" i="34"/>
  <c r="V91" i="34" s="1"/>
  <c r="U92" i="34" s="1"/>
  <c r="V92" i="34" s="1"/>
  <c r="U93" i="34" s="1"/>
  <c r="V93" i="34" s="1"/>
  <c r="U94" i="34" s="1"/>
  <c r="V94" i="34" s="1"/>
  <c r="U95" i="34" s="1"/>
  <c r="V95" i="34" s="1"/>
  <c r="U96" i="34" s="1"/>
  <c r="V96" i="34" s="1"/>
  <c r="U97" i="34" s="1"/>
  <c r="V97" i="34" s="1"/>
  <c r="P90" i="34" s="1"/>
  <c r="Y367" i="52"/>
  <c r="I367" i="52" s="1"/>
  <c r="R367" i="52" s="1"/>
  <c r="Y292" i="52"/>
  <c r="I292" i="52" s="1"/>
  <c r="R292" i="52" s="1"/>
  <c r="L197" i="48"/>
  <c r="W154" i="50"/>
  <c r="J154" i="50" s="1"/>
  <c r="S154" i="50" s="1"/>
  <c r="T156" i="50" s="1"/>
  <c r="L157" i="50"/>
  <c r="V140" i="52"/>
  <c r="U626" i="52"/>
  <c r="BP193" i="54"/>
  <c r="BQ193" i="54" s="1"/>
  <c r="BR193" i="54" s="1"/>
  <c r="BP117" i="54"/>
  <c r="BQ117" i="54" s="1"/>
  <c r="BR117" i="54" s="1"/>
  <c r="BS117" i="54" s="1"/>
  <c r="BT117" i="54" s="1"/>
  <c r="BU117" i="54" s="1"/>
  <c r="BV117" i="54" s="1"/>
  <c r="BW117" i="54" s="1"/>
  <c r="BX117" i="54" s="1"/>
  <c r="BY117" i="54" s="1"/>
  <c r="BZ117" i="54" s="1"/>
  <c r="P118" i="54" s="1"/>
  <c r="E145" i="54" s="1"/>
  <c r="Y223" i="54"/>
  <c r="I223" i="54" s="1"/>
  <c r="R223" i="54" s="1"/>
  <c r="Y298" i="54"/>
  <c r="I298" i="54" s="1"/>
  <c r="R298" i="54" s="1"/>
  <c r="Y367" i="54"/>
  <c r="I367" i="54" s="1"/>
  <c r="R367" i="54" s="1"/>
  <c r="K375" i="54"/>
  <c r="V217" i="54"/>
  <c r="R217" i="54"/>
  <c r="AQ60" i="44"/>
  <c r="AR60" i="44" s="1"/>
  <c r="AQ61" i="44" s="1"/>
  <c r="AR61" i="44" s="1"/>
  <c r="AQ62" i="44" s="1"/>
  <c r="AR62" i="44" s="1"/>
  <c r="AQ63" i="44" s="1"/>
  <c r="AR63" i="44" s="1"/>
  <c r="AQ64" i="44" s="1"/>
  <c r="AR64" i="44" s="1"/>
  <c r="AQ65" i="44" s="1"/>
  <c r="AR65" i="44" s="1"/>
  <c r="I67" i="44" s="1"/>
  <c r="AP70" i="44" s="1"/>
  <c r="I71" i="44" s="1"/>
  <c r="Q71" i="44" s="1"/>
  <c r="I72" i="44"/>
  <c r="Q72" i="44" s="1"/>
  <c r="Y90" i="44"/>
  <c r="M86" i="44"/>
  <c r="S89" i="44"/>
  <c r="AE89" i="44" s="1"/>
  <c r="S90" i="44" s="1"/>
  <c r="AE90" i="44" s="1"/>
  <c r="S91" i="44" s="1"/>
  <c r="AE91" i="44" s="1"/>
  <c r="M94" i="44" s="1"/>
  <c r="V94" i="44" s="1"/>
  <c r="AE94" i="44" s="1"/>
  <c r="V367" i="54"/>
  <c r="BS193" i="54"/>
  <c r="BT193" i="54" s="1"/>
  <c r="BU193" i="54" s="1"/>
  <c r="BV193" i="54" s="1"/>
  <c r="BW193" i="54" s="1"/>
  <c r="BX193" i="54" s="1"/>
  <c r="BY193" i="54" s="1"/>
  <c r="BZ193" i="54" s="1"/>
  <c r="P194" i="54" s="1"/>
  <c r="E222" i="54" s="1"/>
  <c r="Y68" i="54"/>
  <c r="I68" i="54" s="1"/>
  <c r="R68" i="54" s="1"/>
  <c r="V68" i="54"/>
  <c r="BP349" i="54"/>
  <c r="BQ349" i="54" s="1"/>
  <c r="BR349" i="54" s="1"/>
  <c r="BS349" i="54" s="1"/>
  <c r="BT349" i="54" s="1"/>
  <c r="BU349" i="54" s="1"/>
  <c r="BV349" i="54" s="1"/>
  <c r="BW349" i="54" s="1"/>
  <c r="BX349" i="54" s="1"/>
  <c r="BY349" i="54" s="1"/>
  <c r="BZ349" i="54" s="1"/>
  <c r="P350" i="54" s="1"/>
  <c r="E373" i="54" s="1"/>
  <c r="Y373" i="54" s="1"/>
  <c r="L37" i="50"/>
  <c r="J365" i="48"/>
  <c r="S365" i="48" s="1"/>
  <c r="E140" i="54"/>
  <c r="E66" i="54"/>
  <c r="C47" i="60"/>
  <c r="C46" i="60"/>
  <c r="R269" i="48"/>
  <c r="U34" i="48"/>
  <c r="V34" i="48" s="1"/>
  <c r="U35" i="48" s="1"/>
  <c r="V35" i="48" s="1"/>
  <c r="U36" i="48" s="1"/>
  <c r="V36" i="48" s="1"/>
  <c r="U37" i="48" s="1"/>
  <c r="V37" i="48" s="1"/>
  <c r="U38" i="48" s="1"/>
  <c r="V38" i="48" s="1"/>
  <c r="U39" i="48" s="1"/>
  <c r="V39" i="48" s="1"/>
  <c r="T196" i="48"/>
  <c r="T197" i="48"/>
  <c r="T199" i="48"/>
  <c r="T195" i="48"/>
  <c r="T198" i="48"/>
  <c r="T194" i="48"/>
  <c r="T200" i="48"/>
  <c r="T193" i="48"/>
  <c r="T158" i="48"/>
  <c r="T154" i="48"/>
  <c r="T157" i="48"/>
  <c r="T156" i="48"/>
  <c r="T155" i="48"/>
  <c r="T159" i="48"/>
  <c r="T153" i="48"/>
  <c r="T160" i="48"/>
  <c r="T116" i="48"/>
  <c r="T114" i="48"/>
  <c r="T113" i="48"/>
  <c r="T118" i="48"/>
  <c r="T120" i="48"/>
  <c r="T119" i="48"/>
  <c r="T115" i="48"/>
  <c r="T117" i="48"/>
  <c r="U73" i="48"/>
  <c r="V73" i="48" s="1"/>
  <c r="U74" i="48" s="1"/>
  <c r="V74" i="48" s="1"/>
  <c r="U75" i="48" s="1"/>
  <c r="V75" i="48" s="1"/>
  <c r="U76" i="48" s="1"/>
  <c r="V76" i="48" s="1"/>
  <c r="U77" i="48" s="1"/>
  <c r="V77" i="48" s="1"/>
  <c r="U78" i="48" s="1"/>
  <c r="V78" i="48" s="1"/>
  <c r="U79" i="48" s="1"/>
  <c r="V79" i="48" s="1"/>
  <c r="AD194" i="52"/>
  <c r="B194" i="52" s="1"/>
  <c r="W343" i="50"/>
  <c r="E365" i="50"/>
  <c r="Y365" i="50" s="1"/>
  <c r="W452" i="50"/>
  <c r="W456" i="50" s="1"/>
  <c r="L465" i="50" s="1"/>
  <c r="E469" i="50"/>
  <c r="Y469" i="50" s="1"/>
  <c r="T113" i="50"/>
  <c r="T118" i="50"/>
  <c r="T120" i="50"/>
  <c r="T115" i="50"/>
  <c r="T119" i="50"/>
  <c r="T117" i="50"/>
  <c r="T114" i="50"/>
  <c r="T116" i="50"/>
  <c r="T39" i="50"/>
  <c r="T37" i="50"/>
  <c r="T34" i="50"/>
  <c r="T36" i="50"/>
  <c r="T35" i="50"/>
  <c r="T38" i="50"/>
  <c r="T40" i="50"/>
  <c r="T193" i="50"/>
  <c r="T200" i="50"/>
  <c r="T195" i="50"/>
  <c r="T196" i="50"/>
  <c r="T197" i="50"/>
  <c r="T194" i="50"/>
  <c r="T199" i="50"/>
  <c r="T198" i="50"/>
  <c r="AD350" i="52"/>
  <c r="B350" i="52" s="1"/>
  <c r="BX348" i="52"/>
  <c r="BY348" i="52"/>
  <c r="BZ348" i="52"/>
  <c r="BW348" i="52"/>
  <c r="BV348" i="52"/>
  <c r="BS348" i="52"/>
  <c r="BU348" i="52"/>
  <c r="BT348" i="52"/>
  <c r="CA348" i="52"/>
  <c r="BR348" i="52"/>
  <c r="BQ348" i="52"/>
  <c r="BP348" i="52"/>
  <c r="BP349" i="52" s="1"/>
  <c r="BQ349" i="52" s="1"/>
  <c r="BP268" i="52"/>
  <c r="CA268" i="52"/>
  <c r="BW268" i="52"/>
  <c r="BT268" i="52"/>
  <c r="BS268" i="52"/>
  <c r="BY268" i="52"/>
  <c r="BZ268" i="52"/>
  <c r="BU268" i="52"/>
  <c r="BR268" i="52"/>
  <c r="BV268" i="52"/>
  <c r="BQ268" i="52"/>
  <c r="BX268" i="52"/>
  <c r="BQ117" i="52"/>
  <c r="BR117" i="52" s="1"/>
  <c r="BS117" i="52" s="1"/>
  <c r="BT117" i="52" s="1"/>
  <c r="BU117" i="52" s="1"/>
  <c r="BV117" i="52" s="1"/>
  <c r="BW117" i="52" s="1"/>
  <c r="BX117" i="52" s="1"/>
  <c r="BY117" i="52" s="1"/>
  <c r="BZ117" i="52" s="1"/>
  <c r="P118" i="52" s="1"/>
  <c r="E145" i="52" s="1"/>
  <c r="Y145" i="52" s="1"/>
  <c r="I145" i="52" s="1"/>
  <c r="R145" i="52" s="1"/>
  <c r="CA268" i="54"/>
  <c r="BV268" i="54"/>
  <c r="BY268" i="54"/>
  <c r="BZ268" i="54"/>
  <c r="BQ268" i="54"/>
  <c r="BP268" i="54"/>
  <c r="BR268" i="54"/>
  <c r="BU268" i="54"/>
  <c r="BT268" i="54"/>
  <c r="BW268" i="54"/>
  <c r="BS268" i="54"/>
  <c r="BX268" i="54"/>
  <c r="V145" i="54"/>
  <c r="V223" i="54"/>
  <c r="V298" i="54"/>
  <c r="I68" i="52"/>
  <c r="R68" i="52" s="1"/>
  <c r="BZ192" i="52"/>
  <c r="BV192" i="52"/>
  <c r="BT192" i="52"/>
  <c r="CA192" i="52"/>
  <c r="BP192" i="52"/>
  <c r="BQ192" i="52"/>
  <c r="BY192" i="52"/>
  <c r="BW192" i="52"/>
  <c r="BX192" i="52"/>
  <c r="BS192" i="52"/>
  <c r="BU192" i="52"/>
  <c r="BR192" i="52"/>
  <c r="BP344" i="52"/>
  <c r="BQ344" i="52" s="1"/>
  <c r="BR344" i="52" s="1"/>
  <c r="BS344" i="52" s="1"/>
  <c r="BT344" i="52" s="1"/>
  <c r="BU344" i="52" s="1"/>
  <c r="BV344" i="52" s="1"/>
  <c r="BW344" i="52" s="1"/>
  <c r="BX344" i="52" s="1"/>
  <c r="BY344" i="52" s="1"/>
  <c r="BZ344" i="52" s="1"/>
  <c r="P345" i="52" s="1"/>
  <c r="E372" i="52" s="1"/>
  <c r="Y372" i="52" s="1"/>
  <c r="W61" i="52"/>
  <c r="W62" i="52"/>
  <c r="AD275" i="52"/>
  <c r="B275" i="52" s="1"/>
  <c r="BP273" i="52"/>
  <c r="BR273" i="52"/>
  <c r="BS273" i="52"/>
  <c r="BV273" i="52"/>
  <c r="BZ273" i="52"/>
  <c r="BU273" i="52"/>
  <c r="CA273" i="52"/>
  <c r="BW273" i="52"/>
  <c r="BT273" i="52"/>
  <c r="BY273" i="52"/>
  <c r="BX273" i="52"/>
  <c r="BQ273" i="52"/>
  <c r="BP198" i="52"/>
  <c r="BQ198" i="52" s="1"/>
  <c r="BR198" i="52" s="1"/>
  <c r="BS198" i="52" s="1"/>
  <c r="BT198" i="52" s="1"/>
  <c r="BU198" i="52" s="1"/>
  <c r="BV198" i="52" s="1"/>
  <c r="BW198" i="52" s="1"/>
  <c r="BX198" i="52" s="1"/>
  <c r="BY198" i="52" s="1"/>
  <c r="BZ198" i="52" s="1"/>
  <c r="P199" i="52" s="1"/>
  <c r="E223" i="52" s="1"/>
  <c r="Y223" i="52" s="1"/>
  <c r="BP344" i="54"/>
  <c r="BQ344" i="54" s="1"/>
  <c r="BR344" i="54" s="1"/>
  <c r="BS344" i="54" s="1"/>
  <c r="BT344" i="54" s="1"/>
  <c r="BU344" i="54" s="1"/>
  <c r="BV344" i="54" s="1"/>
  <c r="BW344" i="54" s="1"/>
  <c r="BX344" i="54" s="1"/>
  <c r="BY344" i="54" s="1"/>
  <c r="BZ344" i="54" s="1"/>
  <c r="P345" i="54" s="1"/>
  <c r="E372" i="54" s="1"/>
  <c r="C44" i="60" l="1"/>
  <c r="C34" i="39"/>
  <c r="S34" i="39" s="1"/>
  <c r="T155" i="50"/>
  <c r="T158" i="50"/>
  <c r="T159" i="50"/>
  <c r="T153" i="50"/>
  <c r="T50" i="60"/>
  <c r="T154" i="50"/>
  <c r="U153" i="50" s="1"/>
  <c r="V153" i="50" s="1"/>
  <c r="U154" i="50" s="1"/>
  <c r="V154" i="50" s="1"/>
  <c r="U155" i="50" s="1"/>
  <c r="V155" i="50" s="1"/>
  <c r="T160" i="50"/>
  <c r="T157" i="50"/>
  <c r="Y222" i="54"/>
  <c r="I222" i="54" s="1"/>
  <c r="R222" i="54" s="1"/>
  <c r="Y145" i="54"/>
  <c r="I145" i="54" s="1"/>
  <c r="R145" i="54" s="1"/>
  <c r="Y372" i="54"/>
  <c r="I372" i="54" s="1"/>
  <c r="R372" i="54" s="1"/>
  <c r="Y140" i="54"/>
  <c r="I140" i="54" s="1"/>
  <c r="R140" i="54" s="1"/>
  <c r="V66" i="54"/>
  <c r="W62" i="54" s="1"/>
  <c r="Y66" i="54"/>
  <c r="I66" i="54" s="1"/>
  <c r="R66" i="54" s="1"/>
  <c r="S61" i="54" s="1"/>
  <c r="AL71" i="44"/>
  <c r="AM71" i="44" s="1"/>
  <c r="AE86" i="44"/>
  <c r="AE87" i="44" s="1"/>
  <c r="AE95" i="44" s="1"/>
  <c r="B95" i="44" s="1"/>
  <c r="AL95" i="44" s="1"/>
  <c r="T37" i="60" s="1"/>
  <c r="C38" i="60"/>
  <c r="V86" i="44"/>
  <c r="T53" i="60"/>
  <c r="T44" i="60"/>
  <c r="T60" i="60"/>
  <c r="T57" i="60"/>
  <c r="T47" i="60"/>
  <c r="T46" i="60"/>
  <c r="T58" i="60"/>
  <c r="T56" i="60"/>
  <c r="T49" i="60"/>
  <c r="T51" i="60"/>
  <c r="T54" i="60"/>
  <c r="T62" i="60"/>
  <c r="T55" i="60"/>
  <c r="T45" i="60"/>
  <c r="T59" i="60"/>
  <c r="T61" i="60"/>
  <c r="T52" i="60"/>
  <c r="T48" i="60"/>
  <c r="V373" i="54"/>
  <c r="V140" i="54"/>
  <c r="W138" i="54" s="1"/>
  <c r="S75" i="44"/>
  <c r="AL72" i="44"/>
  <c r="AM72" i="44" s="1"/>
  <c r="B73" i="44"/>
  <c r="U193" i="48"/>
  <c r="V193" i="48" s="1"/>
  <c r="U194" i="48" s="1"/>
  <c r="V194" i="48" s="1"/>
  <c r="U195" i="48" s="1"/>
  <c r="V195" i="48" s="1"/>
  <c r="U196" i="48" s="1"/>
  <c r="V196" i="48" s="1"/>
  <c r="U197" i="48" s="1"/>
  <c r="V197" i="48" s="1"/>
  <c r="U198" i="48" s="1"/>
  <c r="V198" i="48" s="1"/>
  <c r="U199" i="48" s="1"/>
  <c r="V199" i="48" s="1"/>
  <c r="U153" i="48"/>
  <c r="V153" i="48" s="1"/>
  <c r="U154" i="48" s="1"/>
  <c r="V154" i="48" s="1"/>
  <c r="U155" i="48" s="1"/>
  <c r="V155" i="48" s="1"/>
  <c r="U156" i="48" s="1"/>
  <c r="V156" i="48" s="1"/>
  <c r="U157" i="48" s="1"/>
  <c r="V157" i="48" s="1"/>
  <c r="U158" i="48" s="1"/>
  <c r="V158" i="48" s="1"/>
  <c r="U159" i="48" s="1"/>
  <c r="V159" i="48" s="1"/>
  <c r="U113" i="48"/>
  <c r="V113" i="48" s="1"/>
  <c r="U114" i="48" s="1"/>
  <c r="V114" i="48" s="1"/>
  <c r="U115" i="48" s="1"/>
  <c r="V115" i="48" s="1"/>
  <c r="U116" i="48" s="1"/>
  <c r="V116" i="48" s="1"/>
  <c r="U117" i="48" s="1"/>
  <c r="V117" i="48" s="1"/>
  <c r="U118" i="48" s="1"/>
  <c r="V118" i="48" s="1"/>
  <c r="U119" i="48" s="1"/>
  <c r="V119" i="48" s="1"/>
  <c r="P72" i="48"/>
  <c r="C270" i="48" s="1"/>
  <c r="AR49" i="51" s="1"/>
  <c r="AS49" i="51" s="1"/>
  <c r="AT49" i="51" s="1"/>
  <c r="L270" i="48" s="1"/>
  <c r="R270" i="50"/>
  <c r="J365" i="50"/>
  <c r="S365" i="50" s="1"/>
  <c r="U193" i="50"/>
  <c r="V193" i="50" s="1"/>
  <c r="U194" i="50" s="1"/>
  <c r="V194" i="50" s="1"/>
  <c r="U195" i="50" s="1"/>
  <c r="V195" i="50" s="1"/>
  <c r="U196" i="50" s="1"/>
  <c r="V196" i="50" s="1"/>
  <c r="U197" i="50" s="1"/>
  <c r="V197" i="50" s="1"/>
  <c r="U198" i="50" s="1"/>
  <c r="V198" i="50" s="1"/>
  <c r="U199" i="50" s="1"/>
  <c r="V199" i="50" s="1"/>
  <c r="U34" i="50"/>
  <c r="V34" i="50" s="1"/>
  <c r="U35" i="50" s="1"/>
  <c r="V35" i="50" s="1"/>
  <c r="U36" i="50" s="1"/>
  <c r="V36" i="50" s="1"/>
  <c r="U37" i="50" s="1"/>
  <c r="V37" i="50" s="1"/>
  <c r="U38" i="50" s="1"/>
  <c r="V38" i="50" s="1"/>
  <c r="U39" i="50" s="1"/>
  <c r="V39" i="50" s="1"/>
  <c r="P33" i="50" s="1"/>
  <c r="U113" i="50"/>
  <c r="V113" i="50" s="1"/>
  <c r="U114" i="50" s="1"/>
  <c r="V114" i="50" s="1"/>
  <c r="U115" i="50" s="1"/>
  <c r="V115" i="50" s="1"/>
  <c r="U116" i="50" s="1"/>
  <c r="V116" i="50" s="1"/>
  <c r="U117" i="50" s="1"/>
  <c r="V117" i="50" s="1"/>
  <c r="U118" i="50" s="1"/>
  <c r="V118" i="50" s="1"/>
  <c r="U119" i="50" s="1"/>
  <c r="V119" i="50" s="1"/>
  <c r="BP193" i="52"/>
  <c r="BQ193" i="52" s="1"/>
  <c r="BR193" i="52" s="1"/>
  <c r="BS193" i="52" s="1"/>
  <c r="BT193" i="52" s="1"/>
  <c r="BU193" i="52" s="1"/>
  <c r="BV193" i="52" s="1"/>
  <c r="BW193" i="52" s="1"/>
  <c r="BX193" i="52" s="1"/>
  <c r="BY193" i="52" s="1"/>
  <c r="BZ193" i="52" s="1"/>
  <c r="P194" i="52" s="1"/>
  <c r="E222" i="52" s="1"/>
  <c r="Y222" i="52" s="1"/>
  <c r="BP269" i="52"/>
  <c r="BQ269" i="52" s="1"/>
  <c r="BR269" i="52" s="1"/>
  <c r="BS269" i="52" s="1"/>
  <c r="BT269" i="52" s="1"/>
  <c r="BU269" i="52" s="1"/>
  <c r="BV269" i="52" s="1"/>
  <c r="BW269" i="52" s="1"/>
  <c r="BX269" i="52" s="1"/>
  <c r="BY269" i="52" s="1"/>
  <c r="BZ269" i="52" s="1"/>
  <c r="P270" i="52" s="1"/>
  <c r="E297" i="52" s="1"/>
  <c r="Y297" i="52" s="1"/>
  <c r="BR349" i="52"/>
  <c r="BS349" i="52" s="1"/>
  <c r="BT349" i="52" s="1"/>
  <c r="BU349" i="52" s="1"/>
  <c r="BV349" i="52" s="1"/>
  <c r="BW349" i="52" s="1"/>
  <c r="BX349" i="52" s="1"/>
  <c r="BY349" i="52" s="1"/>
  <c r="BZ349" i="52" s="1"/>
  <c r="P350" i="52" s="1"/>
  <c r="E373" i="52" s="1"/>
  <c r="Y373" i="52" s="1"/>
  <c r="V145" i="52"/>
  <c r="BP269" i="54"/>
  <c r="BQ269" i="54" s="1"/>
  <c r="BR269" i="54" s="1"/>
  <c r="BS269" i="54" s="1"/>
  <c r="BT269" i="54" s="1"/>
  <c r="BU269" i="54" s="1"/>
  <c r="BV269" i="54" s="1"/>
  <c r="BW269" i="54" s="1"/>
  <c r="BX269" i="54" s="1"/>
  <c r="BY269" i="54" s="1"/>
  <c r="BZ269" i="54" s="1"/>
  <c r="P270" i="54" s="1"/>
  <c r="E297" i="54" s="1"/>
  <c r="V222" i="54"/>
  <c r="X61" i="52"/>
  <c r="R522" i="52" s="1"/>
  <c r="V223" i="52"/>
  <c r="I223" i="52"/>
  <c r="R223" i="52" s="1"/>
  <c r="V372" i="52"/>
  <c r="S72" i="52"/>
  <c r="S73" i="52"/>
  <c r="S74" i="52"/>
  <c r="S64" i="52"/>
  <c r="S61" i="52"/>
  <c r="S66" i="52"/>
  <c r="S75" i="52"/>
  <c r="S67" i="52"/>
  <c r="S76" i="52"/>
  <c r="S68" i="52"/>
  <c r="S70" i="52"/>
  <c r="S77" i="52"/>
  <c r="S63" i="52"/>
  <c r="S62" i="52"/>
  <c r="S71" i="52"/>
  <c r="S69" i="52"/>
  <c r="S65" i="52"/>
  <c r="BP274" i="52"/>
  <c r="BQ274" i="52" s="1"/>
  <c r="BR274" i="52" s="1"/>
  <c r="BS274" i="52" s="1"/>
  <c r="BT274" i="52" s="1"/>
  <c r="BU274" i="52" s="1"/>
  <c r="BV274" i="52" s="1"/>
  <c r="BW274" i="52" s="1"/>
  <c r="BX274" i="52" s="1"/>
  <c r="BY274" i="52" s="1"/>
  <c r="BZ274" i="52" s="1"/>
  <c r="P275" i="52" s="1"/>
  <c r="E298" i="52" s="1"/>
  <c r="Y298" i="52" s="1"/>
  <c r="V372" i="54"/>
  <c r="AN71" i="44" l="1"/>
  <c r="AN72" i="44" s="1"/>
  <c r="Q73" i="44" s="1"/>
  <c r="AE73" i="44" s="1"/>
  <c r="U156" i="50"/>
  <c r="V156" i="50" s="1"/>
  <c r="U157" i="50" s="1"/>
  <c r="V157" i="50" s="1"/>
  <c r="U158" i="50" s="1"/>
  <c r="V158" i="50" s="1"/>
  <c r="U159" i="50" s="1"/>
  <c r="V159" i="50" s="1"/>
  <c r="P152" i="50" s="1"/>
  <c r="C481" i="50" s="1"/>
  <c r="W61" i="54"/>
  <c r="Y297" i="54"/>
  <c r="I297" i="54" s="1"/>
  <c r="R297" i="54" s="1"/>
  <c r="S145" i="54"/>
  <c r="I373" i="54"/>
  <c r="R373" i="54" s="1"/>
  <c r="N38" i="60"/>
  <c r="K38" i="60"/>
  <c r="C39" i="60"/>
  <c r="Q37" i="60"/>
  <c r="S64" i="54"/>
  <c r="S66" i="54"/>
  <c r="U44" i="60"/>
  <c r="V44" i="60" s="1"/>
  <c r="U45" i="60" s="1"/>
  <c r="V45" i="60" s="1"/>
  <c r="U46" i="60" s="1"/>
  <c r="V46" i="60" s="1"/>
  <c r="U47" i="60" s="1"/>
  <c r="V47" i="60" s="1"/>
  <c r="U48" i="60" s="1"/>
  <c r="V48" i="60" s="1"/>
  <c r="U49" i="60" s="1"/>
  <c r="V49" i="60" s="1"/>
  <c r="U50" i="60" s="1"/>
  <c r="V50" i="60" s="1"/>
  <c r="U51" i="60" s="1"/>
  <c r="V51" i="60" s="1"/>
  <c r="U52" i="60" s="1"/>
  <c r="V52" i="60" s="1"/>
  <c r="U53" i="60" s="1"/>
  <c r="V53" i="60" s="1"/>
  <c r="U54" i="60" s="1"/>
  <c r="V54" i="60" s="1"/>
  <c r="U55" i="60" s="1"/>
  <c r="V55" i="60" s="1"/>
  <c r="U56" i="60" s="1"/>
  <c r="V56" i="60" s="1"/>
  <c r="U57" i="60" s="1"/>
  <c r="V57" i="60" s="1"/>
  <c r="U58" i="60" s="1"/>
  <c r="V58" i="60" s="1"/>
  <c r="U59" i="60" s="1"/>
  <c r="V59" i="60" s="1"/>
  <c r="U60" i="60" s="1"/>
  <c r="V60" i="60" s="1"/>
  <c r="U61" i="60" s="1"/>
  <c r="V61" i="60" s="1"/>
  <c r="C63" i="60" s="1"/>
  <c r="AE75" i="44"/>
  <c r="S76" i="44" s="1"/>
  <c r="S63" i="54"/>
  <c r="S76" i="54"/>
  <c r="S65" i="54"/>
  <c r="S77" i="54"/>
  <c r="S75" i="54"/>
  <c r="S74" i="54"/>
  <c r="S73" i="54"/>
  <c r="S72" i="54"/>
  <c r="S143" i="54"/>
  <c r="S69" i="54"/>
  <c r="S62" i="54"/>
  <c r="T61" i="54" s="1"/>
  <c r="U61" i="54" s="1"/>
  <c r="S138" i="54"/>
  <c r="S151" i="54"/>
  <c r="S147" i="54"/>
  <c r="S70" i="54"/>
  <c r="S67" i="54"/>
  <c r="S140" i="54"/>
  <c r="S149" i="54"/>
  <c r="S142" i="54"/>
  <c r="S152" i="54"/>
  <c r="S141" i="54"/>
  <c r="W139" i="54"/>
  <c r="X138" i="54" s="1"/>
  <c r="R523" i="54" s="1"/>
  <c r="S148" i="54"/>
  <c r="S150" i="54"/>
  <c r="S146" i="54"/>
  <c r="S144" i="54"/>
  <c r="S139" i="54"/>
  <c r="S71" i="54"/>
  <c r="S68" i="54"/>
  <c r="P33" i="48"/>
  <c r="C269" i="48" s="1"/>
  <c r="AR48" i="51" s="1"/>
  <c r="AS48" i="51" s="1"/>
  <c r="AT48" i="51" s="1"/>
  <c r="L269" i="48" s="1"/>
  <c r="X61" i="54"/>
  <c r="R522" i="54" s="1"/>
  <c r="Y76" i="44"/>
  <c r="P192" i="48"/>
  <c r="C273" i="48" s="1"/>
  <c r="AR52" i="51" s="1"/>
  <c r="AS52" i="51" s="1"/>
  <c r="AT52" i="51" s="1"/>
  <c r="L273" i="48" s="1"/>
  <c r="C479" i="48"/>
  <c r="C493" i="48"/>
  <c r="V222" i="52"/>
  <c r="W216" i="52" s="1"/>
  <c r="J469" i="50"/>
  <c r="S469" i="50" s="1"/>
  <c r="W138" i="52"/>
  <c r="W139" i="52"/>
  <c r="I373" i="52"/>
  <c r="R373" i="52" s="1"/>
  <c r="V373" i="52"/>
  <c r="W365" i="52" s="1"/>
  <c r="V297" i="52"/>
  <c r="I297" i="52"/>
  <c r="R297" i="52" s="1"/>
  <c r="S217" i="54"/>
  <c r="S223" i="54"/>
  <c r="S229" i="54"/>
  <c r="S222" i="54"/>
  <c r="S225" i="54"/>
  <c r="S226" i="54"/>
  <c r="S220" i="54"/>
  <c r="S228" i="54"/>
  <c r="S216" i="54"/>
  <c r="S219" i="54"/>
  <c r="S218" i="54"/>
  <c r="S221" i="54"/>
  <c r="S224" i="54"/>
  <c r="S227" i="54"/>
  <c r="S215" i="54"/>
  <c r="V297" i="54"/>
  <c r="W216" i="54"/>
  <c r="W215" i="54"/>
  <c r="T61" i="52"/>
  <c r="U61" i="52" s="1"/>
  <c r="T62" i="52" s="1"/>
  <c r="U62" i="52" s="1"/>
  <c r="T63" i="52" s="1"/>
  <c r="U63" i="52" s="1"/>
  <c r="T64" i="52" s="1"/>
  <c r="U64" i="52" s="1"/>
  <c r="T65" i="52" s="1"/>
  <c r="U65" i="52" s="1"/>
  <c r="T66" i="52" s="1"/>
  <c r="U66" i="52" s="1"/>
  <c r="T67" i="52" s="1"/>
  <c r="U67" i="52" s="1"/>
  <c r="T68" i="52" s="1"/>
  <c r="U68" i="52" s="1"/>
  <c r="T69" i="52" s="1"/>
  <c r="U69" i="52" s="1"/>
  <c r="T70" i="52" s="1"/>
  <c r="U70" i="52" s="1"/>
  <c r="T71" i="52" s="1"/>
  <c r="U71" i="52" s="1"/>
  <c r="T72" i="52" s="1"/>
  <c r="U72" i="52" s="1"/>
  <c r="T73" i="52" s="1"/>
  <c r="U73" i="52" s="1"/>
  <c r="T74" i="52" s="1"/>
  <c r="U74" i="52" s="1"/>
  <c r="T75" i="52" s="1"/>
  <c r="U75" i="52" s="1"/>
  <c r="T76" i="52" s="1"/>
  <c r="U76" i="52" s="1"/>
  <c r="P60" i="52" s="1"/>
  <c r="I372" i="52"/>
  <c r="R372" i="52" s="1"/>
  <c r="V298" i="52"/>
  <c r="I222" i="52"/>
  <c r="R222" i="52" s="1"/>
  <c r="W365" i="54"/>
  <c r="W366" i="54"/>
  <c r="W215" i="52" l="1"/>
  <c r="T138" i="54"/>
  <c r="U138" i="54" s="1"/>
  <c r="T139" i="54" s="1"/>
  <c r="U139" i="54" s="1"/>
  <c r="T140" i="54" s="1"/>
  <c r="U140" i="54" s="1"/>
  <c r="T141" i="54" s="1"/>
  <c r="U141" i="54" s="1"/>
  <c r="T142" i="54" s="1"/>
  <c r="U142" i="54" s="1"/>
  <c r="T143" i="54" s="1"/>
  <c r="U143" i="54" s="1"/>
  <c r="T144" i="54" s="1"/>
  <c r="U144" i="54" s="1"/>
  <c r="T145" i="54" s="1"/>
  <c r="U145" i="54" s="1"/>
  <c r="T146" i="54" s="1"/>
  <c r="U146" i="54" s="1"/>
  <c r="T147" i="54" s="1"/>
  <c r="U147" i="54" s="1"/>
  <c r="T148" i="54" s="1"/>
  <c r="U148" i="54" s="1"/>
  <c r="T149" i="54" s="1"/>
  <c r="U149" i="54" s="1"/>
  <c r="T150" i="54" s="1"/>
  <c r="U150" i="54" s="1"/>
  <c r="T151" i="54" s="1"/>
  <c r="U151" i="54" s="1"/>
  <c r="P137" i="54" s="1"/>
  <c r="C625" i="54" s="1"/>
  <c r="Q38" i="60"/>
  <c r="Q66" i="60"/>
  <c r="G65" i="60" s="1"/>
  <c r="Q69" i="60"/>
  <c r="N39" i="60"/>
  <c r="K39" i="60"/>
  <c r="AE76" i="44"/>
  <c r="S77" i="44" s="1"/>
  <c r="AE77" i="44" s="1"/>
  <c r="S78" i="44" s="1"/>
  <c r="AE78" i="44" s="1"/>
  <c r="S79" i="44" s="1"/>
  <c r="AE79" i="44" s="1"/>
  <c r="AE80" i="44" s="1"/>
  <c r="T62" i="54"/>
  <c r="U62" i="54" s="1"/>
  <c r="T63" i="54" s="1"/>
  <c r="U63" i="54" s="1"/>
  <c r="T64" i="54" s="1"/>
  <c r="U64" i="54" s="1"/>
  <c r="T65" i="54" s="1"/>
  <c r="U65" i="54" s="1"/>
  <c r="T66" i="54" s="1"/>
  <c r="U66" i="54" s="1"/>
  <c r="T67" i="54" s="1"/>
  <c r="U67" i="54" s="1"/>
  <c r="T68" i="54" s="1"/>
  <c r="U68" i="54" s="1"/>
  <c r="T69" i="54" s="1"/>
  <c r="U69" i="54" s="1"/>
  <c r="T70" i="54" s="1"/>
  <c r="U70" i="54" s="1"/>
  <c r="T71" i="54" s="1"/>
  <c r="U71" i="54" s="1"/>
  <c r="T72" i="54" s="1"/>
  <c r="U72" i="54" s="1"/>
  <c r="T73" i="54" s="1"/>
  <c r="U73" i="54" s="1"/>
  <c r="T74" i="54" s="1"/>
  <c r="U74" i="54" s="1"/>
  <c r="T75" i="54" s="1"/>
  <c r="U75" i="54" s="1"/>
  <c r="T76" i="54" s="1"/>
  <c r="U76" i="54" s="1"/>
  <c r="P60" i="54" s="1"/>
  <c r="C638" i="54" s="1"/>
  <c r="C492" i="48"/>
  <c r="H492" i="48" s="1"/>
  <c r="P112" i="48"/>
  <c r="C271" i="48" s="1"/>
  <c r="AR50" i="51" s="1"/>
  <c r="AS50" i="51" s="1"/>
  <c r="AT50" i="51" s="1"/>
  <c r="L271" i="48" s="1"/>
  <c r="P152" i="48"/>
  <c r="C272" i="48" s="1"/>
  <c r="AR51" i="51" s="1"/>
  <c r="AS51" i="51" s="1"/>
  <c r="AT51" i="51" s="1"/>
  <c r="L272" i="48" s="1"/>
  <c r="C478" i="48"/>
  <c r="S478" i="48" s="1"/>
  <c r="T478" i="48" s="1"/>
  <c r="C496" i="48"/>
  <c r="C482" i="48"/>
  <c r="R493" i="48"/>
  <c r="C30" i="60" s="1"/>
  <c r="H493" i="48"/>
  <c r="S479" i="48"/>
  <c r="T479" i="48" s="1"/>
  <c r="R492" i="48"/>
  <c r="C29" i="60" s="1"/>
  <c r="C495" i="50"/>
  <c r="P112" i="50"/>
  <c r="P192" i="50"/>
  <c r="S481" i="50"/>
  <c r="T481" i="50" s="1"/>
  <c r="X138" i="52"/>
  <c r="R523" i="52" s="1"/>
  <c r="W366" i="52"/>
  <c r="X365" i="52" s="1"/>
  <c r="R526" i="52" s="1"/>
  <c r="S152" i="52"/>
  <c r="S150" i="52"/>
  <c r="S143" i="52"/>
  <c r="S145" i="52"/>
  <c r="S151" i="52"/>
  <c r="S146" i="52"/>
  <c r="S149" i="52"/>
  <c r="S140" i="52"/>
  <c r="S141" i="52"/>
  <c r="S138" i="52"/>
  <c r="S139" i="52"/>
  <c r="S148" i="52"/>
  <c r="S142" i="52"/>
  <c r="S147" i="52"/>
  <c r="S144" i="52"/>
  <c r="X215" i="54"/>
  <c r="R524" i="54" s="1"/>
  <c r="T215" i="54"/>
  <c r="U215" i="54" s="1"/>
  <c r="T216" i="54" s="1"/>
  <c r="U216" i="54" s="1"/>
  <c r="T217" i="54" s="1"/>
  <c r="U217" i="54" s="1"/>
  <c r="T218" i="54" s="1"/>
  <c r="U218" i="54" s="1"/>
  <c r="T219" i="54" s="1"/>
  <c r="U219" i="54" s="1"/>
  <c r="T220" i="54" s="1"/>
  <c r="U220" i="54" s="1"/>
  <c r="T221" i="54" s="1"/>
  <c r="U221" i="54" s="1"/>
  <c r="T222" i="54" s="1"/>
  <c r="U222" i="54" s="1"/>
  <c r="T223" i="54" s="1"/>
  <c r="U223" i="54" s="1"/>
  <c r="T224" i="54" s="1"/>
  <c r="U224" i="54" s="1"/>
  <c r="T225" i="54" s="1"/>
  <c r="U225" i="54" s="1"/>
  <c r="T226" i="54" s="1"/>
  <c r="U226" i="54" s="1"/>
  <c r="T227" i="54" s="1"/>
  <c r="U227" i="54" s="1"/>
  <c r="T228" i="54" s="1"/>
  <c r="U228" i="54" s="1"/>
  <c r="P214" i="54" s="1"/>
  <c r="W290" i="54"/>
  <c r="W291" i="54"/>
  <c r="S297" i="54"/>
  <c r="S298" i="54"/>
  <c r="S300" i="54"/>
  <c r="S293" i="54"/>
  <c r="S299" i="54"/>
  <c r="S290" i="54"/>
  <c r="S294" i="54"/>
  <c r="S292" i="54"/>
  <c r="S295" i="54"/>
  <c r="S291" i="54"/>
  <c r="S303" i="54"/>
  <c r="S302" i="54"/>
  <c r="S301" i="54"/>
  <c r="S304" i="54"/>
  <c r="S296" i="54"/>
  <c r="X215" i="52"/>
  <c r="R524" i="52" s="1"/>
  <c r="I298" i="52"/>
  <c r="R298" i="52" s="1"/>
  <c r="W291" i="52"/>
  <c r="W290" i="52"/>
  <c r="S229" i="52"/>
  <c r="S217" i="52"/>
  <c r="S226" i="52"/>
  <c r="S224" i="52"/>
  <c r="S216" i="52"/>
  <c r="S225" i="52"/>
  <c r="S228" i="52"/>
  <c r="S221" i="52"/>
  <c r="S220" i="52"/>
  <c r="S218" i="52"/>
  <c r="S215" i="52"/>
  <c r="S222" i="52"/>
  <c r="S223" i="52"/>
  <c r="S227" i="52"/>
  <c r="S219" i="52"/>
  <c r="S375" i="52"/>
  <c r="S373" i="52"/>
  <c r="S379" i="52"/>
  <c r="S369" i="52"/>
  <c r="S376" i="52"/>
  <c r="S371" i="52"/>
  <c r="S370" i="52"/>
  <c r="S377" i="52"/>
  <c r="S366" i="52"/>
  <c r="S367" i="52"/>
  <c r="S374" i="52"/>
  <c r="S365" i="52"/>
  <c r="S378" i="52"/>
  <c r="S372" i="52"/>
  <c r="S368" i="52"/>
  <c r="X365" i="54"/>
  <c r="R526" i="54" s="1"/>
  <c r="S376" i="54"/>
  <c r="S371" i="54"/>
  <c r="S368" i="54"/>
  <c r="S372" i="54"/>
  <c r="S378" i="54"/>
  <c r="S366" i="54"/>
  <c r="S375" i="54"/>
  <c r="S374" i="54"/>
  <c r="S377" i="54"/>
  <c r="S379" i="54"/>
  <c r="S369" i="54"/>
  <c r="S367" i="54"/>
  <c r="S373" i="54"/>
  <c r="S365" i="54"/>
  <c r="S370" i="54"/>
  <c r="G60" i="60" l="1"/>
  <c r="G64" i="60"/>
  <c r="G62" i="60"/>
  <c r="G55" i="60"/>
  <c r="G59" i="60"/>
  <c r="Q39" i="60"/>
  <c r="N59" i="60"/>
  <c r="Q63" i="60" s="1"/>
  <c r="G57" i="60"/>
  <c r="G61" i="60"/>
  <c r="Q48" i="60"/>
  <c r="G56" i="60"/>
  <c r="G63" i="60"/>
  <c r="AL69" i="44"/>
  <c r="C33" i="39" s="1"/>
  <c r="S33" i="39" s="1"/>
  <c r="AM75" i="44"/>
  <c r="R33" i="39" s="1"/>
  <c r="B80" i="44"/>
  <c r="C480" i="48"/>
  <c r="S480" i="48" s="1"/>
  <c r="T480" i="48" s="1"/>
  <c r="C494" i="48"/>
  <c r="H494" i="48" s="1"/>
  <c r="P269" i="48"/>
  <c r="E366" i="48" s="1"/>
  <c r="C495" i="48"/>
  <c r="R495" i="48" s="1"/>
  <c r="C32" i="60" s="1"/>
  <c r="C481" i="48"/>
  <c r="C522" i="54"/>
  <c r="V522" i="54" s="1"/>
  <c r="C624" i="54"/>
  <c r="S624" i="54" s="1"/>
  <c r="T624" i="54" s="1"/>
  <c r="S482" i="48"/>
  <c r="T482" i="48" s="1"/>
  <c r="R496" i="48"/>
  <c r="C33" i="60" s="1"/>
  <c r="H496" i="48"/>
  <c r="N30" i="60"/>
  <c r="K30" i="60"/>
  <c r="N29" i="60"/>
  <c r="K29" i="60"/>
  <c r="H495" i="50"/>
  <c r="C496" i="50"/>
  <c r="C482" i="50"/>
  <c r="S482" i="50" s="1"/>
  <c r="T482" i="50" s="1"/>
  <c r="C480" i="50"/>
  <c r="C494" i="50"/>
  <c r="C478" i="50"/>
  <c r="S478" i="50" s="1"/>
  <c r="T478" i="50" s="1"/>
  <c r="C492" i="50"/>
  <c r="T138" i="52"/>
  <c r="U138" i="52" s="1"/>
  <c r="T139" i="52" s="1"/>
  <c r="U139" i="52" s="1"/>
  <c r="T140" i="52" s="1"/>
  <c r="U140" i="52" s="1"/>
  <c r="T141" i="52" s="1"/>
  <c r="U141" i="52" s="1"/>
  <c r="T142" i="52" s="1"/>
  <c r="U142" i="52" s="1"/>
  <c r="T143" i="52" s="1"/>
  <c r="U143" i="52" s="1"/>
  <c r="T144" i="52" s="1"/>
  <c r="U144" i="52" s="1"/>
  <c r="T145" i="52" s="1"/>
  <c r="U145" i="52" s="1"/>
  <c r="T146" i="52" s="1"/>
  <c r="U146" i="52" s="1"/>
  <c r="T147" i="52" s="1"/>
  <c r="U147" i="52" s="1"/>
  <c r="T148" i="52" s="1"/>
  <c r="U148" i="52" s="1"/>
  <c r="T149" i="52" s="1"/>
  <c r="U149" i="52" s="1"/>
  <c r="T150" i="52" s="1"/>
  <c r="U150" i="52" s="1"/>
  <c r="T151" i="52" s="1"/>
  <c r="U151" i="52" s="1"/>
  <c r="P137" i="52" s="1"/>
  <c r="T290" i="54"/>
  <c r="U290" i="54" s="1"/>
  <c r="T291" i="54" s="1"/>
  <c r="U291" i="54" s="1"/>
  <c r="T292" i="54" s="1"/>
  <c r="U292" i="54" s="1"/>
  <c r="T293" i="54" s="1"/>
  <c r="U293" i="54" s="1"/>
  <c r="T294" i="54" s="1"/>
  <c r="U294" i="54" s="1"/>
  <c r="T295" i="54" s="1"/>
  <c r="U295" i="54" s="1"/>
  <c r="T296" i="54" s="1"/>
  <c r="U296" i="54" s="1"/>
  <c r="T297" i="54" s="1"/>
  <c r="U297" i="54" s="1"/>
  <c r="T298" i="54" s="1"/>
  <c r="U298" i="54" s="1"/>
  <c r="T299" i="54" s="1"/>
  <c r="U299" i="54" s="1"/>
  <c r="T300" i="54" s="1"/>
  <c r="U300" i="54" s="1"/>
  <c r="T301" i="54" s="1"/>
  <c r="U301" i="54" s="1"/>
  <c r="T302" i="54" s="1"/>
  <c r="U302" i="54" s="1"/>
  <c r="T303" i="54" s="1"/>
  <c r="U303" i="54" s="1"/>
  <c r="P289" i="54" s="1"/>
  <c r="X290" i="54"/>
  <c r="R525" i="54" s="1"/>
  <c r="R528" i="54" s="1"/>
  <c r="T215" i="52"/>
  <c r="U215" i="52" s="1"/>
  <c r="T216" i="52" s="1"/>
  <c r="U216" i="52" s="1"/>
  <c r="T217" i="52" s="1"/>
  <c r="U217" i="52" s="1"/>
  <c r="T218" i="52" s="1"/>
  <c r="U218" i="52" s="1"/>
  <c r="T219" i="52" s="1"/>
  <c r="U219" i="52" s="1"/>
  <c r="T220" i="52" s="1"/>
  <c r="U220" i="52" s="1"/>
  <c r="T221" i="52" s="1"/>
  <c r="U221" i="52" s="1"/>
  <c r="T222" i="52" s="1"/>
  <c r="U222" i="52" s="1"/>
  <c r="T223" i="52" s="1"/>
  <c r="U223" i="52" s="1"/>
  <c r="T224" i="52" s="1"/>
  <c r="U224" i="52" s="1"/>
  <c r="T225" i="52" s="1"/>
  <c r="U225" i="52" s="1"/>
  <c r="T226" i="52" s="1"/>
  <c r="U226" i="52" s="1"/>
  <c r="T227" i="52" s="1"/>
  <c r="U227" i="52" s="1"/>
  <c r="T228" i="52" s="1"/>
  <c r="U228" i="52" s="1"/>
  <c r="P214" i="52" s="1"/>
  <c r="X290" i="52"/>
  <c r="R525" i="52" s="1"/>
  <c r="R527" i="52" s="1"/>
  <c r="C624" i="52"/>
  <c r="S624" i="52" s="1"/>
  <c r="T624" i="52" s="1"/>
  <c r="C638" i="52"/>
  <c r="H638" i="52" s="1"/>
  <c r="C522" i="52"/>
  <c r="T365" i="52"/>
  <c r="U365" i="52" s="1"/>
  <c r="T366" i="52" s="1"/>
  <c r="U366" i="52" s="1"/>
  <c r="T367" i="52" s="1"/>
  <c r="U367" i="52" s="1"/>
  <c r="T368" i="52" s="1"/>
  <c r="U368" i="52" s="1"/>
  <c r="T369" i="52" s="1"/>
  <c r="U369" i="52" s="1"/>
  <c r="T370" i="52" s="1"/>
  <c r="U370" i="52" s="1"/>
  <c r="T371" i="52" s="1"/>
  <c r="U371" i="52" s="1"/>
  <c r="T372" i="52" s="1"/>
  <c r="U372" i="52" s="1"/>
  <c r="T373" i="52" s="1"/>
  <c r="U373" i="52" s="1"/>
  <c r="T374" i="52" s="1"/>
  <c r="U374" i="52" s="1"/>
  <c r="T375" i="52" s="1"/>
  <c r="U375" i="52" s="1"/>
  <c r="T376" i="52" s="1"/>
  <c r="U376" i="52" s="1"/>
  <c r="T377" i="52" s="1"/>
  <c r="U377" i="52" s="1"/>
  <c r="T378" i="52" s="1"/>
  <c r="U378" i="52" s="1"/>
  <c r="P364" i="52" s="1"/>
  <c r="S304" i="52"/>
  <c r="S290" i="52"/>
  <c r="S299" i="52"/>
  <c r="S291" i="52"/>
  <c r="S292" i="52"/>
  <c r="S298" i="52"/>
  <c r="S301" i="52"/>
  <c r="S302" i="52"/>
  <c r="S300" i="52"/>
  <c r="S297" i="52"/>
  <c r="S295" i="52"/>
  <c r="S294" i="52"/>
  <c r="S293" i="52"/>
  <c r="S303" i="52"/>
  <c r="S296" i="52"/>
  <c r="C639" i="54"/>
  <c r="H639" i="54" s="1"/>
  <c r="C523" i="54"/>
  <c r="T365" i="54"/>
  <c r="U365" i="54" s="1"/>
  <c r="T366" i="54" s="1"/>
  <c r="U366" i="54" s="1"/>
  <c r="T367" i="54" s="1"/>
  <c r="U367" i="54" s="1"/>
  <c r="T368" i="54" s="1"/>
  <c r="U368" i="54" s="1"/>
  <c r="T369" i="54" s="1"/>
  <c r="U369" i="54" s="1"/>
  <c r="T370" i="54" s="1"/>
  <c r="U370" i="54" s="1"/>
  <c r="T371" i="54" s="1"/>
  <c r="U371" i="54" s="1"/>
  <c r="T372" i="54" s="1"/>
  <c r="U372" i="54" s="1"/>
  <c r="T373" i="54" s="1"/>
  <c r="U373" i="54" s="1"/>
  <c r="T374" i="54" s="1"/>
  <c r="U374" i="54" s="1"/>
  <c r="T375" i="54" s="1"/>
  <c r="U375" i="54" s="1"/>
  <c r="T376" i="54" s="1"/>
  <c r="U376" i="54" s="1"/>
  <c r="T377" i="54" s="1"/>
  <c r="U377" i="54" s="1"/>
  <c r="T378" i="54" s="1"/>
  <c r="U378" i="54" s="1"/>
  <c r="P364" i="54" s="1"/>
  <c r="H638" i="54"/>
  <c r="S625" i="54"/>
  <c r="T625" i="54" s="1"/>
  <c r="N481" i="48" l="1"/>
  <c r="U478" i="48"/>
  <c r="S366" i="48"/>
  <c r="AL75" i="44"/>
  <c r="R34" i="39" s="1"/>
  <c r="B33" i="39" s="1"/>
  <c r="N480" i="48"/>
  <c r="R494" i="48"/>
  <c r="C31" i="60" s="1"/>
  <c r="K31" i="60" s="1"/>
  <c r="N482" i="48"/>
  <c r="J482" i="48"/>
  <c r="C31" i="39" s="1"/>
  <c r="S31" i="39" s="1"/>
  <c r="J480" i="48"/>
  <c r="C29" i="39" s="1"/>
  <c r="S29" i="39" s="1"/>
  <c r="N479" i="48"/>
  <c r="N478" i="48"/>
  <c r="J479" i="48"/>
  <c r="C28" i="39" s="1"/>
  <c r="S28" i="39" s="1"/>
  <c r="J478" i="48"/>
  <c r="C27" i="39" s="1"/>
  <c r="S27" i="39" s="1"/>
  <c r="H495" i="48"/>
  <c r="T366" i="48"/>
  <c r="S481" i="48"/>
  <c r="T481" i="48" s="1"/>
  <c r="J481" i="48" s="1"/>
  <c r="C30" i="39" s="1"/>
  <c r="S30" i="39" s="1"/>
  <c r="AT90" i="55"/>
  <c r="AU90" i="55" s="1"/>
  <c r="AV90" i="55" s="1"/>
  <c r="L522" i="54" s="1"/>
  <c r="U522" i="54" s="1"/>
  <c r="T522" i="54"/>
  <c r="Q29" i="60"/>
  <c r="N33" i="60"/>
  <c r="K33" i="60"/>
  <c r="N32" i="60"/>
  <c r="K32" i="60"/>
  <c r="Q30" i="60"/>
  <c r="H494" i="50"/>
  <c r="H496" i="50"/>
  <c r="H492" i="50"/>
  <c r="S480" i="50"/>
  <c r="T480" i="50" s="1"/>
  <c r="R527" i="54"/>
  <c r="C640" i="54"/>
  <c r="H640" i="54" s="1"/>
  <c r="C524" i="54"/>
  <c r="C626" i="54"/>
  <c r="S626" i="54" s="1"/>
  <c r="T626" i="54" s="1"/>
  <c r="R528" i="52"/>
  <c r="V522" i="52"/>
  <c r="BD90" i="55"/>
  <c r="BE90" i="55" s="1"/>
  <c r="BF90" i="55" s="1"/>
  <c r="L522" i="52" s="1"/>
  <c r="U522" i="52" s="1"/>
  <c r="T522" i="52"/>
  <c r="T290" i="52"/>
  <c r="U290" i="52" s="1"/>
  <c r="T291" i="52" s="1"/>
  <c r="U291" i="52" s="1"/>
  <c r="T292" i="52" s="1"/>
  <c r="U292" i="52" s="1"/>
  <c r="T293" i="52" s="1"/>
  <c r="U293" i="52" s="1"/>
  <c r="T294" i="52" s="1"/>
  <c r="U294" i="52" s="1"/>
  <c r="T295" i="52" s="1"/>
  <c r="U295" i="52" s="1"/>
  <c r="T296" i="52" s="1"/>
  <c r="U296" i="52" s="1"/>
  <c r="T297" i="52" s="1"/>
  <c r="U297" i="52" s="1"/>
  <c r="T298" i="52" s="1"/>
  <c r="U298" i="52" s="1"/>
  <c r="T299" i="52" s="1"/>
  <c r="U299" i="52" s="1"/>
  <c r="T300" i="52" s="1"/>
  <c r="U300" i="52" s="1"/>
  <c r="T301" i="52" s="1"/>
  <c r="U301" i="52" s="1"/>
  <c r="T302" i="52" s="1"/>
  <c r="U302" i="52" s="1"/>
  <c r="T303" i="52" s="1"/>
  <c r="U303" i="52" s="1"/>
  <c r="P289" i="52" s="1"/>
  <c r="T523" i="54"/>
  <c r="V523" i="54"/>
  <c r="AT91" i="55"/>
  <c r="AU91" i="55" s="1"/>
  <c r="AV91" i="55" s="1"/>
  <c r="L523" i="54" s="1"/>
  <c r="U523" i="54" s="1"/>
  <c r="N31" i="60" l="1"/>
  <c r="Q31" i="60" s="1"/>
  <c r="T355" i="48"/>
  <c r="T357" i="48"/>
  <c r="T364" i="48"/>
  <c r="T345" i="48"/>
  <c r="T347" i="48"/>
  <c r="T344" i="48"/>
  <c r="T363" i="48"/>
  <c r="T359" i="48"/>
  <c r="T356" i="48"/>
  <c r="T350" i="48"/>
  <c r="T361" i="48"/>
  <c r="T348" i="48"/>
  <c r="T349" i="48"/>
  <c r="T362" i="48"/>
  <c r="T343" i="48"/>
  <c r="T358" i="48"/>
  <c r="T351" i="48"/>
  <c r="T346" i="48"/>
  <c r="T352" i="48"/>
  <c r="T341" i="48"/>
  <c r="T365" i="48"/>
  <c r="T353" i="48"/>
  <c r="T354" i="48"/>
  <c r="T342" i="48"/>
  <c r="T360" i="48"/>
  <c r="Q32" i="60"/>
  <c r="Q33" i="60"/>
  <c r="C640" i="52"/>
  <c r="H640" i="52" s="1"/>
  <c r="C642" i="52"/>
  <c r="H642" i="52" s="1"/>
  <c r="C625" i="52"/>
  <c r="S625" i="52" s="1"/>
  <c r="T625" i="52" s="1"/>
  <c r="T524" i="54"/>
  <c r="AT92" i="55"/>
  <c r="AU92" i="55" s="1"/>
  <c r="AV92" i="55" s="1"/>
  <c r="L524" i="54" s="1"/>
  <c r="U524" i="54" s="1"/>
  <c r="V524" i="54"/>
  <c r="C641" i="54"/>
  <c r="H641" i="54" s="1"/>
  <c r="C525" i="54"/>
  <c r="C627" i="54"/>
  <c r="S627" i="54" s="1"/>
  <c r="T627" i="54" s="1"/>
  <c r="C628" i="54"/>
  <c r="S628" i="54" s="1"/>
  <c r="T628" i="54" s="1"/>
  <c r="U341" i="48" l="1"/>
  <c r="V341" i="48" s="1"/>
  <c r="U342" i="48" s="1"/>
  <c r="V342" i="48" s="1"/>
  <c r="U343" i="48" s="1"/>
  <c r="V343" i="48" s="1"/>
  <c r="U344" i="48" s="1"/>
  <c r="V344" i="48" s="1"/>
  <c r="U345" i="48" s="1"/>
  <c r="V345" i="48" s="1"/>
  <c r="U346" i="48" s="1"/>
  <c r="V346" i="48" s="1"/>
  <c r="U347" i="48" s="1"/>
  <c r="V347" i="48" s="1"/>
  <c r="U348" i="48" s="1"/>
  <c r="V348" i="48" s="1"/>
  <c r="U349" i="48" s="1"/>
  <c r="V349" i="48" s="1"/>
  <c r="U350" i="48" s="1"/>
  <c r="V350" i="48" s="1"/>
  <c r="U351" i="48" s="1"/>
  <c r="V351" i="48" s="1"/>
  <c r="U352" i="48" s="1"/>
  <c r="V352" i="48" s="1"/>
  <c r="U353" i="48" s="1"/>
  <c r="V353" i="48" s="1"/>
  <c r="U354" i="48" s="1"/>
  <c r="V354" i="48" s="1"/>
  <c r="U355" i="48" s="1"/>
  <c r="V355" i="48" s="1"/>
  <c r="U356" i="48" s="1"/>
  <c r="V356" i="48" s="1"/>
  <c r="U357" i="48" s="1"/>
  <c r="V357" i="48" s="1"/>
  <c r="U358" i="48" s="1"/>
  <c r="V358" i="48" s="1"/>
  <c r="U359" i="48" s="1"/>
  <c r="V359" i="48" s="1"/>
  <c r="U360" i="48" s="1"/>
  <c r="V360" i="48" s="1"/>
  <c r="U361" i="48" s="1"/>
  <c r="V361" i="48" s="1"/>
  <c r="U362" i="48" s="1"/>
  <c r="V362" i="48" s="1"/>
  <c r="U363" i="48" s="1"/>
  <c r="V363" i="48" s="1"/>
  <c r="U364" i="48" s="1"/>
  <c r="V364" i="48" s="1"/>
  <c r="U365" i="48" s="1"/>
  <c r="V365" i="48" s="1"/>
  <c r="P340" i="48" s="1"/>
  <c r="C445" i="48" s="1"/>
  <c r="AR68" i="51" s="1"/>
  <c r="AS68" i="51" s="1"/>
  <c r="AT68" i="51" s="1"/>
  <c r="L445" i="48" s="1"/>
  <c r="P445" i="48" s="1"/>
  <c r="E470" i="48" s="1"/>
  <c r="S470" i="48" s="1"/>
  <c r="C639" i="52"/>
  <c r="H639" i="52" s="1"/>
  <c r="C523" i="52"/>
  <c r="BD91" i="55" s="1"/>
  <c r="BE91" i="55" s="1"/>
  <c r="BF91" i="55" s="1"/>
  <c r="L523" i="52" s="1"/>
  <c r="U523" i="52" s="1"/>
  <c r="C524" i="52"/>
  <c r="BD92" i="55" s="1"/>
  <c r="BE92" i="55" s="1"/>
  <c r="BF92" i="55" s="1"/>
  <c r="L524" i="52" s="1"/>
  <c r="C626" i="52"/>
  <c r="S626" i="52" s="1"/>
  <c r="T626" i="52" s="1"/>
  <c r="C628" i="52"/>
  <c r="S628" i="52" s="1"/>
  <c r="T628" i="52" s="1"/>
  <c r="C526" i="52"/>
  <c r="T526" i="52" s="1"/>
  <c r="C641" i="52"/>
  <c r="H641" i="52" s="1"/>
  <c r="V525" i="54"/>
  <c r="AT93" i="55"/>
  <c r="AU93" i="55" s="1"/>
  <c r="AV93" i="55" s="1"/>
  <c r="L525" i="54" s="1"/>
  <c r="U525" i="54" s="1"/>
  <c r="T525" i="54"/>
  <c r="C642" i="54"/>
  <c r="H642" i="54" s="1"/>
  <c r="C526" i="54"/>
  <c r="V526" i="54" s="1"/>
  <c r="U479" i="48" l="1"/>
  <c r="U480" i="48" s="1"/>
  <c r="C483" i="48"/>
  <c r="C497" i="48"/>
  <c r="V524" i="52"/>
  <c r="T524" i="52"/>
  <c r="T523" i="52"/>
  <c r="C525" i="52"/>
  <c r="T528" i="52" s="1"/>
  <c r="C627" i="52"/>
  <c r="S627" i="52" s="1"/>
  <c r="T627" i="52" s="1"/>
  <c r="V523" i="52"/>
  <c r="V526" i="52"/>
  <c r="BD94" i="55"/>
  <c r="BE94" i="55" s="1"/>
  <c r="BF94" i="55" s="1"/>
  <c r="L526" i="52" s="1"/>
  <c r="U526" i="52" s="1"/>
  <c r="Z525" i="54"/>
  <c r="Z526" i="54"/>
  <c r="Z522" i="54"/>
  <c r="Z524" i="54"/>
  <c r="Z523" i="54"/>
  <c r="AT94" i="55"/>
  <c r="AU94" i="55" s="1"/>
  <c r="AV94" i="55" s="1"/>
  <c r="L526" i="54" s="1"/>
  <c r="U526" i="54" s="1"/>
  <c r="U527" i="54" s="1"/>
  <c r="T526" i="54"/>
  <c r="T527" i="54" s="1"/>
  <c r="T528" i="54"/>
  <c r="U524" i="52"/>
  <c r="R497" i="48" l="1"/>
  <c r="C28" i="60" s="1"/>
  <c r="H497" i="48"/>
  <c r="S483" i="48"/>
  <c r="T483" i="48" s="1"/>
  <c r="N483" i="48"/>
  <c r="V525" i="52"/>
  <c r="Z526" i="52" s="1"/>
  <c r="T525" i="52"/>
  <c r="T527" i="52" s="1"/>
  <c r="BD93" i="55"/>
  <c r="BE93" i="55" s="1"/>
  <c r="BF93" i="55" s="1"/>
  <c r="L525" i="52" s="1"/>
  <c r="U525" i="52" s="1"/>
  <c r="U527" i="52" s="1"/>
  <c r="AA522" i="54"/>
  <c r="AB522" i="54" s="1"/>
  <c r="AA523" i="54" s="1"/>
  <c r="AB523" i="54" s="1"/>
  <c r="AA524" i="54" s="1"/>
  <c r="AB524" i="54" s="1"/>
  <c r="AA525" i="54" s="1"/>
  <c r="AB525" i="54" s="1"/>
  <c r="V527" i="54" s="1"/>
  <c r="W522" i="54"/>
  <c r="T460" i="48" l="1"/>
  <c r="T449" i="48"/>
  <c r="T455" i="48"/>
  <c r="T457" i="48"/>
  <c r="T454" i="48"/>
  <c r="T453" i="48"/>
  <c r="T464" i="48"/>
  <c r="T465" i="48"/>
  <c r="T462" i="48"/>
  <c r="T459" i="48"/>
  <c r="T466" i="48"/>
  <c r="T461" i="48"/>
  <c r="T450" i="48"/>
  <c r="T463" i="48"/>
  <c r="T467" i="48"/>
  <c r="T452" i="48"/>
  <c r="T468" i="48"/>
  <c r="T448" i="48"/>
  <c r="T458" i="48"/>
  <c r="T456" i="48"/>
  <c r="T470" i="48"/>
  <c r="T451" i="48"/>
  <c r="T469" i="48"/>
  <c r="N28" i="60"/>
  <c r="K28" i="60"/>
  <c r="Z522" i="52"/>
  <c r="Z524" i="52"/>
  <c r="Z523" i="52"/>
  <c r="W522" i="52"/>
  <c r="Z525" i="52"/>
  <c r="U528" i="54"/>
  <c r="B528" i="54" s="1"/>
  <c r="P522" i="54" s="1"/>
  <c r="I626" i="54" s="1"/>
  <c r="C8" i="39" s="1"/>
  <c r="S8" i="39" s="1"/>
  <c r="M626" i="54" l="1"/>
  <c r="U448" i="48"/>
  <c r="V448" i="48" s="1"/>
  <c r="U449" i="48" s="1"/>
  <c r="V449" i="48" s="1"/>
  <c r="U450" i="48" s="1"/>
  <c r="V450" i="48" s="1"/>
  <c r="U451" i="48" s="1"/>
  <c r="V451" i="48" s="1"/>
  <c r="U452" i="48" s="1"/>
  <c r="V452" i="48" s="1"/>
  <c r="U453" i="48" s="1"/>
  <c r="V453" i="48" s="1"/>
  <c r="U454" i="48" s="1"/>
  <c r="V454" i="48" s="1"/>
  <c r="U455" i="48" s="1"/>
  <c r="V455" i="48" s="1"/>
  <c r="U456" i="48" s="1"/>
  <c r="V456" i="48" s="1"/>
  <c r="U457" i="48" s="1"/>
  <c r="V457" i="48" s="1"/>
  <c r="U458" i="48" s="1"/>
  <c r="V458" i="48" s="1"/>
  <c r="U459" i="48" s="1"/>
  <c r="V459" i="48" s="1"/>
  <c r="U460" i="48" s="1"/>
  <c r="V460" i="48" s="1"/>
  <c r="U461" i="48" s="1"/>
  <c r="V461" i="48" s="1"/>
  <c r="U462" i="48" s="1"/>
  <c r="V462" i="48" s="1"/>
  <c r="U463" i="48" s="1"/>
  <c r="V463" i="48" s="1"/>
  <c r="U464" i="48" s="1"/>
  <c r="V464" i="48" s="1"/>
  <c r="U465" i="48" s="1"/>
  <c r="V465" i="48" s="1"/>
  <c r="U466" i="48" s="1"/>
  <c r="V466" i="48" s="1"/>
  <c r="U467" i="48" s="1"/>
  <c r="V467" i="48" s="1"/>
  <c r="U468" i="48" s="1"/>
  <c r="V468" i="48" s="1"/>
  <c r="U469" i="48" s="1"/>
  <c r="Q28" i="60"/>
  <c r="O641" i="54"/>
  <c r="R641" i="54" s="1"/>
  <c r="C11" i="60" s="1"/>
  <c r="K11" i="60" s="1"/>
  <c r="O640" i="54"/>
  <c r="R640" i="54" s="1"/>
  <c r="C10" i="60" s="1"/>
  <c r="N10" i="60" s="1"/>
  <c r="O639" i="54"/>
  <c r="R639" i="54" s="1"/>
  <c r="C9" i="60" s="1"/>
  <c r="K9" i="60" s="1"/>
  <c r="O642" i="54"/>
  <c r="R642" i="54" s="1"/>
  <c r="C12" i="60" s="1"/>
  <c r="N12" i="60" s="1"/>
  <c r="O638" i="54"/>
  <c r="R638" i="54" s="1"/>
  <c r="C8" i="60" s="1"/>
  <c r="N8" i="60" s="1"/>
  <c r="AA522" i="52"/>
  <c r="AB522" i="52" s="1"/>
  <c r="AA523" i="52" s="1"/>
  <c r="AB523" i="52" s="1"/>
  <c r="AA524" i="52" s="1"/>
  <c r="AB524" i="52" s="1"/>
  <c r="AA525" i="52" s="1"/>
  <c r="AB525" i="52" s="1"/>
  <c r="V527" i="52" s="1"/>
  <c r="U528" i="52" s="1"/>
  <c r="B528" i="52" s="1"/>
  <c r="P522" i="52" s="1"/>
  <c r="M625" i="54"/>
  <c r="I624" i="54"/>
  <c r="C6" i="39" s="1"/>
  <c r="S6" i="39" s="1"/>
  <c r="M624" i="54"/>
  <c r="I625" i="54"/>
  <c r="C7" i="39" s="1"/>
  <c r="S7" i="39" s="1"/>
  <c r="I627" i="54"/>
  <c r="C9" i="39" s="1"/>
  <c r="S9" i="39" s="1"/>
  <c r="M627" i="54"/>
  <c r="M628" i="54"/>
  <c r="E561" i="54"/>
  <c r="R561" i="54" s="1"/>
  <c r="I628" i="54"/>
  <c r="C10" i="39" s="1"/>
  <c r="S10" i="39" s="1"/>
  <c r="S556" i="54" l="1"/>
  <c r="S546" i="54"/>
  <c r="S536" i="54"/>
  <c r="S534" i="54"/>
  <c r="S535" i="54"/>
  <c r="S558" i="54"/>
  <c r="S560" i="54"/>
  <c r="S554" i="54"/>
  <c r="S548" i="54"/>
  <c r="S538" i="54"/>
  <c r="S559" i="54"/>
  <c r="S557" i="54"/>
  <c r="S545" i="54"/>
  <c r="S547" i="54"/>
  <c r="S539" i="54"/>
  <c r="S542" i="54"/>
  <c r="S540" i="54"/>
  <c r="S561" i="54"/>
  <c r="S551" i="54"/>
  <c r="S549" i="54"/>
  <c r="S555" i="54"/>
  <c r="S537" i="54"/>
  <c r="S544" i="54"/>
  <c r="S550" i="54"/>
  <c r="S552" i="54"/>
  <c r="S532" i="54"/>
  <c r="S553" i="54"/>
  <c r="S543" i="54"/>
  <c r="S541" i="54"/>
  <c r="S533" i="54"/>
  <c r="U624" i="54"/>
  <c r="U626" i="54" s="1"/>
  <c r="M625" i="52"/>
  <c r="M628" i="52"/>
  <c r="N11" i="60"/>
  <c r="Q11" i="60" s="1"/>
  <c r="K12" i="60"/>
  <c r="Q12" i="60" s="1"/>
  <c r="K10" i="60"/>
  <c r="Q10" i="60" s="1"/>
  <c r="K8" i="60"/>
  <c r="Q8" i="60" s="1"/>
  <c r="V469" i="48"/>
  <c r="N9" i="60"/>
  <c r="Q9" i="60" s="1"/>
  <c r="M626" i="52"/>
  <c r="O642" i="52"/>
  <c r="R642" i="52" s="1"/>
  <c r="C19" i="60" s="1"/>
  <c r="O638" i="52"/>
  <c r="R638" i="52" s="1"/>
  <c r="C15" i="60" s="1"/>
  <c r="O639" i="52"/>
  <c r="R639" i="52" s="1"/>
  <c r="C16" i="60" s="1"/>
  <c r="O640" i="52"/>
  <c r="R640" i="52" s="1"/>
  <c r="C17" i="60" s="1"/>
  <c r="O641" i="52"/>
  <c r="R641" i="52" s="1"/>
  <c r="C18" i="60" s="1"/>
  <c r="I625" i="52"/>
  <c r="C14" i="39" s="1"/>
  <c r="S14" i="39" s="1"/>
  <c r="M627" i="52"/>
  <c r="M624" i="52"/>
  <c r="I626" i="52"/>
  <c r="C15" i="39" s="1"/>
  <c r="S15" i="39" s="1"/>
  <c r="I627" i="52"/>
  <c r="C16" i="39" s="1"/>
  <c r="S16" i="39" s="1"/>
  <c r="I628" i="52"/>
  <c r="C17" i="39" s="1"/>
  <c r="S17" i="39" s="1"/>
  <c r="E561" i="52"/>
  <c r="I624" i="52"/>
  <c r="C13" i="39" s="1"/>
  <c r="S13" i="39" s="1"/>
  <c r="R561" i="52" l="1"/>
  <c r="T532" i="54"/>
  <c r="U532" i="54" s="1"/>
  <c r="T533" i="54" s="1"/>
  <c r="U533" i="54" s="1"/>
  <c r="T534" i="54" s="1"/>
  <c r="U534" i="54" s="1"/>
  <c r="T535" i="54" s="1"/>
  <c r="U535" i="54" s="1"/>
  <c r="T536" i="54" s="1"/>
  <c r="U536" i="54" s="1"/>
  <c r="T537" i="54" s="1"/>
  <c r="U537" i="54" s="1"/>
  <c r="T538" i="54" s="1"/>
  <c r="U538" i="54" s="1"/>
  <c r="T539" i="54" s="1"/>
  <c r="U539" i="54" s="1"/>
  <c r="T540" i="54" s="1"/>
  <c r="U540" i="54" s="1"/>
  <c r="T541" i="54" s="1"/>
  <c r="U541" i="54" s="1"/>
  <c r="T542" i="54" s="1"/>
  <c r="U542" i="54" s="1"/>
  <c r="T543" i="54" s="1"/>
  <c r="U543" i="54" s="1"/>
  <c r="T544" i="54" s="1"/>
  <c r="U544" i="54" s="1"/>
  <c r="T545" i="54" s="1"/>
  <c r="U545" i="54" s="1"/>
  <c r="T546" i="54" s="1"/>
  <c r="U546" i="54" s="1"/>
  <c r="T547" i="54" s="1"/>
  <c r="U547" i="54" s="1"/>
  <c r="T548" i="54" s="1"/>
  <c r="U548" i="54" s="1"/>
  <c r="T549" i="54" s="1"/>
  <c r="U549" i="54" s="1"/>
  <c r="T550" i="54" s="1"/>
  <c r="U550" i="54" s="1"/>
  <c r="T551" i="54" s="1"/>
  <c r="U551" i="54" s="1"/>
  <c r="T552" i="54" s="1"/>
  <c r="U552" i="54" s="1"/>
  <c r="T553" i="54" s="1"/>
  <c r="U553" i="54" s="1"/>
  <c r="T554" i="54" s="1"/>
  <c r="U554" i="54" s="1"/>
  <c r="T555" i="54" s="1"/>
  <c r="U555" i="54" s="1"/>
  <c r="T556" i="54" s="1"/>
  <c r="U556" i="54" s="1"/>
  <c r="T557" i="54" s="1"/>
  <c r="U557" i="54" s="1"/>
  <c r="T558" i="54" s="1"/>
  <c r="U558" i="54" s="1"/>
  <c r="T559" i="54" s="1"/>
  <c r="U559" i="54" s="1"/>
  <c r="T560" i="54" s="1"/>
  <c r="U560" i="54" s="1"/>
  <c r="P531" i="54" s="1"/>
  <c r="P447" i="48"/>
  <c r="R490" i="48"/>
  <c r="K18" i="60"/>
  <c r="N18" i="60"/>
  <c r="N17" i="60"/>
  <c r="K17" i="60"/>
  <c r="K16" i="60"/>
  <c r="N16" i="60"/>
  <c r="N15" i="60"/>
  <c r="K15" i="60"/>
  <c r="N19" i="60"/>
  <c r="K19" i="60"/>
  <c r="S533" i="52" l="1"/>
  <c r="S547" i="52"/>
  <c r="S538" i="52"/>
  <c r="S543" i="52"/>
  <c r="S535" i="52"/>
  <c r="S546" i="52"/>
  <c r="S542" i="52"/>
  <c r="S558" i="52"/>
  <c r="S561" i="52"/>
  <c r="S551" i="52"/>
  <c r="S549" i="52"/>
  <c r="S560" i="52"/>
  <c r="S550" i="52"/>
  <c r="S532" i="52"/>
  <c r="S544" i="52"/>
  <c r="S540" i="52"/>
  <c r="S537" i="52"/>
  <c r="S552" i="52"/>
  <c r="S534" i="52"/>
  <c r="S548" i="52"/>
  <c r="S553" i="52"/>
  <c r="S539" i="52"/>
  <c r="S554" i="52"/>
  <c r="S536" i="52"/>
  <c r="S559" i="52"/>
  <c r="S555" i="52"/>
  <c r="S541" i="52"/>
  <c r="S545" i="52"/>
  <c r="S556" i="52"/>
  <c r="S557" i="52"/>
  <c r="C484" i="48"/>
  <c r="C498" i="48"/>
  <c r="Q17" i="60"/>
  <c r="Q16" i="60"/>
  <c r="Q19" i="60"/>
  <c r="Q18" i="60"/>
  <c r="Q15" i="60"/>
  <c r="T532" i="52" l="1"/>
  <c r="U532" i="52" s="1"/>
  <c r="T533" i="52" s="1"/>
  <c r="U533" i="52" s="1"/>
  <c r="T534" i="52" s="1"/>
  <c r="U534" i="52" s="1"/>
  <c r="T535" i="52" s="1"/>
  <c r="U535" i="52" s="1"/>
  <c r="T536" i="52" s="1"/>
  <c r="U536" i="52" s="1"/>
  <c r="T537" i="52" s="1"/>
  <c r="U537" i="52" s="1"/>
  <c r="T538" i="52" s="1"/>
  <c r="U538" i="52" s="1"/>
  <c r="T539" i="52" s="1"/>
  <c r="U539" i="52" s="1"/>
  <c r="T540" i="52" s="1"/>
  <c r="U540" i="52" s="1"/>
  <c r="T541" i="52" s="1"/>
  <c r="U541" i="52" s="1"/>
  <c r="T542" i="52" s="1"/>
  <c r="U542" i="52" s="1"/>
  <c r="T543" i="52" s="1"/>
  <c r="U543" i="52" s="1"/>
  <c r="T544" i="52" s="1"/>
  <c r="U544" i="52" s="1"/>
  <c r="T545" i="52" s="1"/>
  <c r="U545" i="52" s="1"/>
  <c r="T546" i="52" s="1"/>
  <c r="U546" i="52" s="1"/>
  <c r="T547" i="52" s="1"/>
  <c r="U547" i="52" s="1"/>
  <c r="T548" i="52" s="1"/>
  <c r="U548" i="52" s="1"/>
  <c r="T549" i="52" s="1"/>
  <c r="U549" i="52" s="1"/>
  <c r="T550" i="52" s="1"/>
  <c r="U550" i="52" s="1"/>
  <c r="T551" i="52" s="1"/>
  <c r="U551" i="52" s="1"/>
  <c r="T552" i="52" s="1"/>
  <c r="U552" i="52" s="1"/>
  <c r="T553" i="52" s="1"/>
  <c r="U553" i="52" s="1"/>
  <c r="T554" i="52" s="1"/>
  <c r="U554" i="52" s="1"/>
  <c r="T555" i="52" s="1"/>
  <c r="U555" i="52" s="1"/>
  <c r="T556" i="52" s="1"/>
  <c r="U556" i="52" s="1"/>
  <c r="T557" i="52" s="1"/>
  <c r="U557" i="52" s="1"/>
  <c r="T558" i="52" s="1"/>
  <c r="U558" i="52" s="1"/>
  <c r="T559" i="52" s="1"/>
  <c r="U559" i="52" s="1"/>
  <c r="T560" i="52" s="1"/>
  <c r="U560" i="52" s="1"/>
  <c r="P531" i="52" s="1"/>
  <c r="H498" i="48"/>
  <c r="R498" i="48"/>
  <c r="C27" i="60" s="1"/>
  <c r="S484" i="48"/>
  <c r="T484" i="48" s="1"/>
  <c r="J484" i="48" s="1"/>
  <c r="C25" i="39" s="1"/>
  <c r="S25" i="39" s="1"/>
  <c r="J483" i="48"/>
  <c r="C26" i="39" s="1"/>
  <c r="S26" i="39" s="1"/>
  <c r="Q54" i="60" l="1"/>
  <c r="Q64" i="60" s="1"/>
  <c r="Q65" i="60" s="1"/>
  <c r="Q67" i="60" s="1"/>
  <c r="Q68" i="60" s="1"/>
  <c r="N27" i="60"/>
  <c r="K27" i="60"/>
  <c r="O493" i="50"/>
  <c r="O495" i="50"/>
  <c r="R495" i="50" s="1"/>
  <c r="C25" i="60" s="1"/>
  <c r="O496" i="50"/>
  <c r="R496" i="50" s="1"/>
  <c r="C26" i="60" s="1"/>
  <c r="O494" i="50"/>
  <c r="R494" i="50" s="1"/>
  <c r="C24" i="60" s="1"/>
  <c r="O492" i="50"/>
  <c r="R492" i="50" s="1"/>
  <c r="C22" i="60" s="1"/>
  <c r="C629" i="54"/>
  <c r="B66" i="60" l="1"/>
  <c r="C70" i="60"/>
  <c r="K70" i="60" s="1"/>
  <c r="C629" i="52"/>
  <c r="Q27" i="60"/>
  <c r="N22" i="60"/>
  <c r="K22" i="60"/>
  <c r="K25" i="60"/>
  <c r="N25" i="60"/>
  <c r="O498" i="50"/>
  <c r="O497" i="50"/>
  <c r="N24" i="60"/>
  <c r="K24" i="60"/>
  <c r="N26" i="60"/>
  <c r="K26" i="60"/>
  <c r="AT97" i="55"/>
  <c r="AU97" i="55" s="1"/>
  <c r="AV97" i="55" s="1"/>
  <c r="E616" i="54" s="1"/>
  <c r="C643" i="54"/>
  <c r="H643" i="54" s="1"/>
  <c r="M629" i="54"/>
  <c r="S629" i="54"/>
  <c r="T629" i="54" s="1"/>
  <c r="C5" i="47" l="1"/>
  <c r="C6" i="47" s="1"/>
  <c r="L15" i="46" s="1"/>
  <c r="B5" i="47"/>
  <c r="B6" i="47" s="1"/>
  <c r="I15" i="46" s="1"/>
  <c r="C34" i="46"/>
  <c r="I38" i="46"/>
  <c r="C35" i="46"/>
  <c r="R616" i="54"/>
  <c r="BD97" i="55"/>
  <c r="BE97" i="55" s="1"/>
  <c r="BF97" i="55" s="1"/>
  <c r="E616" i="52" s="1"/>
  <c r="R616" i="52" s="1"/>
  <c r="G72" i="60"/>
  <c r="N72" i="60" s="1"/>
  <c r="G73" i="60"/>
  <c r="N73" i="60" s="1"/>
  <c r="G74" i="60"/>
  <c r="N74" i="60" s="1"/>
  <c r="C643" i="52"/>
  <c r="H643" i="52" s="1"/>
  <c r="Q25" i="60"/>
  <c r="Q24" i="60"/>
  <c r="Q26" i="60"/>
  <c r="Q22" i="60"/>
  <c r="M629" i="52"/>
  <c r="S629" i="52"/>
  <c r="T629" i="52" s="1"/>
  <c r="C2" i="47" l="1"/>
  <c r="C3" i="47" s="1"/>
  <c r="B2" i="47"/>
  <c r="B3" i="47" s="1"/>
  <c r="C15" i="46" s="1"/>
  <c r="S20" i="46" s="1"/>
  <c r="C35" i="60"/>
  <c r="J35" i="46"/>
  <c r="P35" i="46" s="1"/>
  <c r="C34" i="60"/>
  <c r="J34" i="46"/>
  <c r="P34" i="46" s="1"/>
  <c r="P36" i="46" s="1"/>
  <c r="I39" i="46"/>
  <c r="P38" i="46"/>
  <c r="Q75" i="60"/>
  <c r="S609" i="54"/>
  <c r="S610" i="54"/>
  <c r="S615" i="54"/>
  <c r="S606" i="54"/>
  <c r="S611" i="54"/>
  <c r="S604" i="54"/>
  <c r="S616" i="54"/>
  <c r="S614" i="54"/>
  <c r="S603" i="54"/>
  <c r="S605" i="54"/>
  <c r="S607" i="54"/>
  <c r="S608" i="54"/>
  <c r="S612" i="54"/>
  <c r="S613" i="54"/>
  <c r="S605" i="52"/>
  <c r="S613" i="52"/>
  <c r="S612" i="52"/>
  <c r="S615" i="52"/>
  <c r="S604" i="52"/>
  <c r="S606" i="52"/>
  <c r="S603" i="52"/>
  <c r="S610" i="52"/>
  <c r="S608" i="52"/>
  <c r="S609" i="52"/>
  <c r="S616" i="52"/>
  <c r="S614" i="52"/>
  <c r="S611" i="52"/>
  <c r="S607" i="52"/>
  <c r="F15" i="46" l="1"/>
  <c r="S21" i="46" s="1"/>
  <c r="C20" i="46"/>
  <c r="P39" i="46"/>
  <c r="I40" i="46" s="1"/>
  <c r="P40" i="46"/>
  <c r="C42" i="46" s="1"/>
  <c r="J42" i="46" s="1"/>
  <c r="P42" i="46" s="1"/>
  <c r="P43" i="46" s="1"/>
  <c r="B43" i="46" s="1"/>
  <c r="S40" i="46" s="1"/>
  <c r="T34" i="60" s="1"/>
  <c r="K34" i="60"/>
  <c r="N34" i="60"/>
  <c r="K35" i="60"/>
  <c r="N35" i="60"/>
  <c r="T603" i="54"/>
  <c r="U603" i="54" s="1"/>
  <c r="T604" i="54" s="1"/>
  <c r="U604" i="54" s="1"/>
  <c r="T605" i="54" s="1"/>
  <c r="U605" i="54" s="1"/>
  <c r="T606" i="54" s="1"/>
  <c r="U606" i="54" s="1"/>
  <c r="T607" i="54" s="1"/>
  <c r="U607" i="54" s="1"/>
  <c r="T608" i="54" s="1"/>
  <c r="U608" i="54" s="1"/>
  <c r="T609" i="54" s="1"/>
  <c r="U609" i="54" s="1"/>
  <c r="T610" i="54" s="1"/>
  <c r="U610" i="54" s="1"/>
  <c r="T611" i="54" s="1"/>
  <c r="U611" i="54" s="1"/>
  <c r="T612" i="54" s="1"/>
  <c r="U612" i="54" s="1"/>
  <c r="T613" i="54" s="1"/>
  <c r="U613" i="54" s="1"/>
  <c r="T614" i="54" s="1"/>
  <c r="U614" i="54" s="1"/>
  <c r="T615" i="54" s="1"/>
  <c r="U615" i="54" s="1"/>
  <c r="T603" i="52"/>
  <c r="U603" i="52" s="1"/>
  <c r="T604" i="52" s="1"/>
  <c r="U604" i="52" s="1"/>
  <c r="T605" i="52" s="1"/>
  <c r="U605" i="52" s="1"/>
  <c r="T606" i="52" s="1"/>
  <c r="U606" i="52" s="1"/>
  <c r="T607" i="52" s="1"/>
  <c r="U607" i="52" s="1"/>
  <c r="T608" i="52" s="1"/>
  <c r="U608" i="52" s="1"/>
  <c r="T609" i="52" s="1"/>
  <c r="U609" i="52" s="1"/>
  <c r="T610" i="52" s="1"/>
  <c r="U610" i="52" s="1"/>
  <c r="T611" i="52" s="1"/>
  <c r="U611" i="52" s="1"/>
  <c r="T612" i="52" s="1"/>
  <c r="U612" i="52" s="1"/>
  <c r="T613" i="52" s="1"/>
  <c r="U613" i="52" s="1"/>
  <c r="T614" i="52" s="1"/>
  <c r="U614" i="52" s="1"/>
  <c r="T615" i="52" s="1"/>
  <c r="U615" i="52" s="1"/>
  <c r="P602" i="52" s="1"/>
  <c r="C644" i="52" s="1"/>
  <c r="O643" i="52" s="1"/>
  <c r="R643" i="52" s="1"/>
  <c r="C14" i="60" s="1"/>
  <c r="C21" i="46" l="1"/>
  <c r="J21" i="46" s="1"/>
  <c r="I25" i="46"/>
  <c r="P25" i="46" s="1"/>
  <c r="J20" i="46"/>
  <c r="C36" i="60"/>
  <c r="Q35" i="60"/>
  <c r="Q34" i="60"/>
  <c r="P602" i="54"/>
  <c r="C644" i="54" s="1"/>
  <c r="O643" i="54" s="1"/>
  <c r="R643" i="54" s="1"/>
  <c r="C7" i="60" s="1"/>
  <c r="C630" i="52"/>
  <c r="S630" i="52" s="1"/>
  <c r="T630" i="52" s="1"/>
  <c r="I630" i="52" s="1"/>
  <c r="C11" i="39" s="1"/>
  <c r="S11" i="39" s="1"/>
  <c r="N14" i="60"/>
  <c r="K14" i="60"/>
  <c r="H644" i="52"/>
  <c r="O644" i="52" s="1"/>
  <c r="R644" i="52"/>
  <c r="C13" i="60" s="1"/>
  <c r="B22" i="46" l="1"/>
  <c r="I26" i="46"/>
  <c r="P26" i="46" s="1"/>
  <c r="U21" i="46"/>
  <c r="V21" i="46" s="1"/>
  <c r="U20" i="46"/>
  <c r="V20" i="46" s="1"/>
  <c r="N36" i="60"/>
  <c r="K36" i="60"/>
  <c r="I629" i="52"/>
  <c r="C12" i="39" s="1"/>
  <c r="S12" i="39" s="1"/>
  <c r="Q14" i="60"/>
  <c r="C630" i="54"/>
  <c r="S630" i="54" s="1"/>
  <c r="T630" i="54" s="1"/>
  <c r="I630" i="54" s="1"/>
  <c r="C4" i="39" s="1"/>
  <c r="S4" i="39" s="1"/>
  <c r="K13" i="60"/>
  <c r="N13" i="60"/>
  <c r="K7" i="60"/>
  <c r="N7" i="60"/>
  <c r="H644" i="54"/>
  <c r="O644" i="54" s="1"/>
  <c r="R644" i="54" s="1"/>
  <c r="C6" i="60" s="1"/>
  <c r="W20" i="46" l="1"/>
  <c r="X20" i="46" s="1"/>
  <c r="J22" i="46" s="1"/>
  <c r="P22" i="46" s="1"/>
  <c r="I27" i="46"/>
  <c r="P27" i="46"/>
  <c r="I28" i="46" s="1"/>
  <c r="P28" i="46" s="1"/>
  <c r="I29" i="46" s="1"/>
  <c r="P29" i="46" s="1"/>
  <c r="Q36" i="60"/>
  <c r="I629" i="54"/>
  <c r="C5" i="39" s="1"/>
  <c r="S5" i="39" s="1"/>
  <c r="Q13" i="60"/>
  <c r="Q7" i="60"/>
  <c r="N6" i="60"/>
  <c r="K6" i="60"/>
  <c r="P30" i="46" l="1"/>
  <c r="S24" i="46"/>
  <c r="C32" i="39" s="1"/>
  <c r="S32" i="39" s="1"/>
  <c r="S25" i="46"/>
  <c r="S28" i="46"/>
  <c r="B30" i="46" s="1"/>
  <c r="Q6" i="60"/>
  <c r="R25" i="46" l="1"/>
  <c r="R32" i="39" s="1"/>
  <c r="R31" i="39"/>
  <c r="B32" i="39" s="1"/>
  <c r="Z58" i="50"/>
  <c r="Z59" i="50" l="1"/>
  <c r="Z57" i="50"/>
  <c r="AA57" i="50" s="1"/>
  <c r="AB57" i="50" s="1"/>
  <c r="AA58" i="50" l="1"/>
  <c r="AB58" i="50" s="1"/>
  <c r="P59" i="50" l="1"/>
  <c r="E74" i="50" s="1"/>
  <c r="W74" i="50" s="1"/>
  <c r="J74" i="50" s="1"/>
  <c r="S74" i="50" s="1"/>
  <c r="L77" i="50" l="1"/>
  <c r="T74" i="50"/>
  <c r="T73" i="50"/>
  <c r="T77" i="50"/>
  <c r="T80" i="50"/>
  <c r="T79" i="50"/>
  <c r="T75" i="50"/>
  <c r="T76" i="50"/>
  <c r="T78" i="50"/>
  <c r="U73" i="50" l="1"/>
  <c r="V73" i="50" s="1"/>
  <c r="U74" i="50" s="1"/>
  <c r="V74" i="50" s="1"/>
  <c r="U75" i="50" s="1"/>
  <c r="V75" i="50" s="1"/>
  <c r="U76" i="50" s="1"/>
  <c r="V76" i="50" s="1"/>
  <c r="U77" i="50" s="1"/>
  <c r="V77" i="50" s="1"/>
  <c r="U78" i="50" s="1"/>
  <c r="V78" i="50" s="1"/>
  <c r="U79" i="50" s="1"/>
  <c r="V79" i="50" s="1"/>
  <c r="P72" i="50" s="1"/>
  <c r="C493" i="50" l="1"/>
  <c r="C479" i="50"/>
  <c r="S479" i="50" l="1"/>
  <c r="T479" i="50" s="1"/>
  <c r="R493" i="50"/>
  <c r="C23" i="60" s="1"/>
  <c r="H493" i="50"/>
  <c r="N23" i="60" l="1"/>
  <c r="K23" i="60"/>
  <c r="Q23" i="60" l="1"/>
  <c r="E352" i="50" l="1"/>
  <c r="Y352" i="50" s="1"/>
  <c r="J352" i="50" s="1"/>
  <c r="S352" i="50" s="1"/>
  <c r="R269" i="50" l="1"/>
  <c r="W341" i="50"/>
  <c r="W347" i="50" s="1"/>
  <c r="L361" i="50" s="1"/>
  <c r="C270" i="50" l="1"/>
  <c r="AH49" i="51" s="1"/>
  <c r="AI49" i="51" s="1"/>
  <c r="AJ49" i="51" s="1"/>
  <c r="L270" i="50" s="1"/>
  <c r="C272" i="50"/>
  <c r="AH51" i="51" s="1"/>
  <c r="AI51" i="51" s="1"/>
  <c r="AJ51" i="51" s="1"/>
  <c r="L272" i="50" s="1"/>
  <c r="C271" i="50"/>
  <c r="AH50" i="51" s="1"/>
  <c r="AI50" i="51" s="1"/>
  <c r="AJ50" i="51" s="1"/>
  <c r="L271" i="50" s="1"/>
  <c r="C273" i="50"/>
  <c r="AH52" i="51" s="1"/>
  <c r="AI52" i="51" s="1"/>
  <c r="AJ52" i="51" s="1"/>
  <c r="L273" i="50" s="1"/>
  <c r="C269" i="50"/>
  <c r="AH48" i="51" s="1"/>
  <c r="AI48" i="51" s="1"/>
  <c r="AJ48" i="51" s="1"/>
  <c r="L269" i="50" s="1"/>
  <c r="P269" i="50" l="1"/>
  <c r="N481" i="50" l="1"/>
  <c r="N482" i="50"/>
  <c r="N479" i="50"/>
  <c r="N480" i="50"/>
  <c r="J482" i="50"/>
  <c r="C24" i="39" s="1"/>
  <c r="S24" i="39" s="1"/>
  <c r="N478" i="50"/>
  <c r="J478" i="50"/>
  <c r="C20" i="39" s="1"/>
  <c r="S20" i="39" s="1"/>
  <c r="J481" i="50"/>
  <c r="C23" i="39" s="1"/>
  <c r="S23" i="39" s="1"/>
  <c r="J479" i="50"/>
  <c r="C21" i="39" s="1"/>
  <c r="S21" i="39" s="1"/>
  <c r="J480" i="50"/>
  <c r="C22" i="39" s="1"/>
  <c r="S22" i="39" s="1"/>
  <c r="E366" i="50"/>
  <c r="U478" i="50" l="1"/>
  <c r="S366" i="50"/>
  <c r="T346" i="50" s="1"/>
  <c r="T363" i="50"/>
  <c r="T366" i="50"/>
  <c r="T347" i="50" l="1"/>
  <c r="T350" i="50"/>
  <c r="T365" i="50"/>
  <c r="T352" i="50"/>
  <c r="T343" i="50"/>
  <c r="T360" i="50"/>
  <c r="T354" i="50"/>
  <c r="T361" i="50"/>
  <c r="T351" i="50"/>
  <c r="T355" i="50"/>
  <c r="T356" i="50"/>
  <c r="T362" i="50"/>
  <c r="T364" i="50"/>
  <c r="T341" i="50"/>
  <c r="T349" i="50"/>
  <c r="T345" i="50"/>
  <c r="T348" i="50"/>
  <c r="T357" i="50"/>
  <c r="T342" i="50"/>
  <c r="T344" i="50"/>
  <c r="T358" i="50"/>
  <c r="T359" i="50"/>
  <c r="T353" i="50"/>
  <c r="U341" i="50" l="1"/>
  <c r="V341" i="50" s="1"/>
  <c r="U342" i="50" s="1"/>
  <c r="V342" i="50" s="1"/>
  <c r="U343" i="50" s="1"/>
  <c r="V343" i="50" s="1"/>
  <c r="U344" i="50" s="1"/>
  <c r="V344" i="50" s="1"/>
  <c r="U345" i="50" s="1"/>
  <c r="V345" i="50" s="1"/>
  <c r="U346" i="50" s="1"/>
  <c r="V346" i="50" s="1"/>
  <c r="U347" i="50" s="1"/>
  <c r="V347" i="50" s="1"/>
  <c r="U348" i="50" s="1"/>
  <c r="V348" i="50" s="1"/>
  <c r="U349" i="50" s="1"/>
  <c r="V349" i="50" s="1"/>
  <c r="U350" i="50" s="1"/>
  <c r="V350" i="50" s="1"/>
  <c r="U351" i="50" s="1"/>
  <c r="V351" i="50" s="1"/>
  <c r="U352" i="50" s="1"/>
  <c r="V352" i="50" s="1"/>
  <c r="U353" i="50" s="1"/>
  <c r="V353" i="50" s="1"/>
  <c r="U354" i="50" s="1"/>
  <c r="V354" i="50" s="1"/>
  <c r="U355" i="50" s="1"/>
  <c r="V355" i="50" s="1"/>
  <c r="U356" i="50" s="1"/>
  <c r="V356" i="50" s="1"/>
  <c r="U357" i="50" s="1"/>
  <c r="V357" i="50" s="1"/>
  <c r="U358" i="50" s="1"/>
  <c r="V358" i="50" s="1"/>
  <c r="U359" i="50" s="1"/>
  <c r="V359" i="50" s="1"/>
  <c r="U360" i="50" s="1"/>
  <c r="V360" i="50" s="1"/>
  <c r="U361" i="50" s="1"/>
  <c r="V361" i="50" s="1"/>
  <c r="U362" i="50" s="1"/>
  <c r="V362" i="50" s="1"/>
  <c r="U363" i="50" s="1"/>
  <c r="V363" i="50" s="1"/>
  <c r="U364" i="50" s="1"/>
  <c r="V364" i="50" s="1"/>
  <c r="U365" i="50" s="1"/>
  <c r="V365" i="50" s="1"/>
  <c r="P340" i="50" s="1"/>
  <c r="C445" i="50" s="1"/>
  <c r="AH68" i="51" s="1"/>
  <c r="AI68" i="51" s="1"/>
  <c r="AJ68" i="51" s="1"/>
  <c r="L445" i="50" s="1"/>
  <c r="P445" i="50" s="1"/>
  <c r="E470" i="50" s="1"/>
  <c r="U479" i="50" l="1"/>
  <c r="U480" i="50" s="1"/>
  <c r="S470" i="50"/>
  <c r="T456" i="50" s="1"/>
  <c r="C497" i="50"/>
  <c r="H497" i="50" s="1"/>
  <c r="C483" i="50"/>
  <c r="S483" i="50" s="1"/>
  <c r="T483" i="50" s="1"/>
  <c r="R497" i="50" l="1"/>
  <c r="C21" i="60" s="1"/>
  <c r="K21" i="60" s="1"/>
  <c r="T450" i="50"/>
  <c r="T468" i="50"/>
  <c r="T469" i="50"/>
  <c r="T459" i="50"/>
  <c r="N483" i="50"/>
  <c r="T466" i="50"/>
  <c r="T451" i="50"/>
  <c r="T465" i="50"/>
  <c r="T460" i="50"/>
  <c r="T463" i="50"/>
  <c r="T449" i="50"/>
  <c r="T462" i="50"/>
  <c r="T448" i="50"/>
  <c r="T453" i="50"/>
  <c r="T455" i="50"/>
  <c r="T467" i="50"/>
  <c r="T457" i="50"/>
  <c r="T454" i="50"/>
  <c r="T464" i="50"/>
  <c r="T461" i="50"/>
  <c r="T458" i="50"/>
  <c r="T470" i="50"/>
  <c r="T452" i="50"/>
  <c r="N21" i="60" l="1"/>
  <c r="U448" i="50"/>
  <c r="V448" i="50" s="1"/>
  <c r="U449" i="50" s="1"/>
  <c r="V449" i="50" s="1"/>
  <c r="U450" i="50" s="1"/>
  <c r="V450" i="50" s="1"/>
  <c r="U451" i="50" s="1"/>
  <c r="V451" i="50" s="1"/>
  <c r="U452" i="50" s="1"/>
  <c r="V452" i="50" s="1"/>
  <c r="U453" i="50" s="1"/>
  <c r="V453" i="50" s="1"/>
  <c r="U454" i="50" s="1"/>
  <c r="V454" i="50" s="1"/>
  <c r="U455" i="50" s="1"/>
  <c r="V455" i="50" s="1"/>
  <c r="U456" i="50" s="1"/>
  <c r="V456" i="50" s="1"/>
  <c r="U457" i="50" s="1"/>
  <c r="V457" i="50" s="1"/>
  <c r="U458" i="50" s="1"/>
  <c r="V458" i="50" s="1"/>
  <c r="U459" i="50" s="1"/>
  <c r="V459" i="50" s="1"/>
  <c r="U460" i="50" s="1"/>
  <c r="V460" i="50" s="1"/>
  <c r="U461" i="50" s="1"/>
  <c r="V461" i="50" s="1"/>
  <c r="U462" i="50" s="1"/>
  <c r="V462" i="50" s="1"/>
  <c r="U463" i="50" s="1"/>
  <c r="V463" i="50" s="1"/>
  <c r="U464" i="50" s="1"/>
  <c r="V464" i="50" s="1"/>
  <c r="U465" i="50" s="1"/>
  <c r="V465" i="50" s="1"/>
  <c r="U466" i="50" s="1"/>
  <c r="V466" i="50" s="1"/>
  <c r="U467" i="50" s="1"/>
  <c r="V467" i="50" s="1"/>
  <c r="U468" i="50" s="1"/>
  <c r="V468" i="50" s="1"/>
  <c r="U469" i="50" s="1"/>
  <c r="V469" i="50" s="1"/>
  <c r="P447" i="50" s="1"/>
  <c r="Q21" i="60"/>
  <c r="R490" i="50" l="1"/>
  <c r="C484" i="50"/>
  <c r="C498" i="50"/>
  <c r="H498" i="50" l="1"/>
  <c r="R498" i="50"/>
  <c r="C20" i="60" s="1"/>
  <c r="S484" i="50"/>
  <c r="T484" i="50" s="1"/>
  <c r="J484" i="50" s="1"/>
  <c r="C18" i="39" s="1"/>
  <c r="S18" i="39" s="1"/>
  <c r="J483" i="50"/>
  <c r="C19" i="39" s="1"/>
  <c r="S19" i="39" s="1"/>
  <c r="T23" i="39" l="1"/>
  <c r="T15" i="39"/>
  <c r="T12" i="39"/>
  <c r="T18" i="39"/>
  <c r="T28" i="39"/>
  <c r="T32" i="39"/>
  <c r="T11" i="39"/>
  <c r="T17" i="39"/>
  <c r="T7" i="39"/>
  <c r="T14" i="39"/>
  <c r="T6" i="39"/>
  <c r="T22" i="39"/>
  <c r="T16" i="39"/>
  <c r="T4" i="39"/>
  <c r="T9" i="39"/>
  <c r="T8" i="39"/>
  <c r="T19" i="39"/>
  <c r="T25" i="39"/>
  <c r="T33" i="39"/>
  <c r="T37" i="39"/>
  <c r="T48" i="39"/>
  <c r="T10" i="39"/>
  <c r="T45" i="39"/>
  <c r="T35" i="39"/>
  <c r="T40" i="39"/>
  <c r="T20" i="39"/>
  <c r="T41" i="39"/>
  <c r="T30" i="39"/>
  <c r="T52" i="39"/>
  <c r="T27" i="39"/>
  <c r="T5" i="39"/>
  <c r="T24" i="39"/>
  <c r="T46" i="39"/>
  <c r="T29" i="39"/>
  <c r="T21" i="39"/>
  <c r="T43" i="39"/>
  <c r="T39" i="39"/>
  <c r="T38" i="39"/>
  <c r="T51" i="39"/>
  <c r="T44" i="39"/>
  <c r="T26" i="39"/>
  <c r="T13" i="39"/>
  <c r="T49" i="39"/>
  <c r="T47" i="39"/>
  <c r="T31" i="39"/>
  <c r="T36" i="39"/>
  <c r="T50" i="39"/>
  <c r="T42" i="39"/>
  <c r="T34" i="39"/>
  <c r="N20" i="60"/>
  <c r="K20" i="60"/>
  <c r="Q20" i="60" l="1"/>
  <c r="Q40" i="60" s="1"/>
  <c r="Q76" i="60" s="1"/>
  <c r="U4" i="39"/>
  <c r="V4" i="39" s="1"/>
  <c r="U5" i="39" s="1"/>
  <c r="V5" i="39" s="1"/>
  <c r="U6" i="39" s="1"/>
  <c r="V6" i="39" s="1"/>
  <c r="U7" i="39" s="1"/>
  <c r="V7" i="39" s="1"/>
  <c r="U8" i="39" s="1"/>
  <c r="V8" i="39" s="1"/>
  <c r="U9" i="39" s="1"/>
  <c r="V9" i="39" s="1"/>
  <c r="U10" i="39" s="1"/>
  <c r="V10" i="39" s="1"/>
  <c r="U11" i="39" s="1"/>
  <c r="V11" i="39" s="1"/>
  <c r="U12" i="39" s="1"/>
  <c r="V12" i="39" s="1"/>
  <c r="U13" i="39" s="1"/>
  <c r="V13" i="39" s="1"/>
  <c r="U14" i="39" s="1"/>
  <c r="V14" i="39" s="1"/>
  <c r="U15" i="39" s="1"/>
  <c r="V15" i="39" s="1"/>
  <c r="U16" i="39" s="1"/>
  <c r="V16" i="39" s="1"/>
  <c r="U17" i="39" s="1"/>
  <c r="V17" i="39" s="1"/>
  <c r="U18" i="39" s="1"/>
  <c r="V18" i="39" s="1"/>
  <c r="U19" i="39" s="1"/>
  <c r="V19" i="39" s="1"/>
  <c r="U20" i="39" s="1"/>
  <c r="V20" i="39" s="1"/>
  <c r="U21" i="39" s="1"/>
  <c r="V21" i="39" s="1"/>
  <c r="U22" i="39" s="1"/>
  <c r="V22" i="39" s="1"/>
  <c r="U23" i="39" s="1"/>
  <c r="V23" i="39" s="1"/>
  <c r="U24" i="39" s="1"/>
  <c r="V24" i="39" s="1"/>
  <c r="U25" i="39" s="1"/>
  <c r="V25" i="39" s="1"/>
  <c r="U26" i="39" s="1"/>
  <c r="V26" i="39" s="1"/>
  <c r="U27" i="39" s="1"/>
  <c r="V27" i="39" s="1"/>
  <c r="U28" i="39" s="1"/>
  <c r="V28" i="39" s="1"/>
  <c r="U29" i="39" s="1"/>
  <c r="V29" i="39" s="1"/>
  <c r="U30" i="39" s="1"/>
  <c r="V30" i="39" s="1"/>
  <c r="U31" i="39" s="1"/>
  <c r="V31" i="39" s="1"/>
  <c r="U32" i="39" s="1"/>
  <c r="V32" i="39" s="1"/>
  <c r="U33" i="39" s="1"/>
  <c r="V33" i="39" s="1"/>
  <c r="U34" i="39" s="1"/>
  <c r="V34" i="39" s="1"/>
  <c r="U35" i="39" s="1"/>
  <c r="V35" i="39" s="1"/>
  <c r="U36" i="39" s="1"/>
  <c r="V36" i="39" s="1"/>
  <c r="U37" i="39" s="1"/>
  <c r="V37" i="39" s="1"/>
  <c r="U38" i="39" s="1"/>
  <c r="V38" i="39" s="1"/>
  <c r="U39" i="39" s="1"/>
  <c r="V39" i="39" s="1"/>
  <c r="U40" i="39" s="1"/>
  <c r="V40" i="39" s="1"/>
  <c r="U41" i="39" s="1"/>
  <c r="V41" i="39" s="1"/>
  <c r="U42" i="39" s="1"/>
  <c r="V42" i="39" s="1"/>
  <c r="U43" i="39" s="1"/>
  <c r="V43" i="39" s="1"/>
  <c r="U44" i="39" s="1"/>
  <c r="V44" i="39" s="1"/>
  <c r="U45" i="39" s="1"/>
  <c r="V45" i="39" s="1"/>
  <c r="U46" i="39" s="1"/>
  <c r="V46" i="39" s="1"/>
  <c r="U47" i="39" s="1"/>
  <c r="V47" i="39" s="1"/>
  <c r="U48" i="39" s="1"/>
  <c r="V48" i="39" s="1"/>
  <c r="U49" i="39" s="1"/>
  <c r="V49" i="39" s="1"/>
  <c r="U50" i="39" s="1"/>
  <c r="V50" i="39" s="1"/>
  <c r="U51" i="39" s="1"/>
  <c r="V51" i="39" s="1"/>
  <c r="C53" i="39" s="1"/>
  <c r="G15" i="39" l="1"/>
  <c r="N23" i="39"/>
  <c r="N20" i="39"/>
  <c r="P16" i="39"/>
  <c r="P15" i="39"/>
  <c r="G33" i="39"/>
  <c r="G21" i="39"/>
  <c r="G20" i="39"/>
  <c r="G16" i="39"/>
  <c r="G22" i="39"/>
  <c r="P33" i="39"/>
  <c r="P14" i="39"/>
  <c r="G27" i="39"/>
  <c r="N39" i="39"/>
  <c r="P40" i="39" s="1"/>
  <c r="P24" i="39" l="1"/>
  <c r="P25" i="39"/>
  <c r="P26" i="39" l="1"/>
  <c r="P31" i="39" s="1"/>
  <c r="P36" i="39" s="1"/>
  <c r="P41" i="3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Y2" authorId="0" shapeId="0" xr:uid="{00000000-0006-0000-0100-000001000000}">
      <text>
        <r>
          <rPr>
            <b/>
            <sz val="9"/>
            <color indexed="81"/>
            <rFont val="Tahoma"/>
            <family val="2"/>
          </rPr>
          <t>Fred Bruyns:</t>
        </r>
        <r>
          <rPr>
            <sz val="9"/>
            <color indexed="81"/>
            <rFont val="Tahoma"/>
            <family val="2"/>
          </rPr>
          <t xml:space="preserve">
Programming note: Error message for missing date of injury on "Start here" worksheet.</t>
        </r>
      </text>
    </comment>
    <comment ref="B3" authorId="0" shapeId="0" xr:uid="{00000000-0006-0000-0100-000002000000}">
      <text>
        <r>
          <rPr>
            <b/>
            <sz val="9"/>
            <color indexed="81"/>
            <rFont val="Tahoma"/>
            <family val="2"/>
          </rPr>
          <t>Fred Bruyns:</t>
        </r>
        <r>
          <rPr>
            <sz val="9"/>
            <color indexed="81"/>
            <rFont val="Tahoma"/>
            <family val="2"/>
          </rPr>
          <t xml:space="preserve">
Programming note: The correct title of the sheet displays unless the date of injury is missing on the "Start here" worksheet or the date of injury is before 2005.</t>
        </r>
      </text>
    </comment>
    <comment ref="R3" authorId="0" shapeId="0" xr:uid="{00000000-0006-0000-0100-000003000000}">
      <text>
        <r>
          <rPr>
            <b/>
            <sz val="9"/>
            <color indexed="81"/>
            <rFont val="Tahoma"/>
            <family val="2"/>
          </rPr>
          <t>Fred Bruyns:</t>
        </r>
        <r>
          <rPr>
            <sz val="9"/>
            <color indexed="81"/>
            <rFont val="Tahoma"/>
            <family val="2"/>
          </rPr>
          <t xml:space="preserve">
This date is used in a formula to determine what return / release-to-work questions to ask. The questions for dates of injury in 2005 are different from questions asked for dates of injury on and after 1/1/2006. See Enrolled House Bill 2408 (2005).</t>
        </r>
      </text>
    </comment>
    <comment ref="S3" authorId="0" shapeId="0" xr:uid="{00000000-0006-0000-0100-000004000000}">
      <text>
        <r>
          <rPr>
            <b/>
            <sz val="9"/>
            <color indexed="81"/>
            <rFont val="Tahoma"/>
            <family val="2"/>
          </rPr>
          <t>Fred Bruyns:</t>
        </r>
        <r>
          <rPr>
            <sz val="9"/>
            <color indexed="81"/>
            <rFont val="Tahoma"/>
            <family val="2"/>
          </rPr>
          <t xml:space="preserve">
Programming note: This column has impairment values carried in from column C.</t>
        </r>
      </text>
    </comment>
    <comment ref="T3" authorId="0" shapeId="0" xr:uid="{00000000-0006-0000-0100-000005000000}">
      <text>
        <r>
          <rPr>
            <b/>
            <sz val="9"/>
            <color indexed="81"/>
            <rFont val="Tahoma"/>
            <family val="2"/>
          </rPr>
          <t>Fred Bruyns:</t>
        </r>
        <r>
          <rPr>
            <sz val="9"/>
            <color indexed="81"/>
            <rFont val="Tahoma"/>
            <family val="2"/>
          </rPr>
          <t xml:space="preserve">
Programming note: Formulas in this column sort the impairment values from largest to smallest.</t>
        </r>
      </text>
    </comment>
    <comment ref="U3" authorId="0" shapeId="0" xr:uid="{00000000-0006-0000-0100-000006000000}">
      <text>
        <r>
          <rPr>
            <b/>
            <sz val="9"/>
            <color indexed="81"/>
            <rFont val="Tahoma"/>
            <family val="2"/>
          </rPr>
          <t>Fred Bruyns:</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 authorId="0" shapeId="0" xr:uid="{00000000-0006-0000-0100-000007000000}">
      <text>
        <r>
          <rPr>
            <b/>
            <sz val="9"/>
            <color indexed="81"/>
            <rFont val="Tahoma"/>
            <family val="2"/>
          </rPr>
          <t>Fred Bruyns:</t>
        </r>
        <r>
          <rPr>
            <sz val="9"/>
            <color indexed="81"/>
            <rFont val="Tahoma"/>
            <family val="2"/>
          </rPr>
          <t xml:space="preserve">
Programming note: Combined values at left are rounded in this column. The value at the bottom of the column is the total impairment value.</t>
        </r>
      </text>
    </comment>
    <comment ref="Y3" authorId="0" shapeId="0" xr:uid="{00000000-0006-0000-0100-000008000000}">
      <text>
        <r>
          <rPr>
            <b/>
            <sz val="9"/>
            <color indexed="81"/>
            <rFont val="Tahoma"/>
            <family val="2"/>
          </rPr>
          <t>Fred Bruyns:</t>
        </r>
        <r>
          <rPr>
            <sz val="9"/>
            <color indexed="81"/>
            <rFont val="Tahoma"/>
            <family val="2"/>
          </rPr>
          <t xml:space="preserve">
Programming note: This title will display if date of injury is on "Start here" worksheet and is on or after 1/1/2005.</t>
        </r>
      </text>
    </comment>
    <comment ref="R4" authorId="0" shapeId="0" xr:uid="{00000000-0006-0000-0100-000009000000}">
      <text>
        <r>
          <rPr>
            <b/>
            <sz val="9"/>
            <color indexed="81"/>
            <rFont val="Tahoma"/>
            <family val="2"/>
          </rPr>
          <t>Fred Bruyns:</t>
        </r>
        <r>
          <rPr>
            <sz val="9"/>
            <color indexed="81"/>
            <rFont val="Tahoma"/>
            <family val="2"/>
          </rPr>
          <t xml:space="preserve">
This date, 1/1/2005, is used in a formula to determine which title to print on this sheet. If the date of injury is before this date, users should complete "PPD DOI before 2005."</t>
        </r>
      </text>
    </comment>
    <comment ref="Y4" authorId="0" shapeId="0" xr:uid="{00000000-0006-0000-0100-00000A000000}">
      <text>
        <r>
          <rPr>
            <b/>
            <sz val="9"/>
            <color indexed="81"/>
            <rFont val="Tahoma"/>
            <family val="2"/>
          </rPr>
          <t>Fred Bruyns:</t>
        </r>
        <r>
          <rPr>
            <sz val="9"/>
            <color indexed="81"/>
            <rFont val="Tahoma"/>
            <family val="2"/>
          </rPr>
          <t xml:space="preserve">
Programming note: This will display as title if date of injury on "Start here" worksheet is before 1/1/2005.</t>
        </r>
      </text>
    </comment>
    <comment ref="H5" authorId="0" shapeId="0" xr:uid="{00000000-0006-0000-0100-00000B000000}">
      <text>
        <r>
          <rPr>
            <b/>
            <sz val="9"/>
            <color indexed="81"/>
            <rFont val="Tahoma"/>
            <family val="2"/>
          </rPr>
          <t>Fred Bruyns:</t>
        </r>
        <r>
          <rPr>
            <sz val="9"/>
            <color indexed="81"/>
            <rFont val="Tahoma"/>
            <family val="2"/>
          </rPr>
          <t xml:space="preserve">
Programming note: Programming note: These return &amp; release to work statements are different for dates of injury before and after 1/1/2006. A statute change was effective 1/1/2006 - see Enrolled House Bill 2408 (2005).</t>
        </r>
      </text>
    </comment>
    <comment ref="R5" authorId="0" shapeId="0" xr:uid="{00000000-0006-0000-0100-00000C000000}">
      <text>
        <r>
          <rPr>
            <b/>
            <sz val="9"/>
            <color indexed="81"/>
            <rFont val="Tahoma"/>
            <family val="2"/>
          </rPr>
          <t>Fred Bruyns:</t>
        </r>
        <r>
          <rPr>
            <sz val="9"/>
            <color indexed="81"/>
            <rFont val="Tahoma"/>
            <family val="2"/>
          </rPr>
          <t xml:space="preserve">
TRUE if checkbox is checked; FALSE if not checked.</t>
        </r>
      </text>
    </comment>
    <comment ref="Y5" authorId="0" shapeId="0" xr:uid="{00000000-0006-0000-0100-00000D000000}">
      <text>
        <r>
          <rPr>
            <b/>
            <sz val="9"/>
            <color indexed="81"/>
            <rFont val="Tahoma"/>
            <family val="2"/>
          </rPr>
          <t>Fred Bruyns:</t>
        </r>
        <r>
          <rPr>
            <sz val="9"/>
            <color indexed="81"/>
            <rFont val="Tahoma"/>
            <family val="2"/>
          </rPr>
          <t xml:space="preserve">
Programming note: This message will display with social/vocational data if the date of injury is not entered on the "Start here" worksheet.</t>
        </r>
      </text>
    </comment>
    <comment ref="R6" authorId="0" shapeId="0" xr:uid="{00000000-0006-0000-0100-00000E000000}">
      <text>
        <r>
          <rPr>
            <b/>
            <sz val="9"/>
            <color indexed="81"/>
            <rFont val="Tahoma"/>
            <family val="2"/>
          </rPr>
          <t>Fred Bruyns:</t>
        </r>
        <r>
          <rPr>
            <sz val="9"/>
            <color indexed="81"/>
            <rFont val="Tahoma"/>
            <family val="2"/>
          </rPr>
          <t xml:space="preserve">
TRUE if checkbox is checked; FALSE if not checked.</t>
        </r>
      </text>
    </comment>
    <comment ref="Y6" authorId="0" shapeId="0" xr:uid="{00000000-0006-0000-0100-00000F000000}">
      <text>
        <r>
          <rPr>
            <b/>
            <sz val="9"/>
            <color indexed="81"/>
            <rFont val="Tahoma"/>
            <family val="2"/>
          </rPr>
          <t>Fred Bruyns:</t>
        </r>
        <r>
          <rPr>
            <sz val="9"/>
            <color indexed="81"/>
            <rFont val="Tahoma"/>
            <family val="2"/>
          </rPr>
          <t xml:space="preserve">
Programming note: This message will display with social/vocational data if the date of issuance on the "Start here" worksheet precedes the date of injury there.</t>
        </r>
      </text>
    </comment>
    <comment ref="R7" authorId="0" shapeId="0" xr:uid="{00000000-0006-0000-0100-000010000000}">
      <text>
        <r>
          <rPr>
            <b/>
            <sz val="9"/>
            <color indexed="81"/>
            <rFont val="Tahoma"/>
            <family val="2"/>
          </rPr>
          <t>Fred Bruyns:</t>
        </r>
        <r>
          <rPr>
            <sz val="9"/>
            <color indexed="81"/>
            <rFont val="Tahoma"/>
            <family val="2"/>
          </rPr>
          <t xml:space="preserve">
TRUE if checkbox is checked; FALSE if not checked.</t>
        </r>
      </text>
    </comment>
    <comment ref="Y7" authorId="0" shapeId="0" xr:uid="{00000000-0006-0000-0100-000011000000}">
      <text>
        <r>
          <rPr>
            <b/>
            <sz val="9"/>
            <color indexed="81"/>
            <rFont val="Tahoma"/>
            <family val="2"/>
          </rPr>
          <t>Fred Bruyns:</t>
        </r>
        <r>
          <rPr>
            <sz val="9"/>
            <color indexed="81"/>
            <rFont val="Tahoma"/>
            <family val="2"/>
          </rPr>
          <t xml:space="preserve">
Programming note: This message is displayed below the return/release section of the sheet if the box is checked next to "The worker was not released and has not returned to regular work at the job held at the tiime of injury."</t>
        </r>
      </text>
    </comment>
    <comment ref="R8" authorId="0" shapeId="0" xr:uid="{00000000-0006-0000-0100-000012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8" authorId="0" shapeId="0" xr:uid="{00000000-0006-0000-0100-000013000000}">
      <text>
        <r>
          <rPr>
            <b/>
            <sz val="9"/>
            <color indexed="81"/>
            <rFont val="Tahoma"/>
            <family val="2"/>
          </rPr>
          <t>Fred Bruyns:</t>
        </r>
        <r>
          <rPr>
            <sz val="9"/>
            <color indexed="81"/>
            <rFont val="Tahoma"/>
            <family val="2"/>
          </rPr>
          <t xml:space="preserve">
Programming note: This message is displayed below the return to work section of the sheet if either box is checked for "The worker was released to regular work" or "The worker returned to regular work at the job held at the time of injury."</t>
        </r>
      </text>
    </comment>
    <comment ref="G9" authorId="0" shapeId="0" xr:uid="{00000000-0006-0000-0100-000014000000}">
      <text>
        <r>
          <rPr>
            <b/>
            <sz val="9"/>
            <color indexed="81"/>
            <rFont val="Tahoma"/>
            <family val="2"/>
          </rPr>
          <t>Fred Bruyns:</t>
        </r>
        <r>
          <rPr>
            <sz val="9"/>
            <color indexed="81"/>
            <rFont val="Tahoma"/>
            <family val="2"/>
          </rPr>
          <t xml:space="preserve">
Programming note: Different messages display about missing release/return data, conflicting data, or the effects of the types of release or return to work shown - see notes about display text in hidden columns at the right.</t>
        </r>
      </text>
    </comment>
    <comment ref="R9" authorId="0" shapeId="0" xr:uid="{00000000-0006-0000-0100-000015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9" authorId="0" shapeId="0" xr:uid="{00000000-0006-0000-0100-000016000000}">
      <text>
        <r>
          <rPr>
            <b/>
            <sz val="9"/>
            <color indexed="81"/>
            <rFont val="Tahoma"/>
            <family val="2"/>
          </rPr>
          <t>Fred Bruyns:</t>
        </r>
        <r>
          <rPr>
            <sz val="9"/>
            <color indexed="81"/>
            <rFont val="Tahoma"/>
            <family val="2"/>
          </rPr>
          <t xml:space="preserve">
Programming note: This message will display with the social/vocational data if the worker is not released to and has not returned to regular work.</t>
        </r>
      </text>
    </comment>
    <comment ref="R10" authorId="0" shapeId="0" xr:uid="{00000000-0006-0000-0100-000017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10" authorId="0" shapeId="0" xr:uid="{00000000-0006-0000-0100-000018000000}">
      <text>
        <r>
          <rPr>
            <b/>
            <sz val="9"/>
            <color indexed="81"/>
            <rFont val="Tahoma"/>
            <family val="2"/>
          </rPr>
          <t>Fred Bruyns:</t>
        </r>
        <r>
          <rPr>
            <sz val="9"/>
            <color indexed="81"/>
            <rFont val="Tahoma"/>
            <family val="2"/>
          </rPr>
          <t xml:space="preserve">
Programming note: These return &amp; release to work statements are applicable for dates of injury 1/1/2005 through 12/31/2005. A statute change was effective 1/1/2006.</t>
        </r>
      </text>
    </comment>
    <comment ref="R11" authorId="0" shapeId="0" xr:uid="{00000000-0006-0000-0100-000019000000}">
      <text>
        <r>
          <rPr>
            <b/>
            <sz val="9"/>
            <color indexed="81"/>
            <rFont val="Tahoma"/>
            <family val="2"/>
          </rPr>
          <t>Fred Bruyns:</t>
        </r>
        <r>
          <rPr>
            <sz val="9"/>
            <color indexed="81"/>
            <rFont val="Tahoma"/>
            <family val="2"/>
          </rPr>
          <t xml:space="preserve">
"1" (or more) means at least one of the return/release checkboxes is checked (the worker has returned or is released to regular work).</t>
        </r>
      </text>
    </comment>
    <comment ref="Y11" authorId="0" shapeId="0" xr:uid="{00000000-0006-0000-0100-00001A000000}">
      <text>
        <r>
          <rPr>
            <b/>
            <sz val="9"/>
            <color indexed="81"/>
            <rFont val="Tahoma"/>
            <family val="2"/>
          </rPr>
          <t>Fred Bruyns:</t>
        </r>
        <r>
          <rPr>
            <sz val="9"/>
            <color indexed="81"/>
            <rFont val="Tahoma"/>
            <family val="2"/>
          </rPr>
          <t xml:space="preserve">
Programming note: These return &amp; release to work statements are applicable for dates of injury or or after 1/1/2006.</t>
        </r>
      </text>
    </comment>
    <comment ref="N14" authorId="0" shapeId="0" xr:uid="{00000000-0006-0000-0100-00001B000000}">
      <text>
        <r>
          <rPr>
            <b/>
            <sz val="9"/>
            <color indexed="81"/>
            <rFont val="Tahoma"/>
            <family val="2"/>
          </rPr>
          <t>Fred Bruyns:</t>
        </r>
        <r>
          <rPr>
            <sz val="9"/>
            <color indexed="81"/>
            <rFont val="Tahoma"/>
            <family val="2"/>
          </rPr>
          <t xml:space="preserve">
Programming note: Displays age if worker is not released and has not returned to regular work, but only if either age or date of birth are entered on "Start here" worksheet. If date of birth (only) is entered, date of issuance must be entered on "Start here" for calculation of age at issuance.</t>
        </r>
      </text>
    </comment>
    <comment ref="P14" authorId="0" shapeId="0" xr:uid="{00000000-0006-0000-0100-00001C000000}">
      <text>
        <r>
          <rPr>
            <b/>
            <sz val="9"/>
            <color indexed="81"/>
            <rFont val="Tahoma"/>
            <family val="2"/>
          </rPr>
          <t>Fred Bruyns:</t>
        </r>
        <r>
          <rPr>
            <sz val="9"/>
            <color indexed="81"/>
            <rFont val="Tahoma"/>
            <family val="2"/>
          </rPr>
          <t xml:space="preserve">
Programming note: Displays social/vocational value of "1" if the worker is age 40 or above. Will not display if worker has returned or has been released to regular work, if age field to left does not display age, or if worker has no PPD.</t>
        </r>
      </text>
    </comment>
    <comment ref="Y14" authorId="0" shapeId="0" xr:uid="{00000000-0006-0000-0100-00001D000000}">
      <text>
        <r>
          <rPr>
            <b/>
            <sz val="9"/>
            <color indexed="81"/>
            <rFont val="Tahoma"/>
            <family val="2"/>
          </rPr>
          <t>Fred Bruyns:</t>
        </r>
        <r>
          <rPr>
            <sz val="9"/>
            <color indexed="81"/>
            <rFont val="Tahoma"/>
            <family val="2"/>
          </rPr>
          <t xml:space="preserve">
Programming note: This formula results in "1" if boxes are checked indicating the worker was released or returned to regular work and also that the worker was not released or returned to regular work. "1" results in an error message - see below.</t>
        </r>
      </text>
    </comment>
    <comment ref="P15" authorId="0" shapeId="0" xr:uid="{00000000-0006-0000-0100-00001E000000}">
      <text>
        <r>
          <rPr>
            <b/>
            <sz val="9"/>
            <color indexed="81"/>
            <rFont val="Tahoma"/>
            <family val="2"/>
          </rPr>
          <t>Fred Bruyns:</t>
        </r>
        <r>
          <rPr>
            <sz val="9"/>
            <color indexed="81"/>
            <rFont val="Tahoma"/>
            <family val="2"/>
          </rPr>
          <t xml:space="preserve">
Programming note: Displays social/vocational value of "1" if the formal education is entered (at left) as "No HS Diploma/GED." Will not display if worker has been released or has returned to regular work or if worker has no PPD.</t>
        </r>
      </text>
    </comment>
    <comment ref="Y15" authorId="0" shapeId="0" xr:uid="{00000000-0006-0000-0100-00001F000000}">
      <text>
        <r>
          <rPr>
            <b/>
            <sz val="9"/>
            <color indexed="81"/>
            <rFont val="Tahoma"/>
            <family val="2"/>
          </rPr>
          <t>Fred Bruyns:</t>
        </r>
        <r>
          <rPr>
            <sz val="9"/>
            <color indexed="81"/>
            <rFont val="Tahoma"/>
            <family val="2"/>
          </rPr>
          <t xml:space="preserve">
Programming note: This error message displays below the return-to-work / release-to-work check boxes if the checkboxes are in conflict.</t>
        </r>
      </text>
    </comment>
    <comment ref="P16" authorId="0" shapeId="0" xr:uid="{00000000-0006-0000-0100-000020000000}">
      <text>
        <r>
          <rPr>
            <b/>
            <sz val="9"/>
            <color indexed="81"/>
            <rFont val="Tahoma"/>
            <family val="2"/>
          </rPr>
          <t>Fred Bruyns:</t>
        </r>
        <r>
          <rPr>
            <sz val="9"/>
            <color indexed="81"/>
            <rFont val="Tahoma"/>
            <family val="2"/>
          </rPr>
          <t xml:space="preserve">
Programming note: Based on entry at left, using chart (hidden) below sheet, displays 1, 2, 3, or 4. Will not display if the worker has been released or has returned to regular work of if there is no PPD.</t>
        </r>
      </text>
    </comment>
    <comment ref="Y16" authorId="0" shapeId="0" xr:uid="{00000000-0006-0000-0100-000021000000}">
      <text>
        <r>
          <rPr>
            <b/>
            <sz val="9"/>
            <color indexed="81"/>
            <rFont val="Tahoma"/>
            <family val="2"/>
          </rPr>
          <t>Fred Bruyns:</t>
        </r>
        <r>
          <rPr>
            <sz val="9"/>
            <color indexed="81"/>
            <rFont val="Tahoma"/>
            <family val="2"/>
          </rPr>
          <t xml:space="preserve">
Programming note: "1" means no return-to-work or release-to-work checkboxes have been checked. See error messages below.</t>
        </r>
      </text>
    </comment>
    <comment ref="G17" authorId="0" shapeId="0" xr:uid="{00000000-0006-0000-0100-000022000000}">
      <text>
        <r>
          <rPr>
            <b/>
            <sz val="9"/>
            <color indexed="81"/>
            <rFont val="Tahoma"/>
            <family val="2"/>
          </rPr>
          <t>Fred Bruyns:</t>
        </r>
        <r>
          <rPr>
            <sz val="9"/>
            <color indexed="81"/>
            <rFont val="Tahoma"/>
            <family val="2"/>
          </rPr>
          <t xml:space="preserve">
Programming note: Displays instructions to compare adaptability information unless release/return to work data is missing or if the worker is released or has returned to regular work.  See notes about display text in hidden columns at the right.</t>
        </r>
      </text>
    </comment>
    <comment ref="Y17" authorId="0" shapeId="0" xr:uid="{00000000-0006-0000-0100-000023000000}">
      <text>
        <r>
          <rPr>
            <b/>
            <sz val="9"/>
            <color indexed="81"/>
            <rFont val="Tahoma"/>
            <family val="2"/>
          </rPr>
          <t>Fred Bruyns:</t>
        </r>
        <r>
          <rPr>
            <sz val="9"/>
            <color indexed="81"/>
            <rFont val="Tahoma"/>
            <family val="2"/>
          </rPr>
          <t xml:space="preserve">
Programming note: This message displays below the release-to-work / return-to-work checkboxes if no boxes are checked.</t>
        </r>
      </text>
    </comment>
    <comment ref="Y18" authorId="0" shapeId="0" xr:uid="{00000000-0006-0000-0100-000024000000}">
      <text>
        <r>
          <rPr>
            <b/>
            <sz val="9"/>
            <color indexed="81"/>
            <rFont val="Tahoma"/>
            <family val="2"/>
          </rPr>
          <t>Fred Bruyns:</t>
        </r>
        <r>
          <rPr>
            <sz val="9"/>
            <color indexed="81"/>
            <rFont val="Tahoma"/>
            <family val="2"/>
          </rPr>
          <t xml:space="preserve">
Programming note: This message displays in many fields if no checkboxes are checked in the return-to-work / release-to-work section.</t>
        </r>
      </text>
    </comment>
    <comment ref="N20" authorId="0" shapeId="0" xr:uid="{00000000-0006-0000-0100-000025000000}">
      <text>
        <r>
          <rPr>
            <b/>
            <sz val="9"/>
            <color indexed="81"/>
            <rFont val="Tahoma"/>
            <family val="2"/>
          </rPr>
          <t>Fred Bruyns:</t>
        </r>
        <r>
          <rPr>
            <sz val="9"/>
            <color indexed="81"/>
            <rFont val="Tahoma"/>
            <family val="2"/>
          </rPr>
          <t xml:space="preserve">
Programming note: Based on amount of impairment, using chart (hidden) below sheet, displays value from 1 through 7. Will not display if the worker has been released or has returned to regular work of if there is no PPD.</t>
        </r>
      </text>
    </comment>
    <comment ref="R21" authorId="0" shapeId="0" xr:uid="{00000000-0006-0000-0100-000026000000}">
      <text>
        <r>
          <rPr>
            <b/>
            <sz val="9"/>
            <color indexed="81"/>
            <rFont val="Tahoma"/>
            <family val="2"/>
          </rPr>
          <t>Fred Bruyns:</t>
        </r>
        <r>
          <rPr>
            <sz val="9"/>
            <color indexed="81"/>
            <rFont val="Tahoma"/>
            <family val="2"/>
          </rPr>
          <t xml:space="preserve">
Programming note: This formula concatenates base functional capacity and residual functional capacity so the resulting value can be matched with adaptability values in (hidden) chart below this sheet.</t>
        </r>
      </text>
    </comment>
    <comment ref="N23" authorId="0" shapeId="0" xr:uid="{00000000-0006-0000-0100-000027000000}">
      <text>
        <r>
          <rPr>
            <b/>
            <sz val="9"/>
            <color indexed="81"/>
            <rFont val="Tahoma"/>
            <family val="2"/>
          </rPr>
          <t>Fred Bruyns:</t>
        </r>
        <r>
          <rPr>
            <sz val="9"/>
            <color indexed="81"/>
            <rFont val="Tahoma"/>
            <family val="2"/>
          </rPr>
          <t xml:space="preserve">
Programming note: Based on ratio of base functional capacity to residual functional capacity, and using chart (hidden) below sheet, displays value from 1 through 7. Will not display if the worker has been released or has returned to regular work of if there is no PPD.</t>
        </r>
      </text>
    </comment>
    <comment ref="P24" authorId="0" shapeId="0" xr:uid="{00000000-0006-0000-0100-000028000000}">
      <text>
        <r>
          <rPr>
            <b/>
            <sz val="9"/>
            <color indexed="81"/>
            <rFont val="Tahoma"/>
            <family val="2"/>
          </rPr>
          <t>Fred Bruyns:</t>
        </r>
        <r>
          <rPr>
            <sz val="9"/>
            <color indexed="81"/>
            <rFont val="Tahoma"/>
            <family val="2"/>
          </rPr>
          <t xml:space="preserve">
Programming note: The higher of two adaptability factors displays here, or displays blank cell if there is no impairment or if the worker was released or returned to regular work.</t>
        </r>
      </text>
    </comment>
    <comment ref="P25" authorId="0" shapeId="0" xr:uid="{00000000-0006-0000-0100-000029000000}">
      <text>
        <r>
          <rPr>
            <b/>
            <sz val="9"/>
            <color indexed="81"/>
            <rFont val="Tahoma"/>
            <family val="2"/>
          </rPr>
          <t>Fred Bruyns:</t>
        </r>
        <r>
          <rPr>
            <sz val="9"/>
            <color indexed="81"/>
            <rFont val="Tahoma"/>
            <family val="2"/>
          </rPr>
          <t xml:space="preserve">
Programming note: The sum of the values for age, education, and social-vocational preparation displays here, or displays blank cell if there is no impairment or if the worker was released or returned to regular work.</t>
        </r>
      </text>
    </comment>
    <comment ref="P26" authorId="0" shapeId="0" xr:uid="{00000000-0006-0000-0100-00002A000000}">
      <text>
        <r>
          <rPr>
            <b/>
            <sz val="9"/>
            <color indexed="81"/>
            <rFont val="Tahoma"/>
            <family val="2"/>
          </rPr>
          <t>Fred Bruyns:</t>
        </r>
        <r>
          <rPr>
            <sz val="9"/>
            <color indexed="81"/>
            <rFont val="Tahoma"/>
            <family val="2"/>
          </rPr>
          <t xml:space="preserve">
Programming note: This number will be added to the total impairment.</t>
        </r>
      </text>
    </comment>
    <comment ref="G27" authorId="0" shapeId="0" xr:uid="{00000000-0006-0000-0100-00002B000000}">
      <text>
        <r>
          <rPr>
            <b/>
            <sz val="9"/>
            <color indexed="81"/>
            <rFont val="Tahoma"/>
            <family val="2"/>
          </rPr>
          <t>Fred Bruyns:</t>
        </r>
        <r>
          <rPr>
            <sz val="9"/>
            <color indexed="81"/>
            <rFont val="Tahoma"/>
            <family val="2"/>
          </rPr>
          <t xml:space="preserve">
Programming note: Displays requests for missing social vocational data or notes that date of injury is missing or is later than the date of issuance. See notes about display text in hidden columns at the right. Displays nothing if required data is entered and is logical or if the override checkbox is clicked - see below.</t>
        </r>
      </text>
    </comment>
    <comment ref="P31" authorId="0" shapeId="0" xr:uid="{00000000-0006-0000-0100-00002C000000}">
      <text>
        <r>
          <rPr>
            <b/>
            <sz val="9"/>
            <color indexed="81"/>
            <rFont val="Tahoma"/>
            <family val="2"/>
          </rPr>
          <t>Fred Bruyns:</t>
        </r>
        <r>
          <rPr>
            <sz val="9"/>
            <color indexed="81"/>
            <rFont val="Tahoma"/>
            <family val="2"/>
          </rPr>
          <t xml:space="preserve">
Programming note: The total social/vocational factor has been added to the total impairment. It has been divided by 100 to convert it to a percentage.</t>
        </r>
      </text>
    </comment>
    <comment ref="R31" authorId="0" shapeId="0" xr:uid="{00000000-0006-0000-0100-00002D000000}">
      <text>
        <r>
          <rPr>
            <b/>
            <sz val="9"/>
            <color indexed="81"/>
            <rFont val="Tahoma"/>
            <family val="2"/>
          </rPr>
          <t>Fred Bruyns:</t>
        </r>
        <r>
          <rPr>
            <sz val="9"/>
            <color indexed="81"/>
            <rFont val="Tahoma"/>
            <family val="2"/>
          </rPr>
          <t xml:space="preserve">
Programming note: Copied in from hearing worksheet and used to determine appropriate label (monaural, binaural, L/R) for hearing in list of body parts and systems at left of sheet.</t>
        </r>
      </text>
    </comment>
    <comment ref="R32" authorId="0" shapeId="0" xr:uid="{00000000-0006-0000-0100-00002E000000}">
      <text>
        <r>
          <rPr>
            <b/>
            <sz val="9"/>
            <color indexed="81"/>
            <rFont val="Tahoma"/>
            <family val="2"/>
          </rPr>
          <t>Fred Bruyns:</t>
        </r>
        <r>
          <rPr>
            <sz val="9"/>
            <color indexed="81"/>
            <rFont val="Tahoma"/>
            <family val="2"/>
          </rPr>
          <t xml:space="preserve">
Programming note: Copied in from hearing worksheet and used to determine appropriate label (monaural, binaural, L/R) for hearing in list of body parts and systems at left of sheet.</t>
        </r>
      </text>
    </comment>
    <comment ref="R33" authorId="0" shapeId="0" xr:uid="{00000000-0006-0000-0100-00002F000000}">
      <text>
        <r>
          <rPr>
            <b/>
            <sz val="9"/>
            <color indexed="81"/>
            <rFont val="Tahoma"/>
            <family val="2"/>
          </rPr>
          <t>Fred Bruyns:</t>
        </r>
        <r>
          <rPr>
            <sz val="9"/>
            <color indexed="81"/>
            <rFont val="Tahoma"/>
            <family val="2"/>
          </rPr>
          <t xml:space="preserve">
Programming note: Copied in from visiion worksheet and used to determine appropriate label for vision (binocular, monocular, L/R) in list of body parts and systems at left of sheet.</t>
        </r>
      </text>
    </comment>
    <comment ref="R34" authorId="0" shapeId="0" xr:uid="{00000000-0006-0000-0100-000030000000}">
      <text>
        <r>
          <rPr>
            <b/>
            <sz val="9"/>
            <color indexed="81"/>
            <rFont val="Tahoma"/>
            <family val="2"/>
          </rPr>
          <t>Fred Bruyns:</t>
        </r>
        <r>
          <rPr>
            <sz val="9"/>
            <color indexed="81"/>
            <rFont val="Tahoma"/>
            <family val="2"/>
          </rPr>
          <t xml:space="preserve">
Programming note: Copied in from visiion worksheet and used to determine appropriate label for vision (binocular, monocular, L/R) in list of body parts and systems at left of sheet.</t>
        </r>
      </text>
    </comment>
    <comment ref="V51" authorId="0" shapeId="0" xr:uid="{00000000-0006-0000-0100-000031000000}">
      <text>
        <r>
          <rPr>
            <b/>
            <sz val="9"/>
            <color indexed="81"/>
            <rFont val="Tahoma"/>
            <family val="2"/>
          </rPr>
          <t>Fred Bruyns:</t>
        </r>
        <r>
          <rPr>
            <sz val="9"/>
            <color indexed="81"/>
            <rFont val="Tahoma"/>
            <family val="2"/>
          </rPr>
          <t xml:space="preserve">
Programming note: This is the total impairment value before addition of any social-vocational factor.</t>
        </r>
      </text>
    </comment>
    <comment ref="C53" authorId="0" shapeId="0" xr:uid="{00000000-0006-0000-0100-000032000000}">
      <text>
        <r>
          <rPr>
            <b/>
            <sz val="9"/>
            <color indexed="81"/>
            <rFont val="Tahoma"/>
            <family val="2"/>
          </rPr>
          <t>Fred Bruyns:</t>
        </r>
        <r>
          <rPr>
            <sz val="9"/>
            <color indexed="81"/>
            <rFont val="Tahoma"/>
            <family val="2"/>
          </rPr>
          <t xml:space="preserve">
Programming note: This is the total impairment value.</t>
        </r>
      </text>
    </comment>
    <comment ref="B56" authorId="0" shapeId="0" xr:uid="{00000000-0006-0000-0100-000033000000}">
      <text>
        <r>
          <rPr>
            <b/>
            <sz val="9"/>
            <color indexed="81"/>
            <rFont val="Tahoma"/>
            <family val="2"/>
          </rPr>
          <t>Fred Bruyns:</t>
        </r>
        <r>
          <rPr>
            <sz val="9"/>
            <color indexed="81"/>
            <rFont val="Tahoma"/>
            <family val="2"/>
          </rPr>
          <t xml:space="preserve">
Programming note: This text is used in pull-down menu in worksheet.</t>
        </r>
      </text>
    </comment>
    <comment ref="C56" authorId="0" shapeId="0" xr:uid="{00000000-0006-0000-0100-000034000000}">
      <text>
        <r>
          <rPr>
            <b/>
            <sz val="9"/>
            <color indexed="81"/>
            <rFont val="Tahoma"/>
            <family val="2"/>
          </rPr>
          <t>Fred Bruyns:</t>
        </r>
        <r>
          <rPr>
            <sz val="9"/>
            <color indexed="81"/>
            <rFont val="Tahoma"/>
            <family val="2"/>
          </rPr>
          <t xml:space="preserve">
Programming note: This text is used in pull-down menu in worksheet.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68A77937-22CB-44D6-B96A-90041221DA6C}">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3B3D92FD-B797-4247-B1FF-C81BFD34DFE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7" authorId="1" shapeId="0" xr:uid="{F3AF51C3-ECA1-4AF3-85D1-EAFDA83D8573}">
      <text>
        <r>
          <rPr>
            <b/>
            <sz val="9"/>
            <color indexed="81"/>
            <rFont val="Tahoma"/>
            <family val="2"/>
          </rPr>
          <t>Bruyns Fred H:</t>
        </r>
        <r>
          <rPr>
            <sz val="9"/>
            <color indexed="81"/>
            <rFont val="Tahoma"/>
            <family val="2"/>
          </rPr>
          <t xml:space="preserve">
Programming note: 180 degrees of forward elevation (flexion) of the shoulder is considered normal - no impairment. See OAR 436-035-0330.</t>
        </r>
      </text>
    </comment>
    <comment ref="T7" authorId="1" shapeId="0" xr:uid="{B716C0AF-0AA4-4DDB-AC43-4FCD142BEA5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7" authorId="1" shapeId="0" xr:uid="{8F65C7E3-DFB5-4EE3-8869-F951FF5C3B2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7" authorId="1" shapeId="0" xr:uid="{8671112F-BE08-45E2-98A7-ED09F266DA4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7" authorId="1" shapeId="0" xr:uid="{B8BCCB7B-7EE3-475B-9B6F-930B3E2BDF1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X7" authorId="1" shapeId="0" xr:uid="{6D7B2F4F-9FB3-400B-82C4-62750EFDB356}">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8" authorId="1" shapeId="0" xr:uid="{8241AB6F-FC23-48EA-92EA-E9F22D1D464E}">
      <text>
        <r>
          <rPr>
            <b/>
            <sz val="9"/>
            <color indexed="81"/>
            <rFont val="Tahoma"/>
            <family val="2"/>
          </rPr>
          <t>Bruyns Fred H:</t>
        </r>
        <r>
          <rPr>
            <sz val="9"/>
            <color indexed="81"/>
            <rFont val="Tahoma"/>
            <family val="2"/>
          </rPr>
          <t xml:space="preserve">
Programming note: Forward elevation (flexion) ankylosis - see OAR 436-035-0330.</t>
        </r>
      </text>
    </comment>
    <comment ref="T8" authorId="1" shapeId="0" xr:uid="{133EC8D3-E073-4366-B65A-AA81AC5BA64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B8" authorId="1" shapeId="0" xr:uid="{52AFB399-CEE3-4DFE-BD7B-0C35D08BB9D7}">
      <text>
        <r>
          <rPr>
            <b/>
            <sz val="9"/>
            <color indexed="81"/>
            <rFont val="Tahoma"/>
            <family val="2"/>
          </rPr>
          <t>Bruyns Fred H:</t>
        </r>
        <r>
          <rPr>
            <sz val="9"/>
            <color indexed="81"/>
            <rFont val="Tahoma"/>
            <family val="2"/>
          </rPr>
          <t xml:space="preserve">
Programming note: Text used for conditional formatting.</t>
        </r>
      </text>
    </comment>
    <comment ref="S9" authorId="1" shapeId="0" xr:uid="{A8457100-C187-4523-8068-77DEC15F9983}">
      <text>
        <r>
          <rPr>
            <b/>
            <sz val="9"/>
            <color indexed="81"/>
            <rFont val="Tahoma"/>
            <family val="2"/>
          </rPr>
          <t>Bruyns Fred H:</t>
        </r>
        <r>
          <rPr>
            <sz val="9"/>
            <color indexed="81"/>
            <rFont val="Tahoma"/>
            <family val="2"/>
          </rPr>
          <t xml:space="preserve">
Programming note: 50 degrees of backward elevation (extension) of the shoulder is considered normal - no impairment. See OAR 436-035-0330.</t>
        </r>
      </text>
    </comment>
    <comment ref="T9" authorId="1" shapeId="0" xr:uid="{D0633DE8-C8A3-41B3-ADE1-CC649A2561C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 authorId="1" shapeId="0" xr:uid="{4B772737-8DC2-4C4F-B953-02251AEABF8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 authorId="1" shapeId="0" xr:uid="{5149237C-283C-460B-97C7-0DB1D825C9AE}">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9" authorId="1" shapeId="0" xr:uid="{71BF2AA2-B007-445F-9616-0104B906655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X9" authorId="1" shapeId="0" xr:uid="{659C7584-ABC2-4AB4-90EC-CCCA37F67CAE}">
      <text>
        <r>
          <rPr>
            <b/>
            <sz val="9"/>
            <color indexed="81"/>
            <rFont val="Tahoma"/>
            <family val="2"/>
          </rPr>
          <t>Bruyns Fred H:</t>
        </r>
        <r>
          <rPr>
            <sz val="9"/>
            <color indexed="81"/>
            <rFont val="Tahoma"/>
            <family val="2"/>
          </rPr>
          <t xml:space="preserve">
Programming note: Under OAR 436-035-0330, "When two or more ankylosis positions are documented, select the one direction representing the largest impairment." </t>
        </r>
      </text>
    </comment>
    <comment ref="S10" authorId="1" shapeId="0" xr:uid="{BD163919-208A-4758-BDFF-F5CC9DC1449E}">
      <text>
        <r>
          <rPr>
            <b/>
            <sz val="9"/>
            <color indexed="81"/>
            <rFont val="Tahoma"/>
            <family val="2"/>
          </rPr>
          <t>Bruyns Fred H:</t>
        </r>
        <r>
          <rPr>
            <sz val="9"/>
            <color indexed="81"/>
            <rFont val="Tahoma"/>
            <family val="2"/>
          </rPr>
          <t xml:space="preserve">
Programming note: Backward elevation (extension) ankylosis - see OAR 436-035-0330.</t>
        </r>
      </text>
    </comment>
    <comment ref="T10" authorId="1" shapeId="0" xr:uid="{3D0EB8BA-5944-4CDD-917D-1F4D8B406A1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1" authorId="1" shapeId="0" xr:uid="{AB468D77-284B-44D6-9885-76BD14AB28A7}">
      <text>
        <r>
          <rPr>
            <b/>
            <sz val="9"/>
            <color indexed="81"/>
            <rFont val="Tahoma"/>
            <family val="2"/>
          </rPr>
          <t>Bruyns Fred H:</t>
        </r>
        <r>
          <rPr>
            <sz val="9"/>
            <color indexed="81"/>
            <rFont val="Tahoma"/>
            <family val="2"/>
          </rPr>
          <t xml:space="preserve">
Programming note: 170 to 180 degrees of abduction of the shoulder is considered normal - no impairment. See OAR 436-035-0330.</t>
        </r>
      </text>
    </comment>
    <comment ref="T11" authorId="1" shapeId="0" xr:uid="{552E459B-5831-4CF4-B95C-4ED14B2AAA9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1" authorId="1" shapeId="0" xr:uid="{801D555A-937A-45F2-801C-333B5086847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1" authorId="1" shapeId="0" xr:uid="{F30F8572-0B09-4E87-9A03-5BF720B2C7A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1" authorId="1" shapeId="0" xr:uid="{2E169000-3779-4AE0-9A82-B3E5BFB13E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S12" authorId="1" shapeId="0" xr:uid="{9005FB8E-426A-446E-8167-CF4937D04963}">
      <text>
        <r>
          <rPr>
            <b/>
            <sz val="9"/>
            <color indexed="81"/>
            <rFont val="Tahoma"/>
            <family val="2"/>
          </rPr>
          <t>Bruyns Fred H:</t>
        </r>
        <r>
          <rPr>
            <sz val="9"/>
            <color indexed="81"/>
            <rFont val="Tahoma"/>
            <family val="2"/>
          </rPr>
          <t xml:space="preserve">
Programming note: Abduction ankylosis - see OAR 436-035-0330.</t>
        </r>
      </text>
    </comment>
    <comment ref="T12" authorId="1" shapeId="0" xr:uid="{B6702F3D-4A70-4241-AD35-8420EF35F7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 authorId="1" shapeId="0" xr:uid="{214E0751-B3F5-4778-8631-B2192A4762C8}">
      <text>
        <r>
          <rPr>
            <b/>
            <sz val="9"/>
            <color indexed="81"/>
            <rFont val="Tahoma"/>
            <family val="2"/>
          </rPr>
          <t>Bruyns Fred H:</t>
        </r>
        <r>
          <rPr>
            <sz val="9"/>
            <color indexed="81"/>
            <rFont val="Tahoma"/>
            <family val="2"/>
          </rPr>
          <t xml:space="preserve">
Programming note: 40 to 50 degrees of adduction of the shoulder is considered normal - no impairment. See OAR 436-035-0330.</t>
        </r>
      </text>
    </comment>
    <comment ref="T13" authorId="1" shapeId="0" xr:uid="{BA2DC2C4-745C-4D48-B446-64C2467844B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54E9ADB8-F658-4269-96D0-B2D5D7FCA29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4CA59CDD-0C83-4A79-BE37-B23E7E0411CB}">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3" authorId="1" shapeId="0" xr:uid="{875A3D38-7FB7-4A49-95AF-484C5FA14FC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14" authorId="1" shapeId="0" xr:uid="{0D66AB77-F507-4C0A-9127-26A30FD178FE}">
      <text>
        <r>
          <rPr>
            <b/>
            <sz val="9"/>
            <color indexed="81"/>
            <rFont val="Tahoma"/>
            <family val="2"/>
          </rPr>
          <t>Bruyns Fred H:</t>
        </r>
        <r>
          <rPr>
            <sz val="9"/>
            <color indexed="81"/>
            <rFont val="Tahoma"/>
            <family val="2"/>
          </rPr>
          <t xml:space="preserve">
Programming note: Adduction ankylosis - see OAR 436-035-0330.</t>
        </r>
      </text>
    </comment>
    <comment ref="T14" authorId="1" shapeId="0" xr:uid="{0B0F736D-2130-45C5-A738-F104265CC79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5" authorId="1" shapeId="0" xr:uid="{E54B2D41-D9DE-4426-A09E-FE0E50823D9C}">
      <text>
        <r>
          <rPr>
            <b/>
            <sz val="9"/>
            <color indexed="81"/>
            <rFont val="Tahoma"/>
            <family val="2"/>
          </rPr>
          <t>Bruyns Fred H:</t>
        </r>
        <r>
          <rPr>
            <sz val="9"/>
            <color indexed="81"/>
            <rFont val="Tahoma"/>
            <family val="2"/>
          </rPr>
          <t xml:space="preserve">
Programming note: 80 to 90 degrees of internal rotation of the shoulder is considered normal - no impairment. See OAR 436-035-0330.</t>
        </r>
      </text>
    </comment>
    <comment ref="T15" authorId="1" shapeId="0" xr:uid="{C2B51171-DE00-47BA-BA7C-10966AF669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5" authorId="1" shapeId="0" xr:uid="{9EBD22F9-0A5B-41BE-BFDE-89099079020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5" authorId="1" shapeId="0" xr:uid="{112C167A-F42A-420E-99F7-41EF8B429CBE}">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5" authorId="1" shapeId="0" xr:uid="{A9042619-5C5F-4C3F-AD88-0973D75D607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6" authorId="1" shapeId="0" xr:uid="{0E540758-4BFA-4334-B29B-2526FA97BE01}">
      <text>
        <r>
          <rPr>
            <b/>
            <sz val="9"/>
            <color indexed="81"/>
            <rFont val="Tahoma"/>
            <family val="2"/>
          </rPr>
          <t>Bruyns Fred H:</t>
        </r>
        <r>
          <rPr>
            <sz val="9"/>
            <color indexed="81"/>
            <rFont val="Tahoma"/>
            <family val="2"/>
          </rPr>
          <t xml:space="preserve">
Programming note: Internal rotation ankylosis - see OAR 436-035-0330.</t>
        </r>
      </text>
    </comment>
    <comment ref="T16" authorId="1" shapeId="0" xr:uid="{BF8E6A17-7C67-47BF-A36F-6ADF9C769D2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 authorId="1" shapeId="0" xr:uid="{78DACDCE-BFC4-42EE-86B2-F7CB80E54F3E}">
      <text>
        <r>
          <rPr>
            <b/>
            <sz val="9"/>
            <color indexed="81"/>
            <rFont val="Tahoma"/>
            <family val="2"/>
          </rPr>
          <t>Bruyns Fred H:</t>
        </r>
        <r>
          <rPr>
            <sz val="9"/>
            <color indexed="81"/>
            <rFont val="Tahoma"/>
            <family val="2"/>
          </rPr>
          <t xml:space="preserve">
Programming note: 60 to 90 degrees of external rotation of the shoulder is considered normal - no impairment. See OAR 436-035-0330.</t>
        </r>
      </text>
    </comment>
    <comment ref="T17" authorId="1" shapeId="0" xr:uid="{9580F2C4-2E4C-419D-BEB4-1433C6278AA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 authorId="1" shapeId="0" xr:uid="{0C1954FD-765B-4C58-9E0B-D4703E5A1A4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 authorId="1" shapeId="0" xr:uid="{85BD422D-AD94-4A4C-B8B3-BC1F5D2B818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7" authorId="1" shapeId="0" xr:uid="{F7B370F0-D4AB-42CC-94B3-07EDDEF287C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8" authorId="1" shapeId="0" xr:uid="{132E9FA2-7BA8-4AA2-9F69-250DD9CB5013}">
      <text>
        <r>
          <rPr>
            <b/>
            <sz val="9"/>
            <color indexed="81"/>
            <rFont val="Tahoma"/>
            <family val="2"/>
          </rPr>
          <t>Bruyns Fred H:</t>
        </r>
        <r>
          <rPr>
            <sz val="9"/>
            <color indexed="81"/>
            <rFont val="Tahoma"/>
            <family val="2"/>
          </rPr>
          <t xml:space="preserve">
Programming note: External rotation ankylosis - see OAR 436-035-0330.</t>
        </r>
      </text>
    </comment>
    <comment ref="T18" authorId="1" shapeId="0" xr:uid="{DA8AB216-D349-404E-8422-F251346465A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18" authorId="1" shapeId="0" xr:uid="{571A34BF-900F-4065-9635-D7F75EAA6ABA}">
      <text>
        <r>
          <rPr>
            <b/>
            <sz val="9"/>
            <color indexed="81"/>
            <rFont val="Tahoma"/>
            <family val="2"/>
          </rPr>
          <t>Bruyns Fred H:</t>
        </r>
        <r>
          <rPr>
            <sz val="9"/>
            <color indexed="81"/>
            <rFont val="Tahoma"/>
            <family val="2"/>
          </rPr>
          <t xml:space="preserve">
Programming note: Formula returns "1" if any ROM values are entered.</t>
        </r>
      </text>
    </comment>
    <comment ref="Z18" authorId="1" shapeId="0" xr:uid="{D4A546CB-E11D-4729-B99C-112470F83EF1}">
      <text>
        <r>
          <rPr>
            <b/>
            <sz val="9"/>
            <color indexed="81"/>
            <rFont val="Tahoma"/>
            <family val="2"/>
          </rPr>
          <t>Bruyns Fred H:</t>
        </r>
        <r>
          <rPr>
            <sz val="9"/>
            <color indexed="81"/>
            <rFont val="Tahoma"/>
            <family val="2"/>
          </rPr>
          <t xml:space="preserve">
Programming note: Formula returns "1" if any ankylosis values are entered.</t>
        </r>
      </text>
    </comment>
    <comment ref="Z19" authorId="1" shapeId="0" xr:uid="{18184C3E-447A-4D8A-A9F3-EB0681595A7D}">
      <text>
        <r>
          <rPr>
            <b/>
            <sz val="9"/>
            <color indexed="81"/>
            <rFont val="Tahoma"/>
            <family val="2"/>
          </rPr>
          <t>Bruyns Fred H:</t>
        </r>
        <r>
          <rPr>
            <sz val="9"/>
            <color indexed="81"/>
            <rFont val="Tahoma"/>
            <family val="2"/>
          </rPr>
          <t xml:space="preserve">
Programming note: Sum of ankylosis findings. Used for message that only highest value is used.</t>
        </r>
      </text>
    </comment>
    <comment ref="S46" authorId="1" shapeId="0" xr:uid="{F51BB619-4109-4E14-8F8F-B3E52A0FA710}">
      <text>
        <r>
          <rPr>
            <b/>
            <sz val="9"/>
            <color indexed="81"/>
            <rFont val="Tahoma"/>
            <family val="2"/>
          </rPr>
          <t>Bruyns Fred H:</t>
        </r>
        <r>
          <rPr>
            <sz val="9"/>
            <color indexed="81"/>
            <rFont val="Tahoma"/>
            <family val="2"/>
          </rPr>
          <t xml:space="preserve">
Programming note: Impairment values are transferred from chart and rounded.</t>
        </r>
      </text>
    </comment>
    <comment ref="T46" authorId="1" shapeId="0" xr:uid="{E08A2125-1C85-45E8-BEB1-420D10310DB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6" authorId="1" shapeId="0" xr:uid="{3E91AD24-6C3B-44AA-9663-6E8BB63E67D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6" authorId="1" shapeId="0" xr:uid="{588EFB54-7BC2-4D43-8DA2-856ACAFC29A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t>
        </r>
      </text>
    </comment>
    <comment ref="S90" authorId="1" shapeId="0" xr:uid="{2E05308A-7D92-4927-A943-A67A19AE0718}">
      <text>
        <r>
          <rPr>
            <b/>
            <sz val="9"/>
            <color indexed="81"/>
            <rFont val="Tahoma"/>
            <family val="2"/>
          </rPr>
          <t>Bruyns Fred H:</t>
        </r>
        <r>
          <rPr>
            <sz val="9"/>
            <color indexed="81"/>
            <rFont val="Tahoma"/>
            <family val="2"/>
          </rPr>
          <t xml:space="preserve">
Programming note: Values are transferred in from the chart to the left. </t>
        </r>
      </text>
    </comment>
    <comment ref="T90" authorId="1" shapeId="0" xr:uid="{DD56B187-CDEF-4292-BDB4-E7CC48A2C3EA}">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90" authorId="1" shapeId="0" xr:uid="{8D80415A-50DF-45BD-808D-545CCDC9833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90" authorId="1" shapeId="0" xr:uid="{A25F9CF7-6B50-4539-B5CC-337D8A5AD8F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U1" authorId="0" shapeId="0" xr:uid="{889CFCC5-BE25-42E7-BA6E-902A6625AA3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V1" authorId="0" shapeId="0" xr:uid="{2A423BA1-D9D1-46DD-A369-DF2A0A34ED4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8" authorId="1" shapeId="0" xr:uid="{B14C49CE-0B2B-48AD-B2DA-1C7E5E45B11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8DB86202-B7C3-4CD8-A19A-EAA9E9BC8649}">
      <text>
        <r>
          <rPr>
            <b/>
            <sz val="9"/>
            <color indexed="81"/>
            <rFont val="Tahoma"/>
            <family val="2"/>
          </rPr>
          <t>Bruyns Fred H:</t>
        </r>
        <r>
          <rPr>
            <sz val="9"/>
            <color indexed="81"/>
            <rFont val="Tahoma"/>
            <family val="2"/>
          </rPr>
          <t xml:space="preserve">
Programming note: 100 degrees of forward flexion in the hip is considered maximum normal. See OAR 436-035-0340.</t>
        </r>
      </text>
    </comment>
    <comment ref="V9" authorId="1" shapeId="0" xr:uid="{7F876042-B5E7-4EDF-BC6F-0A0017A2C921}">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9" authorId="1" shapeId="0" xr:uid="{A039DD3D-D282-4C67-9441-D8B627F949A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X9" authorId="1" shapeId="0" xr:uid="{27D7D6E6-E474-42DF-92C0-E2AD1D96C94A}">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10" authorId="1" shapeId="0" xr:uid="{9725899D-2D9F-431F-BFF8-8FDBC9B3CDEB}">
      <text>
        <r>
          <rPr>
            <b/>
            <sz val="9"/>
            <color indexed="81"/>
            <rFont val="Tahoma"/>
            <family val="2"/>
          </rPr>
          <t>Bruyns Fred H:</t>
        </r>
        <r>
          <rPr>
            <sz val="9"/>
            <color indexed="81"/>
            <rFont val="Tahoma"/>
            <family val="2"/>
          </rPr>
          <t xml:space="preserve">
Programming note: Forward flexion ankylosis - see OAR 436-035-0340.</t>
        </r>
      </text>
    </comment>
    <comment ref="S11" authorId="1" shapeId="0" xr:uid="{D50F562F-4835-4C10-9256-32DE0EE7775E}">
      <text>
        <r>
          <rPr>
            <b/>
            <sz val="9"/>
            <color indexed="81"/>
            <rFont val="Tahoma"/>
            <family val="2"/>
          </rPr>
          <t>Bruyns Fred H:</t>
        </r>
        <r>
          <rPr>
            <sz val="9"/>
            <color indexed="81"/>
            <rFont val="Tahoma"/>
            <family val="2"/>
          </rPr>
          <t xml:space="preserve">
Programming note: 30 degrees of backward extension of the hip is considered maximum normal. See OAR 436-035-0340.</t>
        </r>
      </text>
    </comment>
    <comment ref="V11" authorId="1" shapeId="0" xr:uid="{58FBEEB4-C77A-41E0-A097-4F9728EC217C}">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1" authorId="1" shapeId="0" xr:uid="{551FC55C-4121-4B09-9F1E-85047729B38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X11" authorId="1" shapeId="0" xr:uid="{7C9D17A7-9149-4D07-A8D4-A757DD84E275}">
      <text>
        <r>
          <rPr>
            <b/>
            <sz val="9"/>
            <color indexed="81"/>
            <rFont val="Tahoma"/>
            <family val="2"/>
          </rPr>
          <t>Bruyns Fred H:</t>
        </r>
        <r>
          <rPr>
            <sz val="9"/>
            <color indexed="81"/>
            <rFont val="Tahoma"/>
            <family val="2"/>
          </rPr>
          <t xml:space="preserve">
Programming note: Under OAR 436-035-0340, "When two or more ankylosis positions are documented, select the one direction representing the largest impairment." </t>
        </r>
      </text>
    </comment>
    <comment ref="AB11" authorId="1" shapeId="0" xr:uid="{5A5BC79A-3007-4CD9-9D5F-CAC639A05908}">
      <text>
        <r>
          <rPr>
            <b/>
            <sz val="9"/>
            <color indexed="81"/>
            <rFont val="Tahoma"/>
            <family val="2"/>
          </rPr>
          <t>Bruyns Fred H:</t>
        </r>
        <r>
          <rPr>
            <sz val="9"/>
            <color indexed="81"/>
            <rFont val="Tahoma"/>
            <family val="2"/>
          </rPr>
          <t xml:space="preserve">
Programming note: This text used for conditional formatting.</t>
        </r>
      </text>
    </comment>
    <comment ref="S12" authorId="1" shapeId="0" xr:uid="{3AD6DF11-DD25-424F-980F-6920793A548D}">
      <text>
        <r>
          <rPr>
            <b/>
            <sz val="9"/>
            <color indexed="81"/>
            <rFont val="Tahoma"/>
            <family val="2"/>
          </rPr>
          <t>Bruyns Fred H:</t>
        </r>
        <r>
          <rPr>
            <sz val="9"/>
            <color indexed="81"/>
            <rFont val="Tahoma"/>
            <family val="2"/>
          </rPr>
          <t xml:space="preserve">
Programming note: Backward extension ankylosis - see OAR 436-035-0340.</t>
        </r>
      </text>
    </comment>
    <comment ref="V13" authorId="1" shapeId="0" xr:uid="{9EC3F9FC-4CA0-4BD4-81D1-9543B5A39B00}">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3" authorId="1" shapeId="0" xr:uid="{5ED2ECFB-3307-48B6-B856-071C0CA02DF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4" authorId="1" shapeId="0" xr:uid="{5130A3CE-AE8F-48F6-8CFF-BCCD2CF09C80}">
      <text>
        <r>
          <rPr>
            <b/>
            <sz val="9"/>
            <color indexed="81"/>
            <rFont val="Tahoma"/>
            <family val="2"/>
          </rPr>
          <t>Bruyns Fred H:</t>
        </r>
        <r>
          <rPr>
            <sz val="9"/>
            <color indexed="81"/>
            <rFont val="Tahoma"/>
            <family val="2"/>
          </rPr>
          <t xml:space="preserve">
Programming note: Abduction ankylosis - see OAR 436-035-0340.</t>
        </r>
      </text>
    </comment>
    <comment ref="V15" authorId="1" shapeId="0" xr:uid="{F0B1DD84-CE0E-4FC7-89B0-0AE2BC4D21E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5" authorId="1" shapeId="0" xr:uid="{1451B76C-ABA7-4FB1-97D1-F68F663DC93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16" authorId="1" shapeId="0" xr:uid="{30A8C8AF-0528-4674-9BB2-4762125E6215}">
      <text>
        <r>
          <rPr>
            <b/>
            <sz val="9"/>
            <color indexed="81"/>
            <rFont val="Tahoma"/>
            <family val="2"/>
          </rPr>
          <t>Bruyns Fred H:</t>
        </r>
        <r>
          <rPr>
            <sz val="9"/>
            <color indexed="81"/>
            <rFont val="Tahoma"/>
            <family val="2"/>
          </rPr>
          <t xml:space="preserve">
Programming note: Adduction ankylosis - see OAR 436-035-0340.</t>
        </r>
      </text>
    </comment>
    <comment ref="V17" authorId="1" shapeId="0" xr:uid="{A31C0338-4474-49BD-816F-1826064CF9A0}">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7" authorId="1" shapeId="0" xr:uid="{2FBCD2B3-C1EF-4F7D-8D62-4AFA57FAF9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8" authorId="1" shapeId="0" xr:uid="{2A3B0F3B-4501-4A05-8304-3DFC72C8EBBE}">
      <text>
        <r>
          <rPr>
            <b/>
            <sz val="9"/>
            <color indexed="81"/>
            <rFont val="Tahoma"/>
            <family val="2"/>
          </rPr>
          <t>Bruyns Fred H:</t>
        </r>
        <r>
          <rPr>
            <sz val="9"/>
            <color indexed="81"/>
            <rFont val="Tahoma"/>
            <family val="2"/>
          </rPr>
          <t xml:space="preserve">
Programming note: Internal rotation ankylosis - see OAR 436-035-0340.</t>
        </r>
      </text>
    </comment>
    <comment ref="V19" authorId="1" shapeId="0" xr:uid="{8357DFA3-A562-40F2-B838-F2E9326CBEB3}">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9" authorId="1" shapeId="0" xr:uid="{26485FEC-E115-494D-BA56-74F95CCC728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20" authorId="1" shapeId="0" xr:uid="{C017FB3B-AB77-4217-91DB-CB26814A95E0}">
      <text>
        <r>
          <rPr>
            <b/>
            <sz val="9"/>
            <color indexed="81"/>
            <rFont val="Tahoma"/>
            <family val="2"/>
          </rPr>
          <t>Bruyns Fred H:</t>
        </r>
        <r>
          <rPr>
            <sz val="9"/>
            <color indexed="81"/>
            <rFont val="Tahoma"/>
            <family val="2"/>
          </rPr>
          <t xml:space="preserve">
Programming note: External rotation ankylosis - see OAR 436-035-0340.</t>
        </r>
      </text>
    </comment>
    <comment ref="Y20" authorId="1" shapeId="0" xr:uid="{3697B996-18DB-4ED2-90FC-4B2B8824010F}">
      <text>
        <r>
          <rPr>
            <b/>
            <sz val="9"/>
            <color indexed="81"/>
            <rFont val="Tahoma"/>
            <family val="2"/>
          </rPr>
          <t>Bruyns Fred H:</t>
        </r>
        <r>
          <rPr>
            <sz val="9"/>
            <color indexed="81"/>
            <rFont val="Tahoma"/>
            <family val="2"/>
          </rPr>
          <t xml:space="preserve">
Programming note: Formula returns "1" if any ROM values are entered.</t>
        </r>
      </text>
    </comment>
    <comment ref="Z20" authorId="1" shapeId="0" xr:uid="{32E8E87A-0975-439E-B357-C94E8437DADB}">
      <text>
        <r>
          <rPr>
            <b/>
            <sz val="9"/>
            <color indexed="81"/>
            <rFont val="Tahoma"/>
            <family val="2"/>
          </rPr>
          <t>Bruyns Fred H:</t>
        </r>
        <r>
          <rPr>
            <sz val="9"/>
            <color indexed="81"/>
            <rFont val="Tahoma"/>
            <family val="2"/>
          </rPr>
          <t xml:space="preserve">
Programming note: Formula returns "1" if any ankylosis values are entered.</t>
        </r>
      </text>
    </comment>
    <comment ref="Z21" authorId="1" shapeId="0" xr:uid="{D7F0099C-C46B-480F-9888-94C0DC81F5E0}">
      <text>
        <r>
          <rPr>
            <b/>
            <sz val="9"/>
            <color indexed="81"/>
            <rFont val="Tahoma"/>
            <family val="2"/>
          </rPr>
          <t>Bruyns Fred H:</t>
        </r>
        <r>
          <rPr>
            <sz val="9"/>
            <color indexed="81"/>
            <rFont val="Tahoma"/>
            <family val="2"/>
          </rPr>
          <t xml:space="preserve">
Programming note: Sum of ankylosis findings - used for message that only highest ankylosis value is used.</t>
        </r>
      </text>
    </comment>
    <comment ref="S32" authorId="1" shapeId="0" xr:uid="{94BE309C-3BF5-41EE-8DFA-29D92A50C365}">
      <text>
        <r>
          <rPr>
            <b/>
            <sz val="9"/>
            <color indexed="81"/>
            <rFont val="Tahoma"/>
            <family val="2"/>
          </rPr>
          <t>Bruyns Fred H:</t>
        </r>
        <r>
          <rPr>
            <sz val="9"/>
            <color indexed="81"/>
            <rFont val="Tahoma"/>
            <family val="2"/>
          </rPr>
          <t xml:space="preserve">
Programming note: Values are transferred in from the chart to the left. </t>
        </r>
      </text>
    </comment>
    <comment ref="T32" authorId="1" shapeId="0" xr:uid="{5635BAD4-1711-48FB-9941-FB971575A9DD}">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32" authorId="1" shapeId="0" xr:uid="{EFD90419-BD50-4ADD-80D1-6CBE0F6B9CE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2" authorId="1" shapeId="0" xr:uid="{3C89B96A-BF6D-4E0E-9244-229F980E013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U1" authorId="0" shapeId="0" xr:uid="{F503BC70-B0A6-4A62-9A93-1259E11EA75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V1" authorId="0" shapeId="0" xr:uid="{A3B3D230-0A52-46A0-9BA2-F0ED0C22978C}">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8" authorId="1" shapeId="0" xr:uid="{6E77A1A4-2ED0-49C8-9578-7824A4E9D2F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3ADC9D64-15E2-4758-9737-8A26ADF30151}">
      <text>
        <r>
          <rPr>
            <b/>
            <sz val="9"/>
            <color indexed="81"/>
            <rFont val="Tahoma"/>
            <family val="2"/>
          </rPr>
          <t>Bruyns Fred H:</t>
        </r>
        <r>
          <rPr>
            <sz val="9"/>
            <color indexed="81"/>
            <rFont val="Tahoma"/>
            <family val="2"/>
          </rPr>
          <t xml:space="preserve">
Programming note: 100 degrees of forward flexion in the hip is considered maximum normal. See OAR 436-035-0340.</t>
        </r>
      </text>
    </comment>
    <comment ref="V9" authorId="1" shapeId="0" xr:uid="{5E4295AC-385E-4B4D-9A7E-13F800D21AB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9" authorId="1" shapeId="0" xr:uid="{4994E3E2-9E45-4A4D-B0EF-4A636B0E1EE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X9" authorId="1" shapeId="0" xr:uid="{E4F8A412-BD28-44C8-96D9-95E534B77C11}">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10" authorId="1" shapeId="0" xr:uid="{937BEDB8-5439-4F6D-9E5D-FBE7CAC7607A}">
      <text>
        <r>
          <rPr>
            <b/>
            <sz val="9"/>
            <color indexed="81"/>
            <rFont val="Tahoma"/>
            <family val="2"/>
          </rPr>
          <t>Bruyns Fred H:</t>
        </r>
        <r>
          <rPr>
            <sz val="9"/>
            <color indexed="81"/>
            <rFont val="Tahoma"/>
            <family val="2"/>
          </rPr>
          <t xml:space="preserve">
Programming note: Forward flexion ankylosis - see OAR 436-035-0340.</t>
        </r>
      </text>
    </comment>
    <comment ref="S11" authorId="1" shapeId="0" xr:uid="{DBD8BCB1-05E9-4B3C-A7C3-95E86CCAC0E6}">
      <text>
        <r>
          <rPr>
            <b/>
            <sz val="9"/>
            <color indexed="81"/>
            <rFont val="Tahoma"/>
            <family val="2"/>
          </rPr>
          <t>Bruyns Fred H:</t>
        </r>
        <r>
          <rPr>
            <sz val="9"/>
            <color indexed="81"/>
            <rFont val="Tahoma"/>
            <family val="2"/>
          </rPr>
          <t xml:space="preserve">
Programming note: 30 degrees of backward extension of the hip is considered maximum normal. See OAR 436-035-0340.</t>
        </r>
      </text>
    </comment>
    <comment ref="V11" authorId="1" shapeId="0" xr:uid="{03F7E0B7-63BC-4B14-88B1-929C67DE85BB}">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1" authorId="1" shapeId="0" xr:uid="{A74216ED-824C-4854-B25E-0F28D36D8EF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X11" authorId="1" shapeId="0" xr:uid="{BA9D0618-EEF3-4EF6-952E-F0300A58C998}">
      <text>
        <r>
          <rPr>
            <b/>
            <sz val="9"/>
            <color indexed="81"/>
            <rFont val="Tahoma"/>
            <family val="2"/>
          </rPr>
          <t>Bruyns Fred H:</t>
        </r>
        <r>
          <rPr>
            <sz val="9"/>
            <color indexed="81"/>
            <rFont val="Tahoma"/>
            <family val="2"/>
          </rPr>
          <t xml:space="preserve">
Programming note: Under OAR 436-035-0340, "When two or more ankylosis positions are documented, select the one direction representing the largest impairment." </t>
        </r>
      </text>
    </comment>
    <comment ref="AB11" authorId="1" shapeId="0" xr:uid="{E6ADE8E1-0F08-4C1F-9756-1AB997BCB25E}">
      <text>
        <r>
          <rPr>
            <b/>
            <sz val="9"/>
            <color indexed="81"/>
            <rFont val="Tahoma"/>
            <family val="2"/>
          </rPr>
          <t>Bruyns Fred H:</t>
        </r>
        <r>
          <rPr>
            <sz val="9"/>
            <color indexed="81"/>
            <rFont val="Tahoma"/>
            <family val="2"/>
          </rPr>
          <t xml:space="preserve">
Programming note: This text used for conditional formatting.</t>
        </r>
      </text>
    </comment>
    <comment ref="S12" authorId="1" shapeId="0" xr:uid="{2F977A7C-F53A-45A4-9B3F-ED1B2C926BD7}">
      <text>
        <r>
          <rPr>
            <b/>
            <sz val="9"/>
            <color indexed="81"/>
            <rFont val="Tahoma"/>
            <family val="2"/>
          </rPr>
          <t>Bruyns Fred H:</t>
        </r>
        <r>
          <rPr>
            <sz val="9"/>
            <color indexed="81"/>
            <rFont val="Tahoma"/>
            <family val="2"/>
          </rPr>
          <t xml:space="preserve">
Programming note: Backward extension ankylosis - see OAR 436-035-0340.</t>
        </r>
      </text>
    </comment>
    <comment ref="V13" authorId="1" shapeId="0" xr:uid="{776FCE92-2D64-4220-9197-9A3868F37CC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3" authorId="1" shapeId="0" xr:uid="{8CCF04B7-0E89-4E41-9E0A-6E322B09FE9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4" authorId="1" shapeId="0" xr:uid="{A6AB99F8-D71D-4568-9CA4-90FF57DD0E9F}">
      <text>
        <r>
          <rPr>
            <b/>
            <sz val="9"/>
            <color indexed="81"/>
            <rFont val="Tahoma"/>
            <family val="2"/>
          </rPr>
          <t>Bruyns Fred H:</t>
        </r>
        <r>
          <rPr>
            <sz val="9"/>
            <color indexed="81"/>
            <rFont val="Tahoma"/>
            <family val="2"/>
          </rPr>
          <t xml:space="preserve">
Programming note: Abduction ankylosis - see OAR 436-035-0340.</t>
        </r>
      </text>
    </comment>
    <comment ref="V15" authorId="1" shapeId="0" xr:uid="{FF077073-F79D-485F-ADA0-15BE79F0468B}">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5" authorId="1" shapeId="0" xr:uid="{A0CE493A-B197-4363-9137-D1325DCE740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16" authorId="1" shapeId="0" xr:uid="{5837EF6A-5D63-4197-AABE-A80E9057EAA8}">
      <text>
        <r>
          <rPr>
            <b/>
            <sz val="9"/>
            <color indexed="81"/>
            <rFont val="Tahoma"/>
            <family val="2"/>
          </rPr>
          <t>Bruyns Fred H:</t>
        </r>
        <r>
          <rPr>
            <sz val="9"/>
            <color indexed="81"/>
            <rFont val="Tahoma"/>
            <family val="2"/>
          </rPr>
          <t xml:space="preserve">
Programming note: Adduction ankylosis - see OAR 436-035-0340.</t>
        </r>
      </text>
    </comment>
    <comment ref="V17" authorId="1" shapeId="0" xr:uid="{015D99A1-7789-4845-B2AA-C133E94E206D}">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7" authorId="1" shapeId="0" xr:uid="{59A8C9C6-866F-47ED-9D0B-79AC023BB93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8" authorId="1" shapeId="0" xr:uid="{8443DD14-325D-470D-AFB1-25F26E72E353}">
      <text>
        <r>
          <rPr>
            <b/>
            <sz val="9"/>
            <color indexed="81"/>
            <rFont val="Tahoma"/>
            <family val="2"/>
          </rPr>
          <t>Bruyns Fred H:</t>
        </r>
        <r>
          <rPr>
            <sz val="9"/>
            <color indexed="81"/>
            <rFont val="Tahoma"/>
            <family val="2"/>
          </rPr>
          <t xml:space="preserve">
Programming note: Internal rotation ankylosis - see OAR 436-035-0340.</t>
        </r>
      </text>
    </comment>
    <comment ref="V19" authorId="1" shapeId="0" xr:uid="{6639C8EF-AC94-4D25-B487-0ACADFE1D09F}">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9" authorId="1" shapeId="0" xr:uid="{F2FE4CC5-FDE0-4B3F-B16F-058CF0A781A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20" authorId="1" shapeId="0" xr:uid="{8AE26756-A865-4B0D-923A-878993E22F63}">
      <text>
        <r>
          <rPr>
            <b/>
            <sz val="9"/>
            <color indexed="81"/>
            <rFont val="Tahoma"/>
            <family val="2"/>
          </rPr>
          <t>Bruyns Fred H:</t>
        </r>
        <r>
          <rPr>
            <sz val="9"/>
            <color indexed="81"/>
            <rFont val="Tahoma"/>
            <family val="2"/>
          </rPr>
          <t xml:space="preserve">
Programming note: External rotation ankylosis - see OAR 436-035-0340.</t>
        </r>
      </text>
    </comment>
    <comment ref="Y20" authorId="1" shapeId="0" xr:uid="{DF8FAEE0-A48B-4041-A143-98A63401F7C6}">
      <text>
        <r>
          <rPr>
            <b/>
            <sz val="9"/>
            <color indexed="81"/>
            <rFont val="Tahoma"/>
            <family val="2"/>
          </rPr>
          <t>Bruyns Fred H:</t>
        </r>
        <r>
          <rPr>
            <sz val="9"/>
            <color indexed="81"/>
            <rFont val="Tahoma"/>
            <family val="2"/>
          </rPr>
          <t xml:space="preserve">
Programming note: Formula returns "1" if any ROM values are entered.</t>
        </r>
      </text>
    </comment>
    <comment ref="Z20" authorId="1" shapeId="0" xr:uid="{1FBD2F45-5B17-4680-8AEF-9A2EB73EFC76}">
      <text>
        <r>
          <rPr>
            <b/>
            <sz val="9"/>
            <color indexed="81"/>
            <rFont val="Tahoma"/>
            <family val="2"/>
          </rPr>
          <t>Bruyns Fred H:</t>
        </r>
        <r>
          <rPr>
            <sz val="9"/>
            <color indexed="81"/>
            <rFont val="Tahoma"/>
            <family val="2"/>
          </rPr>
          <t xml:space="preserve">
Programming note: Formula returns "1" if any ankylosis values are entered.</t>
        </r>
      </text>
    </comment>
    <comment ref="Z21" authorId="1" shapeId="0" xr:uid="{FB16C19E-6EAA-491F-9F07-844B55F570A7}">
      <text>
        <r>
          <rPr>
            <b/>
            <sz val="9"/>
            <color indexed="81"/>
            <rFont val="Tahoma"/>
            <family val="2"/>
          </rPr>
          <t>Bruyns Fred H:</t>
        </r>
        <r>
          <rPr>
            <sz val="9"/>
            <color indexed="81"/>
            <rFont val="Tahoma"/>
            <family val="2"/>
          </rPr>
          <t xml:space="preserve">
Programming note: Sum of ankylosis findings - used for message that only highest ankylosis value is used.</t>
        </r>
      </text>
    </comment>
    <comment ref="S32" authorId="1" shapeId="0" xr:uid="{2DAFF293-7D00-47D2-9F12-E90EFFB96D27}">
      <text>
        <r>
          <rPr>
            <b/>
            <sz val="9"/>
            <color indexed="81"/>
            <rFont val="Tahoma"/>
            <family val="2"/>
          </rPr>
          <t>Bruyns Fred H:</t>
        </r>
        <r>
          <rPr>
            <sz val="9"/>
            <color indexed="81"/>
            <rFont val="Tahoma"/>
            <family val="2"/>
          </rPr>
          <t xml:space="preserve">
Programming note: Values are transferred in from the chart to the left. </t>
        </r>
      </text>
    </comment>
    <comment ref="T32" authorId="1" shapeId="0" xr:uid="{A7F3D452-3862-4866-B52A-A7AB67EFE9C5}">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32" authorId="1" shapeId="0" xr:uid="{2541C0F5-1D2C-4D7A-BD5A-C0950562CB0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2" authorId="1" shapeId="0" xr:uid="{9030AF8C-3CBD-48AC-A159-ADF07772897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F5136F25-E364-4D05-AD5D-F755B5CB4C4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55C6ABE3-1ABD-4408-A8A3-F6297FC0719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4E5AEBB9-EB59-46F4-83E6-E3BC3AF3E2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4" authorId="1" shapeId="0" xr:uid="{47152CA9-6F8D-41E3-BB63-2F6C831E6516}">
      <text>
        <r>
          <rPr>
            <b/>
            <sz val="9"/>
            <color indexed="81"/>
            <rFont val="Tahoma"/>
            <family val="2"/>
          </rPr>
          <t>Bruyns Fred H:</t>
        </r>
        <r>
          <rPr>
            <sz val="9"/>
            <color indexed="81"/>
            <rFont val="Tahoma"/>
            <family val="2"/>
          </rPr>
          <t xml:space="preserve">
Programming note: Impairment values for multiple ranges of motion are summed. If sum is greater than zero but less than 1, the amount is adjusted to 1. The final result is rounded.</t>
        </r>
      </text>
    </comment>
    <comment ref="S6" authorId="1" shapeId="0" xr:uid="{5E13D687-10B5-4757-9F79-33411AEB4168}">
      <text>
        <r>
          <rPr>
            <b/>
            <sz val="9"/>
            <color indexed="81"/>
            <rFont val="Tahoma"/>
            <family val="2"/>
          </rPr>
          <t>Bruyns Fred H:</t>
        </r>
        <r>
          <rPr>
            <sz val="9"/>
            <color indexed="81"/>
            <rFont val="Tahoma"/>
            <family val="2"/>
          </rPr>
          <t xml:space="preserve">
Programming note:60 degrees is maximum normal for flexion of the cervical spine.</t>
        </r>
      </text>
    </comment>
    <comment ref="S7" authorId="1" shapeId="0" xr:uid="{30B42CA4-EF51-40C4-B0FF-97D22BADEEE4}">
      <text>
        <r>
          <rPr>
            <b/>
            <sz val="9"/>
            <color indexed="81"/>
            <rFont val="Tahoma"/>
            <family val="2"/>
          </rPr>
          <t>Bruyns Fred H:</t>
        </r>
        <r>
          <rPr>
            <sz val="9"/>
            <color indexed="81"/>
            <rFont val="Tahoma"/>
            <family val="2"/>
          </rPr>
          <t xml:space="preserve">
Programming note: 75 degrees is maximum normal for extension of the cervical spine.</t>
        </r>
      </text>
    </comment>
    <comment ref="S8" authorId="1" shapeId="0" xr:uid="{8B19BCF8-B7A0-4572-9152-5B142EC57484}">
      <text>
        <r>
          <rPr>
            <b/>
            <sz val="9"/>
            <color indexed="81"/>
            <rFont val="Tahoma"/>
            <family val="2"/>
          </rPr>
          <t>Bruyns Fred H:</t>
        </r>
        <r>
          <rPr>
            <sz val="9"/>
            <color indexed="81"/>
            <rFont val="Tahoma"/>
            <family val="2"/>
          </rPr>
          <t xml:space="preserve">
Programming note: 45 degrees is maximum normal for right lateral flexion of the cervical spine.</t>
        </r>
      </text>
    </comment>
    <comment ref="S9" authorId="1" shapeId="0" xr:uid="{437BE01C-1D4B-4388-B9AA-5015F9C7C19F}">
      <text>
        <r>
          <rPr>
            <b/>
            <sz val="9"/>
            <color indexed="81"/>
            <rFont val="Tahoma"/>
            <family val="2"/>
          </rPr>
          <t>Bruyns Fred H:</t>
        </r>
        <r>
          <rPr>
            <sz val="9"/>
            <color indexed="81"/>
            <rFont val="Tahoma"/>
            <family val="2"/>
          </rPr>
          <t xml:space="preserve">
Programming note: 45 degrees is maximum normal for left lateral flexion of the cervical spine.</t>
        </r>
      </text>
    </comment>
    <comment ref="S10" authorId="1" shapeId="0" xr:uid="{AFAE101F-6988-4D3C-977B-2ED11A0CC112}">
      <text>
        <r>
          <rPr>
            <b/>
            <sz val="9"/>
            <color indexed="81"/>
            <rFont val="Tahoma"/>
            <family val="2"/>
          </rPr>
          <t>Bruyns Fred H:</t>
        </r>
        <r>
          <rPr>
            <sz val="9"/>
            <color indexed="81"/>
            <rFont val="Tahoma"/>
            <family val="2"/>
          </rPr>
          <t xml:space="preserve">
Programming note: 80 degrees is maximum normal for right rotation of the cervical spine.</t>
        </r>
      </text>
    </comment>
    <comment ref="S11" authorId="1" shapeId="0" xr:uid="{96E8BAFC-3DEC-4A8B-84C4-44382B6CC3F4}">
      <text>
        <r>
          <rPr>
            <b/>
            <sz val="9"/>
            <color indexed="81"/>
            <rFont val="Tahoma"/>
            <family val="2"/>
          </rPr>
          <t>Bruyns Fred H:</t>
        </r>
        <r>
          <rPr>
            <sz val="9"/>
            <color indexed="81"/>
            <rFont val="Tahoma"/>
            <family val="2"/>
          </rPr>
          <t xml:space="preserve">
Programming note: 80 degrees is maximum normal for left rotation of the cervical spine.</t>
        </r>
      </text>
    </comment>
    <comment ref="R38" authorId="1" shapeId="0" xr:uid="{B66C7DF7-1A1C-4330-B433-EEFC0B1475A2}">
      <text>
        <r>
          <rPr>
            <b/>
            <sz val="9"/>
            <color indexed="81"/>
            <rFont val="Tahoma"/>
            <family val="2"/>
          </rPr>
          <t>Bruyns Fred H:</t>
        </r>
        <r>
          <rPr>
            <sz val="9"/>
            <color indexed="81"/>
            <rFont val="Tahoma"/>
            <family val="2"/>
          </rPr>
          <t xml:space="preserve">
Programming note: Values are transferred in from the chart to the left. </t>
        </r>
      </text>
    </comment>
    <comment ref="S38" authorId="1" shapeId="0" xr:uid="{8628EEFC-24A9-4FF3-AD29-BB2E9635B078}">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38" authorId="1" shapeId="0" xr:uid="{86AC5872-84CD-4B05-8179-9657F8D98B6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38" authorId="1" shapeId="0" xr:uid="{A597C5C0-7EAD-4A59-B511-C64DDEB70D2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T57" authorId="1" shapeId="0" xr:uid="{B339C11E-40D0-4D85-A69D-208CBDF41DD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8" authorId="1" shapeId="0" xr:uid="{9103ADDC-FBE9-48D4-9177-6C6F3C19D0EE}">
      <text>
        <r>
          <rPr>
            <b/>
            <sz val="9"/>
            <color indexed="81"/>
            <rFont val="Tahoma"/>
            <family val="2"/>
          </rPr>
          <t>Bruyns Fred H:</t>
        </r>
        <r>
          <rPr>
            <sz val="9"/>
            <color indexed="81"/>
            <rFont val="Tahoma"/>
            <family val="2"/>
          </rPr>
          <t xml:space="preserve">
Programming note: Impairment values for multiple ranges of motion are summed. If sum is greater than zero but less than 1, the amount is adjusted to 1. The final result is rounded.</t>
        </r>
      </text>
    </comment>
    <comment ref="R95" authorId="1" shapeId="0" xr:uid="{C9061731-027A-4D87-8C12-EBFE59A6F259}">
      <text>
        <r>
          <rPr>
            <b/>
            <sz val="9"/>
            <color indexed="81"/>
            <rFont val="Tahoma"/>
            <family val="2"/>
          </rPr>
          <t>Bruyns Fred H:</t>
        </r>
        <r>
          <rPr>
            <sz val="9"/>
            <color indexed="81"/>
            <rFont val="Tahoma"/>
            <family val="2"/>
          </rPr>
          <t xml:space="preserve">
Programming note: Values are transferred in from the chart to the left. </t>
        </r>
      </text>
    </comment>
    <comment ref="S95" authorId="1" shapeId="0" xr:uid="{CC7D5479-7BCB-4574-BAC8-41112087A0F2}">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95" authorId="1" shapeId="0" xr:uid="{680644F7-3230-45EF-B857-34BC2463B2D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95" authorId="1" shapeId="0" xr:uid="{491C0F7A-8654-4751-9F3B-A0FC4F61FE9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R154" authorId="1" shapeId="0" xr:uid="{19FF8471-F5FC-42D4-9EEF-F8B277E1292E}">
      <text>
        <r>
          <rPr>
            <b/>
            <sz val="9"/>
            <color indexed="81"/>
            <rFont val="Tahoma"/>
            <family val="2"/>
          </rPr>
          <t>Bruyns Fred H:</t>
        </r>
        <r>
          <rPr>
            <sz val="9"/>
            <color indexed="81"/>
            <rFont val="Tahoma"/>
            <family val="2"/>
          </rPr>
          <t xml:space="preserve">
Programming note: Values are transferred in from the chart to the left. </t>
        </r>
      </text>
    </comment>
    <comment ref="S154" authorId="1" shapeId="0" xr:uid="{A633EBF9-0F7C-4B75-8104-77B94CB42777}">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154" authorId="1" shapeId="0" xr:uid="{2D0EBD20-5514-4895-8B60-9023C452220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154" authorId="1" shapeId="0" xr:uid="{46FE9B53-D804-4229-8577-710EFD21808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R170" authorId="1" shapeId="0" xr:uid="{079E09FE-6179-4180-BB7A-8ACE9D9F81C2}">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S170" authorId="1" shapeId="0" xr:uid="{6A3B8365-7523-44B1-A7F6-A7EAD1A4E53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T170" authorId="1" shapeId="0" xr:uid="{F49C1A49-6AA0-473F-82D9-27C6C64CE30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D8C09AA0-A15B-4588-A831-EDF4507114B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57FDBB96-D58A-40CA-975E-F29D845371A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6" authorId="1" shapeId="0" xr:uid="{CCCA2C14-DF90-4CCF-80A3-75B696548A72}">
      <text>
        <r>
          <rPr>
            <b/>
            <sz val="9"/>
            <color indexed="81"/>
            <rFont val="Tahoma"/>
            <family val="2"/>
          </rPr>
          <t>Bruyns Fred H:</t>
        </r>
        <r>
          <rPr>
            <sz val="9"/>
            <color indexed="81"/>
            <rFont val="Tahoma"/>
            <family val="2"/>
          </rPr>
          <t xml:space="preserve">
Programming note: Values are transferred in from the chart to the left. </t>
        </r>
      </text>
    </comment>
    <comment ref="U6" authorId="1" shapeId="0" xr:uid="{7193F976-6DBE-4F11-A9FD-2E088AF7FC6E}">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6" authorId="1" shapeId="0" xr:uid="{686B3518-36A3-4640-B93A-59871F21635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6" authorId="1" shapeId="0" xr:uid="{AE5D63CF-4808-44BD-A410-1A907A757B2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D775500C-3974-4C98-88A1-7A9D4A7BB79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237D34F-800B-40A6-A651-C37D239BF7B6}">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4F9FF67B-3EEA-434E-B6EB-C2D699E5EB9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CA5DF32-7EF3-40E5-893E-9208C8D99D5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A2F3855B-B590-4C91-A45D-A5B930FECF0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B2F6376-4768-4087-8DBE-1CB94D06984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0AB58383-CD0B-4FF5-A765-E055C0CB7F57}">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4" authorId="1" shapeId="0" xr:uid="{DAF37B11-5E73-4AAE-A8AC-884418C1237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 authorId="1" shapeId="0" xr:uid="{337424BE-F7F4-4EEC-AB65-7F24FDF6510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398935E-6171-4A03-8D21-1EBFBC5ECC86}">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578B727-493A-420D-97E4-ABB3D956C0B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7254CDE3-7EFF-44A9-9FDA-9231A59E1C2D}">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4" authorId="1" shapeId="0" xr:uid="{5394BB61-90F4-414A-A8ED-3D8CC6A012B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 authorId="1" shapeId="0" xr:uid="{0FE14C42-AA3E-440D-BDA9-3F4018C7732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0B71771-6B82-4978-89A9-170D11C6A7B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4A3239AC-2DA5-4B2C-9BA5-682B34EF012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40" authorId="1" shapeId="0" xr:uid="{318E0FE0-73FF-4B32-AE74-43B087EDE65A}">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40" authorId="1" shapeId="0" xr:uid="{9CF0A187-8C76-408E-8015-9116BEAD11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40" authorId="1" shapeId="0" xr:uid="{F3D65112-A102-44F5-A7D5-6475974A98E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B3" authorId="0" shapeId="0" xr:uid="{00000000-0006-0000-0200-000001000000}">
      <text>
        <r>
          <rPr>
            <b/>
            <sz val="9"/>
            <color indexed="81"/>
            <rFont val="Tahoma"/>
            <family val="2"/>
          </rPr>
          <t>Fred Bruyns:</t>
        </r>
        <r>
          <rPr>
            <sz val="9"/>
            <color indexed="81"/>
            <rFont val="Tahoma"/>
            <family val="2"/>
          </rPr>
          <t xml:space="preserve">
Programming note: Formula displays the title or, if date of injury is on or after 1/1/2006, displays note about date of injury and direction to use PPD worksheet for "PPD DOI on or after 1/1/2005."</t>
        </r>
      </text>
    </comment>
    <comment ref="T3" authorId="0" shapeId="0" xr:uid="{00000000-0006-0000-0200-000002000000}">
      <text>
        <r>
          <rPr>
            <b/>
            <sz val="9"/>
            <color indexed="81"/>
            <rFont val="Tahoma"/>
            <family val="2"/>
          </rPr>
          <t>Fred Bruyns:</t>
        </r>
        <r>
          <rPr>
            <sz val="9"/>
            <color indexed="81"/>
            <rFont val="Tahoma"/>
            <family val="2"/>
          </rPr>
          <t xml:space="preserve">
Programming note: Message displays in title of worksheet if date of injury is before 1/1/2005.</t>
        </r>
      </text>
    </comment>
    <comment ref="T4" authorId="0" shapeId="0" xr:uid="{00000000-0006-0000-0200-000003000000}">
      <text>
        <r>
          <rPr>
            <b/>
            <sz val="9"/>
            <color indexed="81"/>
            <rFont val="Tahoma"/>
            <family val="2"/>
          </rPr>
          <t>Fred Bruyns:</t>
        </r>
        <r>
          <rPr>
            <sz val="9"/>
            <color indexed="81"/>
            <rFont val="Tahoma"/>
            <family val="2"/>
          </rPr>
          <t xml:space="preserve">
Programming note: Message displays in worksheet title field if date of injury is on or after 1/1/2005.</t>
        </r>
      </text>
    </comment>
    <comment ref="T6" authorId="0" shapeId="0" xr:uid="{00000000-0006-0000-0200-000004000000}">
      <text>
        <r>
          <rPr>
            <b/>
            <sz val="9"/>
            <color indexed="81"/>
            <rFont val="Tahoma"/>
            <family val="2"/>
          </rPr>
          <t>Fred Bruyns:</t>
        </r>
        <r>
          <rPr>
            <sz val="9"/>
            <color indexed="81"/>
            <rFont val="Tahoma"/>
            <family val="2"/>
          </rPr>
          <t xml:space="preserve">
Programming note: Error message for cell Q48 - if date of injury is not entered on "Start here" worksheet.</t>
        </r>
      </text>
    </comment>
    <comment ref="T7" authorId="0" shapeId="0" xr:uid="{00000000-0006-0000-0200-000005000000}">
      <text>
        <r>
          <rPr>
            <b/>
            <sz val="9"/>
            <color indexed="81"/>
            <rFont val="Tahoma"/>
            <family val="2"/>
          </rPr>
          <t>Fred Bruyns:</t>
        </r>
        <r>
          <rPr>
            <sz val="9"/>
            <color indexed="81"/>
            <rFont val="Tahoma"/>
            <family val="2"/>
          </rPr>
          <t xml:space="preserve">
Programming note: Error message if date of issuance precedes date of injury - on "Start here" worksheet.</t>
        </r>
      </text>
    </comment>
    <comment ref="T8" authorId="0" shapeId="0" xr:uid="{00000000-0006-0000-0200-000006000000}">
      <text>
        <r>
          <rPr>
            <b/>
            <sz val="9"/>
            <color indexed="81"/>
            <rFont val="Tahoma"/>
            <family val="2"/>
          </rPr>
          <t>Fred Bruyns:</t>
        </r>
        <r>
          <rPr>
            <sz val="9"/>
            <color indexed="81"/>
            <rFont val="Tahoma"/>
            <family val="2"/>
          </rPr>
          <t xml:space="preserve">
Programming note: Message displays below release / return-to-work section if the 4th checkbox is checked.</t>
        </r>
      </text>
    </comment>
    <comment ref="T9" authorId="0" shapeId="0" xr:uid="{00000000-0006-0000-0200-000007000000}">
      <text>
        <r>
          <rPr>
            <b/>
            <sz val="9"/>
            <color indexed="81"/>
            <rFont val="Tahoma"/>
            <family val="2"/>
          </rPr>
          <t>Fred Bruyns:</t>
        </r>
        <r>
          <rPr>
            <sz val="9"/>
            <color indexed="81"/>
            <rFont val="Tahoma"/>
            <family val="2"/>
          </rPr>
          <t xml:space="preserve">
Programming note: Programming note: Message displays below release / return-to-work section if one of the first three checkboxes is checked.</t>
        </r>
      </text>
    </comment>
    <comment ref="T10" authorId="0" shapeId="0" xr:uid="{00000000-0006-0000-0200-000008000000}">
      <text>
        <r>
          <rPr>
            <b/>
            <sz val="9"/>
            <color indexed="81"/>
            <rFont val="Tahoma"/>
            <family val="2"/>
          </rPr>
          <t>Fred Bruyns:</t>
        </r>
        <r>
          <rPr>
            <sz val="9"/>
            <color indexed="81"/>
            <rFont val="Tahoma"/>
            <family val="2"/>
          </rPr>
          <t xml:space="preserve">
Programming note: Message to remind user to enter social-vocational data.</t>
        </r>
      </text>
    </comment>
    <comment ref="T12" authorId="0" shapeId="0" xr:uid="{00000000-0006-0000-0200-000009000000}">
      <text>
        <r>
          <rPr>
            <b/>
            <sz val="9"/>
            <color indexed="81"/>
            <rFont val="Tahoma"/>
            <family val="2"/>
          </rPr>
          <t>Fred Bruyns:</t>
        </r>
        <r>
          <rPr>
            <sz val="9"/>
            <color indexed="81"/>
            <rFont val="Tahoma"/>
            <family val="2"/>
          </rPr>
          <t xml:space="preserve">
Programming note: Message displays if release / return-to-work checkboxes are in conflict (any of first three plus the 4th box will cause error).</t>
        </r>
      </text>
    </comment>
    <comment ref="T13" authorId="0" shapeId="0" xr:uid="{00000000-0006-0000-0200-00000A000000}">
      <text>
        <r>
          <rPr>
            <b/>
            <sz val="9"/>
            <color indexed="81"/>
            <rFont val="Tahoma"/>
            <family val="2"/>
          </rPr>
          <t>Fred Bruyns:</t>
        </r>
        <r>
          <rPr>
            <sz val="9"/>
            <color indexed="81"/>
            <rFont val="Tahoma"/>
            <family val="2"/>
          </rPr>
          <t xml:space="preserve">
Programming note: Message displays if no release / return-to-work data is entered.</t>
        </r>
      </text>
    </comment>
    <comment ref="T34" authorId="0" shapeId="0" xr:uid="{00000000-0006-0000-0200-00000B000000}">
      <text>
        <r>
          <rPr>
            <b/>
            <sz val="9"/>
            <color indexed="81"/>
            <rFont val="Tahoma"/>
            <family val="2"/>
          </rPr>
          <t>Fred Bruyns:</t>
        </r>
        <r>
          <rPr>
            <sz val="9"/>
            <color indexed="81"/>
            <rFont val="Tahoma"/>
            <family val="2"/>
          </rPr>
          <t xml:space="preserve">
Programming note: Value carred in from hearing loss worksheet. "4" is used to suppress results from left and right hearing loss or monaural rating of both in favor of the greater loss for binaural rating.</t>
        </r>
      </text>
    </comment>
    <comment ref="T37" authorId="0" shapeId="0" xr:uid="{00000000-0006-0000-0200-00000C000000}">
      <text>
        <r>
          <rPr>
            <b/>
            <sz val="9"/>
            <color indexed="81"/>
            <rFont val="Tahoma"/>
            <family val="2"/>
          </rPr>
          <t>Fred Bruyns:</t>
        </r>
        <r>
          <rPr>
            <sz val="9"/>
            <color indexed="81"/>
            <rFont val="Tahoma"/>
            <family val="2"/>
          </rPr>
          <t xml:space="preserve">
Programming note: Value carred in from vision loss worksheet. "4" is used to suppress results from left and right eye or monocular rating of both in favor of the greater loss for binaural rating.</t>
        </r>
      </text>
    </comment>
    <comment ref="T43" authorId="0" shapeId="0" xr:uid="{00000000-0006-0000-0200-00000D000000}">
      <text>
        <r>
          <rPr>
            <b/>
            <sz val="9"/>
            <color indexed="81"/>
            <rFont val="Tahoma"/>
            <family val="2"/>
          </rPr>
          <t>Fred Bruyns:</t>
        </r>
        <r>
          <rPr>
            <sz val="9"/>
            <color indexed="81"/>
            <rFont val="Tahoma"/>
            <family val="2"/>
          </rPr>
          <t xml:space="preserve">
Programming note: Formulas in this column sort the impairment values from largest to smallest.</t>
        </r>
      </text>
    </comment>
    <comment ref="V43" authorId="0" shapeId="0" xr:uid="{00000000-0006-0000-0200-00000E000000}">
      <text>
        <r>
          <rPr>
            <b/>
            <sz val="9"/>
            <color indexed="81"/>
            <rFont val="Tahoma"/>
            <family val="2"/>
          </rPr>
          <t>Fred Bruyns:</t>
        </r>
        <r>
          <rPr>
            <sz val="9"/>
            <color indexed="81"/>
            <rFont val="Tahoma"/>
            <family val="2"/>
          </rPr>
          <t xml:space="preserve">
Programming note: Combined values at left are rounded in this column. The value at the bottom of the column is the total unscheduled impairment value.</t>
        </r>
      </text>
    </comment>
    <comment ref="S44" authorId="0" shapeId="0" xr:uid="{00000000-0006-0000-0200-00000F000000}">
      <text>
        <r>
          <rPr>
            <b/>
            <sz val="9"/>
            <color indexed="81"/>
            <rFont val="Tahoma"/>
            <family val="2"/>
          </rPr>
          <t>Fred Bruyns:</t>
        </r>
        <r>
          <rPr>
            <sz val="9"/>
            <color indexed="81"/>
            <rFont val="Tahoma"/>
            <family val="2"/>
          </rPr>
          <t xml:space="preserve">
TRUE if checkbox is checked; FALSE if not checked.</t>
        </r>
      </text>
    </comment>
    <comment ref="S45" authorId="0" shapeId="0" xr:uid="{00000000-0006-0000-0200-000010000000}">
      <text>
        <r>
          <rPr>
            <b/>
            <sz val="9"/>
            <color indexed="81"/>
            <rFont val="Tahoma"/>
            <family val="2"/>
          </rPr>
          <t>Fred Bruyns:</t>
        </r>
        <r>
          <rPr>
            <sz val="9"/>
            <color indexed="81"/>
            <rFont val="Tahoma"/>
            <family val="2"/>
          </rPr>
          <t xml:space="preserve">
TRUE if checkbox is checked; FALSE if not checked.</t>
        </r>
      </text>
    </comment>
    <comment ref="S46" authorId="0" shapeId="0" xr:uid="{00000000-0006-0000-0200-000011000000}">
      <text>
        <r>
          <rPr>
            <b/>
            <sz val="9"/>
            <color indexed="81"/>
            <rFont val="Tahoma"/>
            <family val="2"/>
          </rPr>
          <t>Fred Bruyns:</t>
        </r>
        <r>
          <rPr>
            <sz val="9"/>
            <color indexed="81"/>
            <rFont val="Tahoma"/>
            <family val="2"/>
          </rPr>
          <t xml:space="preserve">
TRUE if checkbox is checked; FALSE if not checked.</t>
        </r>
      </text>
    </comment>
    <comment ref="S47" authorId="0" shapeId="0" xr:uid="{00000000-0006-0000-0200-000012000000}">
      <text>
        <r>
          <rPr>
            <b/>
            <sz val="9"/>
            <color indexed="81"/>
            <rFont val="Tahoma"/>
            <family val="2"/>
          </rPr>
          <t>Fred Bruyns:</t>
        </r>
        <r>
          <rPr>
            <sz val="9"/>
            <color indexed="81"/>
            <rFont val="Tahoma"/>
            <family val="2"/>
          </rPr>
          <t xml:space="preserve">
TRUE if checkbox is checked; FALSE if not checked.</t>
        </r>
      </text>
    </comment>
    <comment ref="Q48" authorId="0" shapeId="0" xr:uid="{00000000-0006-0000-0200-000013000000}">
      <text>
        <r>
          <rPr>
            <b/>
            <sz val="9"/>
            <color indexed="81"/>
            <rFont val="Tahoma"/>
            <family val="2"/>
          </rPr>
          <t>Fred Bruyns:</t>
        </r>
        <r>
          <rPr>
            <sz val="9"/>
            <color indexed="81"/>
            <rFont val="Tahoma"/>
            <family val="2"/>
          </rPr>
          <t xml:space="preserve">
Programming note: Displays nothing if there is no unscheduled impairment or release/return-to-work status make the social-vocational factors unnecessary. Displays request for date of injury or date of issuance if these are missing. Displays error message if date of issuance is before date of injury. Displays note about missing social-vocational information if education, specific vocational preparation, or adaptability information are missing.</t>
        </r>
      </text>
    </comment>
    <comment ref="S48" authorId="0" shapeId="0" xr:uid="{00000000-0006-0000-0200-000014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49" authorId="0" shapeId="0" xr:uid="{00000000-0006-0000-0200-000015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0" authorId="0" shapeId="0" xr:uid="{00000000-0006-0000-0200-000016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1" authorId="0" shapeId="0" xr:uid="{00000000-0006-0000-0200-000017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2" authorId="0" shapeId="0" xr:uid="{00000000-0006-0000-0200-000018000000}">
      <text>
        <r>
          <rPr>
            <b/>
            <sz val="9"/>
            <color indexed="81"/>
            <rFont val="Tahoma"/>
            <family val="2"/>
          </rPr>
          <t>Fred Bruyns:</t>
        </r>
        <r>
          <rPr>
            <sz val="9"/>
            <color indexed="81"/>
            <rFont val="Tahoma"/>
            <family val="2"/>
          </rPr>
          <t xml:space="preserve">
"1" (or more) means at least one of the return/release checkboxes is checked (the worker has returned or is released to regular work).</t>
        </r>
      </text>
    </comment>
    <comment ref="N54" authorId="0" shapeId="0" xr:uid="{00000000-0006-0000-0200-000019000000}">
      <text>
        <r>
          <rPr>
            <b/>
            <sz val="9"/>
            <color indexed="81"/>
            <rFont val="Tahoma"/>
            <family val="2"/>
          </rPr>
          <t>Fred Bruyns:</t>
        </r>
        <r>
          <rPr>
            <sz val="9"/>
            <color indexed="81"/>
            <rFont val="Tahoma"/>
            <family val="2"/>
          </rPr>
          <t xml:space="preserve">
Programming note: Displays age if worker is not released and has not returned to regular work, but only if either age or date of birth are entered on "Start here" worksheet. If date of birth (only) is entered, date of issuance must be entered on "Start here" for calculation of age at issuance.</t>
        </r>
      </text>
    </comment>
    <comment ref="Q54" authorId="0" shapeId="0" xr:uid="{00000000-0006-0000-0200-00001A000000}">
      <text>
        <r>
          <rPr>
            <b/>
            <sz val="9"/>
            <color indexed="81"/>
            <rFont val="Tahoma"/>
            <family val="2"/>
          </rPr>
          <t>Fred Bruyns:</t>
        </r>
        <r>
          <rPr>
            <sz val="9"/>
            <color indexed="81"/>
            <rFont val="Tahoma"/>
            <family val="2"/>
          </rPr>
          <t xml:space="preserve">
Programming note: Displays social/vocational value of "1" if the worker is age 40 or above. Will not display if worker has returned or has been released to regular work  (if one of the first three checkboxes above has been checked).</t>
        </r>
      </text>
    </comment>
    <comment ref="Q55" authorId="0" shapeId="0" xr:uid="{00000000-0006-0000-0200-00001B000000}">
      <text>
        <r>
          <rPr>
            <b/>
            <sz val="9"/>
            <color indexed="81"/>
            <rFont val="Tahoma"/>
            <family val="2"/>
          </rPr>
          <t>Fred Bruyns:</t>
        </r>
        <r>
          <rPr>
            <sz val="9"/>
            <color indexed="81"/>
            <rFont val="Tahoma"/>
            <family val="2"/>
          </rPr>
          <t xml:space="preserve">
Programming note: Displays social/vocational value of "1" if the formal education is entered (at left) as "No HS Diploma/GED." Will not display if worker has been released or has returned to regular work (if one of the first three checkboxes above has been checked).</t>
        </r>
      </text>
    </comment>
    <comment ref="Q56" authorId="0" shapeId="0" xr:uid="{00000000-0006-0000-0200-00001C000000}">
      <text>
        <r>
          <rPr>
            <b/>
            <sz val="9"/>
            <color indexed="81"/>
            <rFont val="Tahoma"/>
            <family val="2"/>
          </rPr>
          <t>Fred Bruyns:</t>
        </r>
        <r>
          <rPr>
            <sz val="9"/>
            <color indexed="81"/>
            <rFont val="Tahoma"/>
            <family val="2"/>
          </rPr>
          <t xml:space="preserve">
Programming note: Based on entry at left, using chart (hidden) below sheet, displays 1, 2, 3, or 4. Will not display if the worker has been released or has returned to regular work (if one of the first three checkboxes above is checked).</t>
        </r>
      </text>
    </comment>
    <comment ref="N59" authorId="0" shapeId="0" xr:uid="{00000000-0006-0000-0200-00001D000000}">
      <text>
        <r>
          <rPr>
            <b/>
            <sz val="9"/>
            <color indexed="81"/>
            <rFont val="Tahoma"/>
            <family val="2"/>
          </rPr>
          <t>Fred Bruyns:</t>
        </r>
        <r>
          <rPr>
            <sz val="9"/>
            <color indexed="81"/>
            <rFont val="Tahoma"/>
            <family val="2"/>
          </rPr>
          <t xml:space="preserve">
Programming note: Based on amount of impairment, using chart (hidden) below sheet, displays value from 1 through 7. Will not display if the worker has been released or has not returned to regular work (if one of the first three checkboxes above are checked).</t>
        </r>
      </text>
    </comment>
    <comment ref="V61" authorId="0" shapeId="0" xr:uid="{00000000-0006-0000-0200-00001E000000}">
      <text>
        <r>
          <rPr>
            <b/>
            <sz val="9"/>
            <color indexed="81"/>
            <rFont val="Tahoma"/>
            <family val="2"/>
          </rPr>
          <t>Fred Bruyns:</t>
        </r>
        <r>
          <rPr>
            <sz val="9"/>
            <color indexed="81"/>
            <rFont val="Tahoma"/>
            <family val="2"/>
          </rPr>
          <t xml:space="preserve">
Programming note: This is the total unscheduled iimpairment value before addition of any social-vocational factor.</t>
        </r>
      </text>
    </comment>
    <comment ref="N62" authorId="0" shapeId="0" xr:uid="{00000000-0006-0000-0200-00001F000000}">
      <text>
        <r>
          <rPr>
            <b/>
            <sz val="9"/>
            <color indexed="81"/>
            <rFont val="Tahoma"/>
            <family val="2"/>
          </rPr>
          <t>Fred Bruyns:</t>
        </r>
        <r>
          <rPr>
            <sz val="9"/>
            <color indexed="81"/>
            <rFont val="Tahoma"/>
            <family val="2"/>
          </rPr>
          <t xml:space="preserve">
Programming note: Based on ratio of base functional capacity to residual functional capacity, and using chart (hidden) below sheet, displays value from 1 through 7. Will not display if the worker has been released or has returned to regular work (if one of the first three checkboxes above are checked).</t>
        </r>
      </text>
    </comment>
    <comment ref="Q63" authorId="0" shapeId="0" xr:uid="{00000000-0006-0000-0200-000020000000}">
      <text>
        <r>
          <rPr>
            <b/>
            <sz val="9"/>
            <color indexed="81"/>
            <rFont val="Tahoma"/>
            <family val="2"/>
          </rPr>
          <t>Fred Bruyns:</t>
        </r>
        <r>
          <rPr>
            <sz val="9"/>
            <color indexed="81"/>
            <rFont val="Tahoma"/>
            <family val="2"/>
          </rPr>
          <t xml:space="preserve">
Programming note: The higher of two adaptability factors displays here, or displays blank celll if the worker was released or returned to regular work (if one of the first three checkboxes above are checked).</t>
        </r>
      </text>
    </comment>
    <comment ref="T63" authorId="0" shapeId="0" xr:uid="{00000000-0006-0000-0200-000021000000}">
      <text>
        <r>
          <rPr>
            <b/>
            <sz val="9"/>
            <color indexed="81"/>
            <rFont val="Tahoma"/>
            <family val="2"/>
          </rPr>
          <t>Fred Bruyns:</t>
        </r>
        <r>
          <rPr>
            <sz val="9"/>
            <color indexed="81"/>
            <rFont val="Tahoma"/>
            <family val="2"/>
          </rPr>
          <t xml:space="preserve">
Programming note: This formula concatenates base functional capacity and residual functional capacity so the resulting value can be matched with adaptability values in (hidden) chart below this sheet.</t>
        </r>
      </text>
    </comment>
    <comment ref="Q64" authorId="0" shapeId="0" xr:uid="{00000000-0006-0000-0200-000022000000}">
      <text>
        <r>
          <rPr>
            <b/>
            <sz val="9"/>
            <color indexed="81"/>
            <rFont val="Tahoma"/>
            <family val="2"/>
          </rPr>
          <t>Fred Bruyns:</t>
        </r>
        <r>
          <rPr>
            <sz val="9"/>
            <color indexed="81"/>
            <rFont val="Tahoma"/>
            <family val="2"/>
          </rPr>
          <t xml:space="preserve">
Programming note: The sum of the values for age, education, and social-vocational preparation is displayed here, or displays blank cell if the worker was released or returned to regular work (if one of first three checkboxes above are checked).</t>
        </r>
      </text>
    </comment>
    <comment ref="Q65" authorId="0" shapeId="0" xr:uid="{00000000-0006-0000-0200-000023000000}">
      <text>
        <r>
          <rPr>
            <b/>
            <sz val="9"/>
            <color indexed="81"/>
            <rFont val="Tahoma"/>
            <family val="2"/>
          </rPr>
          <t>Fred Bruyns:</t>
        </r>
        <r>
          <rPr>
            <sz val="9"/>
            <color indexed="81"/>
            <rFont val="Tahoma"/>
            <family val="2"/>
          </rPr>
          <t xml:space="preserve">
Programming note: This product of the two values above will be added to the total unscheduled impairment. It is divided by 100 to conert to a percentage.</t>
        </r>
      </text>
    </comment>
    <comment ref="Q67" authorId="0" shapeId="0" xr:uid="{00000000-0006-0000-0200-000024000000}">
      <text>
        <r>
          <rPr>
            <b/>
            <sz val="9"/>
            <color indexed="81"/>
            <rFont val="Tahoma"/>
            <family val="2"/>
          </rPr>
          <t>Fred Bruyns:</t>
        </r>
        <r>
          <rPr>
            <sz val="9"/>
            <color indexed="81"/>
            <rFont val="Tahoma"/>
            <family val="2"/>
          </rPr>
          <t xml:space="preserve">
Programming note: This formula caps the total at 100%.</t>
        </r>
      </text>
    </comment>
    <comment ref="Q68" authorId="0" shapeId="0" xr:uid="{00000000-0006-0000-0200-000025000000}">
      <text>
        <r>
          <rPr>
            <b/>
            <sz val="9"/>
            <color indexed="81"/>
            <rFont val="Tahoma"/>
            <family val="2"/>
          </rPr>
          <t>Fred Bruyns:</t>
        </r>
        <r>
          <rPr>
            <sz val="9"/>
            <color indexed="81"/>
            <rFont val="Tahoma"/>
            <family val="2"/>
          </rPr>
          <t xml:space="preserve">
Programming note: Formula will display total unscheduled PPD only if there is PPD, the worker is not released or returned to regular work (4th checkbox above is checked), and there are no error messages in cell Q48 above.</t>
        </r>
      </text>
    </comment>
    <comment ref="C72" authorId="0" shapeId="0" xr:uid="{00000000-0006-0000-0200-000027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2" authorId="0" shapeId="0" xr:uid="{00000000-0006-0000-0200-000028000000}">
      <text>
        <r>
          <rPr>
            <b/>
            <sz val="9"/>
            <color indexed="81"/>
            <rFont val="Tahoma"/>
            <family val="2"/>
          </rPr>
          <t>Fred Bruyns:</t>
        </r>
        <r>
          <rPr>
            <sz val="9"/>
            <color indexed="81"/>
            <rFont val="Tahoma"/>
            <family val="2"/>
          </rPr>
          <t xml:space="preserve">
Programming note: Formula displays the amount of Tier 1 degrees or total degrees of PPD, whichever is less.</t>
        </r>
      </text>
    </comment>
    <comment ref="T72" authorId="0" shapeId="0" xr:uid="{00000000-0006-0000-0200-000029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C73" authorId="0" shapeId="0" xr:uid="{00000000-0006-0000-0200-00002A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3" authorId="0" shapeId="0" xr:uid="{00000000-0006-0000-0200-00002B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T73" authorId="0" shapeId="0" xr:uid="{00000000-0006-0000-0200-00002C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C74" authorId="0" shapeId="0" xr:uid="{00000000-0006-0000-0200-00002D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4" authorId="0" shapeId="0" xr:uid="{00000000-0006-0000-0200-00002E000000}">
      <text>
        <r>
          <rPr>
            <b/>
            <sz val="9"/>
            <color indexed="81"/>
            <rFont val="Tahoma"/>
            <family val="2"/>
          </rPr>
          <t>Fred Bruyns:</t>
        </r>
        <r>
          <rPr>
            <sz val="9"/>
            <color indexed="81"/>
            <rFont val="Tahoma"/>
            <family val="2"/>
          </rPr>
          <t xml:space="preserve">
Programming note: Formula displays the full amount of Tier 3 degrees or a lesser amount to sum, with Tiers 1 and 2, to the total degrees of PPD awarded.</t>
        </r>
      </text>
    </comment>
    <comment ref="T74" authorId="0" shapeId="0" xr:uid="{00000000-0006-0000-0200-00002F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B79" authorId="0" shapeId="0" xr:uid="{00000000-0006-0000-0200-000030000000}">
      <text>
        <r>
          <rPr>
            <b/>
            <sz val="9"/>
            <color indexed="81"/>
            <rFont val="Tahoma"/>
            <family val="2"/>
          </rPr>
          <t>Fred Bruyns:</t>
        </r>
        <r>
          <rPr>
            <sz val="9"/>
            <color indexed="81"/>
            <rFont val="Tahoma"/>
            <family val="2"/>
          </rPr>
          <t xml:space="preserve">
Programming note: This text is used in pull-down menu in worksheet.</t>
        </r>
      </text>
    </comment>
    <comment ref="C79" authorId="0" shapeId="0" xr:uid="{00000000-0006-0000-0200-000031000000}">
      <text>
        <r>
          <rPr>
            <b/>
            <sz val="9"/>
            <color indexed="81"/>
            <rFont val="Tahoma"/>
            <family val="2"/>
          </rPr>
          <t>Fred Bruyns:</t>
        </r>
        <r>
          <rPr>
            <sz val="9"/>
            <color indexed="81"/>
            <rFont val="Tahoma"/>
            <family val="2"/>
          </rPr>
          <t xml:space="preserve">
Programming note: This text is used in pull-down menu in worksheet.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D84734D5-4C10-41C6-BA9F-18209C33C76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7A1ACD3A-3CD1-47F9-943E-CD2CEEC2266D}">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0D787EAB-C6F2-4AC0-954B-2E878209879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0BB53B02-88B2-4027-8568-40589981EBD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16" authorId="1" shapeId="0" xr:uid="{85F5ABD8-8798-429B-8B27-811B02260F03}">
      <text>
        <r>
          <rPr>
            <b/>
            <sz val="9"/>
            <color indexed="81"/>
            <rFont val="Tahoma"/>
            <family val="2"/>
          </rPr>
          <t>Bruyns Fred H:</t>
        </r>
        <r>
          <rPr>
            <sz val="9"/>
            <color indexed="81"/>
            <rFont val="Tahoma"/>
            <family val="2"/>
          </rPr>
          <t xml:space="preserve">
Programming note: Impairment values from chart are transferred to this column.</t>
        </r>
      </text>
    </comment>
    <comment ref="T16" authorId="1" shapeId="0" xr:uid="{CBEA42A2-2DC9-4FF4-ABD6-BAD34E8B06B0}">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16" authorId="1" shapeId="0" xr:uid="{1DA798A4-D68B-4139-9B83-6B169134FB8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6" authorId="1" shapeId="0" xr:uid="{B562C419-B267-477A-9C73-9EEA03F46A4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7CA0C7F0-AE8E-43C9-8E1E-848A841DEC1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0136505-9AE2-4A43-B1D6-AD6C1BBF62A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18" authorId="1" shapeId="0" xr:uid="{1A0FD267-541E-466C-8F1C-22651380205C}">
      <text>
        <r>
          <rPr>
            <b/>
            <sz val="9"/>
            <color indexed="81"/>
            <rFont val="Tahoma"/>
            <family val="2"/>
          </rPr>
          <t>Bruyns Fred H:</t>
        </r>
        <r>
          <rPr>
            <sz val="9"/>
            <color indexed="81"/>
            <rFont val="Tahoma"/>
            <family val="2"/>
          </rPr>
          <t xml:space="preserve">
Programming note: Impairment values from chart are transferred to this column.</t>
        </r>
      </text>
    </comment>
    <comment ref="U18" authorId="1" shapeId="0" xr:uid="{31E969FA-46F3-4D9C-B770-6792158A688F}">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18" authorId="1" shapeId="0" xr:uid="{C0FABD5C-7D06-4AC6-8AEC-2A1E4D88DEC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18" authorId="1" shapeId="0" xr:uid="{78D125D6-05C0-4A29-9285-74870C223A64}">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33377FFC-5210-4126-AEED-E3EB460D156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64790FE2-9D87-4B20-8C23-3F5788833ED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R64" authorId="1" shapeId="0" xr:uid="{2D741B89-C13F-4ED8-9D1D-49A0BB292065}">
      <text>
        <r>
          <rPr>
            <b/>
            <sz val="9"/>
            <color indexed="81"/>
            <rFont val="Tahoma"/>
            <family val="2"/>
          </rPr>
          <t>Bruyns Fred H:</t>
        </r>
        <r>
          <rPr>
            <sz val="9"/>
            <color indexed="81"/>
            <rFont val="Tahoma"/>
            <family val="2"/>
          </rPr>
          <t xml:space="preserve">
Programming note: Impairment values from chart are transferred to this column.</t>
        </r>
      </text>
    </comment>
    <comment ref="S64" authorId="1" shapeId="0" xr:uid="{002C2BAB-364C-4763-9BDD-558DDA1A0CD5}">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64" authorId="1" shapeId="0" xr:uid="{6618DF1D-075B-4445-A0B5-2E58A05CC27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64" authorId="1" shapeId="0" xr:uid="{6B9E4F7C-6EDD-4518-9076-9650F42406B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F3A0475-E904-4783-A9A3-42556DB7B2FB}">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67CB3CE2-50CA-4425-B3C9-17B1350797D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2" authorId="1" shapeId="0" xr:uid="{8429A17C-0093-4093-8109-AD2DA993683D}">
      <text>
        <r>
          <rPr>
            <b/>
            <sz val="9"/>
            <color indexed="81"/>
            <rFont val="Tahoma"/>
            <family val="2"/>
          </rPr>
          <t>Bruyns Fred H:</t>
        </r>
        <r>
          <rPr>
            <sz val="9"/>
            <color indexed="81"/>
            <rFont val="Tahoma"/>
            <family val="2"/>
          </rPr>
          <t xml:space="preserve">
Programming note: Impairment values from chart are transferred to this column.</t>
        </r>
      </text>
    </comment>
    <comment ref="U42" authorId="1" shapeId="0" xr:uid="{532B45B9-BBD4-49B3-BAA7-6174F6D98C43}">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42" authorId="1" shapeId="0" xr:uid="{C6C8E465-BC1B-49F1-A160-283772C470B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2" authorId="1" shapeId="0" xr:uid="{4E15481C-4FA4-4170-AF10-11BBFDF71EA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BDE1DAAD-DAD4-47BD-89B1-E8DBBE88A75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42EFB89-E693-48CE-A440-6D16EF3AF48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18" authorId="1" shapeId="0" xr:uid="{AD98CE90-B5E1-4DB6-B349-190125B35F0C}">
      <text>
        <r>
          <rPr>
            <b/>
            <sz val="9"/>
            <color indexed="81"/>
            <rFont val="Tahoma"/>
            <family val="2"/>
          </rPr>
          <t>Bruyns Fred H:</t>
        </r>
        <r>
          <rPr>
            <sz val="9"/>
            <color indexed="81"/>
            <rFont val="Tahoma"/>
            <family val="2"/>
          </rPr>
          <t xml:space="preserve">
Programming note: Impairment values from chart are transferred to this column.</t>
        </r>
      </text>
    </comment>
    <comment ref="T18" authorId="1" shapeId="0" xr:uid="{166C92F9-5493-4EAA-8578-EF5C223B044C}">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18" authorId="1" shapeId="0" xr:uid="{3262F02B-078F-4962-B7CC-A0768CAE821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8" authorId="1" shapeId="0" xr:uid="{A094A471-43E2-4583-B355-A733122EF40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C10AB2AA-C9E2-40B1-9EDB-EA5D03FD71B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10F650D-AB9B-406E-AE15-63DB09C6C2A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3FFB038B-E99B-44C5-B8F2-34E0CB7C1F39}">
      <text>
        <r>
          <rPr>
            <b/>
            <sz val="9"/>
            <color indexed="81"/>
            <rFont val="Tahoma"/>
            <family val="2"/>
          </rPr>
          <t>Bruyns Fred H:</t>
        </r>
        <r>
          <rPr>
            <sz val="9"/>
            <color indexed="81"/>
            <rFont val="Tahoma"/>
            <family val="2"/>
          </rPr>
          <t xml:space="preserve">
The table in this worksheet has the percentages of impairment for the retained degrees of motion for joints in the upper extremity - all exactly as published in OAR 436-035, Disability Rating Standards.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F99E07E5-667B-4A49-ADE7-6A61284BB4D9}">
      <text>
        <r>
          <rPr>
            <b/>
            <sz val="9"/>
            <color indexed="81"/>
            <rFont val="Tahoma"/>
            <family val="2"/>
          </rPr>
          <t>Bruyns Fred H:</t>
        </r>
        <r>
          <rPr>
            <sz val="9"/>
            <color indexed="81"/>
            <rFont val="Tahoma"/>
            <family val="2"/>
          </rPr>
          <t xml:space="preserve">
The table in this worksheet has the percentages of impairment for the retained degrees of motion for joints in the lower extremity - all exactly as published in OAR 436-035, Disability Rating Standards.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9" authorId="0" shapeId="0" xr:uid="{557F0739-776D-46C1-99AA-5A8608045DAD}">
      <text>
        <r>
          <rPr>
            <b/>
            <sz val="9"/>
            <color indexed="81"/>
            <rFont val="Tahoma"/>
            <family val="2"/>
          </rPr>
          <t>Bruyns Fred H:</t>
        </r>
        <r>
          <rPr>
            <sz val="9"/>
            <color indexed="81"/>
            <rFont val="Tahoma"/>
            <family val="2"/>
          </rPr>
          <t xml:space="preserve">
Programming note: See table in OAR 43l6-035-0250.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R1" authorId="0" shapeId="0" xr:uid="{00000000-0006-0000-0400-000001000000}">
      <text>
        <r>
          <rPr>
            <b/>
            <sz val="9"/>
            <color indexed="81"/>
            <rFont val="Tahoma"/>
            <family val="2"/>
          </rPr>
          <t>Fred Bruyns:</t>
        </r>
        <r>
          <rPr>
            <sz val="9"/>
            <color indexed="81"/>
            <rFont val="Tahoma"/>
            <family val="2"/>
          </rPr>
          <t xml:space="preserve">
If the date of injury is earlier than this date, 1/1/2005, different calcuation methods are used near the bottom of this worksheet. Use the "Trace Dependents" option under "Formulas" and "Formula Auditing" on the ribbon to find dependent cells/formulas.</t>
        </r>
      </text>
    </comment>
    <comment ref="S1" authorId="0" shapeId="0" xr:uid="{00000000-0006-0000-0400-00000200000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R2" authorId="0" shapeId="0" xr:uid="{00000000-0006-0000-0400-000003000000}">
      <text>
        <r>
          <rPr>
            <b/>
            <sz val="9"/>
            <color indexed="81"/>
            <rFont val="Tahoma"/>
            <family val="2"/>
          </rPr>
          <t>Fred Bruyns:</t>
        </r>
        <r>
          <rPr>
            <sz val="9"/>
            <color indexed="81"/>
            <rFont val="Tahoma"/>
            <family val="2"/>
          </rPr>
          <t xml:space="preserve">
This is the date of injury from the "Start here" worksheet.</t>
        </r>
      </text>
    </comment>
    <comment ref="S2" authorId="0" shapeId="0" xr:uid="{00000000-0006-0000-0400-00000400000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P6" authorId="1" shapeId="0" xr:uid="{00000000-0006-0000-0400-000005000000}">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T6" authorId="0" shapeId="0" xr:uid="{00000000-0006-0000-0400-000006000000}">
      <text>
        <r>
          <rPr>
            <b/>
            <sz val="9"/>
            <color indexed="81"/>
            <rFont val="Tahoma"/>
            <family val="2"/>
          </rPr>
          <t xml:space="preserve">Fred Bruyns:
</t>
        </r>
        <r>
          <rPr>
            <sz val="9"/>
            <color indexed="81"/>
            <rFont val="Tahoma"/>
            <family val="2"/>
          </rPr>
          <t>Descriptions in the chart to the right are used in a pull-down menu below "Thumb amputation or resection without reattachment (or shortening of digit)." The percentages correspond to the extent of amputation per OAR 436-035-0030.</t>
        </r>
      </text>
    </comment>
    <comment ref="P11" authorId="1" shapeId="0" xr:uid="{00000000-0006-0000-0400-000007000000}">
      <text>
        <r>
          <rPr>
            <b/>
            <sz val="9"/>
            <color indexed="81"/>
            <rFont val="Tahoma"/>
            <family val="2"/>
          </rPr>
          <t>Bruyns Fred H:</t>
        </r>
        <r>
          <rPr>
            <sz val="9"/>
            <color indexed="81"/>
            <rFont val="Tahoma"/>
            <family val="2"/>
          </rPr>
          <t xml:space="preserve">
Programming note: This cell will be greater than 0 percent only if index finger amputation results in loss of opposition with the thumb.</t>
        </r>
      </text>
    </comment>
    <comment ref="U11" authorId="1" shapeId="0" xr:uid="{00000000-0006-0000-0400-000008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index finger opposition loss associated with the thumb amputation level. NOTE: This percentage, if any, will display with index finger values, not with the thumb.</t>
        </r>
      </text>
    </comment>
    <comment ref="V11" authorId="1" shapeId="0" xr:uid="{00000000-0006-0000-0400-000009000000}">
      <text>
        <r>
          <rPr>
            <b/>
            <sz val="9"/>
            <color indexed="81"/>
            <rFont val="Tahoma"/>
            <family val="2"/>
          </rPr>
          <t>Bruyns Fred H:</t>
        </r>
        <r>
          <rPr>
            <sz val="9"/>
            <color indexed="81"/>
            <rFont val="Tahoma"/>
            <family val="2"/>
          </rPr>
          <t xml:space="preserve">
Programming note: The amputation levels listed to the right are used in a pull-down menu to the left.</t>
        </r>
      </text>
    </comment>
    <comment ref="P12" authorId="1" shapeId="0" xr:uid="{00000000-0006-0000-0400-00000A000000}">
      <text>
        <r>
          <rPr>
            <b/>
            <sz val="9"/>
            <color indexed="81"/>
            <rFont val="Tahoma"/>
            <family val="2"/>
          </rPr>
          <t>Bruyns Fred H:</t>
        </r>
        <r>
          <rPr>
            <sz val="9"/>
            <color indexed="81"/>
            <rFont val="Tahoma"/>
            <family val="2"/>
          </rPr>
          <t xml:space="preserve">
Programming note: This cell will be greater than 0 percent only if middle finger amputation results in loss of opposition with the thumb.</t>
        </r>
      </text>
    </comment>
    <comment ref="U12" authorId="1" shapeId="0" xr:uid="{00000000-0006-0000-0400-00000B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middle finger opposition loss associated with the thumb amputation level.  This value will display in the middle finger chart, not with the thumb.</t>
        </r>
      </text>
    </comment>
    <comment ref="P13" authorId="1" shapeId="0" xr:uid="{00000000-0006-0000-0400-00000C000000}">
      <text>
        <r>
          <rPr>
            <b/>
            <sz val="9"/>
            <color indexed="81"/>
            <rFont val="Tahoma"/>
            <family val="2"/>
          </rPr>
          <t>Bruyns Fred H:</t>
        </r>
        <r>
          <rPr>
            <sz val="9"/>
            <color indexed="81"/>
            <rFont val="Tahoma"/>
            <family val="2"/>
          </rPr>
          <t xml:space="preserve">
Programming note: This cell will be greater than 0 percent only if ring finger amputation results in loss of opposition with the thumb.</t>
        </r>
      </text>
    </comment>
    <comment ref="U13" authorId="1" shapeId="0" xr:uid="{00000000-0006-0000-0400-00000D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ring finger opposition loss associated with the thumb amputation level.  This value will display in the ring finger chart, not with the thumb.</t>
        </r>
      </text>
    </comment>
    <comment ref="P14" authorId="1" shapeId="0" xr:uid="{00000000-0006-0000-0400-00000E000000}">
      <text>
        <r>
          <rPr>
            <b/>
            <sz val="9"/>
            <color indexed="81"/>
            <rFont val="Tahoma"/>
            <family val="2"/>
          </rPr>
          <t>Bruyns Fred H:</t>
        </r>
        <r>
          <rPr>
            <sz val="9"/>
            <color indexed="81"/>
            <rFont val="Tahoma"/>
            <family val="2"/>
          </rPr>
          <t xml:space="preserve">
Programming note: This cell will be greater than 0 percent only if little finger amputation results in loss of opposition with the thumb.</t>
        </r>
      </text>
    </comment>
    <comment ref="U14" authorId="1" shapeId="0" xr:uid="{00000000-0006-0000-0400-00000F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little finger opposition loss associated with the thumb amputation level.  This value will display in the little finger chart, not with the thumb.</t>
        </r>
      </text>
    </comment>
    <comment ref="S18" authorId="1" shapeId="0" xr:uid="{00000000-0006-0000-0400-000010000000}">
      <text>
        <r>
          <rPr>
            <b/>
            <sz val="9"/>
            <color indexed="81"/>
            <rFont val="Tahoma"/>
            <family val="2"/>
          </rPr>
          <t>Bruyns Fred H:</t>
        </r>
        <r>
          <rPr>
            <sz val="9"/>
            <color indexed="81"/>
            <rFont val="Tahoma"/>
            <family val="2"/>
          </rPr>
          <t xml:space="preserve">
Programming note: 80 degrees of flexion of IP joint is considered normal - no impairment. See OAR 436-035-0050.</t>
        </r>
      </text>
    </comment>
    <comment ref="T18" authorId="1" shapeId="0" xr:uid="{00000000-0006-0000-0400-000011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00000000-0006-0000-0400-000012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00000000-0006-0000-0400-000013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8" authorId="1" shapeId="0" xr:uid="{00000000-0006-0000-0400-00001400000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19" authorId="1" shapeId="0" xr:uid="{00000000-0006-0000-0400-000015000000}">
      <text>
        <r>
          <rPr>
            <b/>
            <sz val="9"/>
            <color indexed="81"/>
            <rFont val="Tahoma"/>
            <family val="2"/>
          </rPr>
          <t>Bruyns Fred H:</t>
        </r>
        <r>
          <rPr>
            <sz val="9"/>
            <color indexed="81"/>
            <rFont val="Tahoma"/>
            <family val="2"/>
          </rPr>
          <t xml:space="preserve">
Programming note: 80 degrees of extension of IP joint is considered maximum loss. See OAR 436-035-0050.</t>
        </r>
      </text>
    </comment>
    <comment ref="T19" authorId="1" shapeId="0" xr:uid="{00000000-0006-0000-0400-00001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9" authorId="1" shapeId="0" xr:uid="{00000000-0006-0000-0400-000017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9" authorId="1" shapeId="0" xr:uid="{00000000-0006-0000-0400-000018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9" authorId="1" shapeId="0" xr:uid="{00000000-0006-0000-0400-00001900000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9" authorId="1" shapeId="0" xr:uid="{00000000-0006-0000-0400-00001A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9" authorId="1" shapeId="0" xr:uid="{00000000-0006-0000-0400-00001B00000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80 (max/normal). The value of "X" is then subtracted from the 80 (max/normal). See instructions for this formula under OAR 436-035-0011.</t>
        </r>
      </text>
    </comment>
    <comment ref="S20" authorId="1" shapeId="0" xr:uid="{00000000-0006-0000-0400-00001C000000}">
      <text>
        <r>
          <rPr>
            <b/>
            <sz val="9"/>
            <color indexed="81"/>
            <rFont val="Tahoma"/>
            <family val="2"/>
          </rPr>
          <t>Bruyns Fred H:</t>
        </r>
        <r>
          <rPr>
            <sz val="9"/>
            <color indexed="81"/>
            <rFont val="Tahoma"/>
            <family val="2"/>
          </rPr>
          <t xml:space="preserve">
Programming note: 80 degrees of ankylosis of IP joint is considered maximum loss. See OAR 436-035-0050.</t>
        </r>
      </text>
    </comment>
    <comment ref="T20" authorId="1" shapeId="0" xr:uid="{00000000-0006-0000-0400-00001D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E21" authorId="1" shapeId="0" xr:uid="{00000000-0006-0000-0400-00001E00000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3" authorId="1" shapeId="0" xr:uid="{00000000-0006-0000-0400-000023000000}">
      <text>
        <r>
          <rPr>
            <b/>
            <sz val="9"/>
            <color indexed="81"/>
            <rFont val="Tahoma"/>
            <family val="2"/>
          </rPr>
          <t>Bruyns Fred H:</t>
        </r>
        <r>
          <rPr>
            <sz val="9"/>
            <color indexed="81"/>
            <rFont val="Tahoma"/>
            <family val="2"/>
          </rPr>
          <t xml:space="preserve">
Programming note: 60 degrees of flexion of MP joint is considered normal - no impairment. See OAR 436-035-0050.</t>
        </r>
      </text>
    </comment>
    <comment ref="T23" authorId="1" shapeId="0" xr:uid="{00000000-0006-0000-0400-000024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3" authorId="1" shapeId="0" xr:uid="{00000000-0006-0000-0400-000025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 authorId="1" shapeId="0" xr:uid="{00000000-0006-0000-0400-000026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3" authorId="1" shapeId="0" xr:uid="{00000000-0006-0000-0400-00002700000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24" authorId="1" shapeId="0" xr:uid="{00000000-0006-0000-0400-000029000000}">
      <text>
        <r>
          <rPr>
            <b/>
            <sz val="9"/>
            <color indexed="81"/>
            <rFont val="Tahoma"/>
            <family val="2"/>
          </rPr>
          <t>Bruyns Fred H:</t>
        </r>
        <r>
          <rPr>
            <sz val="9"/>
            <color indexed="81"/>
            <rFont val="Tahoma"/>
            <family val="2"/>
          </rPr>
          <t xml:space="preserve">
Programming note: 60 degrees of extension of MP joint is considered maximum loss. See OAR 436-035-0050.</t>
        </r>
      </text>
    </comment>
    <comment ref="T24" authorId="1" shapeId="0" xr:uid="{00000000-0006-0000-0400-00002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 authorId="1" shapeId="0" xr:uid="{00000000-0006-0000-0400-00002B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 authorId="1" shapeId="0" xr:uid="{00000000-0006-0000-0400-00002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 authorId="1" shapeId="0" xr:uid="{00000000-0006-0000-0400-00002D00000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 authorId="1" shapeId="0" xr:uid="{00000000-0006-0000-0400-00002E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 authorId="1" shapeId="0" xr:uid="{00000000-0006-0000-0400-00002F00000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60 (max/normal). The value of "X" is then subtracted from the 60 (max/normal). See instructions for this formula under OAR 436-035-0011.</t>
        </r>
      </text>
    </comment>
    <comment ref="AB24" authorId="1" shapeId="0" xr:uid="{00000000-0006-0000-0400-000031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4" authorId="1" shapeId="0" xr:uid="{00000000-0006-0000-0400-000032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4" authorId="1" shapeId="0" xr:uid="{00000000-0006-0000-0400-000033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25" authorId="1" shapeId="0" xr:uid="{00000000-0006-0000-0400-00003400000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 authorId="1" shapeId="0" xr:uid="{00000000-0006-0000-0400-000035000000}">
      <text>
        <r>
          <rPr>
            <b/>
            <sz val="9"/>
            <color indexed="81"/>
            <rFont val="Tahoma"/>
            <family val="2"/>
          </rPr>
          <t>Bruyns Fred H:</t>
        </r>
        <r>
          <rPr>
            <sz val="9"/>
            <color indexed="81"/>
            <rFont val="Tahoma"/>
            <family val="2"/>
          </rPr>
          <t xml:space="preserve">
Programming note: 60 degrees of ankylosis of MP joint is considered maximum loss. See OAR 436-035-0050.</t>
        </r>
      </text>
    </comment>
    <comment ref="T25" authorId="1" shapeId="0" xr:uid="{00000000-0006-0000-0400-00003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27" authorId="1" shapeId="0" xr:uid="{F20750CC-F1B5-4E22-B96C-30AA8F9B4FA8}">
      <text>
        <r>
          <rPr>
            <b/>
            <sz val="9"/>
            <color indexed="81"/>
            <rFont val="Tahoma"/>
            <family val="2"/>
          </rPr>
          <t>Bruyns Fred H:</t>
        </r>
        <r>
          <rPr>
            <sz val="9"/>
            <color indexed="81"/>
            <rFont val="Tahoma"/>
            <family val="2"/>
          </rPr>
          <t xml:space="preserve">
Programming note: Formula returns "1' if "ERROR" is present in one or both "Joint total" fields.</t>
        </r>
      </text>
    </comment>
    <comment ref="AH31" authorId="1" shapeId="0" xr:uid="{00000000-0006-0000-0400-000038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I31" authorId="1" shapeId="0" xr:uid="{00000000-0006-0000-0400-000039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J31" authorId="1" shapeId="0" xr:uid="{00000000-0006-0000-0400-00003A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K31" authorId="1" shapeId="0" xr:uid="{00000000-0006-0000-0400-00003B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S32" authorId="1" shapeId="0" xr:uid="{00000000-0006-0000-0400-00003C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X32" authorId="1" shapeId="0" xr:uid="{00000000-0006-0000-0400-00003D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thumb, this chart will only display 1 in the left-most cell. </t>
        </r>
      </text>
    </comment>
    <comment ref="AC32" authorId="1" shapeId="0" xr:uid="{00000000-0006-0000-0400-00003E000000}">
      <text>
        <r>
          <rPr>
            <b/>
            <sz val="9"/>
            <color indexed="81"/>
            <rFont val="Tahoma"/>
            <family val="2"/>
          </rPr>
          <t>Bruyns Fred H:</t>
        </r>
        <r>
          <rPr>
            <sz val="9"/>
            <color indexed="81"/>
            <rFont val="Tahoma"/>
            <family val="2"/>
          </rPr>
          <t xml:space="preserve">
Programming note: Formula enters grade for loss at each level of the thumb for the grades entered. See OAR 436-035-0110.</t>
        </r>
      </text>
    </comment>
    <comment ref="AH32" authorId="1" shapeId="0" xr:uid="{00000000-0006-0000-0400-00003F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thumb at MP joint has a grade 3 loss, this loss is applied to 1/2 the proximal phalanx. This allows for subtracting more proximal parts of the thumb if their grades of loss is different.</t>
        </r>
      </text>
    </comment>
    <comment ref="AL32" authorId="1" shapeId="0" xr:uid="{00000000-0006-0000-0400-000040000000}">
      <text>
        <r>
          <rPr>
            <b/>
            <sz val="9"/>
            <color indexed="81"/>
            <rFont val="Tahoma"/>
            <family val="2"/>
          </rPr>
          <t>Bruyns Fred H:</t>
        </r>
        <r>
          <rPr>
            <sz val="9"/>
            <color indexed="81"/>
            <rFont val="Tahoma"/>
            <family val="2"/>
          </rPr>
          <t xml:space="preserve">
Programming note: Formula displays grade percentage values that are two or three levels more distal - two or three columns to the right. For example, if entire thumb at MP joint has a grade 3 loss, this loss is applied to 1/2 digit / IP joint and also to 1/2 distal phalanx. This allows for subtracting more distal parts of the thumb if their grade of loss is different.</t>
        </r>
      </text>
    </comment>
    <comment ref="AQ32" authorId="1" shapeId="0" xr:uid="{00000000-0006-0000-0400-000041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(thumb IP joint)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AX33" authorId="1" shapeId="0" xr:uid="{00000000-0006-0000-0400-000042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eight values. </t>
        </r>
      </text>
    </comment>
    <comment ref="X36" authorId="1" shapeId="0" xr:uid="{00000000-0006-0000-0400-000043000000}">
      <text>
        <r>
          <rPr>
            <b/>
            <sz val="9"/>
            <color indexed="81"/>
            <rFont val="Tahoma"/>
            <family val="2"/>
          </rPr>
          <t>Bruyns Fred H:</t>
        </r>
        <r>
          <rPr>
            <sz val="9"/>
            <color indexed="81"/>
            <rFont val="Tahoma"/>
            <family val="2"/>
          </rPr>
          <t xml:space="preserve">
Programming note: A value greater than zero means the thumb has sensation loss - both sides.</t>
        </r>
      </text>
    </comment>
    <comment ref="Y36" authorId="1" shapeId="0" xr:uid="{00000000-0006-0000-0400-000044000000}">
      <text>
        <r>
          <rPr>
            <b/>
            <sz val="9"/>
            <color indexed="81"/>
            <rFont val="Tahoma"/>
            <family val="2"/>
          </rPr>
          <t>Bruyns Fred H:</t>
        </r>
        <r>
          <rPr>
            <sz val="9"/>
            <color indexed="81"/>
            <rFont val="Tahoma"/>
            <family val="2"/>
          </rPr>
          <t xml:space="preserve">
Programming note: A value greater than zero means the thumb has sensation loss - radial side.</t>
        </r>
      </text>
    </comment>
    <comment ref="Z36" authorId="1" shapeId="0" xr:uid="{00000000-0006-0000-0400-000045000000}">
      <text>
        <r>
          <rPr>
            <b/>
            <sz val="9"/>
            <color indexed="81"/>
            <rFont val="Tahoma"/>
            <family val="2"/>
          </rPr>
          <t>Bruyns Fred H:</t>
        </r>
        <r>
          <rPr>
            <sz val="9"/>
            <color indexed="81"/>
            <rFont val="Tahoma"/>
            <family val="2"/>
          </rPr>
          <t xml:space="preserve">
Programming note: A value greater than zero means the thumb has sensation loss - ulnar side.</t>
        </r>
      </text>
    </comment>
    <comment ref="AA36" authorId="1" shapeId="0" xr:uid="{00000000-0006-0000-0400-000046000000}">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X41" authorId="1" shapeId="0" xr:uid="{00000000-0006-0000-0400-000048000000}">
      <text>
        <r>
          <rPr>
            <b/>
            <sz val="9"/>
            <color indexed="81"/>
            <rFont val="Tahoma"/>
            <family val="2"/>
          </rPr>
          <t>Bruyns Fred H:</t>
        </r>
        <r>
          <rPr>
            <sz val="9"/>
            <color indexed="81"/>
            <rFont val="Tahoma"/>
            <family val="2"/>
          </rPr>
          <t xml:space="preserve">
Programming note: A value greater than zero means the thumb has hypersensitivity loss - both sides.</t>
        </r>
      </text>
    </comment>
    <comment ref="Y41" authorId="1" shapeId="0" xr:uid="{00000000-0006-0000-0400-000049000000}">
      <text>
        <r>
          <rPr>
            <b/>
            <sz val="9"/>
            <color indexed="81"/>
            <rFont val="Tahoma"/>
            <family val="2"/>
          </rPr>
          <t>Bruyns Fred H:</t>
        </r>
        <r>
          <rPr>
            <sz val="9"/>
            <color indexed="81"/>
            <rFont val="Tahoma"/>
            <family val="2"/>
          </rPr>
          <t xml:space="preserve">
Programming note: A value greater than zero means the thumb has hypersensitivity loss - radial side.</t>
        </r>
      </text>
    </comment>
    <comment ref="Z41" authorId="1" shapeId="0" xr:uid="{00000000-0006-0000-0400-00004A000000}">
      <text>
        <r>
          <rPr>
            <b/>
            <sz val="9"/>
            <color indexed="81"/>
            <rFont val="Tahoma"/>
            <family val="2"/>
          </rPr>
          <t>Bruyns Fred H:</t>
        </r>
        <r>
          <rPr>
            <sz val="9"/>
            <color indexed="81"/>
            <rFont val="Tahoma"/>
            <family val="2"/>
          </rPr>
          <t xml:space="preserve">
Programming note: A value greater than zero means the thumb has hpyersensitivity loss - ulnar side.</t>
        </r>
      </text>
    </comment>
    <comment ref="AA41" authorId="1" shapeId="0" xr:uid="{00000000-0006-0000-0400-00004B000000}">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S43" authorId="1" shapeId="0" xr:uid="{00000000-0006-0000-0400-00004C000000}">
      <text>
        <r>
          <rPr>
            <b/>
            <sz val="9"/>
            <color indexed="81"/>
            <rFont val="Tahoma"/>
            <family val="2"/>
          </rPr>
          <t>Bruyns Fred H:</t>
        </r>
        <r>
          <rPr>
            <sz val="9"/>
            <color indexed="81"/>
            <rFont val="Tahoma"/>
            <family val="2"/>
          </rPr>
          <t xml:space="preserve">
"TRUE" or "FALSE" are output from checkboxes for deformity of movement.</t>
        </r>
      </text>
    </comment>
    <comment ref="T50" authorId="1" shapeId="0" xr:uid="{1DFB0D9E-EC51-4CA0-BE41-B5C3157B2A0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50" authorId="1" shapeId="0" xr:uid="{6CACD8D1-3E6B-4B65-BF00-38CD38D47984}">
      <text>
        <r>
          <rPr>
            <b/>
            <sz val="9"/>
            <color indexed="81"/>
            <rFont val="Tahoma"/>
            <family val="2"/>
          </rPr>
          <t>Bruyns Fred H:</t>
        </r>
        <r>
          <rPr>
            <sz val="9"/>
            <color indexed="81"/>
            <rFont val="Tahoma"/>
            <family val="2"/>
          </rPr>
          <t xml:space="preserve">
Programming note: Sorted values to the left are combined and rounded in this column. Combining is explained in OAR 436-035-0011.</t>
        </r>
      </text>
    </comment>
    <comment ref="W50" authorId="1" shapeId="0" xr:uid="{00000000-0006-0000-0400-00004D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51" authorId="1" shapeId="0" xr:uid="{00000000-0006-0000-0400-00004E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1" authorId="1" shapeId="0" xr:uid="{00000000-0006-0000-0400-00004F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51" authorId="1" shapeId="0" xr:uid="{00000000-0006-0000-0400-000050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52" authorId="1" shapeId="0" xr:uid="{00000000-0006-0000-0400-000051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2" authorId="1" shapeId="0" xr:uid="{00000000-0006-0000-0400-000052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 </t>
        </r>
      </text>
    </comment>
    <comment ref="S52" authorId="1" shapeId="0" xr:uid="{00000000-0006-0000-0400-000053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U52" authorId="1" shapeId="0" xr:uid="{00000000-0006-0000-0400-000054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R54" authorId="1" shapeId="0" xr:uid="{00000000-0006-0000-0400-000055000000}">
      <text>
        <r>
          <rPr>
            <b/>
            <sz val="9"/>
            <color indexed="81"/>
            <rFont val="Tahoma"/>
            <family val="2"/>
          </rPr>
          <t>Bruyns Fred H:</t>
        </r>
        <r>
          <rPr>
            <sz val="9"/>
            <color indexed="81"/>
            <rFont val="Tahoma"/>
            <family val="2"/>
          </rPr>
          <t xml:space="preserve">
"TRUE" or "FALSE" are output from checkboxes for deformity of movement.</t>
        </r>
      </text>
    </comment>
    <comment ref="R57" authorId="1" shapeId="0" xr:uid="{00000000-0006-0000-0400-000056000000}">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60" authorId="1" shapeId="0" xr:uid="{00000000-0006-0000-0400-00005700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60" authorId="1" shapeId="0" xr:uid="{00000000-0006-0000-0400-000058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 authorId="1" shapeId="0" xr:uid="{00000000-0006-0000-0400-000059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60" authorId="1" shapeId="0" xr:uid="{00000000-0006-0000-0400-00005A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60" authorId="1" shapeId="0" xr:uid="{00000000-0006-0000-0400-00005B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61" authorId="1" shapeId="0" xr:uid="{00000000-0006-0000-0400-00005C000000}">
      <text>
        <r>
          <rPr>
            <b/>
            <sz val="9"/>
            <color indexed="81"/>
            <rFont val="Tahoma"/>
            <family val="2"/>
          </rPr>
          <t>Bruyns Fred H:</t>
        </r>
        <r>
          <rPr>
            <sz val="9"/>
            <color indexed="81"/>
            <rFont val="Tahoma"/>
            <family val="2"/>
          </rPr>
          <t xml:space="preserve">
Programming note: Formula returns "1" if only opposition loss is present in the diigit. "2" means there are other losses. If two digits are affected by the injury only because there is opposition loss in one of the digits, the digit values are not converted to a hand value unless the hand/forearm or arm also have losses due to the injury.</t>
        </r>
      </text>
    </comment>
    <comment ref="E66" authorId="1" shapeId="0" xr:uid="{00000000-0006-0000-0400-000063000000}">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P81" authorId="1" shapeId="0" xr:uid="{00000000-0006-0000-0400-000069000000}">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R81" authorId="1" shapeId="0" xr:uid="{00000000-0006-0000-0400-00006A000000}">
      <text>
        <r>
          <rPr>
            <b/>
            <sz val="9"/>
            <color indexed="81"/>
            <rFont val="Tahoma"/>
            <family val="2"/>
          </rPr>
          <t>Bruyns Fred H:</t>
        </r>
        <r>
          <rPr>
            <sz val="9"/>
            <color indexed="81"/>
            <rFont val="Tahoma"/>
            <family val="2"/>
          </rPr>
          <t xml:space="preserve">
Descriptions in the chart to the right are used in a pull-down menu below "Index finger, amputation or resection without reattachment (or shortening of digit)." The percentages correspond to the extent of amputation per OAR 436-035-0030.</t>
        </r>
      </text>
    </comment>
    <comment ref="P84" authorId="1" shapeId="0" xr:uid="{00000000-0006-0000-0400-00006B000000}">
      <text>
        <r>
          <rPr>
            <b/>
            <sz val="9"/>
            <color indexed="81"/>
            <rFont val="Tahoma"/>
            <family val="2"/>
          </rPr>
          <t>Bruyns Fred H:</t>
        </r>
        <r>
          <rPr>
            <sz val="9"/>
            <color indexed="81"/>
            <rFont val="Tahoma"/>
            <family val="2"/>
          </rPr>
          <t xml:space="preserve">
Programming note: This cell will be greater than 0 percent only if thumb amputation results in loss of opposition with the index finger.</t>
        </r>
      </text>
    </comment>
    <comment ref="R84" authorId="1" shapeId="0" xr:uid="{00000000-0006-0000-0400-00006C000000}">
      <text>
        <r>
          <rPr>
            <b/>
            <sz val="9"/>
            <color indexed="81"/>
            <rFont val="Tahoma"/>
            <family val="2"/>
          </rPr>
          <t>Bruyns Fred H:</t>
        </r>
        <r>
          <rPr>
            <sz val="9"/>
            <color indexed="81"/>
            <rFont val="Tahoma"/>
            <family val="2"/>
          </rPr>
          <t xml:space="preserve">
Programming note: This formula finds a match between the selected index finger amputation level in Cell B85 with the amputation levels listed in the table to the right, and then the formula returns the percentage of thumb opposition loss associated with the index finger amputation level. NOTE: This percentage, if any, will display for the thumb, not for the index finger.</t>
        </r>
      </text>
    </comment>
    <comment ref="S91" authorId="1" shapeId="0" xr:uid="{00000000-0006-0000-0400-00006D000000}">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91" authorId="1" shapeId="0" xr:uid="{00000000-0006-0000-0400-00006E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1" authorId="1" shapeId="0" xr:uid="{72B642CB-A0CC-443A-A09A-F5B6F4B7A67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1" authorId="1" shapeId="0" xr:uid="{00000000-0006-0000-0400-000070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1" authorId="1" shapeId="0" xr:uid="{F6EF2557-6894-4A02-91AF-FEBCAE4E8C9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92" authorId="1" shapeId="0" xr:uid="{00000000-0006-0000-0400-000071000000}">
      <text>
        <r>
          <rPr>
            <b/>
            <sz val="9"/>
            <color indexed="81"/>
            <rFont val="Tahoma"/>
            <family val="2"/>
          </rPr>
          <t>Bruyns Fred H:</t>
        </r>
        <r>
          <rPr>
            <sz val="9"/>
            <color indexed="81"/>
            <rFont val="Tahoma"/>
            <family val="2"/>
          </rPr>
          <t xml:space="preserve">
Programming note: 70 degrees of extension of DIP joint is maximum loss.</t>
        </r>
      </text>
    </comment>
    <comment ref="T92" authorId="1" shapeId="0" xr:uid="{00000000-0006-0000-0400-000072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2" authorId="1" shapeId="0" xr:uid="{BB6EEF5D-107B-4A5A-9720-E35EDF6FFD5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2" authorId="1" shapeId="0" xr:uid="{00000000-0006-0000-0400-000074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2" authorId="1" shapeId="0" xr:uid="{00000000-0006-0000-0400-000075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2" authorId="1" shapeId="0" xr:uid="{00000000-0006-0000-0400-000076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2" authorId="1" shapeId="0" xr:uid="{AAFEDA3F-8659-4047-B42D-6ECC89214B1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E93" authorId="1" shapeId="0" xr:uid="{DC7007D4-D625-4953-A447-6E1351F7B44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3" authorId="1" shapeId="0" xr:uid="{00000000-0006-0000-0400-000077000000}">
      <text>
        <r>
          <rPr>
            <b/>
            <sz val="9"/>
            <color indexed="81"/>
            <rFont val="Tahoma"/>
            <family val="2"/>
          </rPr>
          <t>Bruyns Fred H:</t>
        </r>
        <r>
          <rPr>
            <sz val="9"/>
            <color indexed="81"/>
            <rFont val="Tahoma"/>
            <family val="2"/>
          </rPr>
          <t xml:space="preserve">
Programming note: 70 degrees of ankylosis of DIP joint is maximum loss.</t>
        </r>
      </text>
    </comment>
    <comment ref="T93" authorId="1" shapeId="0" xr:uid="{00000000-0006-0000-0400-000078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5" authorId="1" shapeId="0" xr:uid="{00000000-0006-0000-0400-000079000000}">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95" authorId="1" shapeId="0" xr:uid="{00000000-0006-0000-0400-00007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5" authorId="1" shapeId="0" xr:uid="{7DF0D46B-99F2-455E-9A92-7B8F0155F7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5" authorId="1" shapeId="0" xr:uid="{00000000-0006-0000-0400-00007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5" authorId="1" shapeId="0" xr:uid="{E18031B7-6CC5-4C0B-BE4F-9A4827ECAE8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96" authorId="1" shapeId="0" xr:uid="{00000000-0006-0000-0400-00007D000000}">
      <text>
        <r>
          <rPr>
            <b/>
            <sz val="9"/>
            <color indexed="81"/>
            <rFont val="Tahoma"/>
            <family val="2"/>
          </rPr>
          <t>Bruyns Fred H:</t>
        </r>
        <r>
          <rPr>
            <sz val="9"/>
            <color indexed="81"/>
            <rFont val="Tahoma"/>
            <family val="2"/>
          </rPr>
          <t xml:space="preserve">
Programming note: 100 degrees of extension of PIP joint is maximum loss.</t>
        </r>
      </text>
    </comment>
    <comment ref="T96" authorId="1" shapeId="0" xr:uid="{00000000-0006-0000-0400-00007E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D241CB95-080F-4927-ACA0-B6A4D020958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00000000-0006-0000-0400-000080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6" authorId="1" shapeId="0" xr:uid="{00000000-0006-0000-0400-000081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6" authorId="1" shapeId="0" xr:uid="{00000000-0006-0000-0400-000082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6" authorId="1" shapeId="0" xr:uid="{30363CE1-8D29-4863-8B1C-32CA45504A83}">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E97" authorId="1" shapeId="0" xr:uid="{865D8CB2-6125-4374-B690-4D8F5F53D39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00000000-0006-0000-0400-000083000000}">
      <text>
        <r>
          <rPr>
            <b/>
            <sz val="9"/>
            <color indexed="81"/>
            <rFont val="Tahoma"/>
            <family val="2"/>
          </rPr>
          <t>Bruyns Fred H:</t>
        </r>
        <r>
          <rPr>
            <sz val="9"/>
            <color indexed="81"/>
            <rFont val="Tahoma"/>
            <family val="2"/>
          </rPr>
          <t xml:space="preserve">
Programming note: 100 degrees of ankylosis of PIP joint is maximum loss.</t>
        </r>
      </text>
    </comment>
    <comment ref="T97" authorId="1" shapeId="0" xr:uid="{00000000-0006-0000-0400-000084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98" authorId="1" shapeId="0" xr:uid="{E6D74FA8-4B18-480F-941D-7E31DC0314DB}">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98" authorId="1" shapeId="0" xr:uid="{3AB1B9F1-A28A-44D1-872E-13E61307FB5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98" authorId="1" shapeId="0" xr:uid="{E3DA8543-8E5A-4318-986C-573617A1157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98" authorId="1" shapeId="0" xr:uid="{D559239F-FA64-4CCD-BA9A-EE13E6757C0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99" authorId="1" shapeId="0" xr:uid="{00000000-0006-0000-0400-000085000000}">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99" authorId="1" shapeId="0" xr:uid="{00000000-0006-0000-0400-00008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9" authorId="1" shapeId="0" xr:uid="{00000000-0006-0000-0400-000087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9" authorId="1" shapeId="0" xr:uid="{00000000-0006-0000-0400-000088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9" authorId="1" shapeId="0" xr:uid="{84ED3417-75E3-4EAD-983D-4690D6C704F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00" authorId="1" shapeId="0" xr:uid="{00000000-0006-0000-0400-000089000000}">
      <text>
        <r>
          <rPr>
            <b/>
            <sz val="9"/>
            <color indexed="81"/>
            <rFont val="Tahoma"/>
            <family val="2"/>
          </rPr>
          <t>Bruyns Fred H:</t>
        </r>
        <r>
          <rPr>
            <sz val="9"/>
            <color indexed="81"/>
            <rFont val="Tahoma"/>
            <family val="2"/>
          </rPr>
          <t xml:space="preserve">
Programming note: 90 degrees of extension of MP joint is maximum loss.</t>
        </r>
      </text>
    </comment>
    <comment ref="T100" authorId="1" shapeId="0" xr:uid="{00000000-0006-0000-0400-00008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00" authorId="1" shapeId="0" xr:uid="{00000000-0006-0000-0400-00008B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00" authorId="1" shapeId="0" xr:uid="{00000000-0006-0000-0400-00008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00" authorId="1" shapeId="0" xr:uid="{00000000-0006-0000-0400-00008D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100" authorId="1" shapeId="0" xr:uid="{00000000-0006-0000-0400-00008E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00" authorId="1" shapeId="0" xr:uid="{50CFF5C9-C242-4D34-AAC1-6724577BEBD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101" authorId="1" shapeId="0" xr:uid="{4DDA73B7-442A-4C2D-9DB0-E4B46244163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101" authorId="1" shapeId="0" xr:uid="{EA34C7FB-29CD-4169-8E75-322ABFF7E237}">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01" authorId="1" shapeId="0" xr:uid="{00000000-0006-0000-0400-00008F000000}">
      <text>
        <r>
          <rPr>
            <b/>
            <sz val="9"/>
            <color indexed="81"/>
            <rFont val="Tahoma"/>
            <family val="2"/>
          </rPr>
          <t>Bruyns Fred H:</t>
        </r>
        <r>
          <rPr>
            <sz val="9"/>
            <color indexed="81"/>
            <rFont val="Tahoma"/>
            <family val="2"/>
          </rPr>
          <t xml:space="preserve">
Programming note: 90 degrees of ankylosis of MP joint is maximum loss.</t>
        </r>
      </text>
    </comment>
    <comment ref="T101" authorId="1" shapeId="0" xr:uid="{00000000-0006-0000-0400-000090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05" authorId="1" shapeId="0" xr:uid="{00000000-0006-0000-0400-000091000000}">
      <text>
        <r>
          <rPr>
            <b/>
            <sz val="9"/>
            <color indexed="81"/>
            <rFont val="Tahoma"/>
            <family val="2"/>
          </rPr>
          <t>Bruyns Fred H:</t>
        </r>
        <r>
          <rPr>
            <sz val="9"/>
            <color indexed="81"/>
            <rFont val="Tahoma"/>
            <family val="2"/>
          </rPr>
          <t xml:space="preserve">
"TRUE" or "FALSE" are output from checkboxes for deformity of movement.</t>
        </r>
      </text>
    </comment>
    <comment ref="AH113" authorId="1" shapeId="0" xr:uid="{00000000-0006-0000-0400-000092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13" authorId="1" shapeId="0" xr:uid="{00000000-0006-0000-0400-000093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13" authorId="1" shapeId="0" xr:uid="{00000000-0006-0000-0400-000094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13" authorId="1" shapeId="0" xr:uid="{00000000-0006-0000-0400-000095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14" authorId="1" shapeId="0" xr:uid="{00000000-0006-0000-0400-000096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14" authorId="1" shapeId="0" xr:uid="{00000000-0006-0000-0400-000097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14" authorId="1" shapeId="0" xr:uid="{00000000-0006-0000-0400-000098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14" authorId="1" shapeId="0" xr:uid="{00000000-0006-0000-0400-000099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14" authorId="1" shapeId="0" xr:uid="{00000000-0006-0000-0400-00009A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14" authorId="1" shapeId="0" xr:uid="{00000000-0006-0000-0400-00009B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14" authorId="1" shapeId="0" xr:uid="{00000000-0006-0000-0400-00009C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15" authorId="1" shapeId="0" xr:uid="{00000000-0006-0000-0400-00009D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18" authorId="1" shapeId="0" xr:uid="{00000000-0006-0000-0400-00009E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18" authorId="1" shapeId="0" xr:uid="{00000000-0006-0000-0400-00009F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18" authorId="1" shapeId="0" xr:uid="{00000000-0006-0000-0400-0000A0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18" authorId="1" shapeId="0" xr:uid="{00000000-0006-0000-0400-0000A1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23" authorId="1" shapeId="0" xr:uid="{00000000-0006-0000-0400-0000A2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23" authorId="1" shapeId="0" xr:uid="{00000000-0006-0000-0400-0000A3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23" authorId="1" shapeId="0" xr:uid="{00000000-0006-0000-0400-0000A4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23" authorId="1" shapeId="0" xr:uid="{00000000-0006-0000-0400-0000A5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125" authorId="1" shapeId="0" xr:uid="{A2F97CE0-57E7-4F38-B07A-CD47F4BE955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25" authorId="1" shapeId="0" xr:uid="{6646CF2E-475C-44C3-BC46-5B9AE9CFC78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25" authorId="1" shapeId="0" xr:uid="{3514F196-F2C9-4739-8690-ED2F5C36BF8C}">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W125" authorId="1" shapeId="0" xr:uid="{00000000-0006-0000-0400-0000A6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126" authorId="1" shapeId="0" xr:uid="{00000000-0006-0000-0400-0000A7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6" authorId="1" shapeId="0" xr:uid="{00000000-0006-0000-0400-0000A8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6" authorId="1" shapeId="0" xr:uid="{00000000-0006-0000-0400-0000A9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127" authorId="1" shapeId="0" xr:uid="{00000000-0006-0000-0400-0000AA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7" authorId="1" shapeId="0" xr:uid="{00000000-0006-0000-0400-0000AB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7" authorId="1" shapeId="0" xr:uid="{00000000-0006-0000-0400-0000AC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127" authorId="1" shapeId="0" xr:uid="{00000000-0006-0000-0400-0000AD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128" authorId="1" shapeId="0" xr:uid="{00000000-0006-0000-0400-0000AE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8" authorId="1" shapeId="0" xr:uid="{00000000-0006-0000-0400-0000AF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8" authorId="1" shapeId="0" xr:uid="{00000000-0006-0000-0400-0000B0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130" authorId="1" shapeId="0" xr:uid="{ACBD1D5C-5E1E-4513-A2A1-3805958D9E1A}">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134" authorId="1" shapeId="0" xr:uid="{4D78798C-1989-4946-AEEF-C5FA8614029B}">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137" authorId="1" shapeId="0" xr:uid="{00000000-0006-0000-0400-0000B1000000}">
      <text>
        <r>
          <rPr>
            <b/>
            <sz val="9"/>
            <color indexed="81"/>
            <rFont val="Tahoma"/>
            <family val="2"/>
          </rPr>
          <t>Bruyns Fred H:</t>
        </r>
        <r>
          <rPr>
            <sz val="9"/>
            <color indexed="81"/>
            <rFont val="Tahoma"/>
            <family val="2"/>
          </rPr>
          <t xml:space="preserve">
Programming note: Formula returns an apportioned value, if present; otherwise the value in Column E.</t>
        </r>
      </text>
    </comment>
    <comment ref="S137" authorId="1" shapeId="0" xr:uid="{00000000-0006-0000-0400-0000B2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137" authorId="1" shapeId="0" xr:uid="{00000000-0006-0000-0400-0000B3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137" authorId="1" shapeId="0" xr:uid="{00000000-0006-0000-0400-0000B4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137" authorId="1" shapeId="0" xr:uid="{00000000-0006-0000-0400-0000B5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their are findings in the hand/forearm or arm), but the exception is when two digits are affected only due to loss of opposition following amputation of part or all of a digit.</t>
        </r>
      </text>
    </comment>
    <comment ref="X138" authorId="1" shapeId="0" xr:uid="{00000000-0006-0000-0400-0000B600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140" authorId="1" shapeId="0" xr:uid="{EC60FB3E-8561-4753-BFDB-3B4E8E941745}">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157" authorId="1" shapeId="0" xr:uid="{00000000-0006-0000-0400-0000B7000000}">
      <text>
        <r>
          <rPr>
            <b/>
            <sz val="9"/>
            <color indexed="81"/>
            <rFont val="Tahoma"/>
            <family val="2"/>
          </rPr>
          <t>Bruyns Fred H:</t>
        </r>
        <r>
          <rPr>
            <sz val="9"/>
            <color indexed="81"/>
            <rFont val="Tahoma"/>
            <family val="2"/>
          </rPr>
          <t xml:space="preserve">
Descriptions in the chart to the right are used in a pull-down menu below "Middle finger, amputation or resection without reattachment (or shortening of digit)." The percentages correspond to the extent of amputation per OAR 436-035-0030.</t>
        </r>
      </text>
    </comment>
    <comment ref="R160" authorId="1" shapeId="0" xr:uid="{00000000-0006-0000-0400-0000B8000000}">
      <text>
        <r>
          <rPr>
            <b/>
            <sz val="9"/>
            <color indexed="81"/>
            <rFont val="Tahoma"/>
            <family val="2"/>
          </rPr>
          <t>Bruyns Fred H:</t>
        </r>
        <r>
          <rPr>
            <sz val="9"/>
            <color indexed="81"/>
            <rFont val="Tahoma"/>
            <family val="2"/>
          </rPr>
          <t xml:space="preserve">
Programming note: This formula finds a match between the selected middle finger amputation level in Cell B161 with the amputation levels listed in the table to the right, and then the formula returns the percentage of thumb opposition loss associated with the middle finger amputation level. NOTE: This percentage, if any, will display for the thumb, not for the middle finger.</t>
        </r>
      </text>
    </comment>
    <comment ref="S168" authorId="1" shapeId="0" xr:uid="{287469C8-B6D6-47F9-8CE8-A5B32F55C5BB}">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168" authorId="1" shapeId="0" xr:uid="{8CAF97E5-0C00-48AE-AB5E-4BFA1DE8E03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8" authorId="1" shapeId="0" xr:uid="{FBC5B266-8641-4A21-BEB8-1C1009EAE56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8" authorId="1" shapeId="0" xr:uid="{A3973095-DB8A-40B2-84BF-8795C5BA47F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68" authorId="1" shapeId="0" xr:uid="{79A1AE36-9944-47F7-B43F-EBAF01DA362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169" authorId="1" shapeId="0" xr:uid="{A09EB131-D880-4A96-8999-75A5C1CD9228}">
      <text>
        <r>
          <rPr>
            <b/>
            <sz val="9"/>
            <color indexed="81"/>
            <rFont val="Tahoma"/>
            <family val="2"/>
          </rPr>
          <t>Bruyns Fred H:</t>
        </r>
        <r>
          <rPr>
            <sz val="9"/>
            <color indexed="81"/>
            <rFont val="Tahoma"/>
            <family val="2"/>
          </rPr>
          <t xml:space="preserve">
Programming note: 70 degrees of extension of DIP joint is maximum loss.</t>
        </r>
      </text>
    </comment>
    <comment ref="T169" authorId="1" shapeId="0" xr:uid="{DF20681F-123D-4B71-AF7B-6FCD265BC1D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9" authorId="1" shapeId="0" xr:uid="{26FCD812-1109-417D-A17A-43F0FACC42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9" authorId="1" shapeId="0" xr:uid="{9E668EFA-104E-442F-882F-96F423E567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69" authorId="1" shapeId="0" xr:uid="{570B1C0A-20A6-41EB-8B07-78220A9B682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69" authorId="1" shapeId="0" xr:uid="{00000000-0006-0000-0400-0000B9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69" authorId="1" shapeId="0" xr:uid="{522C04B5-E2CB-4E8E-B50D-5BEDFA55300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E170" authorId="1" shapeId="0" xr:uid="{9A7BFB9F-238A-4C60-953F-326C28E1ACD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0" authorId="1" shapeId="0" xr:uid="{25FE74B8-7787-459C-8AB2-0DE5B219DA53}">
      <text>
        <r>
          <rPr>
            <b/>
            <sz val="9"/>
            <color indexed="81"/>
            <rFont val="Tahoma"/>
            <family val="2"/>
          </rPr>
          <t>Bruyns Fred H:</t>
        </r>
        <r>
          <rPr>
            <sz val="9"/>
            <color indexed="81"/>
            <rFont val="Tahoma"/>
            <family val="2"/>
          </rPr>
          <t xml:space="preserve">
Programming note: 70 degrees of ankylosis of DIP joint is maximum loss.</t>
        </r>
      </text>
    </comment>
    <comment ref="T170" authorId="1" shapeId="0" xr:uid="{32246072-019E-41B0-A3D3-DE3ABACC57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2" authorId="1" shapeId="0" xr:uid="{96C7EFF9-BAD6-43D4-B22A-4070909A57AF}">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172" authorId="1" shapeId="0" xr:uid="{ACF13598-6CE9-446E-800E-C7592CB4928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2" authorId="1" shapeId="0" xr:uid="{B393E238-A344-488E-BC69-D55A20BC5B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2" authorId="1" shapeId="0" xr:uid="{5121B331-CE52-4480-ACD2-6DDA6A8E84E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2" authorId="1" shapeId="0" xr:uid="{827D556C-79BA-4B0A-AD25-C63B9426C14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173" authorId="1" shapeId="0" xr:uid="{8F2067EC-2E89-4BE4-BB79-18F85DCCBEE7}">
      <text>
        <r>
          <rPr>
            <b/>
            <sz val="9"/>
            <color indexed="81"/>
            <rFont val="Tahoma"/>
            <family val="2"/>
          </rPr>
          <t>Bruyns Fred H:</t>
        </r>
        <r>
          <rPr>
            <sz val="9"/>
            <color indexed="81"/>
            <rFont val="Tahoma"/>
            <family val="2"/>
          </rPr>
          <t xml:space="preserve">
Programming note: 100 degrees of extension of PIP joint is maximum loss.</t>
        </r>
      </text>
    </comment>
    <comment ref="T173" authorId="1" shapeId="0" xr:uid="{759FC423-B0AD-4452-B84A-9BC9FF0B35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3" authorId="1" shapeId="0" xr:uid="{63A951F3-AAF1-4CB4-9B14-B97FDAF4E53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3" authorId="1" shapeId="0" xr:uid="{8F0B9782-2DDF-4999-B7FD-1F6D352DEE8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3" authorId="1" shapeId="0" xr:uid="{3E78E508-FDE0-47D1-BD43-C481EF02FB0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3" authorId="1" shapeId="0" xr:uid="{00000000-0006-0000-0400-0000BA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3" authorId="1" shapeId="0" xr:uid="{84DC9D80-275A-4F9C-84BE-273C2B745192}">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E174" authorId="1" shapeId="0" xr:uid="{10624756-3702-4269-9C88-31904DF27CF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4" authorId="1" shapeId="0" xr:uid="{E8DFBD95-AB51-4CBE-BA02-788C558BA698}">
      <text>
        <r>
          <rPr>
            <b/>
            <sz val="9"/>
            <color indexed="81"/>
            <rFont val="Tahoma"/>
            <family val="2"/>
          </rPr>
          <t>Bruyns Fred H:</t>
        </r>
        <r>
          <rPr>
            <sz val="9"/>
            <color indexed="81"/>
            <rFont val="Tahoma"/>
            <family val="2"/>
          </rPr>
          <t xml:space="preserve">
Programming note: 100 degrees of ankylosis of PIP joint is maximum loss.</t>
        </r>
      </text>
    </comment>
    <comment ref="T174" authorId="1" shapeId="0" xr:uid="{452722BE-9902-403E-B7A3-A801B3D9F25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175" authorId="1" shapeId="0" xr:uid="{8883ED88-10F0-4B1F-AFC7-37A2B7523FBA}">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175" authorId="1" shapeId="0" xr:uid="{BE3F35B9-6215-4D31-B092-86749FF615F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175" authorId="1" shapeId="0" xr:uid="{CB0792AB-08B3-45FC-9C89-D74FD5B0B98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175" authorId="1" shapeId="0" xr:uid="{1A950E16-F7FD-48FB-B33F-378838A619D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176" authorId="1" shapeId="0" xr:uid="{DE8CA4E2-6D43-47B0-B1C0-AD21EE1B73B7}">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176" authorId="1" shapeId="0" xr:uid="{933519DB-B26F-4454-9FCE-FFACE66FB9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EABF3896-4EFF-488C-BDE7-03E16349C7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EBCF6550-C84C-4B7A-8EF3-BE6B1B3B496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6" authorId="1" shapeId="0" xr:uid="{0E1455DD-6128-496E-81AF-C5D5C29496A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77" authorId="1" shapeId="0" xr:uid="{6E35E584-B622-49C3-9611-3335D7E99C8C}">
      <text>
        <r>
          <rPr>
            <b/>
            <sz val="9"/>
            <color indexed="81"/>
            <rFont val="Tahoma"/>
            <family val="2"/>
          </rPr>
          <t>Bruyns Fred H:</t>
        </r>
        <r>
          <rPr>
            <sz val="9"/>
            <color indexed="81"/>
            <rFont val="Tahoma"/>
            <family val="2"/>
          </rPr>
          <t xml:space="preserve">
Programming note: 90 degrees of extension of MP joint is maximum loss.</t>
        </r>
      </text>
    </comment>
    <comment ref="T177" authorId="1" shapeId="0" xr:uid="{DB1B925B-099A-4F24-8394-AD07CDADE63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7" authorId="1" shapeId="0" xr:uid="{ADCAF913-B89A-4846-90F0-F351B8B0762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7" authorId="1" shapeId="0" xr:uid="{14B2A87E-F28C-42E1-A0B9-9EC11933F2C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7" authorId="1" shapeId="0" xr:uid="{F4EBB2AA-FFCD-4E37-B852-63F343DE6DF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7" authorId="1" shapeId="0" xr:uid="{00000000-0006-0000-0400-0000BB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7" authorId="1" shapeId="0" xr:uid="{0A2BA257-3519-4A36-A69F-EDD446975E63}">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178" authorId="1" shapeId="0" xr:uid="{6693983B-685F-4B48-9FB4-01792C5506F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178" authorId="1" shapeId="0" xr:uid="{74BB325F-B2BA-496D-8278-78F07E46D5D1}">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78" authorId="1" shapeId="0" xr:uid="{721509E0-DF47-4AA8-B6F7-07B746A2C3AE}">
      <text>
        <r>
          <rPr>
            <b/>
            <sz val="9"/>
            <color indexed="81"/>
            <rFont val="Tahoma"/>
            <family val="2"/>
          </rPr>
          <t>Bruyns Fred H:</t>
        </r>
        <r>
          <rPr>
            <sz val="9"/>
            <color indexed="81"/>
            <rFont val="Tahoma"/>
            <family val="2"/>
          </rPr>
          <t xml:space="preserve">
Programming note: 90 degrees of ankylosis of MP joint is maximum loss.</t>
        </r>
      </text>
    </comment>
    <comment ref="T178" authorId="1" shapeId="0" xr:uid="{F81F001A-2A7B-4B07-89BA-8D2BDA82455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1" authorId="1" shapeId="0" xr:uid="{00000000-0006-0000-0400-0000BC000000}">
      <text>
        <r>
          <rPr>
            <b/>
            <sz val="9"/>
            <color indexed="81"/>
            <rFont val="Tahoma"/>
            <family val="2"/>
          </rPr>
          <t>Bruyns Fred H:</t>
        </r>
        <r>
          <rPr>
            <sz val="9"/>
            <color indexed="81"/>
            <rFont val="Tahoma"/>
            <family val="2"/>
          </rPr>
          <t xml:space="preserve">
"TRUE" or "FALSE" are output from checkboxes for deformity of movement.</t>
        </r>
      </text>
    </comment>
    <comment ref="AH189" authorId="1" shapeId="0" xr:uid="{00000000-0006-0000-0400-0000BD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89" authorId="1" shapeId="0" xr:uid="{00000000-0006-0000-0400-0000BE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89" authorId="1" shapeId="0" xr:uid="{00000000-0006-0000-0400-0000BF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89" authorId="1" shapeId="0" xr:uid="{00000000-0006-0000-0400-0000C0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90" authorId="1" shapeId="0" xr:uid="{00000000-0006-0000-0400-0000C1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90" authorId="1" shapeId="0" xr:uid="{00000000-0006-0000-0400-0000C2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90" authorId="1" shapeId="0" xr:uid="{00000000-0006-0000-0400-0000C3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90" authorId="1" shapeId="0" xr:uid="{00000000-0006-0000-0400-0000C4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90" authorId="1" shapeId="0" xr:uid="{00000000-0006-0000-0400-0000C5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90" authorId="1" shapeId="0" xr:uid="{00000000-0006-0000-0400-0000C6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90" authorId="1" shapeId="0" xr:uid="{00000000-0006-0000-0400-0000C7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91" authorId="1" shapeId="0" xr:uid="{00000000-0006-0000-0400-0000C8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94" authorId="1" shapeId="0" xr:uid="{00000000-0006-0000-0400-0000C9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94" authorId="1" shapeId="0" xr:uid="{00000000-0006-0000-0400-0000CA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94" authorId="1" shapeId="0" xr:uid="{00000000-0006-0000-0400-0000CB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94" authorId="1" shapeId="0" xr:uid="{00000000-0006-0000-0400-0000CC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99" authorId="1" shapeId="0" xr:uid="{00000000-0006-0000-0400-0000CD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99" authorId="1" shapeId="0" xr:uid="{00000000-0006-0000-0400-0000CE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99" authorId="1" shapeId="0" xr:uid="{00000000-0006-0000-0400-0000CF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99" authorId="1" shapeId="0" xr:uid="{00000000-0006-0000-0400-0000D0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201" authorId="1" shapeId="0" xr:uid="{54E45864-491D-4023-AD62-6A10D0395E6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201" authorId="1" shapeId="0" xr:uid="{BCC1AD48-7A87-427D-9040-4C52941CCE6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201" authorId="1" shapeId="0" xr:uid="{B142FFC2-CAC0-4283-B3C8-F761B206CCA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202" authorId="1" shapeId="0" xr:uid="{00000000-0006-0000-0400-0000D2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2" authorId="1" shapeId="0" xr:uid="{00000000-0006-0000-0400-0000D3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2" authorId="1" shapeId="0" xr:uid="{00000000-0006-0000-0400-0000D4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02" authorId="1" shapeId="0" xr:uid="{00000000-0006-0000-0400-0000D1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03" authorId="1" shapeId="0" xr:uid="{00000000-0006-0000-0400-0000D5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3" authorId="1" shapeId="0" xr:uid="{00000000-0006-0000-0400-0000D6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3" authorId="1" shapeId="0" xr:uid="{00000000-0006-0000-0400-0000D7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03" authorId="1" shapeId="0" xr:uid="{00000000-0006-0000-0400-0000D8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204" authorId="1" shapeId="0" xr:uid="{00000000-0006-0000-0400-0000D9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4" authorId="1" shapeId="0" xr:uid="{00000000-0006-0000-0400-0000DA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4" authorId="1" shapeId="0" xr:uid="{00000000-0006-0000-0400-0000DB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06" authorId="1" shapeId="0" xr:uid="{7AC09A70-2ACE-433B-9A0D-2A2E5EE7D1EC}">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10" authorId="1" shapeId="0" xr:uid="{0F2DA3AE-1FB8-4D38-8B3E-66FBEDC1AA7D}">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14" authorId="1" shapeId="0" xr:uid="{00000000-0006-0000-0400-0000DC00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14" authorId="1" shapeId="0" xr:uid="{00000000-0006-0000-0400-0000DD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14" authorId="1" shapeId="0" xr:uid="{00000000-0006-0000-0400-0000DE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14" authorId="1" shapeId="0" xr:uid="{00000000-0006-0000-0400-0000DF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14" authorId="1" shapeId="0" xr:uid="{00000000-0006-0000-0400-0000E0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15" authorId="1" shapeId="0" xr:uid="{00000000-0006-0000-0400-0000E100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17" authorId="1" shapeId="0" xr:uid="{43EEFCA9-5EFE-49F4-91E7-4EEC349F273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234" authorId="1" shapeId="0" xr:uid="{00000000-0006-0000-0400-0000E2000000}">
      <text>
        <r>
          <rPr>
            <b/>
            <sz val="9"/>
            <color indexed="81"/>
            <rFont val="Tahoma"/>
            <family val="2"/>
          </rPr>
          <t>Bruyns Fred H:</t>
        </r>
        <r>
          <rPr>
            <sz val="9"/>
            <color indexed="81"/>
            <rFont val="Tahoma"/>
            <family val="2"/>
          </rPr>
          <t xml:space="preserve">
Descriptions in the chart to the right are used in a pull-down menu below "Ring finger, amputation or resection without reattachment (or shortening of digit)." The percentages correspond to the extent of amputation per OAR 436-035-0030.</t>
        </r>
      </text>
    </comment>
    <comment ref="R237" authorId="1" shapeId="0" xr:uid="{00000000-0006-0000-0400-0000E3000000}">
      <text>
        <r>
          <rPr>
            <b/>
            <sz val="9"/>
            <color indexed="81"/>
            <rFont val="Tahoma"/>
            <family val="2"/>
          </rPr>
          <t>Bruyns Fred H:</t>
        </r>
        <r>
          <rPr>
            <sz val="9"/>
            <color indexed="81"/>
            <rFont val="Tahoma"/>
            <family val="2"/>
          </rPr>
          <t xml:space="preserve">
Programming note: This formula finds a match between the selected ring finger amputation level in Cell B238 with the amputation levels listed in the table to the right, and then the formula returns the percentage of thumb opposition loss associated with the ring finger amputation level. NOTE: This percentage, if any, will display for the thumb, not for the ring finger.</t>
        </r>
      </text>
    </comment>
    <comment ref="S244" authorId="1" shapeId="0" xr:uid="{3A9FFCE2-5F4B-4453-8FF9-F77563E1D5F6}">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244" authorId="1" shapeId="0" xr:uid="{DDBC3D09-C15D-411E-90C7-E98212D596D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4" authorId="1" shapeId="0" xr:uid="{494B5F0B-606C-4FA2-AC5B-8944DEBF4B4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4" authorId="1" shapeId="0" xr:uid="{15FC57FC-17E4-44E0-9E50-93A3C07E74B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4" authorId="1" shapeId="0" xr:uid="{2E918202-B8C2-45EC-80D8-0F9F83FC88F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245" authorId="1" shapeId="0" xr:uid="{C8C9D9A9-5427-4EC5-9D9E-12EE41A3609A}">
      <text>
        <r>
          <rPr>
            <b/>
            <sz val="9"/>
            <color indexed="81"/>
            <rFont val="Tahoma"/>
            <family val="2"/>
          </rPr>
          <t>Bruyns Fred H:</t>
        </r>
        <r>
          <rPr>
            <sz val="9"/>
            <color indexed="81"/>
            <rFont val="Tahoma"/>
            <family val="2"/>
          </rPr>
          <t xml:space="preserve">
Programming note: 70 degrees of extension of DIP joint is maximum loss.</t>
        </r>
      </text>
    </comment>
    <comment ref="T245" authorId="1" shapeId="0" xr:uid="{8B74FB0F-4293-440D-93F7-C8E66FED860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5" authorId="1" shapeId="0" xr:uid="{4CD66213-8AFD-4EA3-85FE-B29025BFF70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5" authorId="1" shapeId="0" xr:uid="{1D9191C5-F0B3-46BB-9922-3F4F3612D3C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5" authorId="1" shapeId="0" xr:uid="{D0D4F243-3419-4D74-9BD3-9E4622A4120E}">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5" authorId="1" shapeId="0" xr:uid="{00000000-0006-0000-0400-0000E4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5" authorId="1" shapeId="0" xr:uid="{6E29A623-51B9-454D-8AC6-4AF33697C17F}">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E246" authorId="1" shapeId="0" xr:uid="{9B20E39A-C003-42DC-91FD-30A48AC63DE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46" authorId="1" shapeId="0" xr:uid="{D65D6AB6-493A-4383-81F0-BA74448E9B07}">
      <text>
        <r>
          <rPr>
            <b/>
            <sz val="9"/>
            <color indexed="81"/>
            <rFont val="Tahoma"/>
            <family val="2"/>
          </rPr>
          <t>Bruyns Fred H:</t>
        </r>
        <r>
          <rPr>
            <sz val="9"/>
            <color indexed="81"/>
            <rFont val="Tahoma"/>
            <family val="2"/>
          </rPr>
          <t xml:space="preserve">
Programming note: 70 degrees of ankylosis of DIP joint is maximum loss.</t>
        </r>
      </text>
    </comment>
    <comment ref="T246" authorId="1" shapeId="0" xr:uid="{E5CCD017-96D5-4C5F-9B28-C6381FA6306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48" authorId="1" shapeId="0" xr:uid="{C0A0BCE2-EC09-4BBA-8A3A-99EB2599364D}">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248" authorId="1" shapeId="0" xr:uid="{A7979187-91FE-473F-A857-B4A98D82793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8" authorId="1" shapeId="0" xr:uid="{0F35E7E3-AF03-4F18-BE52-7FC48260487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8" authorId="1" shapeId="0" xr:uid="{FD2E7054-8252-44EC-B3C5-3E5CCA06C72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8" authorId="1" shapeId="0" xr:uid="{5CD69B1B-CB2B-4166-B1E2-210941873B6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249" authorId="1" shapeId="0" xr:uid="{B57C22E6-EF26-48AA-A1A4-47B3AB5F8C32}">
      <text>
        <r>
          <rPr>
            <b/>
            <sz val="9"/>
            <color indexed="81"/>
            <rFont val="Tahoma"/>
            <family val="2"/>
          </rPr>
          <t>Bruyns Fred H:</t>
        </r>
        <r>
          <rPr>
            <sz val="9"/>
            <color indexed="81"/>
            <rFont val="Tahoma"/>
            <family val="2"/>
          </rPr>
          <t xml:space="preserve">
Programming note: 100 degrees of extension of PIP joint is maximum loss.</t>
        </r>
      </text>
    </comment>
    <comment ref="T249" authorId="1" shapeId="0" xr:uid="{57B82C28-BF93-478B-B909-0D7E61EE1B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9" authorId="1" shapeId="0" xr:uid="{B24D0E10-A4B5-4448-9C5C-02501E7497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9" authorId="1" shapeId="0" xr:uid="{F9488DB5-8AF9-4405-92A6-6E2518E94FC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9" authorId="1" shapeId="0" xr:uid="{F581200E-F239-4373-942D-BCF57874DAE2}">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9" authorId="1" shapeId="0" xr:uid="{00000000-0006-0000-0400-0000E5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9" authorId="1" shapeId="0" xr:uid="{6493CF62-776F-4C3F-B4FE-C6A085869A7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E250" authorId="1" shapeId="0" xr:uid="{F7C22CA3-FCD2-4534-98F3-2642612D69B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0" authorId="1" shapeId="0" xr:uid="{63949DDB-C2A1-4385-85EF-E28BE49EDC54}">
      <text>
        <r>
          <rPr>
            <b/>
            <sz val="9"/>
            <color indexed="81"/>
            <rFont val="Tahoma"/>
            <family val="2"/>
          </rPr>
          <t>Bruyns Fred H:</t>
        </r>
        <r>
          <rPr>
            <sz val="9"/>
            <color indexed="81"/>
            <rFont val="Tahoma"/>
            <family val="2"/>
          </rPr>
          <t xml:space="preserve">
Programming note: 100 degrees of ankylosis of PIP joint is maximum loss.</t>
        </r>
      </text>
    </comment>
    <comment ref="T250" authorId="1" shapeId="0" xr:uid="{731AEB5D-D874-499C-AD03-56F45F3C06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51" authorId="1" shapeId="0" xr:uid="{F843C5F8-3F48-44E7-8F6B-359E3CEEAF09}">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251" authorId="1" shapeId="0" xr:uid="{31292E43-8789-4E3F-8CBC-915CCE63DF2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51" authorId="1" shapeId="0" xr:uid="{1368829F-42D4-408A-BB5F-62EF31D5D6A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51" authorId="1" shapeId="0" xr:uid="{49655B98-5BE5-498B-AF36-6927982E7BC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252" authorId="1" shapeId="0" xr:uid="{D624EF4F-E6EA-46B7-9AB5-D9881E08BCA3}">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252" authorId="1" shapeId="0" xr:uid="{43504F18-8AFC-450D-83D6-F81A22B18B7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2" authorId="1" shapeId="0" xr:uid="{0A0C5EDB-BE03-4005-9F81-AE46402FE7F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2" authorId="1" shapeId="0" xr:uid="{08934B86-7B1D-438E-9E47-F0D186D74D4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52" authorId="1" shapeId="0" xr:uid="{61299551-6861-41C3-8CCC-C9A48C07177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253" authorId="1" shapeId="0" xr:uid="{54CC93CF-0B13-4406-818E-13F92B23E2B5}">
      <text>
        <r>
          <rPr>
            <b/>
            <sz val="9"/>
            <color indexed="81"/>
            <rFont val="Tahoma"/>
            <family val="2"/>
          </rPr>
          <t>Bruyns Fred H:</t>
        </r>
        <r>
          <rPr>
            <sz val="9"/>
            <color indexed="81"/>
            <rFont val="Tahoma"/>
            <family val="2"/>
          </rPr>
          <t xml:space="preserve">
Programming note: 90 degrees of extension of MP joint is maximum loss.</t>
        </r>
      </text>
    </comment>
    <comment ref="T253" authorId="1" shapeId="0" xr:uid="{AE49C88D-8862-4C6F-B5B1-A3E67A87CC3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3" authorId="1" shapeId="0" xr:uid="{DC3AA1C1-0800-405E-82C5-C97F7E4BD67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3" authorId="1" shapeId="0" xr:uid="{7A996CB8-2078-4429-9CCD-804B5F3EEF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53" authorId="1" shapeId="0" xr:uid="{4A4D41A0-3ECE-4FBF-BF9F-54F448D8EA7F}">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53" authorId="1" shapeId="0" xr:uid="{00000000-0006-0000-0400-0000E6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53" authorId="1" shapeId="0" xr:uid="{5DCF997A-DBCB-4BA4-B60E-F138C36E65B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254" authorId="1" shapeId="0" xr:uid="{F3A321E6-D416-4F10-ABA2-63ED9A9A27C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254" authorId="1" shapeId="0" xr:uid="{2E05652E-7257-4F5D-9B55-96C1020895D2}">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254" authorId="1" shapeId="0" xr:uid="{950454A0-8F37-4372-9EEE-E460FC3BEF51}">
      <text>
        <r>
          <rPr>
            <b/>
            <sz val="9"/>
            <color indexed="81"/>
            <rFont val="Tahoma"/>
            <family val="2"/>
          </rPr>
          <t>Bruyns Fred H:</t>
        </r>
        <r>
          <rPr>
            <sz val="9"/>
            <color indexed="81"/>
            <rFont val="Tahoma"/>
            <family val="2"/>
          </rPr>
          <t xml:space="preserve">
Programming note: 90 degrees of ankylosis of MP joint is maximum loss.</t>
        </r>
      </text>
    </comment>
    <comment ref="T254" authorId="1" shapeId="0" xr:uid="{75B7732B-0AD7-4C46-A865-30203195EE9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57" authorId="1" shapeId="0" xr:uid="{00000000-0006-0000-0400-0000E7000000}">
      <text>
        <r>
          <rPr>
            <b/>
            <sz val="9"/>
            <color indexed="81"/>
            <rFont val="Tahoma"/>
            <family val="2"/>
          </rPr>
          <t>Bruyns Fred H:</t>
        </r>
        <r>
          <rPr>
            <sz val="9"/>
            <color indexed="81"/>
            <rFont val="Tahoma"/>
            <family val="2"/>
          </rPr>
          <t xml:space="preserve">
"TRUE" or "FALSE" are output from checkboxes for deformity of movement.</t>
        </r>
      </text>
    </comment>
    <comment ref="AH265" authorId="1" shapeId="0" xr:uid="{00000000-0006-0000-0400-0000E8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265" authorId="1" shapeId="0" xr:uid="{00000000-0006-0000-0400-0000E9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265" authorId="1" shapeId="0" xr:uid="{00000000-0006-0000-0400-0000EA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265" authorId="1" shapeId="0" xr:uid="{00000000-0006-0000-0400-0000EB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266" authorId="1" shapeId="0" xr:uid="{00000000-0006-0000-0400-0000EC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266" authorId="1" shapeId="0" xr:uid="{00000000-0006-0000-0400-0000ED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266" authorId="1" shapeId="0" xr:uid="{00000000-0006-0000-0400-0000EE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266" authorId="1" shapeId="0" xr:uid="{00000000-0006-0000-0400-0000EF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266" authorId="1" shapeId="0" xr:uid="{00000000-0006-0000-0400-0000F0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266" authorId="1" shapeId="0" xr:uid="{00000000-0006-0000-0400-0000F1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266" authorId="1" shapeId="0" xr:uid="{00000000-0006-0000-0400-0000F2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267" authorId="1" shapeId="0" xr:uid="{00000000-0006-0000-0400-0000F3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270" authorId="1" shapeId="0" xr:uid="{00000000-0006-0000-0400-0000F4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270" authorId="1" shapeId="0" xr:uid="{00000000-0006-0000-0400-0000F5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270" authorId="1" shapeId="0" xr:uid="{00000000-0006-0000-0400-0000F6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270" authorId="1" shapeId="0" xr:uid="{00000000-0006-0000-0400-0000F7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275" authorId="1" shapeId="0" xr:uid="{00000000-0006-0000-0400-0000F8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275" authorId="1" shapeId="0" xr:uid="{00000000-0006-0000-0400-0000F9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275" authorId="1" shapeId="0" xr:uid="{00000000-0006-0000-0400-0000FA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275" authorId="1" shapeId="0" xr:uid="{00000000-0006-0000-0400-0000FB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277" authorId="1" shapeId="0" xr:uid="{5165DD92-0586-489C-8E1B-AF740339431C}">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277" authorId="1" shapeId="0" xr:uid="{0039B3C0-8AC1-4670-A803-1576B16AE2F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277" authorId="1" shapeId="0" xr:uid="{29B3F2E8-2C99-4212-A433-772E00B8E44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278" authorId="1" shapeId="0" xr:uid="{00000000-0006-0000-0400-0000FD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8" authorId="1" shapeId="0" xr:uid="{00000000-0006-0000-0400-0000FE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8" authorId="1" shapeId="0" xr:uid="{00000000-0006-0000-0400-0000FF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78" authorId="1" shapeId="0" xr:uid="{00000000-0006-0000-0400-0000FC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79" authorId="1" shapeId="0" xr:uid="{00000000-0006-0000-0400-000000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9" authorId="1" shapeId="0" xr:uid="{00000000-0006-0000-0400-000001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9" authorId="1" shapeId="0" xr:uid="{00000000-0006-0000-0400-000002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79" authorId="1" shapeId="0" xr:uid="{00000000-0006-0000-0400-000003010000}">
      <text>
        <r>
          <rPr>
            <b/>
            <sz val="9"/>
            <color indexed="81"/>
            <rFont val="Tahoma"/>
            <family val="2"/>
          </rPr>
          <t>Bruyns Fred H:</t>
        </r>
        <r>
          <rPr>
            <sz val="9"/>
            <color indexed="81"/>
            <rFont val="Tahoma"/>
            <family val="2"/>
          </rPr>
          <t xml:space="preserve">
Programming note: This value will be displayed as the total percentage for joint instability.</t>
        </r>
      </text>
    </comment>
    <comment ref="H280" authorId="1" shapeId="0" xr:uid="{00000000-0006-0000-0400-000004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80" authorId="1" shapeId="0" xr:uid="{00000000-0006-0000-0400-000005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80" authorId="1" shapeId="0" xr:uid="{00000000-0006-0000-0400-000006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82" authorId="1" shapeId="0" xr:uid="{A0EE622E-9927-44BF-BE13-74305C6B96CC}">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86" authorId="1" shapeId="0" xr:uid="{4072870E-A6D8-450C-903D-44F5890B8DBD}">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89" authorId="1" shapeId="0" xr:uid="{00000000-0006-0000-0400-00000701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89" authorId="1" shapeId="0" xr:uid="{00000000-0006-0000-0400-00000801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89" authorId="1" shapeId="0" xr:uid="{00000000-0006-0000-0400-00000901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89" authorId="1" shapeId="0" xr:uid="{00000000-0006-0000-0400-00000A01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89" authorId="1" shapeId="0" xr:uid="{00000000-0006-0000-0400-00000B01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90" authorId="1" shapeId="0" xr:uid="{00000000-0006-0000-0400-00000C01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92" authorId="1" shapeId="0" xr:uid="{EE0CF054-39E4-4161-90D1-CD2DA9561A86}">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09" authorId="1" shapeId="0" xr:uid="{00000000-0006-0000-0400-00000D010000}">
      <text>
        <r>
          <rPr>
            <b/>
            <sz val="9"/>
            <color indexed="81"/>
            <rFont val="Tahoma"/>
            <family val="2"/>
          </rPr>
          <t>Bruyns Fred H:</t>
        </r>
        <r>
          <rPr>
            <sz val="9"/>
            <color indexed="81"/>
            <rFont val="Tahoma"/>
            <family val="2"/>
          </rPr>
          <t xml:space="preserve">
Descriptions in the chart to the right are used in a pull-down menu below "Little finger, amputation or resection without reattachment (or shortening of digit)." The percentages correspond to the extent of amputation per OAR 436-035-0030.</t>
        </r>
      </text>
    </comment>
    <comment ref="R312" authorId="1" shapeId="0" xr:uid="{00000000-0006-0000-0400-00000E010000}">
      <text>
        <r>
          <rPr>
            <b/>
            <sz val="9"/>
            <color indexed="81"/>
            <rFont val="Tahoma"/>
            <family val="2"/>
          </rPr>
          <t>Bruyns Fred H:</t>
        </r>
        <r>
          <rPr>
            <sz val="9"/>
            <color indexed="81"/>
            <rFont val="Tahoma"/>
            <family val="2"/>
          </rPr>
          <t xml:space="preserve">
Programming note: This formula finds a match between the selected little finger amputation level in Cell B313 with the amputation levels listed in the table to the right, and then the formula returns the percentage of thumb opposition loss associated with the little finger amputation level. NOTE: This percentage, if any, will display for the thumb, not for the little finger.</t>
        </r>
      </text>
    </comment>
    <comment ref="S319" authorId="1" shapeId="0" xr:uid="{3AF63565-CCDB-40F2-B8C3-30B981F4EE6E}">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319" authorId="1" shapeId="0" xr:uid="{DF54A0A6-7EAA-4E13-A15A-2E207E4FB69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19" authorId="1" shapeId="0" xr:uid="{CDFAEF1D-2D5D-4318-8D41-88E0F8140AA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19" authorId="1" shapeId="0" xr:uid="{1B6ED8C2-6A0F-4CF5-85B5-1A97B6F3246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19" authorId="1" shapeId="0" xr:uid="{5FF1F360-D275-4614-9C93-E7A397A7D7C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320" authorId="1" shapeId="0" xr:uid="{D3143562-C7DA-4C66-B931-5483198A457B}">
      <text>
        <r>
          <rPr>
            <b/>
            <sz val="9"/>
            <color indexed="81"/>
            <rFont val="Tahoma"/>
            <family val="2"/>
          </rPr>
          <t>Bruyns Fred H:</t>
        </r>
        <r>
          <rPr>
            <sz val="9"/>
            <color indexed="81"/>
            <rFont val="Tahoma"/>
            <family val="2"/>
          </rPr>
          <t xml:space="preserve">
Programming note: 70 degrees of extension of DIP joint is maximum loss.</t>
        </r>
      </text>
    </comment>
    <comment ref="T320" authorId="1" shapeId="0" xr:uid="{381C8741-83D2-42AD-A2AA-A80BA8704E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0" authorId="1" shapeId="0" xr:uid="{47ADD897-6095-44BB-BC33-F21BE920222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0" authorId="1" shapeId="0" xr:uid="{446E4D74-6E76-4AA1-99EE-BAD1F0FE9FF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0" authorId="1" shapeId="0" xr:uid="{61229B23-B55E-49AF-888B-BC0068D1EAC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0" authorId="1" shapeId="0" xr:uid="{00000000-0006-0000-0400-00000F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0" authorId="1" shapeId="0" xr:uid="{28CB0FC2-2CCB-4A17-9FC5-0BCD1C49F6A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E321" authorId="1" shapeId="0" xr:uid="{4CF57A42-1088-4768-90F9-FBC30A8B963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321" authorId="1" shapeId="0" xr:uid="{4EBDCCA8-0FE3-4E0D-96F1-333F94C2B991}">
      <text>
        <r>
          <rPr>
            <b/>
            <sz val="9"/>
            <color indexed="81"/>
            <rFont val="Tahoma"/>
            <family val="2"/>
          </rPr>
          <t>Bruyns Fred H:</t>
        </r>
        <r>
          <rPr>
            <sz val="9"/>
            <color indexed="81"/>
            <rFont val="Tahoma"/>
            <family val="2"/>
          </rPr>
          <t xml:space="preserve">
Programming note: 70 degrees of ankylosis of DIP joint is maximum loss.</t>
        </r>
      </text>
    </comment>
    <comment ref="T321" authorId="1" shapeId="0" xr:uid="{5B52B073-5B46-4EE5-AB7E-4D0B8B87FA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23" authorId="1" shapeId="0" xr:uid="{6A0277A1-A7B1-4DEA-B89C-41741ED16109}">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323" authorId="1" shapeId="0" xr:uid="{741147FF-BE08-4E08-A2EB-9CFB9E3E432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3" authorId="1" shapeId="0" xr:uid="{2C8CC480-188D-4BB7-BA4C-F078B72EB37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3" authorId="1" shapeId="0" xr:uid="{D1DF6D44-2CB2-4A9A-98EA-3EC6B79628E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3" authorId="1" shapeId="0" xr:uid="{138537C7-223D-4601-9EB5-B8F1BBA1B24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324" authorId="1" shapeId="0" xr:uid="{69CD6E31-C9D4-4048-81B7-636A440818D3}">
      <text>
        <r>
          <rPr>
            <b/>
            <sz val="9"/>
            <color indexed="81"/>
            <rFont val="Tahoma"/>
            <family val="2"/>
          </rPr>
          <t>Bruyns Fred H:</t>
        </r>
        <r>
          <rPr>
            <sz val="9"/>
            <color indexed="81"/>
            <rFont val="Tahoma"/>
            <family val="2"/>
          </rPr>
          <t xml:space="preserve">
Programming note: 100 degrees of extension of PIP joint is maximum loss.</t>
        </r>
      </text>
    </comment>
    <comment ref="T324" authorId="1" shapeId="0" xr:uid="{B90DC6A3-1ACF-4239-A406-0171A1A346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4" authorId="1" shapeId="0" xr:uid="{8A0AA3FD-EA5E-4C55-92A1-B4FB877C80C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4" authorId="1" shapeId="0" xr:uid="{4A97D8ED-92B5-494E-B587-D5E761370C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4" authorId="1" shapeId="0" xr:uid="{4B2CA4F9-54E4-4FA9-AB68-7D98AEEEC228}">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4" authorId="1" shapeId="0" xr:uid="{00000000-0006-0000-0400-000010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4" authorId="1" shapeId="0" xr:uid="{295CF782-8FDC-4BB7-88CE-2A21A1FC5C0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E325" authorId="1" shapeId="0" xr:uid="{183337F3-E121-4CB7-A6F7-6ADA4EEBC6B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325" authorId="1" shapeId="0" xr:uid="{AE8426EC-C71A-4512-A805-92D7759B8427}">
      <text>
        <r>
          <rPr>
            <b/>
            <sz val="9"/>
            <color indexed="81"/>
            <rFont val="Tahoma"/>
            <family val="2"/>
          </rPr>
          <t>Bruyns Fred H:</t>
        </r>
        <r>
          <rPr>
            <sz val="9"/>
            <color indexed="81"/>
            <rFont val="Tahoma"/>
            <family val="2"/>
          </rPr>
          <t xml:space="preserve">
Programming note: 100 degrees of ankylosis of PIP joint is maximum loss.</t>
        </r>
      </text>
    </comment>
    <comment ref="T325" authorId="1" shapeId="0" xr:uid="{31805632-AFEC-4411-B9F5-FFD63657449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326" authorId="1" shapeId="0" xr:uid="{D9EC2A71-3EAD-4CDF-8F7C-12BAA4834C6D}">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326" authorId="1" shapeId="0" xr:uid="{C401C9B1-1FF6-4EC2-B5C4-A8B6CC525EA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326" authorId="1" shapeId="0" xr:uid="{D2124BD3-23A4-49D9-8B71-67026E74C65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326" authorId="1" shapeId="0" xr:uid="{4476A5B7-9321-46B2-B40D-8E2E38ED4E0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327" authorId="1" shapeId="0" xr:uid="{A932A155-A4A4-43C7-A7FC-0CA4B95DDFBF}">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327" authorId="1" shapeId="0" xr:uid="{F321A636-C584-488E-9A93-B16EB7B22D3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7" authorId="1" shapeId="0" xr:uid="{54C878AE-CCB2-4B42-8675-127C6C5F64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7" authorId="1" shapeId="0" xr:uid="{1D698452-69DD-4806-B227-557EC455F07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7" authorId="1" shapeId="0" xr:uid="{8C3B3C67-3CE5-44D2-A20B-A2BCF0B681F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328" authorId="1" shapeId="0" xr:uid="{87134B7D-6101-4FE1-9157-6FFFC9C98137}">
      <text>
        <r>
          <rPr>
            <b/>
            <sz val="9"/>
            <color indexed="81"/>
            <rFont val="Tahoma"/>
            <family val="2"/>
          </rPr>
          <t>Bruyns Fred H:</t>
        </r>
        <r>
          <rPr>
            <sz val="9"/>
            <color indexed="81"/>
            <rFont val="Tahoma"/>
            <family val="2"/>
          </rPr>
          <t xml:space="preserve">
Programming note: 90 degrees of extension of MP joint is maximum loss.</t>
        </r>
      </text>
    </comment>
    <comment ref="T328" authorId="1" shapeId="0" xr:uid="{AFE7AFFD-4DB4-486D-B028-F54F1135574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8" authorId="1" shapeId="0" xr:uid="{3D646FC8-6B70-4083-8E2C-E395E6AA608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8" authorId="1" shapeId="0" xr:uid="{F2256888-195E-4559-ADB7-C1EC52083C6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8" authorId="1" shapeId="0" xr:uid="{E9D0A8A4-477F-4FBF-B3F1-B5170A51508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8" authorId="1" shapeId="0" xr:uid="{00000000-0006-0000-0400-000011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8" authorId="1" shapeId="0" xr:uid="{70705C7A-4039-4FBD-96C2-7CC453EC2D2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329" authorId="1" shapeId="0" xr:uid="{7E9263AB-97F1-4647-A48E-B6D3CBA76689}">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329" authorId="1" shapeId="0" xr:uid="{6AC40E4A-3420-4132-90D8-B3742483D5BD}">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329" authorId="1" shapeId="0" xr:uid="{00153791-2547-4E52-997C-EF0DCAB15F3D}">
      <text>
        <r>
          <rPr>
            <b/>
            <sz val="9"/>
            <color indexed="81"/>
            <rFont val="Tahoma"/>
            <family val="2"/>
          </rPr>
          <t>Bruyns Fred H:</t>
        </r>
        <r>
          <rPr>
            <sz val="9"/>
            <color indexed="81"/>
            <rFont val="Tahoma"/>
            <family val="2"/>
          </rPr>
          <t xml:space="preserve">
Programming note: 90 degrees of ankylosis of MP joint is maximum loss.</t>
        </r>
      </text>
    </comment>
    <comment ref="T329" authorId="1" shapeId="0" xr:uid="{518D0FBE-1DAB-40D6-9391-6F69C05657D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32" authorId="1" shapeId="0" xr:uid="{00000000-0006-0000-0400-000012010000}">
      <text>
        <r>
          <rPr>
            <b/>
            <sz val="9"/>
            <color indexed="81"/>
            <rFont val="Tahoma"/>
            <family val="2"/>
          </rPr>
          <t>Bruyns Fred H:</t>
        </r>
        <r>
          <rPr>
            <sz val="9"/>
            <color indexed="81"/>
            <rFont val="Tahoma"/>
            <family val="2"/>
          </rPr>
          <t xml:space="preserve">
"TRUE" or "FALSE" are output from checkboxes for deformity of movement.</t>
        </r>
      </text>
    </comment>
    <comment ref="AH340" authorId="1" shapeId="0" xr:uid="{00000000-0006-0000-0400-000013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340" authorId="1" shapeId="0" xr:uid="{00000000-0006-0000-0400-000014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340" authorId="1" shapeId="0" xr:uid="{00000000-0006-0000-0400-000015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340" authorId="1" shapeId="0" xr:uid="{00000000-0006-0000-0400-000016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341" authorId="1" shapeId="0" xr:uid="{00000000-0006-0000-0400-00001701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341" authorId="1" shapeId="0" xr:uid="{00000000-0006-0000-0400-00001801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341" authorId="1" shapeId="0" xr:uid="{00000000-0006-0000-0400-00001901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341" authorId="1" shapeId="0" xr:uid="{00000000-0006-0000-0400-00001A01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341" authorId="1" shapeId="0" xr:uid="{00000000-0006-0000-0400-00001B01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341" authorId="1" shapeId="0" xr:uid="{00000000-0006-0000-0400-00001C01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341" authorId="1" shapeId="0" xr:uid="{00000000-0006-0000-0400-00001D01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342" authorId="1" shapeId="0" xr:uid="{00000000-0006-0000-0400-00001E01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345" authorId="1" shapeId="0" xr:uid="{00000000-0006-0000-0400-00001F01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345" authorId="1" shapeId="0" xr:uid="{00000000-0006-0000-0400-00002001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345" authorId="1" shapeId="0" xr:uid="{00000000-0006-0000-0400-00002101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345" authorId="1" shapeId="0" xr:uid="{00000000-0006-0000-0400-00002201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350" authorId="1" shapeId="0" xr:uid="{00000000-0006-0000-0400-00002301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350" authorId="1" shapeId="0" xr:uid="{00000000-0006-0000-0400-00002401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350" authorId="1" shapeId="0" xr:uid="{00000000-0006-0000-0400-00002501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350" authorId="1" shapeId="0" xr:uid="{00000000-0006-0000-0400-00002601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352" authorId="1" shapeId="0" xr:uid="{AD140CC5-4868-4CB2-85E4-FE51D7DE056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52" authorId="1" shapeId="0" xr:uid="{1E518986-3011-42FD-AAAE-0EA9972D90C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52" authorId="1" shapeId="0" xr:uid="{154F74A3-C083-4BAC-AF5E-23CEC4B46F8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353" authorId="1" shapeId="0" xr:uid="{00000000-0006-0000-0400-000028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3" authorId="1" shapeId="0" xr:uid="{00000000-0006-0000-0400-000029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3" authorId="1" shapeId="0" xr:uid="{00000000-0006-0000-0400-00002A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353" authorId="1" shapeId="0" xr:uid="{00000000-0006-0000-0400-00002701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354" authorId="1" shapeId="0" xr:uid="{00000000-0006-0000-0400-00002B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4" authorId="1" shapeId="0" xr:uid="{00000000-0006-0000-0400-00002C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4" authorId="1" shapeId="0" xr:uid="{00000000-0006-0000-0400-00002D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354" authorId="1" shapeId="0" xr:uid="{00000000-0006-0000-0400-00002E01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355" authorId="1" shapeId="0" xr:uid="{00000000-0006-0000-0400-00002F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5" authorId="1" shapeId="0" xr:uid="{00000000-0006-0000-0400-000030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5" authorId="1" shapeId="0" xr:uid="{00000000-0006-0000-0400-000031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357" authorId="1" shapeId="0" xr:uid="{843953E6-DEEB-4A40-A20F-B97CF3CEBCED}">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361" authorId="1" shapeId="0" xr:uid="{B29D78A2-460B-4E06-A8DF-C10ECF8FE3D2}">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364" authorId="1" shapeId="0" xr:uid="{00000000-0006-0000-0400-00003201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364" authorId="1" shapeId="0" xr:uid="{00000000-0006-0000-0400-00003301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364" authorId="1" shapeId="0" xr:uid="{00000000-0006-0000-0400-00003401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364" authorId="1" shapeId="0" xr:uid="{00000000-0006-0000-0400-00003501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364" authorId="1" shapeId="0" xr:uid="{00000000-0006-0000-0400-00003601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365" authorId="1" shapeId="0" xr:uid="{00000000-0006-0000-0400-00003701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367" authorId="1" shapeId="0" xr:uid="{E19FEA5A-411E-49E2-9683-64F87DFBC497}">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85" authorId="1" shapeId="0" xr:uid="{3E0C4C77-EE46-4EE4-B640-8EA2115C4C2C}">
      <text>
        <r>
          <rPr>
            <b/>
            <sz val="9"/>
            <color indexed="81"/>
            <rFont val="Tahoma"/>
            <family val="2"/>
          </rPr>
          <t>Bruyns Fred H:</t>
        </r>
        <r>
          <rPr>
            <sz val="9"/>
            <color indexed="81"/>
            <rFont val="Tahoma"/>
            <family val="2"/>
          </rPr>
          <t xml:space="preserve">
Programming note: Output from options buttons, 1, 2, or 3. 1=NA.</t>
        </r>
      </text>
    </comment>
    <comment ref="R386" authorId="1" shapeId="0" xr:uid="{0C0CC0AB-13D6-43EC-9CAE-D1E37C1CD168}">
      <text>
        <r>
          <rPr>
            <b/>
            <sz val="9"/>
            <color indexed="81"/>
            <rFont val="Tahoma"/>
            <family val="2"/>
          </rPr>
          <t>Bruyns Fred H:</t>
        </r>
        <r>
          <rPr>
            <sz val="9"/>
            <color indexed="81"/>
            <rFont val="Tahoma"/>
            <family val="2"/>
          </rPr>
          <t xml:space="preserve">
Programming note: "TRUE" or "FALSE" are output from checkboxes for metacarpal losses.</t>
        </r>
      </text>
    </comment>
    <comment ref="R387" authorId="1" shapeId="0" xr:uid="{87A29096-FE21-4679-A6A7-D32EB6C7740A}">
      <text>
        <r>
          <rPr>
            <b/>
            <sz val="9"/>
            <color indexed="81"/>
            <rFont val="Tahoma"/>
            <family val="2"/>
          </rPr>
          <t>Bruyns Fred H:</t>
        </r>
        <r>
          <rPr>
            <sz val="9"/>
            <color indexed="81"/>
            <rFont val="Tahoma"/>
            <family val="2"/>
          </rPr>
          <t xml:space="preserve">
Programming note: "TRUE" or "FALSE" are output from checkboxes for metacarpal losses.</t>
        </r>
      </text>
    </comment>
    <comment ref="R388" authorId="1" shapeId="0" xr:uid="{DAE2F53B-08C6-45CF-B66D-96213510F211}">
      <text>
        <r>
          <rPr>
            <b/>
            <sz val="9"/>
            <color indexed="81"/>
            <rFont val="Tahoma"/>
            <family val="2"/>
          </rPr>
          <t>Bruyns Fred H:</t>
        </r>
        <r>
          <rPr>
            <sz val="9"/>
            <color indexed="81"/>
            <rFont val="Tahoma"/>
            <family val="2"/>
          </rPr>
          <t xml:space="preserve">
Programming note: "TRUE" or "FALSE" are output from checkboxes for metacarpal losses.</t>
        </r>
      </text>
    </comment>
    <comment ref="R389" authorId="1" shapeId="0" xr:uid="{13914709-1898-4988-9EB1-BDF1191406E9}">
      <text>
        <r>
          <rPr>
            <b/>
            <sz val="9"/>
            <color indexed="81"/>
            <rFont val="Tahoma"/>
            <family val="2"/>
          </rPr>
          <t>Bruyns Fred H:</t>
        </r>
        <r>
          <rPr>
            <sz val="9"/>
            <color indexed="81"/>
            <rFont val="Tahoma"/>
            <family val="2"/>
          </rPr>
          <t xml:space="preserve">
Programming note: "TRUE" or "FALSE" are output from checkboxes for metacarpal losses.</t>
        </r>
      </text>
    </comment>
    <comment ref="R390" authorId="1" shapeId="0" xr:uid="{0282F8E3-0456-4C07-96D3-945C50F9D7EA}">
      <text>
        <r>
          <rPr>
            <b/>
            <sz val="9"/>
            <color indexed="81"/>
            <rFont val="Tahoma"/>
            <family val="2"/>
          </rPr>
          <t>Bruyns Fred H:</t>
        </r>
        <r>
          <rPr>
            <sz val="9"/>
            <color indexed="81"/>
            <rFont val="Tahoma"/>
            <family val="2"/>
          </rPr>
          <t xml:space="preserve">
Programming note: "TRUE" or "FALSE" are output from checkboxes for metacarpal losses.</t>
        </r>
      </text>
    </comment>
    <comment ref="S394" authorId="1" shapeId="0" xr:uid="{9A814C6E-05F4-4CF9-B139-640D04BD2F1F}">
      <text>
        <r>
          <rPr>
            <b/>
            <sz val="9"/>
            <color indexed="81"/>
            <rFont val="Tahoma"/>
            <family val="2"/>
          </rPr>
          <t>Bruyns Fred H:</t>
        </r>
        <r>
          <rPr>
            <sz val="9"/>
            <color indexed="81"/>
            <rFont val="Tahoma"/>
            <family val="2"/>
          </rPr>
          <t xml:space="preserve">
Programming note: 15 degrees of flexion of CMC joint is considered normal - no impairment.</t>
        </r>
      </text>
    </comment>
    <comment ref="V394" authorId="1" shapeId="0" xr:uid="{847065B7-7905-4BDE-959E-76ECA2CE95F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4" authorId="1" shapeId="0" xr:uid="{EF90DDBA-6FCA-4807-BD5B-1DE684F9EBB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 (max/normal). See instructions for this formula under OAR 436-035-0011. </t>
        </r>
      </text>
    </comment>
    <comment ref="S395" authorId="1" shapeId="0" xr:uid="{5A4242F4-0BDD-4649-9382-943B46F12919}">
      <text>
        <r>
          <rPr>
            <b/>
            <sz val="9"/>
            <color indexed="81"/>
            <rFont val="Tahoma"/>
            <family val="2"/>
          </rPr>
          <t>Bruyns Fred H:</t>
        </r>
        <r>
          <rPr>
            <sz val="9"/>
            <color indexed="81"/>
            <rFont val="Tahoma"/>
            <family val="2"/>
          </rPr>
          <t xml:space="preserve">
Programming note: 30 degrees of extension of CMC joint is considered normal - no impairment.</t>
        </r>
      </text>
    </comment>
    <comment ref="V395" authorId="1" shapeId="0" xr:uid="{D2DC24A5-27FD-4156-81C6-DAF12C6E2E8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5" authorId="1" shapeId="0" xr:uid="{379B83A2-7790-4C67-B8A7-E22917A23ED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96" authorId="1" shapeId="0" xr:uid="{BF717A44-8353-46E3-A2B1-3836192134DC}">
      <text>
        <r>
          <rPr>
            <b/>
            <sz val="9"/>
            <color indexed="81"/>
            <rFont val="Tahoma"/>
            <family val="2"/>
          </rPr>
          <t>Bruyns Fred H:</t>
        </r>
        <r>
          <rPr>
            <sz val="9"/>
            <color indexed="81"/>
            <rFont val="Tahoma"/>
            <family val="2"/>
          </rPr>
          <t xml:space="preserve">
Programming note: ankylsosis at 15 degrees of flexion of CMC joint is maximum loss.</t>
        </r>
      </text>
    </comment>
    <comment ref="S397" authorId="1" shapeId="0" xr:uid="{D2256723-FD01-4179-8A90-C1BE4F429686}">
      <text>
        <r>
          <rPr>
            <b/>
            <sz val="9"/>
            <color indexed="81"/>
            <rFont val="Tahoma"/>
            <family val="2"/>
          </rPr>
          <t>Bruyns Fred H:</t>
        </r>
        <r>
          <rPr>
            <sz val="9"/>
            <color indexed="81"/>
            <rFont val="Tahoma"/>
            <family val="2"/>
          </rPr>
          <t xml:space="preserve">
Programming note: ankylsosis at 30 degrees of extension of CMC joint is maximum loss.</t>
        </r>
      </text>
    </comment>
    <comment ref="S400" authorId="1" shapeId="0" xr:uid="{03046997-AC46-4D46-91F3-B23C6CF53659}">
      <text>
        <r>
          <rPr>
            <b/>
            <sz val="9"/>
            <color indexed="81"/>
            <rFont val="Tahoma"/>
            <family val="2"/>
          </rPr>
          <t>Bruyns Fred H:</t>
        </r>
        <r>
          <rPr>
            <sz val="9"/>
            <color indexed="81"/>
            <rFont val="Tahoma"/>
            <family val="2"/>
          </rPr>
          <t xml:space="preserve">
Programming note: 60 degrees of extension of wrist joint is considered normal - no impairment.</t>
        </r>
      </text>
    </comment>
    <comment ref="V400" authorId="1" shapeId="0" xr:uid="{11B1DA2F-E0AF-41C5-BB88-D777D6BD4EB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0" authorId="1" shapeId="0" xr:uid="{426B57CB-53F2-4ADB-A796-CBDB5CC78A6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AJ400" authorId="1" shapeId="0" xr:uid="{B9400E04-13B0-4CA2-A553-6287098BCFDB}">
      <text>
        <r>
          <rPr>
            <b/>
            <sz val="9"/>
            <color indexed="81"/>
            <rFont val="Tahoma"/>
            <family val="2"/>
          </rPr>
          <t>Bruyns Fred H:</t>
        </r>
        <r>
          <rPr>
            <sz val="9"/>
            <color indexed="81"/>
            <rFont val="Tahoma"/>
            <family val="2"/>
          </rPr>
          <t xml:space="preserve">
Programming note: This text is for conditional formatting only.</t>
        </r>
      </text>
    </comment>
    <comment ref="S401" authorId="1" shapeId="0" xr:uid="{93BF4833-A5BA-4175-A7FA-0EAB307EF43D}">
      <text>
        <r>
          <rPr>
            <b/>
            <sz val="9"/>
            <color indexed="81"/>
            <rFont val="Tahoma"/>
            <family val="2"/>
          </rPr>
          <t>Bruyns Fred H:</t>
        </r>
        <r>
          <rPr>
            <sz val="9"/>
            <color indexed="81"/>
            <rFont val="Tahoma"/>
            <family val="2"/>
          </rPr>
          <t xml:space="preserve">
Programming note: 60 degrees of extension ankylosis of wrist joint is maximum loss.</t>
        </r>
      </text>
    </comment>
    <comment ref="AJ401" authorId="1" shapeId="0" xr:uid="{0D3BEE06-3390-4610-8B38-2EDABB495A57}">
      <text>
        <r>
          <rPr>
            <b/>
            <sz val="9"/>
            <color indexed="81"/>
            <rFont val="Tahoma"/>
            <family val="2"/>
          </rPr>
          <t>Bruyns Fred H:</t>
        </r>
        <r>
          <rPr>
            <sz val="9"/>
            <color indexed="81"/>
            <rFont val="Tahoma"/>
            <family val="2"/>
          </rPr>
          <t xml:space="preserve">
Programming note: This text is for conditional formatting only.</t>
        </r>
      </text>
    </comment>
    <comment ref="S402" authorId="1" shapeId="0" xr:uid="{60D3F686-AC19-4009-93DF-518FF7F081AF}">
      <text>
        <r>
          <rPr>
            <b/>
            <sz val="9"/>
            <color indexed="81"/>
            <rFont val="Tahoma"/>
            <family val="2"/>
          </rPr>
          <t>Bruyns Fred H:</t>
        </r>
        <r>
          <rPr>
            <sz val="9"/>
            <color indexed="81"/>
            <rFont val="Tahoma"/>
            <family val="2"/>
          </rPr>
          <t xml:space="preserve">
Programming note: 70 degrees of flexion (palmar) of wrist joint is considered normal - no impairment.</t>
        </r>
      </text>
    </comment>
    <comment ref="V402" authorId="1" shapeId="0" xr:uid="{15474970-2355-4045-BC7D-FD57B98123FE}">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2" authorId="1" shapeId="0" xr:uid="{7BE33E7E-6BA9-498A-A738-5CE762D54F3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403" authorId="1" shapeId="0" xr:uid="{202ECBFE-5E3A-4C8A-8B04-D5A4F11062CC}">
      <text>
        <r>
          <rPr>
            <b/>
            <sz val="9"/>
            <color indexed="81"/>
            <rFont val="Tahoma"/>
            <family val="2"/>
          </rPr>
          <t>Bruyns Fred H:</t>
        </r>
        <r>
          <rPr>
            <sz val="9"/>
            <color indexed="81"/>
            <rFont val="Tahoma"/>
            <family val="2"/>
          </rPr>
          <t xml:space="preserve">
Programming note: 70 degrees of ankylosis of wrist joint is maximum loss.</t>
        </r>
      </text>
    </comment>
    <comment ref="S404" authorId="1" shapeId="0" xr:uid="{4A0C8969-0582-4EAA-8F70-50951EC730FE}">
      <text>
        <r>
          <rPr>
            <b/>
            <sz val="9"/>
            <color indexed="81"/>
            <rFont val="Tahoma"/>
            <family val="2"/>
          </rPr>
          <t>Bruyns Fred H:</t>
        </r>
        <r>
          <rPr>
            <sz val="9"/>
            <color indexed="81"/>
            <rFont val="Tahoma"/>
            <family val="2"/>
          </rPr>
          <t xml:space="preserve">
Programming note: 20 degrees of radial deviation is considered normal - no impairment.</t>
        </r>
      </text>
    </comment>
    <comment ref="V404" authorId="1" shapeId="0" xr:uid="{7854117E-C8CC-45A2-8B73-DE4ECDBFDBA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4" authorId="1" shapeId="0" xr:uid="{0AAEAF84-58B4-4C9D-B25C-02A59E924C0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405" authorId="1" shapeId="0" xr:uid="{4468B739-6D27-410E-B74B-7063444B1971}">
      <text>
        <r>
          <rPr>
            <b/>
            <sz val="9"/>
            <color indexed="81"/>
            <rFont val="Tahoma"/>
            <family val="2"/>
          </rPr>
          <t>Bruyns Fred H:</t>
        </r>
        <r>
          <rPr>
            <sz val="9"/>
            <color indexed="81"/>
            <rFont val="Tahoma"/>
            <family val="2"/>
          </rPr>
          <t xml:space="preserve">
Programming note: 20 degrees of radial deviation ankylosis is maximum loss.</t>
        </r>
      </text>
    </comment>
    <comment ref="S406" authorId="1" shapeId="0" xr:uid="{08DEFBEF-3C9F-4666-8410-AEF0E08CB1F4}">
      <text>
        <r>
          <rPr>
            <b/>
            <sz val="9"/>
            <color indexed="81"/>
            <rFont val="Tahoma"/>
            <family val="2"/>
          </rPr>
          <t>Bruyns Fred H:</t>
        </r>
        <r>
          <rPr>
            <sz val="9"/>
            <color indexed="81"/>
            <rFont val="Tahoma"/>
            <family val="2"/>
          </rPr>
          <t xml:space="preserve">
Programming note: 30 degrees of ulnar deviation is considered normal - no impairment.</t>
        </r>
      </text>
    </comment>
    <comment ref="V406" authorId="1" shapeId="0" xr:uid="{8E17AF3A-C125-47ED-9A60-6BD5832B950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6" authorId="1" shapeId="0" xr:uid="{DC6BCF89-BD08-4A67-9178-7A543AE53FB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407" authorId="1" shapeId="0" xr:uid="{4E051B88-0C20-4C50-BFBA-BF1B90A20CB2}">
      <text>
        <r>
          <rPr>
            <b/>
            <sz val="9"/>
            <color indexed="81"/>
            <rFont val="Tahoma"/>
            <family val="2"/>
          </rPr>
          <t>Bruyns Fred H:</t>
        </r>
        <r>
          <rPr>
            <sz val="9"/>
            <color indexed="81"/>
            <rFont val="Tahoma"/>
            <family val="2"/>
          </rPr>
          <t xml:space="preserve">
Programming note: 30 degrees of ulnar deviation ankylosis is maximum loss.</t>
        </r>
      </text>
    </comment>
    <comment ref="U411" authorId="1" shapeId="0" xr:uid="{7EB6D161-DD47-4C36-B619-7B0116EF6F3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V411" authorId="1" shapeId="0" xr:uid="{32005BCB-CE5A-4726-BF55-E8284870E15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11" authorId="1" shapeId="0" xr:uid="{8A1A067E-2942-4A13-994E-C6A2E2DFB7D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U418" authorId="1" shapeId="0" xr:uid="{18B58F02-4442-4EB6-A88F-0951747DC25E}">
      <text>
        <r>
          <rPr>
            <b/>
            <sz val="9"/>
            <color indexed="81"/>
            <rFont val="Tahoma"/>
            <family val="2"/>
          </rPr>
          <t>Bruyns Fred H:</t>
        </r>
        <r>
          <rPr>
            <sz val="9"/>
            <color indexed="81"/>
            <rFont val="Tahoma"/>
            <family val="2"/>
          </rPr>
          <t xml:space="preserve">
Programming note: The lists below are used for pull-down menus for injured joint and contralateral joint, and also for formulas.</t>
        </r>
      </text>
    </comment>
    <comment ref="O419" authorId="1" shapeId="0" xr:uid="{2894B8FC-8210-473E-BF8F-3CFA720550FC}">
      <text>
        <r>
          <rPr>
            <b/>
            <sz val="9"/>
            <color indexed="81"/>
            <rFont val="Tahoma"/>
            <family val="2"/>
          </rPr>
          <t>Bruyns Fred H:</t>
        </r>
        <r>
          <rPr>
            <sz val="9"/>
            <color indexed="81"/>
            <rFont val="Tahoma"/>
            <family val="2"/>
          </rPr>
          <t xml:space="preserve">
Programming note: If contralateral impairment is equal to or less than injured part impairment, it is subtracted from the percentage for the injured part, and the adjusted percentage is displayed here.</t>
        </r>
      </text>
    </comment>
    <comment ref="O420" authorId="1" shapeId="0" xr:uid="{518C8A4F-7EA0-429F-9B43-D540A94E980F}">
      <text>
        <r>
          <rPr>
            <b/>
            <sz val="9"/>
            <color indexed="81"/>
            <rFont val="Tahoma"/>
            <family val="2"/>
          </rPr>
          <t>Bruyns Fred H:</t>
        </r>
        <r>
          <rPr>
            <sz val="9"/>
            <color indexed="81"/>
            <rFont val="Tahoma"/>
            <family val="2"/>
          </rPr>
          <t xml:space="preserve">
Programming note: If contralateral impairment is equal to or less than injured part impairment, it is subtracted from the percentage for the injured part, and the adjusted percentage is displayed here.</t>
        </r>
      </text>
    </comment>
    <comment ref="R422" authorId="1" shapeId="0" xr:uid="{C6DFE110-1E57-4CAC-814E-CDAA5D670936}">
      <text>
        <r>
          <rPr>
            <b/>
            <sz val="9"/>
            <color indexed="81"/>
            <rFont val="Tahoma"/>
            <family val="2"/>
          </rPr>
          <t>Bruyns Fred H:</t>
        </r>
        <r>
          <rPr>
            <sz val="9"/>
            <color indexed="81"/>
            <rFont val="Tahoma"/>
            <family val="2"/>
          </rPr>
          <t xml:space="preserve">
Programming note: "TRUE" or "FALSE" are output from the checkboxes to the left.</t>
        </r>
      </text>
    </comment>
    <comment ref="S426" authorId="1" shapeId="0" xr:uid="{DE35571F-FDFA-4D88-B45A-4353977683A3}">
      <text>
        <r>
          <rPr>
            <b/>
            <sz val="9"/>
            <color indexed="81"/>
            <rFont val="Tahoma"/>
            <family val="2"/>
          </rPr>
          <t>Bruyns Fred H:</t>
        </r>
        <r>
          <rPr>
            <sz val="9"/>
            <color indexed="81"/>
            <rFont val="Tahoma"/>
            <family val="2"/>
          </rPr>
          <t xml:space="preserve">
Programming note: Number list to the right is used for a pull-down menu for carpal bone fusions.</t>
        </r>
      </text>
    </comment>
    <comment ref="R435" authorId="1" shapeId="0" xr:uid="{5F2B4913-2545-4D13-8596-C393D168EC04}">
      <text>
        <r>
          <rPr>
            <b/>
            <sz val="9"/>
            <color indexed="81"/>
            <rFont val="Tahoma"/>
            <family val="2"/>
          </rPr>
          <t>Bruyns Fred H:</t>
        </r>
        <r>
          <rPr>
            <sz val="9"/>
            <color indexed="81"/>
            <rFont val="Tahoma"/>
            <family val="2"/>
          </rPr>
          <t xml:space="preserve">
Programming note: Short lists to the right are used for pull-down menus in chart to the left.</t>
        </r>
      </text>
    </comment>
    <comment ref="R448" authorId="1" shapeId="0" xr:uid="{AC3385C3-4CA2-451B-A6C9-929A736A68A4}">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449" authorId="1" shapeId="0" xr:uid="{E792D3F6-A586-4624-8DBD-34BF210FE99C}">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T449" authorId="1" shapeId="0" xr:uid="{3083E7D8-4000-4496-BE9C-D631661C0CFA}">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49" authorId="1" shapeId="0" xr:uid="{95F17BF1-50FB-4658-82F1-83FD379A29CF}">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49" authorId="1" shapeId="0" xr:uid="{AAD31DB0-A740-4B8B-A245-5213DCFB2D78}">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49" authorId="1" shapeId="0" xr:uid="{3A74AFD8-51AB-4D75-B3DD-7DEB46716D9F}">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49" authorId="1" shapeId="0" xr:uid="{3C256DD7-3F9A-4CBB-BF19-A7D6A963EC40}">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49" authorId="1" shapeId="0" xr:uid="{9B0570BC-BB54-420F-9290-803B40491A9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449" authorId="1" shapeId="0" xr:uid="{0EFAB935-88D7-4335-85E8-81CA5EC0CAE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449" authorId="1" shapeId="0" xr:uid="{E65E3D60-29C9-4370-BCDA-73520D9A29D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449" authorId="1" shapeId="0" xr:uid="{EBEC7E34-07B4-489C-8EC7-59746B29C0B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449" authorId="1" shapeId="0" xr:uid="{E1026F95-5F6D-41AD-BC7D-DED26CBFAC5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449" authorId="1" shapeId="0" xr:uid="{65041099-41E7-41BB-A7B1-D6F71C448426}">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Z450" authorId="1" shapeId="0" xr:uid="{DE4626C7-A551-48CA-8EA2-BAD3E4B2097A}">
      <text>
        <r>
          <rPr>
            <b/>
            <sz val="9"/>
            <color indexed="81"/>
            <rFont val="Tahoma"/>
            <family val="2"/>
          </rPr>
          <t>Bruyns Fred H:</t>
        </r>
        <r>
          <rPr>
            <sz val="9"/>
            <color indexed="81"/>
            <rFont val="Tahoma"/>
            <family val="2"/>
          </rPr>
          <t xml:space="preserve">
Programming note: This value is for the radial nerve.</t>
        </r>
      </text>
    </comment>
    <comment ref="AE450" authorId="1" shapeId="0" xr:uid="{5DD93303-3E0A-49D3-86C5-26CA149AE054}">
      <text>
        <r>
          <rPr>
            <b/>
            <sz val="9"/>
            <color indexed="81"/>
            <rFont val="Tahoma"/>
            <family val="2"/>
          </rPr>
          <t>Bruyns Fred H:</t>
        </r>
        <r>
          <rPr>
            <sz val="9"/>
            <color indexed="81"/>
            <rFont val="Tahoma"/>
            <family val="2"/>
          </rPr>
          <t xml:space="preserve">
Programming note: This value is for the C-5 spinal nerve root.</t>
        </r>
      </text>
    </comment>
    <comment ref="Z451" authorId="1" shapeId="0" xr:uid="{EAF04428-C133-4D9B-809C-8D69683CF87C}">
      <text>
        <r>
          <rPr>
            <b/>
            <sz val="9"/>
            <color indexed="81"/>
            <rFont val="Tahoma"/>
            <family val="2"/>
          </rPr>
          <t>Bruyns Fred H:</t>
        </r>
        <r>
          <rPr>
            <sz val="9"/>
            <color indexed="81"/>
            <rFont val="Tahoma"/>
            <family val="2"/>
          </rPr>
          <t xml:space="preserve">
Programming note: This value is for the median nerve.</t>
        </r>
      </text>
    </comment>
    <comment ref="AE451" authorId="1" shapeId="0" xr:uid="{B131E36A-F63B-4EB4-8731-5940E9AAB0B0}">
      <text>
        <r>
          <rPr>
            <b/>
            <sz val="9"/>
            <color indexed="81"/>
            <rFont val="Tahoma"/>
            <family val="2"/>
          </rPr>
          <t>Bruyns Fred H:</t>
        </r>
        <r>
          <rPr>
            <sz val="9"/>
            <color indexed="81"/>
            <rFont val="Tahoma"/>
            <family val="2"/>
          </rPr>
          <t xml:space="preserve">
Programming note: This value is for the C-6 spinal nerve root.</t>
        </r>
      </text>
    </comment>
    <comment ref="Z452" authorId="1" shapeId="0" xr:uid="{DEE958D0-9EFB-4C36-A668-C32A97ECF42B}">
      <text>
        <r>
          <rPr>
            <b/>
            <sz val="9"/>
            <color indexed="81"/>
            <rFont val="Tahoma"/>
            <family val="2"/>
          </rPr>
          <t>Bruyns Fred H:</t>
        </r>
        <r>
          <rPr>
            <sz val="9"/>
            <color indexed="81"/>
            <rFont val="Tahoma"/>
            <family val="2"/>
          </rPr>
          <t xml:space="preserve">
Programming note: This value is for the ulnar nerve.</t>
        </r>
      </text>
    </comment>
    <comment ref="AE452" authorId="1" shapeId="0" xr:uid="{324EB5D5-A1E8-436A-AE4D-C26AF8436305}">
      <text>
        <r>
          <rPr>
            <b/>
            <sz val="9"/>
            <color indexed="81"/>
            <rFont val="Tahoma"/>
            <family val="2"/>
          </rPr>
          <t>Bruyns Fred H:</t>
        </r>
        <r>
          <rPr>
            <sz val="9"/>
            <color indexed="81"/>
            <rFont val="Tahoma"/>
            <family val="2"/>
          </rPr>
          <t xml:space="preserve">
Programming note: This value is for the C-7 spinal nerve root.</t>
        </r>
      </text>
    </comment>
    <comment ref="AE453" authorId="1" shapeId="0" xr:uid="{5D79B2F7-3C1C-408C-A4BA-CEB99F12FE18}">
      <text>
        <r>
          <rPr>
            <b/>
            <sz val="9"/>
            <color indexed="81"/>
            <rFont val="Tahoma"/>
            <family val="2"/>
          </rPr>
          <t>Bruyns Fred H:</t>
        </r>
        <r>
          <rPr>
            <sz val="9"/>
            <color indexed="81"/>
            <rFont val="Tahoma"/>
            <family val="2"/>
          </rPr>
          <t xml:space="preserve">
Programming note: This value is for the C-8 spinal nerve root.</t>
        </r>
      </text>
    </comment>
    <comment ref="AE454" authorId="1" shapeId="0" xr:uid="{81A73FBF-3072-4C95-8DBC-BF242A81F8E1}">
      <text>
        <r>
          <rPr>
            <b/>
            <sz val="9"/>
            <color indexed="81"/>
            <rFont val="Tahoma"/>
            <family val="2"/>
          </rPr>
          <t>Bruyns Fred H:</t>
        </r>
        <r>
          <rPr>
            <sz val="9"/>
            <color indexed="81"/>
            <rFont val="Tahoma"/>
            <family val="2"/>
          </rPr>
          <t xml:space="preserve">
Programming note: This value is for the T-1 spinal nerve root.</t>
        </r>
      </text>
    </comment>
    <comment ref="T457" authorId="1" shapeId="0" xr:uid="{A5DEE0BE-E7F1-46CB-AF90-6AC221C4689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7" authorId="1" shapeId="0" xr:uid="{04857CB3-745C-4BFC-86FA-13848C2FF48C}">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7" authorId="1" shapeId="0" xr:uid="{31A8B59A-B937-4CFE-9D77-31124D304CDD}">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7" authorId="1" shapeId="0" xr:uid="{ED4FA9A7-BDD1-47C1-97C3-3281548B8BE5}">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7" authorId="1" shapeId="0" xr:uid="{99E17A9B-4924-4375-B2DC-582F37837CFF}">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E457" authorId="1" shapeId="0" xr:uid="{43FF337D-CE72-4C13-8C1E-634BF776B7B4}">
      <text>
        <r>
          <rPr>
            <b/>
            <sz val="9"/>
            <color indexed="81"/>
            <rFont val="Tahoma"/>
            <family val="2"/>
          </rPr>
          <t>Bruyns Fred H:</t>
        </r>
        <r>
          <rPr>
            <sz val="9"/>
            <color indexed="81"/>
            <rFont val="Tahoma"/>
            <family val="2"/>
          </rPr>
          <t xml:space="preserve">
Programming note: This value is for the musculocutaneous nerve.</t>
        </r>
      </text>
    </comment>
    <comment ref="AE458" authorId="1" shapeId="0" xr:uid="{6FD01C4B-8159-46B2-B31A-881E033AC05C}">
      <text>
        <r>
          <rPr>
            <b/>
            <sz val="9"/>
            <color indexed="81"/>
            <rFont val="Tahoma"/>
            <family val="2"/>
          </rPr>
          <t>Bruyns Fred H:</t>
        </r>
        <r>
          <rPr>
            <sz val="9"/>
            <color indexed="81"/>
            <rFont val="Tahoma"/>
            <family val="2"/>
          </rPr>
          <t xml:space="preserve">
Programming note: This value is for the radial nerve - arm portion.</t>
        </r>
      </text>
    </comment>
    <comment ref="T463" authorId="1" shapeId="0" xr:uid="{81705FDE-98F1-486B-AB93-948651FED3AC}">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63" authorId="1" shapeId="0" xr:uid="{F6829B68-989A-4CF8-9269-BBA795D8CB68}">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63" authorId="1" shapeId="0" xr:uid="{7B6D0752-8A6E-44FD-8BE9-B4C425ADF0AA}">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63" authorId="1" shapeId="0" xr:uid="{CDFA6125-A7A9-469D-866E-E5005B152F4B}">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63" authorId="1" shapeId="0" xr:uid="{F18AEAC5-9E19-4391-AF61-5CA127B6841D}">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64" authorId="1" shapeId="0" xr:uid="{C93B73C7-30FD-4CD8-870E-E86A3AD7DAD8}">
      <text>
        <r>
          <rPr>
            <b/>
            <sz val="9"/>
            <color indexed="81"/>
            <rFont val="Tahoma"/>
            <family val="2"/>
          </rPr>
          <t>Bruyns Fred H:</t>
        </r>
        <r>
          <rPr>
            <sz val="9"/>
            <color indexed="81"/>
            <rFont val="Tahoma"/>
            <family val="2"/>
          </rPr>
          <t xml:space="preserve">
Programming note: 1=NA, 2=upper arm with loss of triceps; 3=triceps only</t>
        </r>
      </text>
    </comment>
    <comment ref="P465" authorId="1" shapeId="0" xr:uid="{F41B081C-958F-4959-AB99-DEFC3B1C9BB1}">
      <text>
        <r>
          <rPr>
            <b/>
            <sz val="9"/>
            <color indexed="81"/>
            <rFont val="Tahoma"/>
            <family val="2"/>
          </rPr>
          <t>Bruyns Fred H:</t>
        </r>
        <r>
          <rPr>
            <sz val="9"/>
            <color indexed="81"/>
            <rFont val="Tahoma"/>
            <family val="2"/>
          </rPr>
          <t xml:space="preserve">
Programming note: If only triceps is checked for the upper arm, and a strength grade is entered - formula returns "ERROR" for this cell. 
In another cell, user is reminded to check box for "Triceps only," which is equal to 25% of the arm.</t>
        </r>
      </text>
    </comment>
    <comment ref="B469" authorId="1" shapeId="0" xr:uid="{209FE887-F105-4411-B51D-97B5BAD4F22F}">
      <text>
        <r>
          <rPr>
            <b/>
            <sz val="9"/>
            <color indexed="81"/>
            <rFont val="Tahoma"/>
            <family val="2"/>
          </rPr>
          <t>Bruyns Fred H:</t>
        </r>
        <r>
          <rPr>
            <sz val="9"/>
            <color indexed="81"/>
            <rFont val="Tahoma"/>
            <family val="2"/>
          </rPr>
          <t xml:space="preserve">
Programming note: If "ERROR" is present in the cell for adjusted triceps strength, formula reminds user to check the box for "Triceps only." </t>
        </r>
      </text>
    </comment>
    <comment ref="T470" authorId="1" shapeId="0" xr:uid="{4645BB5D-9C1A-42D6-BF71-660C09FE2AA7}">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70" authorId="1" shapeId="0" xr:uid="{BFA4ADBC-5BF6-45F2-A9AD-5982A282B351}">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70" authorId="1" shapeId="0" xr:uid="{EC0A37F6-C5A8-4670-9124-6CDFBD3FC117}">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70" authorId="1" shapeId="0" xr:uid="{AC176D1F-D93C-402B-83B4-FBCEE1F9E54B}">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70" authorId="1" shapeId="0" xr:uid="{293F7AE4-F8AF-439B-A211-40C78AAB107D}">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82" authorId="1" shapeId="0" xr:uid="{081A8A48-CDC1-4515-A165-1E21B715F94E}">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82" authorId="1" shapeId="0" xr:uid="{B7FA393C-DDD7-4263-888D-FFEA0E02BFDF}">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82" authorId="1" shapeId="0" xr:uid="{E07796BD-48A6-40C9-8B77-4B4757DEB99C}">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82" authorId="1" shapeId="0" xr:uid="{7DB39637-F6C2-4F32-82FD-BCA4D2906A78}">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82" authorId="1" shapeId="0" xr:uid="{66EC3DEB-EB2A-48B7-9ED9-17E15DEB6D23}">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98" authorId="1" shapeId="0" xr:uid="{80DBBF05-0328-4724-9EDE-DA7D703D5FE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98" authorId="1" shapeId="0" xr:uid="{5F14B851-DAE6-4FD1-A715-2AB73DDA47D6}">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98" authorId="1" shapeId="0" xr:uid="{93A6DF0C-B1EE-4EBF-A146-8D9AD9123B6C}">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98" authorId="1" shapeId="0" xr:uid="{A7ABAE84-A1F5-4368-B239-464CCA0F57A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98" authorId="1" shapeId="0" xr:uid="{FF9400F4-1852-417D-B241-C1EF73ECB588}">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521" authorId="1" shapeId="0" xr:uid="{0C439CE2-F74C-4F3C-9807-7F53AD239F0C}">
      <text>
        <r>
          <rPr>
            <b/>
            <sz val="9"/>
            <color indexed="81"/>
            <rFont val="Tahoma"/>
            <family val="2"/>
          </rPr>
          <t>Bruyns Fred H:</t>
        </r>
        <r>
          <rPr>
            <sz val="9"/>
            <color indexed="81"/>
            <rFont val="Tahoma"/>
            <family val="2"/>
          </rPr>
          <t xml:space="preserve">
Programming note: Digit values are multiplied by maximum degree values for each digit - 48 for thumb, 24 for index, 22 for middle, 10 for ring, and 6 degrees for little finger.</t>
        </r>
      </text>
    </comment>
    <comment ref="U521" authorId="1" shapeId="0" xr:uid="{F8685E56-83B1-4E15-A3C3-000A37D01AB2}">
      <text>
        <r>
          <rPr>
            <b/>
            <sz val="9"/>
            <color indexed="81"/>
            <rFont val="Tahoma"/>
            <family val="2"/>
          </rPr>
          <t>Bruyns Fred H:</t>
        </r>
        <r>
          <rPr>
            <sz val="9"/>
            <color indexed="81"/>
            <rFont val="Tahoma"/>
            <family val="2"/>
          </rPr>
          <t xml:space="preserve">
Programming note: Converted digit-to-hand values are multiplied by maximum degree value for the hand - 150 degrees.</t>
        </r>
      </text>
    </comment>
    <comment ref="V521" authorId="1" shapeId="0" xr:uid="{294AB8D0-8B7F-4B74-BA61-D2BA85EE5CF4}">
      <text>
        <r>
          <rPr>
            <b/>
            <sz val="9"/>
            <color indexed="81"/>
            <rFont val="Tahoma"/>
            <family val="2"/>
          </rPr>
          <t>Bruyns Fred H:</t>
        </r>
        <r>
          <rPr>
            <sz val="9"/>
            <color indexed="81"/>
            <rFont val="Tahoma"/>
            <family val="2"/>
          </rPr>
          <t xml:space="preserve">
Programming note: Digit values are multiplied by maximum whole-person values for each digit, 15% for thumb, 8% for index, 7% for middle, 3% for ring, and 2% for little finger. The minimum whole-person value is 1%.</t>
        </r>
      </text>
    </comment>
    <comment ref="W521" authorId="1" shapeId="0" xr:uid="{9832B507-B455-4DB5-AE9E-9FA604F4DCB1}">
      <text>
        <r>
          <rPr>
            <b/>
            <sz val="9"/>
            <color indexed="81"/>
            <rFont val="Tahoma"/>
            <family val="2"/>
          </rPr>
          <t>Bruyns Fred H:</t>
        </r>
        <r>
          <rPr>
            <sz val="9"/>
            <color indexed="81"/>
            <rFont val="Tahoma"/>
            <family val="2"/>
          </rPr>
          <t xml:space="preserve">
Programming note: The sum of converted digit-to-hand values is multiplied by the whole-person value for the hand - 47%.</t>
        </r>
      </text>
    </comment>
    <comment ref="Z521" authorId="1" shapeId="0" xr:uid="{48800791-42A9-4961-87BB-FCF1B21DE31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21" authorId="1" shapeId="0" xr:uid="{64B1B5A9-F4F0-44E9-AB44-88055D7BF09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B521" authorId="1" shapeId="0" xr:uid="{4A9E9A94-BCD0-4846-8FFE-3CE900DA947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T527" authorId="1" shapeId="0" xr:uid="{688F620F-1C69-4669-ABB7-FF636D8311EB}">
      <text>
        <r>
          <rPr>
            <b/>
            <sz val="9"/>
            <color indexed="81"/>
            <rFont val="Tahoma"/>
            <family val="2"/>
          </rPr>
          <t>Bruyns Fred H:</t>
        </r>
        <r>
          <rPr>
            <sz val="9"/>
            <color indexed="81"/>
            <rFont val="Tahoma"/>
            <family val="2"/>
          </rPr>
          <t xml:space="preserve">
Programming note: Sum of digit values.</t>
        </r>
      </text>
    </comment>
    <comment ref="U527" authorId="1" shapeId="0" xr:uid="{FE353374-21A4-418C-B028-A3EFAB7C2487}">
      <text>
        <r>
          <rPr>
            <b/>
            <sz val="9"/>
            <color indexed="81"/>
            <rFont val="Tahoma"/>
            <family val="2"/>
          </rPr>
          <t>Bruyns Fred H:</t>
        </r>
        <r>
          <rPr>
            <sz val="9"/>
            <color indexed="81"/>
            <rFont val="Tahoma"/>
            <family val="2"/>
          </rPr>
          <t xml:space="preserve">
Programming note: Sum of converted digit-to-hand values.</t>
        </r>
      </text>
    </comment>
    <comment ref="V527" authorId="1" shapeId="0" xr:uid="{ECA01F8F-CBC8-4958-AC7A-65A894AB2283}">
      <text>
        <r>
          <rPr>
            <b/>
            <sz val="9"/>
            <color indexed="81"/>
            <rFont val="Tahoma"/>
            <family val="2"/>
          </rPr>
          <t>Bruyns Fred H:</t>
        </r>
        <r>
          <rPr>
            <sz val="9"/>
            <color indexed="81"/>
            <rFont val="Tahoma"/>
            <family val="2"/>
          </rPr>
          <t xml:space="preserve">
Programming note: The digit values are combined.</t>
        </r>
      </text>
    </comment>
    <comment ref="B528" authorId="1" shapeId="0" xr:uid="{28D899E2-929E-4D27-8CA1-7A58AA608530}">
      <text>
        <r>
          <rPr>
            <b/>
            <sz val="9"/>
            <color indexed="81"/>
            <rFont val="Tahoma"/>
            <family val="2"/>
          </rPr>
          <t>Bruyns Fred H:</t>
        </r>
        <r>
          <rPr>
            <sz val="9"/>
            <color indexed="81"/>
            <rFont val="Tahoma"/>
            <family val="2"/>
          </rPr>
          <t xml:space="preserve">
Programming note: If there are any digit impairment values, this area wiill display an appropriate message about whether conversion of digits to a hand value is necessary.</t>
        </r>
      </text>
    </comment>
    <comment ref="R531" authorId="1" shapeId="0" xr:uid="{C5561E03-D9F5-400F-91F8-164274EC25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531" authorId="1" shapeId="0" xr:uid="{5ADD6251-90C7-4FCC-BEAB-B9B7A57C9F1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531" authorId="1" shapeId="0" xr:uid="{37174061-6527-43E7-BBD7-66ACAA4C543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531" authorId="1" shapeId="0" xr:uid="{A0BF782A-2EBD-4C84-9BC3-878A091218A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38" authorId="1" shapeId="0" xr:uid="{80CA6606-3F13-4AF5-BE57-BF707B55E4E3}">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539" authorId="1" shapeId="0" xr:uid="{6C0FCF32-7B10-4F69-AA03-5F54971AE66E}">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559" authorId="1" shapeId="0" xr:uid="{408B7EB0-A6D1-477D-88D6-847DE2EF780A}">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560" authorId="1" shapeId="0" xr:uid="{04BA8005-9B8D-486C-9CBC-4C4611AC77D1}">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R566" authorId="1" shapeId="0" xr:uid="{1757DCC2-E227-4AA1-9A82-B2BEE5D9EC43}">
      <text>
        <r>
          <rPr>
            <b/>
            <sz val="9"/>
            <color indexed="81"/>
            <rFont val="Tahoma"/>
            <family val="2"/>
          </rPr>
          <t>Bruyns Fred H:</t>
        </r>
        <r>
          <rPr>
            <sz val="9"/>
            <color indexed="81"/>
            <rFont val="Tahoma"/>
            <family val="2"/>
          </rPr>
          <t xml:space="preserve">
Programming note: Output from option buttons for amputation</t>
        </r>
      </text>
    </comment>
    <comment ref="S570" authorId="1" shapeId="0" xr:uid="{62FAC780-57E0-4722-BF29-169D96D8AFE1}">
      <text>
        <r>
          <rPr>
            <b/>
            <sz val="9"/>
            <color indexed="81"/>
            <rFont val="Tahoma"/>
            <family val="2"/>
          </rPr>
          <t>Bruyns Fred H:</t>
        </r>
        <r>
          <rPr>
            <sz val="9"/>
            <color indexed="81"/>
            <rFont val="Tahoma"/>
            <family val="2"/>
          </rPr>
          <t xml:space="preserve">
Programming note: 150 degrees of flexion of elbow joint is considered maximum normal. See OAR 436-035-0100.</t>
        </r>
      </text>
    </comment>
    <comment ref="V570" authorId="1" shapeId="0" xr:uid="{CF031E5D-AFCD-4604-A8FF-F3BE11B5C49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0" authorId="1" shapeId="0" xr:uid="{B766FAC2-8143-4AF7-AD74-6CF6EC2920C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571" authorId="1" shapeId="0" xr:uid="{1707494E-48B7-4F0D-A58C-EF5FA6A12B9B}">
      <text>
        <r>
          <rPr>
            <b/>
            <sz val="9"/>
            <color indexed="81"/>
            <rFont val="Tahoma"/>
            <family val="2"/>
          </rPr>
          <t>Bruyns Fred H:</t>
        </r>
        <r>
          <rPr>
            <sz val="9"/>
            <color indexed="81"/>
            <rFont val="Tahoma"/>
            <family val="2"/>
          </rPr>
          <t xml:space="preserve">
Programming note: 150 degrees of flexion ankylosis of the elbow joint is considered maximum loss. See OAR 436-035-0100.</t>
        </r>
      </text>
    </comment>
    <comment ref="S572" authorId="1" shapeId="0" xr:uid="{90B8E877-3BB5-4F42-8830-2E1B89E50723}">
      <text>
        <r>
          <rPr>
            <b/>
            <sz val="9"/>
            <color indexed="81"/>
            <rFont val="Tahoma"/>
            <family val="2"/>
          </rPr>
          <t>Bruyns Fred H:</t>
        </r>
        <r>
          <rPr>
            <sz val="9"/>
            <color indexed="81"/>
            <rFont val="Tahoma"/>
            <family val="2"/>
          </rPr>
          <t xml:space="preserve">
Programming note: 150 degrees of extension of elbow joint is considered maximum loss. See OAR 436-035-0100.</t>
        </r>
      </text>
    </comment>
    <comment ref="V572" authorId="1" shapeId="0" xr:uid="{CCC113B6-E97C-40E6-A4D9-E2B6AAC32AB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572" authorId="1" shapeId="0" xr:uid="{AA92533F-F106-423A-A24E-F93EEA834FA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572" authorId="1" shapeId="0" xr:uid="{B7DBAC5F-62B3-4BB8-9C86-92B8CFEE1C79}">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572" authorId="1" shapeId="0" xr:uid="{BD66406C-67FB-4ACC-85B2-DF4717865CA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S573" authorId="1" shapeId="0" xr:uid="{BAFC5878-AF39-4585-9ED8-A5B521A29038}">
      <text>
        <r>
          <rPr>
            <b/>
            <sz val="9"/>
            <color indexed="81"/>
            <rFont val="Tahoma"/>
            <family val="2"/>
          </rPr>
          <t>Bruyns Fred H:</t>
        </r>
        <r>
          <rPr>
            <sz val="9"/>
            <color indexed="81"/>
            <rFont val="Tahoma"/>
            <family val="2"/>
          </rPr>
          <t xml:space="preserve">
Programming note: 150 degrees of extension ankylosis of the elbow joint is considered maximum loss. See OAR 436-035-0100.</t>
        </r>
      </text>
    </comment>
    <comment ref="S574" authorId="1" shapeId="0" xr:uid="{29879D20-2272-458B-8B54-E2BA08B3D0B9}">
      <text>
        <r>
          <rPr>
            <b/>
            <sz val="9"/>
            <color indexed="81"/>
            <rFont val="Tahoma"/>
            <family val="2"/>
          </rPr>
          <t>Bruyns Fred H:</t>
        </r>
        <r>
          <rPr>
            <sz val="9"/>
            <color indexed="81"/>
            <rFont val="Tahoma"/>
            <family val="2"/>
          </rPr>
          <t xml:space="preserve">
Programming note: 80 degrees of supination of elbow joint is considered maximum normal. See OAR 436-035-0100.</t>
        </r>
      </text>
    </comment>
    <comment ref="V574" authorId="1" shapeId="0" xr:uid="{5283F2B1-3E49-4A5F-A803-6E4379F5E8D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4" authorId="1" shapeId="0" xr:uid="{17C79DAF-8915-442C-9D3C-F84D4A01099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75" authorId="1" shapeId="0" xr:uid="{DD2F88D3-7F47-46BD-9A99-5AD90D5BD926}">
      <text>
        <r>
          <rPr>
            <b/>
            <sz val="9"/>
            <color indexed="81"/>
            <rFont val="Tahoma"/>
            <family val="2"/>
          </rPr>
          <t>Bruyns Fred H:</t>
        </r>
        <r>
          <rPr>
            <sz val="9"/>
            <color indexed="81"/>
            <rFont val="Tahoma"/>
            <family val="2"/>
          </rPr>
          <t xml:space="preserve">
Programming note: 80 degrees of supination ankylosis of the elbow joint is considered maximum loss. See OAR 436-035-0100.</t>
        </r>
      </text>
    </comment>
    <comment ref="S576" authorId="1" shapeId="0" xr:uid="{65711C05-CE6E-4B35-A500-93C99B4024B2}">
      <text>
        <r>
          <rPr>
            <b/>
            <sz val="9"/>
            <color indexed="81"/>
            <rFont val="Tahoma"/>
            <family val="2"/>
          </rPr>
          <t>Bruyns Fred H:</t>
        </r>
        <r>
          <rPr>
            <sz val="9"/>
            <color indexed="81"/>
            <rFont val="Tahoma"/>
            <family val="2"/>
          </rPr>
          <t xml:space="preserve">
Programming note: 80 degrees of pronation of elbow joint is considered maximum normal. See OAR 436-035-0100.</t>
        </r>
      </text>
    </comment>
    <comment ref="V576" authorId="1" shapeId="0" xr:uid="{0A1F6D8E-7B76-4A5E-9C28-7B72A1EEBB7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6" authorId="1" shapeId="0" xr:uid="{E72BA2A4-3404-4406-A7BF-2125DB34CD8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77" authorId="1" shapeId="0" xr:uid="{4F800FBD-D62F-468A-9704-D69B67606070}">
      <text>
        <r>
          <rPr>
            <b/>
            <sz val="9"/>
            <color indexed="81"/>
            <rFont val="Tahoma"/>
            <family val="2"/>
          </rPr>
          <t>Bruyns Fred H:</t>
        </r>
        <r>
          <rPr>
            <sz val="9"/>
            <color indexed="81"/>
            <rFont val="Tahoma"/>
            <family val="2"/>
          </rPr>
          <t xml:space="preserve">
Programming note: 80 degrees of pronation ankylosis of the elbow joint is considered maximum loss. See OAR 436-035-0100.</t>
        </r>
      </text>
    </comment>
    <comment ref="S602" authorId="1" shapeId="0" xr:uid="{9DEB6D20-AEEC-4FCA-AB0A-5EB12B9F188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2" authorId="1" shapeId="0" xr:uid="{5EA4CECD-98C2-4E87-BE51-BA03A4913D9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602" authorId="1" shapeId="0" xr:uid="{8E529000-01CC-4F30-BA52-BDF8F45F25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E604" authorId="1" shapeId="0" xr:uid="{9DF71FE4-7D9E-4583-9A32-96746F76668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613" authorId="1" shapeId="0" xr:uid="{19D06C9A-FE10-4069-961E-77DE6D2FC666}">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614" authorId="1" shapeId="0" xr:uid="{BC78A546-FDA4-4362-B166-064CE91B165E}">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U626" authorId="1" shapeId="0" xr:uid="{A9308838-4008-459B-BFFC-EC7B2275722E}">
      <text>
        <r>
          <rPr>
            <b/>
            <sz val="9"/>
            <color indexed="81"/>
            <rFont val="Tahoma"/>
            <family val="2"/>
          </rPr>
          <t>Bruyns Fred H:</t>
        </r>
        <r>
          <rPr>
            <sz val="9"/>
            <color indexed="81"/>
            <rFont val="Tahoma"/>
            <family val="2"/>
          </rPr>
          <t xml:space="preserve">
programming note: Only if arm impairment is present is the hand/forearm value converted to an arm value.</t>
        </r>
      </text>
    </comment>
    <comment ref="C634" authorId="1" shapeId="0" xr:uid="{A3B3FA05-902C-410F-BD73-ED754CE62772}">
      <text>
        <r>
          <rPr>
            <b/>
            <sz val="9"/>
            <color indexed="81"/>
            <rFont val="Tahoma"/>
            <family val="2"/>
          </rPr>
          <t>Bruyns Fred H:</t>
        </r>
        <r>
          <rPr>
            <sz val="9"/>
            <color indexed="81"/>
            <rFont val="Tahoma"/>
            <family val="2"/>
          </rPr>
          <t xml:space="preserve">
Programming note: This date is copied in from the "Start here" worksheet.</t>
        </r>
      </text>
    </comment>
    <comment ref="R636" authorId="1" shapeId="0" xr:uid="{1F5435AD-1BAB-477A-96E7-AC604DDC1C49}">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28F58CA6-DC31-48EB-99A4-12D305BDAA36}">
      <text>
        <r>
          <rPr>
            <b/>
            <sz val="9"/>
            <color indexed="81"/>
            <rFont val="Tahoma"/>
            <family val="2"/>
          </rPr>
          <t>Bruyns Fred H:</t>
        </r>
        <r>
          <rPr>
            <sz val="9"/>
            <color indexed="81"/>
            <rFont val="Tahoma"/>
            <family val="2"/>
          </rPr>
          <t xml:space="preserve">
Programming note: See table in OAR 436-035-0260.</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5F3AD4D1-5B79-4B00-8CA3-EE30BC2B5989}">
      <text>
        <r>
          <rPr>
            <b/>
            <sz val="9"/>
            <color indexed="81"/>
            <rFont val="Tahoma"/>
            <family val="2"/>
          </rPr>
          <t>Bruyns Fred H:</t>
        </r>
        <r>
          <rPr>
            <sz val="9"/>
            <color indexed="81"/>
            <rFont val="Tahoma"/>
            <family val="2"/>
          </rPr>
          <t xml:space="preserve">
The table in this worksheet has the percentages of impairment for the retained degrees of motion in the shoulder - as published in OAR 436-035, Disability Rating Standards.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141FE13C-8D3F-4BEC-8306-AC80AB0ED8C8}">
      <text>
        <r>
          <rPr>
            <b/>
            <sz val="9"/>
            <color indexed="81"/>
            <rFont val="Tahoma"/>
            <family val="2"/>
          </rPr>
          <t>Bruyns Fred H:</t>
        </r>
        <r>
          <rPr>
            <sz val="9"/>
            <color indexed="81"/>
            <rFont val="Tahoma"/>
            <family val="2"/>
          </rPr>
          <t xml:space="preserve">
The table in this worksheet has the percentages of impairment for the retained degrees of motion in the hip - as published in OAR 436-035, Disability Rating Standards.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A7005F90-60AD-4E44-AC70-CC2627FA75D6}">
      <text>
        <r>
          <rPr>
            <b/>
            <sz val="9"/>
            <color indexed="81"/>
            <rFont val="Tahoma"/>
            <family val="2"/>
          </rPr>
          <t>Bruyns Fred H:</t>
        </r>
        <r>
          <rPr>
            <sz val="9"/>
            <color indexed="81"/>
            <rFont val="Tahoma"/>
            <family val="2"/>
          </rPr>
          <t xml:space="preserve">
The table in this worksheet has the percentages of impairment for the retained degrees of motion in the spine - as published in OAR 436-035, Disability Rating Standards.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R1" authorId="0" shapeId="0" xr:uid="{5F29F652-B387-40B5-958F-59158C4A23E4}">
      <text>
        <r>
          <rPr>
            <b/>
            <sz val="9"/>
            <color indexed="81"/>
            <rFont val="Tahoma"/>
            <family val="2"/>
          </rPr>
          <t>Fred Bruyns:</t>
        </r>
        <r>
          <rPr>
            <sz val="9"/>
            <color indexed="81"/>
            <rFont val="Tahoma"/>
            <family val="2"/>
          </rPr>
          <t xml:space="preserve">
If the date of injury is earlier than this date, 1/1/2005, different calcuation methods are used near the bottom of this worksheet. Use the "Trace Dependents" option under "Formulas" and "Formula Auditing" on the ribbon to find dependent cells/formulas.</t>
        </r>
      </text>
    </comment>
    <comment ref="S1" authorId="0" shapeId="0" xr:uid="{6C5DCFCC-0548-4985-8D09-8D94425F708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R2" authorId="0" shapeId="0" xr:uid="{598CAF3D-68E1-43A2-80D2-DB9EEBABF2FF}">
      <text>
        <r>
          <rPr>
            <b/>
            <sz val="9"/>
            <color indexed="81"/>
            <rFont val="Tahoma"/>
            <family val="2"/>
          </rPr>
          <t>Fred Bruyns:</t>
        </r>
        <r>
          <rPr>
            <sz val="9"/>
            <color indexed="81"/>
            <rFont val="Tahoma"/>
            <family val="2"/>
          </rPr>
          <t xml:space="preserve">
This is the date of injury from the "Start here" worksheet.</t>
        </r>
      </text>
    </comment>
    <comment ref="S2" authorId="0" shapeId="0" xr:uid="{9D8635BB-0348-4960-8D4C-2BA3106733C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P6" authorId="1" shapeId="0" xr:uid="{98DBE8B2-B3E2-4684-A016-23EFBE2FE692}">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T6" authorId="0" shapeId="0" xr:uid="{950515C1-F873-4D43-93B2-330DDF89FE3D}">
      <text>
        <r>
          <rPr>
            <b/>
            <sz val="9"/>
            <color indexed="81"/>
            <rFont val="Tahoma"/>
            <family val="2"/>
          </rPr>
          <t xml:space="preserve">Fred Bruyns:
</t>
        </r>
        <r>
          <rPr>
            <sz val="9"/>
            <color indexed="81"/>
            <rFont val="Tahoma"/>
            <family val="2"/>
          </rPr>
          <t>Descriptions in the chart to the right are used in a pull-down menu below "Thumb amputation or resection without reattachment (or shortening of digit)." The percentages correspond to the extent of amputation per OAR 436-035-0030.</t>
        </r>
      </text>
    </comment>
    <comment ref="P11" authorId="1" shapeId="0" xr:uid="{E8F4B06D-4E54-4A71-9472-134B3953F5CA}">
      <text>
        <r>
          <rPr>
            <b/>
            <sz val="9"/>
            <color indexed="81"/>
            <rFont val="Tahoma"/>
            <family val="2"/>
          </rPr>
          <t>Bruyns Fred H:</t>
        </r>
        <r>
          <rPr>
            <sz val="9"/>
            <color indexed="81"/>
            <rFont val="Tahoma"/>
            <family val="2"/>
          </rPr>
          <t xml:space="preserve">
Programming note: This cell will be greater than 0 percent only if index finger amputation results in loss of opposition with the thumb.</t>
        </r>
      </text>
    </comment>
    <comment ref="U11" authorId="1" shapeId="0" xr:uid="{9BEABA6D-5E68-4C5C-BB34-FC8D5E2877F3}">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index finger opposition loss associated with the thumb amputation level. NOTE: This percentage, if any, will display with index finger values, not with the thumb.</t>
        </r>
      </text>
    </comment>
    <comment ref="V11" authorId="1" shapeId="0" xr:uid="{CEFE2EF5-9696-4351-829C-819524913AE8}">
      <text>
        <r>
          <rPr>
            <b/>
            <sz val="9"/>
            <color indexed="81"/>
            <rFont val="Tahoma"/>
            <family val="2"/>
          </rPr>
          <t>Bruyns Fred H:</t>
        </r>
        <r>
          <rPr>
            <sz val="9"/>
            <color indexed="81"/>
            <rFont val="Tahoma"/>
            <family val="2"/>
          </rPr>
          <t xml:space="preserve">
Programming note: The amputation levels listed to the right are used in a pull-down menu to the left.</t>
        </r>
      </text>
    </comment>
    <comment ref="P12" authorId="1" shapeId="0" xr:uid="{7F0C185F-4910-4CCD-AD96-D9CBE0BD1539}">
      <text>
        <r>
          <rPr>
            <b/>
            <sz val="9"/>
            <color indexed="81"/>
            <rFont val="Tahoma"/>
            <family val="2"/>
          </rPr>
          <t>Bruyns Fred H:</t>
        </r>
        <r>
          <rPr>
            <sz val="9"/>
            <color indexed="81"/>
            <rFont val="Tahoma"/>
            <family val="2"/>
          </rPr>
          <t xml:space="preserve">
Programming note: This cell will be greater than 0 percent only if middle finger amputation results in loss of opposition with the thumb.</t>
        </r>
      </text>
    </comment>
    <comment ref="U12" authorId="1" shapeId="0" xr:uid="{86005BAC-69B1-4811-80E0-33543C605C65}">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middle finger opposition loss associated with the thumb amputation level.  This value will display in the middle finger chart, not with the thumb.</t>
        </r>
      </text>
    </comment>
    <comment ref="P13" authorId="1" shapeId="0" xr:uid="{9CEF51B7-1903-4F72-A0D2-7A89DAE39839}">
      <text>
        <r>
          <rPr>
            <b/>
            <sz val="9"/>
            <color indexed="81"/>
            <rFont val="Tahoma"/>
            <family val="2"/>
          </rPr>
          <t>Bruyns Fred H:</t>
        </r>
        <r>
          <rPr>
            <sz val="9"/>
            <color indexed="81"/>
            <rFont val="Tahoma"/>
            <family val="2"/>
          </rPr>
          <t xml:space="preserve">
Programming note: This cell will be greater than 0 percent only if ring finger amputation results in loss of opposition with the thumb.</t>
        </r>
      </text>
    </comment>
    <comment ref="U13" authorId="1" shapeId="0" xr:uid="{54811EA2-DAA9-45B7-B49A-EA71C0F1F87C}">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ring finger opposition loss associated with the thumb amputation level.  This value will display in the ring finger chart, not with the thumb.</t>
        </r>
      </text>
    </comment>
    <comment ref="P14" authorId="1" shapeId="0" xr:uid="{0791CAB5-D08A-4663-AEE7-86FADA039C4F}">
      <text>
        <r>
          <rPr>
            <b/>
            <sz val="9"/>
            <color indexed="81"/>
            <rFont val="Tahoma"/>
            <family val="2"/>
          </rPr>
          <t>Bruyns Fred H:</t>
        </r>
        <r>
          <rPr>
            <sz val="9"/>
            <color indexed="81"/>
            <rFont val="Tahoma"/>
            <family val="2"/>
          </rPr>
          <t xml:space="preserve">
Programming note: This cell will be greater than 0 percent only if little finger amputation results in loss of opposition with the thumb.</t>
        </r>
      </text>
    </comment>
    <comment ref="U14" authorId="1" shapeId="0" xr:uid="{3FC47080-8248-4113-B88A-EF4071B1DBA8}">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little finger opposition loss associated with the thumb amputation level.  This value will display in the little finger chart, not with the thumb.</t>
        </r>
      </text>
    </comment>
    <comment ref="S18" authorId="1" shapeId="0" xr:uid="{6DB4F5A4-D25A-46F1-9FBD-389939AB986B}">
      <text>
        <r>
          <rPr>
            <b/>
            <sz val="9"/>
            <color indexed="81"/>
            <rFont val="Tahoma"/>
            <family val="2"/>
          </rPr>
          <t>Bruyns Fred H:</t>
        </r>
        <r>
          <rPr>
            <sz val="9"/>
            <color indexed="81"/>
            <rFont val="Tahoma"/>
            <family val="2"/>
          </rPr>
          <t xml:space="preserve">
Programming note: 80 degrees of flexion of IP joint is considered normal - no impairment. See OAR 436-035-0050.</t>
        </r>
      </text>
    </comment>
    <comment ref="T18" authorId="1" shapeId="0" xr:uid="{088BA340-2243-49C2-A5E7-FDC445DF134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271D99AB-0C69-4DC7-A1B5-8F3A05C4A89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D5012629-2D16-4365-B5CE-392BCA774A7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8" authorId="1" shapeId="0" xr:uid="{83306D40-28C1-4923-9819-D3CCBCE1B6D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19" authorId="1" shapeId="0" xr:uid="{BB6A2627-1653-4270-86AC-9D1990FBD837}">
      <text>
        <r>
          <rPr>
            <b/>
            <sz val="9"/>
            <color indexed="81"/>
            <rFont val="Tahoma"/>
            <family val="2"/>
          </rPr>
          <t>Bruyns Fred H:</t>
        </r>
        <r>
          <rPr>
            <sz val="9"/>
            <color indexed="81"/>
            <rFont val="Tahoma"/>
            <family val="2"/>
          </rPr>
          <t xml:space="preserve">
Programming note: 80 degrees of extension of IP joint is considered maximum loss. See OAR 436-035-0050.</t>
        </r>
      </text>
    </comment>
    <comment ref="T19" authorId="1" shapeId="0" xr:uid="{86D8F8E2-1CD1-4C06-9E6C-B99C885054D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9" authorId="1" shapeId="0" xr:uid="{31C18C0F-B63F-4D11-B004-9A1D5CB618E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9" authorId="1" shapeId="0" xr:uid="{E518E573-0436-4A7A-85B5-FD5C74C1575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9" authorId="1" shapeId="0" xr:uid="{E1136DEC-901C-4AFA-A20F-646B6AAF91F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9" authorId="1" shapeId="0" xr:uid="{E169BA57-A424-47A2-BC9E-F7F0E57E890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9" authorId="1" shapeId="0" xr:uid="{53227BEA-D2C6-49C5-BA01-D1B6C72964E5}">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80 (max/normal). The value of "X" is then subtracted from the 80 (max/normal). See instructions for this formula under OAR 436-035-0011.</t>
        </r>
      </text>
    </comment>
    <comment ref="S20" authorId="1" shapeId="0" xr:uid="{2976BC9D-C6AA-4D1B-ADF7-F07E1123AB80}">
      <text>
        <r>
          <rPr>
            <b/>
            <sz val="9"/>
            <color indexed="81"/>
            <rFont val="Tahoma"/>
            <family val="2"/>
          </rPr>
          <t>Bruyns Fred H:</t>
        </r>
        <r>
          <rPr>
            <sz val="9"/>
            <color indexed="81"/>
            <rFont val="Tahoma"/>
            <family val="2"/>
          </rPr>
          <t xml:space="preserve">
Programming note: 80 degrees of ankylosis of IP joint is considered maximum loss. See OAR 436-035-0050.</t>
        </r>
      </text>
    </comment>
    <comment ref="T20" authorId="1" shapeId="0" xr:uid="{C503CABA-EEB1-45DF-8FEE-4E5944FD9E3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E21" authorId="1" shapeId="0" xr:uid="{A639B22B-1747-4945-A2C8-8561317791D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3" authorId="1" shapeId="0" xr:uid="{CF989824-35A0-4EB9-9C05-C7B81B18775E}">
      <text>
        <r>
          <rPr>
            <b/>
            <sz val="9"/>
            <color indexed="81"/>
            <rFont val="Tahoma"/>
            <family val="2"/>
          </rPr>
          <t>Bruyns Fred H:</t>
        </r>
        <r>
          <rPr>
            <sz val="9"/>
            <color indexed="81"/>
            <rFont val="Tahoma"/>
            <family val="2"/>
          </rPr>
          <t xml:space="preserve">
Programming note: 60 degrees of flexion of MP joint is considered normal - no impairment. See OAR 436-035-0050.</t>
        </r>
      </text>
    </comment>
    <comment ref="T23" authorId="1" shapeId="0" xr:uid="{354CFB82-4DCA-427C-9C0B-7F3A0A105EE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3" authorId="1" shapeId="0" xr:uid="{50B9B532-E3BC-4516-B9E8-6D50A4A766B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 authorId="1" shapeId="0" xr:uid="{358E19A9-7413-46D4-A068-73422BAEFDF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3" authorId="1" shapeId="0" xr:uid="{FED21D7D-14B2-46B1-BBA4-D6EB55B303A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24" authorId="1" shapeId="0" xr:uid="{F91AA9C4-1FC7-4297-B057-CD5A257D44BD}">
      <text>
        <r>
          <rPr>
            <b/>
            <sz val="9"/>
            <color indexed="81"/>
            <rFont val="Tahoma"/>
            <family val="2"/>
          </rPr>
          <t>Bruyns Fred H:</t>
        </r>
        <r>
          <rPr>
            <sz val="9"/>
            <color indexed="81"/>
            <rFont val="Tahoma"/>
            <family val="2"/>
          </rPr>
          <t xml:space="preserve">
Programming note: 60 degrees of extension of MP joint is considered maximum loss. See OAR 436-035-0050.</t>
        </r>
      </text>
    </comment>
    <comment ref="T24" authorId="1" shapeId="0" xr:uid="{4F134A59-8D7B-46F8-8E12-C24748AEA1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 authorId="1" shapeId="0" xr:uid="{D8170F2B-AB35-4389-938C-A287BC2E9D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 authorId="1" shapeId="0" xr:uid="{37AB3950-1B1D-4E0E-B327-A287EC1727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 authorId="1" shapeId="0" xr:uid="{339E2694-74E6-497E-82A6-96A5D1521385}">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 authorId="1" shapeId="0" xr:uid="{29FDAF6D-2497-44D6-8C6C-FD447A3B5FB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 authorId="1" shapeId="0" xr:uid="{5BE660A7-49B2-4B19-BC11-8E02CE847DF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60 (max/normal). The value of "X" is then subtracted from the 60 (max/normal). See instructions for this formula under OAR 436-035-0011.</t>
        </r>
      </text>
    </comment>
    <comment ref="AA24" authorId="1" shapeId="0" xr:uid="{5D12EDF3-C16B-40B9-8987-7784796AA7A0}">
      <text>
        <r>
          <rPr>
            <b/>
            <sz val="9"/>
            <color indexed="81"/>
            <rFont val="Tahoma"/>
            <family val="2"/>
          </rPr>
          <t>Bruyns Fred H:</t>
        </r>
        <r>
          <rPr>
            <sz val="9"/>
            <color indexed="81"/>
            <rFont val="Tahoma"/>
            <family val="2"/>
          </rPr>
          <t xml:space="preserve">
Programming note: These impairment values are carred in from joint totals in Column O.</t>
        </r>
      </text>
    </comment>
    <comment ref="AB24" authorId="1" shapeId="0" xr:uid="{0CF74185-90AE-46CE-9B7E-3C1703DE991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4" authorId="1" shapeId="0" xr:uid="{A7775427-E5B3-421E-AEBF-6C03579F084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4" authorId="1" shapeId="0" xr:uid="{DEADD63A-F0E8-4628-B910-4D8CFD6DFC2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25" authorId="1" shapeId="0" xr:uid="{9CFD96A6-49AB-49A8-B7E6-3A88B96E869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 authorId="1" shapeId="0" xr:uid="{E34BB21B-71E0-4FBC-B477-D8B0575FFC06}">
      <text>
        <r>
          <rPr>
            <b/>
            <sz val="9"/>
            <color indexed="81"/>
            <rFont val="Tahoma"/>
            <family val="2"/>
          </rPr>
          <t>Bruyns Fred H:</t>
        </r>
        <r>
          <rPr>
            <sz val="9"/>
            <color indexed="81"/>
            <rFont val="Tahoma"/>
            <family val="2"/>
          </rPr>
          <t xml:space="preserve">
Programming note: 60 degrees of ankylosis of MP joint is considered maximum loss. See OAR 436-035-0050.</t>
        </r>
      </text>
    </comment>
    <comment ref="T25" authorId="1" shapeId="0" xr:uid="{64770E20-9B72-4BD7-8D7C-E4D2F200D99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27" authorId="1" shapeId="0" xr:uid="{5F965975-1EBB-470D-81DF-D6C9CB0206E2}">
      <text>
        <r>
          <rPr>
            <b/>
            <sz val="9"/>
            <color indexed="81"/>
            <rFont val="Tahoma"/>
            <family val="2"/>
          </rPr>
          <t>Bruyns Fred H:</t>
        </r>
        <r>
          <rPr>
            <sz val="9"/>
            <color indexed="81"/>
            <rFont val="Tahoma"/>
            <family val="2"/>
          </rPr>
          <t xml:space="preserve">
Programming note: Formula returns "1' if "ERROR" is present in one or both "Joint total" fields.</t>
        </r>
      </text>
    </comment>
    <comment ref="AH31" authorId="1" shapeId="0" xr:uid="{31DF4B4E-5EC9-41C6-B668-F4171CC7893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I31" authorId="1" shapeId="0" xr:uid="{B5245C65-B3AC-4134-8EEE-626CB3FA44F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J31" authorId="1" shapeId="0" xr:uid="{38E73FAE-0DEA-4F78-BB42-5F67E693DB0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K31" authorId="1" shapeId="0" xr:uid="{77EAAD52-C3CC-4119-82C3-7FBDF867BAD2}">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S32" authorId="1" shapeId="0" xr:uid="{400DB635-64DF-4F00-82C9-908831CFA9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X32" authorId="1" shapeId="0" xr:uid="{51211DF4-49B9-4EE5-80E4-71062C56195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thumb, this chart will only display 1 in the left-most cell. </t>
        </r>
      </text>
    </comment>
    <comment ref="AC32" authorId="1" shapeId="0" xr:uid="{36B5141A-F81E-4877-B8B3-BB5C74D5FFAF}">
      <text>
        <r>
          <rPr>
            <b/>
            <sz val="9"/>
            <color indexed="81"/>
            <rFont val="Tahoma"/>
            <family val="2"/>
          </rPr>
          <t>Bruyns Fred H:</t>
        </r>
        <r>
          <rPr>
            <sz val="9"/>
            <color indexed="81"/>
            <rFont val="Tahoma"/>
            <family val="2"/>
          </rPr>
          <t xml:space="preserve">
Programming note: Formula enters grade for loss at each level of the thumb for the grades entered. See OAR 436-035-0110.</t>
        </r>
      </text>
    </comment>
    <comment ref="AH32" authorId="1" shapeId="0" xr:uid="{ECA23D17-813B-4886-8123-81EE1C947A73}">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thumb at MP joint has a grade 3 loss, this loss is applied to 1/2 the proximal phalanx. This allows for subtracting more proximal parts of the thumb if their grades of loss is different.</t>
        </r>
      </text>
    </comment>
    <comment ref="AL32" authorId="1" shapeId="0" xr:uid="{CF1D8040-3EE1-4F57-8632-E0A3050D5026}">
      <text>
        <r>
          <rPr>
            <b/>
            <sz val="9"/>
            <color indexed="81"/>
            <rFont val="Tahoma"/>
            <family val="2"/>
          </rPr>
          <t>Bruyns Fred H:</t>
        </r>
        <r>
          <rPr>
            <sz val="9"/>
            <color indexed="81"/>
            <rFont val="Tahoma"/>
            <family val="2"/>
          </rPr>
          <t xml:space="preserve">
Programming note: Formula displays grade percentage values that are two or three levels more distal - two or three columns to the right. For example, if entire thumb at MP joint has a grade 3 loss, this loss is applied to 1/2 digit / IP joint and also to 1/2 distal phalanx. This allows for subtracting more distal parts of the thumb if their grade of loss is different.</t>
        </r>
      </text>
    </comment>
    <comment ref="AQ32" authorId="1" shapeId="0" xr:uid="{161391EF-E8A3-403A-98C2-182FDB6F9B7D}">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(thumb IP joint)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AX33" authorId="1" shapeId="0" xr:uid="{ADA32C29-C003-43EB-B2D1-39F5239405E5}">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eight values. </t>
        </r>
      </text>
    </comment>
    <comment ref="X36" authorId="1" shapeId="0" xr:uid="{BAC71998-16BA-4CBF-9B6C-7640FB6B1CDE}">
      <text>
        <r>
          <rPr>
            <b/>
            <sz val="9"/>
            <color indexed="81"/>
            <rFont val="Tahoma"/>
            <family val="2"/>
          </rPr>
          <t>Bruyns Fred H:</t>
        </r>
        <r>
          <rPr>
            <sz val="9"/>
            <color indexed="81"/>
            <rFont val="Tahoma"/>
            <family val="2"/>
          </rPr>
          <t xml:space="preserve">
Programming note: A value greater than zero means the thumb has sensation loss - both sides.</t>
        </r>
      </text>
    </comment>
    <comment ref="Y36" authorId="1" shapeId="0" xr:uid="{DFA5217C-6C40-44BA-B95C-7F88388A99FA}">
      <text>
        <r>
          <rPr>
            <b/>
            <sz val="9"/>
            <color indexed="81"/>
            <rFont val="Tahoma"/>
            <family val="2"/>
          </rPr>
          <t>Bruyns Fred H:</t>
        </r>
        <r>
          <rPr>
            <sz val="9"/>
            <color indexed="81"/>
            <rFont val="Tahoma"/>
            <family val="2"/>
          </rPr>
          <t xml:space="preserve">
Programming note: A value greater than zero means the thumb has sensation loss - radial side.</t>
        </r>
      </text>
    </comment>
    <comment ref="Z36" authorId="1" shapeId="0" xr:uid="{6F813ABC-2506-4E33-BA4E-40AC69BEFD3E}">
      <text>
        <r>
          <rPr>
            <b/>
            <sz val="9"/>
            <color indexed="81"/>
            <rFont val="Tahoma"/>
            <family val="2"/>
          </rPr>
          <t>Bruyns Fred H:</t>
        </r>
        <r>
          <rPr>
            <sz val="9"/>
            <color indexed="81"/>
            <rFont val="Tahoma"/>
            <family val="2"/>
          </rPr>
          <t xml:space="preserve">
Programming note: A value greater than zero means the thumb has sensation loss - ulnar side.</t>
        </r>
      </text>
    </comment>
    <comment ref="AA36" authorId="1" shapeId="0" xr:uid="{24F1AE51-281D-428C-806C-D53EBBCE0123}">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X41" authorId="1" shapeId="0" xr:uid="{359A0A33-14F7-4E5F-A60D-F680341B62F1}">
      <text>
        <r>
          <rPr>
            <b/>
            <sz val="9"/>
            <color indexed="81"/>
            <rFont val="Tahoma"/>
            <family val="2"/>
          </rPr>
          <t>Bruyns Fred H:</t>
        </r>
        <r>
          <rPr>
            <sz val="9"/>
            <color indexed="81"/>
            <rFont val="Tahoma"/>
            <family val="2"/>
          </rPr>
          <t xml:space="preserve">
Programming note: A value greater than zero means the thumb has hypersensitivity loss - both sides.</t>
        </r>
      </text>
    </comment>
    <comment ref="Y41" authorId="1" shapeId="0" xr:uid="{79C6DAA4-0C71-4DC0-86F0-4AD454CA66BB}">
      <text>
        <r>
          <rPr>
            <b/>
            <sz val="9"/>
            <color indexed="81"/>
            <rFont val="Tahoma"/>
            <family val="2"/>
          </rPr>
          <t>Bruyns Fred H:</t>
        </r>
        <r>
          <rPr>
            <sz val="9"/>
            <color indexed="81"/>
            <rFont val="Tahoma"/>
            <family val="2"/>
          </rPr>
          <t xml:space="preserve">
Programming note: A value greater than zero means the thumb has hypersensitivity loss - radial side.</t>
        </r>
      </text>
    </comment>
    <comment ref="Z41" authorId="1" shapeId="0" xr:uid="{2BAD6B52-C455-4F73-A8A1-9F62FA904D82}">
      <text>
        <r>
          <rPr>
            <b/>
            <sz val="9"/>
            <color indexed="81"/>
            <rFont val="Tahoma"/>
            <family val="2"/>
          </rPr>
          <t>Bruyns Fred H:</t>
        </r>
        <r>
          <rPr>
            <sz val="9"/>
            <color indexed="81"/>
            <rFont val="Tahoma"/>
            <family val="2"/>
          </rPr>
          <t xml:space="preserve">
Programming note: A value greater than zero means the thumb has hpyersensitivity loss - ulnar side.</t>
        </r>
      </text>
    </comment>
    <comment ref="AA41" authorId="1" shapeId="0" xr:uid="{8C560A9C-87FD-43E1-92BB-C6B5F549907C}">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S43" authorId="1" shapeId="0" xr:uid="{A3D51022-BF8C-470D-BDD5-9105F670B35C}">
      <text>
        <r>
          <rPr>
            <b/>
            <sz val="9"/>
            <color indexed="81"/>
            <rFont val="Tahoma"/>
            <family val="2"/>
          </rPr>
          <t>Bruyns Fred H:</t>
        </r>
        <r>
          <rPr>
            <sz val="9"/>
            <color indexed="81"/>
            <rFont val="Tahoma"/>
            <family val="2"/>
          </rPr>
          <t xml:space="preserve">
"TRUE" or "FALSE" are output from checkboxes for deformity of movement.</t>
        </r>
      </text>
    </comment>
    <comment ref="W50" authorId="1" shapeId="0" xr:uid="{3CCB7C37-F04A-43EE-87F2-8B7504A4293D}">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51" authorId="1" shapeId="0" xr:uid="{E0DEF88E-2886-4EBE-B176-795181E19E2E}">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1" authorId="1" shapeId="0" xr:uid="{57ECF625-A641-4881-9F72-B93C0B58EC16}">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51" authorId="1" shapeId="0" xr:uid="{65679A19-7628-4A3E-9F2F-00A8D9905D5A}">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52" authorId="1" shapeId="0" xr:uid="{31504310-A2F2-4C2E-83C9-158B73534D0A}">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2" authorId="1" shapeId="0" xr:uid="{5D7AA03A-D648-45E2-AAA3-DC99CC3289E3}">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 </t>
        </r>
      </text>
    </comment>
    <comment ref="S52" authorId="1" shapeId="0" xr:uid="{B212EF2C-58C0-46FC-A527-848C9DA02CAF}">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U52" authorId="1" shapeId="0" xr:uid="{7C1AD1FC-A37B-4032-8D6B-B25ADED5C3E2}">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R54" authorId="1" shapeId="0" xr:uid="{1A16D7DF-0C7E-4A2E-83E8-0C130C481642}">
      <text>
        <r>
          <rPr>
            <b/>
            <sz val="9"/>
            <color indexed="81"/>
            <rFont val="Tahoma"/>
            <family val="2"/>
          </rPr>
          <t>Bruyns Fred H:</t>
        </r>
        <r>
          <rPr>
            <sz val="9"/>
            <color indexed="81"/>
            <rFont val="Tahoma"/>
            <family val="2"/>
          </rPr>
          <t xml:space="preserve">
"TRUE" or "FALSE" are output from checkboxes for deformity of movement.</t>
        </r>
      </text>
    </comment>
    <comment ref="R57" authorId="1" shapeId="0" xr:uid="{6ED175DF-5464-4F3D-BC10-27AA417EEE8A}">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60" authorId="1" shapeId="0" xr:uid="{3F6E77F9-58E2-4D7D-B669-ECDDCC711528}">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60" authorId="1" shapeId="0" xr:uid="{52731E95-F52E-4D6C-B3DB-501F5A10615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 authorId="1" shapeId="0" xr:uid="{726020BF-B98F-459F-B56C-B0298416A0C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60" authorId="1" shapeId="0" xr:uid="{DE6B0132-55A3-446C-BAC3-E51B426971D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60" authorId="1" shapeId="0" xr:uid="{EC7EE7EB-0B73-4C42-A849-538569FBBFD2}">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61" authorId="1" shapeId="0" xr:uid="{3B996690-CA62-4868-BC53-9D3E468EAD2C}">
      <text>
        <r>
          <rPr>
            <b/>
            <sz val="9"/>
            <color indexed="81"/>
            <rFont val="Tahoma"/>
            <family val="2"/>
          </rPr>
          <t>Bruyns Fred H:</t>
        </r>
        <r>
          <rPr>
            <sz val="9"/>
            <color indexed="81"/>
            <rFont val="Tahoma"/>
            <family val="2"/>
          </rPr>
          <t xml:space="preserve">
Programming note: Formula returns "1" if only opposition loss is present in the diigit. "2" means there are other losses. If two digits are affected by the injury only because there is opposition loss in one of the digits, the digit values are not converted to a hand value unless the hand/forearm or arm also have losses due to the injury.</t>
        </r>
      </text>
    </comment>
    <comment ref="E66" authorId="1" shapeId="0" xr:uid="{22162D97-DCF0-4825-9A8B-FBAFEDDFF3B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P81" authorId="1" shapeId="0" xr:uid="{8E28CEB4-89BA-44DD-BB3C-267634F82F63}">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R81" authorId="1" shapeId="0" xr:uid="{F035D792-F8F8-48BA-9173-A98799594777}">
      <text>
        <r>
          <rPr>
            <b/>
            <sz val="9"/>
            <color indexed="81"/>
            <rFont val="Tahoma"/>
            <family val="2"/>
          </rPr>
          <t>Bruyns Fred H:</t>
        </r>
        <r>
          <rPr>
            <sz val="9"/>
            <color indexed="81"/>
            <rFont val="Tahoma"/>
            <family val="2"/>
          </rPr>
          <t xml:space="preserve">
Descriptions in the chart to the right are used in a pull-down menu below "Index finger, amputation or resection without reattachment (or shortening of digit)." The percentages correspond to the extent of amputation per OAR 436-035-0030.</t>
        </r>
      </text>
    </comment>
    <comment ref="P84" authorId="1" shapeId="0" xr:uid="{76646AAA-49E1-45E0-9A8E-82CE03643AE9}">
      <text>
        <r>
          <rPr>
            <b/>
            <sz val="9"/>
            <color indexed="81"/>
            <rFont val="Tahoma"/>
            <family val="2"/>
          </rPr>
          <t>Bruyns Fred H:</t>
        </r>
        <r>
          <rPr>
            <sz val="9"/>
            <color indexed="81"/>
            <rFont val="Tahoma"/>
            <family val="2"/>
          </rPr>
          <t xml:space="preserve">
Programming note: This cell will be greater than 0 percent only if thumb amputation results in loss of opposition with the index finger.</t>
        </r>
      </text>
    </comment>
    <comment ref="R84" authorId="1" shapeId="0" xr:uid="{CD1090C9-8A56-4238-92F7-6051B0855169}">
      <text>
        <r>
          <rPr>
            <b/>
            <sz val="9"/>
            <color indexed="81"/>
            <rFont val="Tahoma"/>
            <family val="2"/>
          </rPr>
          <t>Bruyns Fred H:</t>
        </r>
        <r>
          <rPr>
            <sz val="9"/>
            <color indexed="81"/>
            <rFont val="Tahoma"/>
            <family val="2"/>
          </rPr>
          <t xml:space="preserve">
Programming note: This formula finds a match between the selected index finger amputation level in Cell B85 with the amputation levels listed in the table to the right, and then the formula returns the percentage of thumb opposition loss associated with the index finger amputation level. NOTE: This percentage, if any, will display for the thumb, not for the index finger.</t>
        </r>
      </text>
    </comment>
    <comment ref="S91" authorId="1" shapeId="0" xr:uid="{B855426D-7BC2-4E99-BED5-59951BBEA012}">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91" authorId="1" shapeId="0" xr:uid="{75489693-BDE8-451E-921A-6D8F902F43A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1" authorId="1" shapeId="0" xr:uid="{A2BADF4E-7E42-41F3-AB4E-56581B9419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1" authorId="1" shapeId="0" xr:uid="{DC6A2661-3CCE-47A8-81A1-E0EAF9360C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1" authorId="1" shapeId="0" xr:uid="{8EBB71E1-287C-4D4F-A6F5-6567C290531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92" authorId="1" shapeId="0" xr:uid="{C0322EF0-F195-4B02-B0E4-F5265326AF95}">
      <text>
        <r>
          <rPr>
            <b/>
            <sz val="9"/>
            <color indexed="81"/>
            <rFont val="Tahoma"/>
            <family val="2"/>
          </rPr>
          <t>Bruyns Fred H:</t>
        </r>
        <r>
          <rPr>
            <sz val="9"/>
            <color indexed="81"/>
            <rFont val="Tahoma"/>
            <family val="2"/>
          </rPr>
          <t xml:space="preserve">
Programming note: 70 degrees of extension of DIP joint is maximum loss.</t>
        </r>
      </text>
    </comment>
    <comment ref="T92" authorId="1" shapeId="0" xr:uid="{77137EF5-40C8-465A-825A-0112EE98A2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2" authorId="1" shapeId="0" xr:uid="{C9DA86A0-7FD5-47C7-BB0D-E30B9FCB10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2" authorId="1" shapeId="0" xr:uid="{C061B8ED-7B09-4409-8DE7-E5A26FD71B5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2" authorId="1" shapeId="0" xr:uid="{17E2F76C-CCDA-4961-BB75-73D123BE9DEB}">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2" authorId="1" shapeId="0" xr:uid="{47495A15-348C-4043-83EA-8230E39F6B53}">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2" authorId="1" shapeId="0" xr:uid="{98F2C053-C7B8-4EA6-9784-D60377557B1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S93" authorId="1" shapeId="0" xr:uid="{8EA9482E-4374-418A-9B29-08C72DEE7118}">
      <text>
        <r>
          <rPr>
            <b/>
            <sz val="9"/>
            <color indexed="81"/>
            <rFont val="Tahoma"/>
            <family val="2"/>
          </rPr>
          <t>Bruyns Fred H:</t>
        </r>
        <r>
          <rPr>
            <sz val="9"/>
            <color indexed="81"/>
            <rFont val="Tahoma"/>
            <family val="2"/>
          </rPr>
          <t xml:space="preserve">
Programming note: 70 degrees of ankylosis of DIP joint is maximum loss.</t>
        </r>
      </text>
    </comment>
    <comment ref="T93" authorId="1" shapeId="0" xr:uid="{535134D2-2D38-47A3-9C2F-11F70E3FE33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5" authorId="1" shapeId="0" xr:uid="{6908EFF1-E1CB-4E1F-B593-D17429028FC6}">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95" authorId="1" shapeId="0" xr:uid="{EA9D6CFC-3D7B-4C8B-8E88-9D0A52A48F3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5" authorId="1" shapeId="0" xr:uid="{9BA94D62-B6DF-4105-A4C8-9ECA5C1FFC8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5" authorId="1" shapeId="0" xr:uid="{BEF28FFF-6ECC-4C00-A1E4-3207042ABE8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5" authorId="1" shapeId="0" xr:uid="{1949ADDD-8B33-4612-B4FF-46039203CA6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96" authorId="1" shapeId="0" xr:uid="{F3E3153A-B834-42DD-B476-27D65C7FC72E}">
      <text>
        <r>
          <rPr>
            <b/>
            <sz val="9"/>
            <color indexed="81"/>
            <rFont val="Tahoma"/>
            <family val="2"/>
          </rPr>
          <t>Bruyns Fred H:</t>
        </r>
        <r>
          <rPr>
            <sz val="9"/>
            <color indexed="81"/>
            <rFont val="Tahoma"/>
            <family val="2"/>
          </rPr>
          <t xml:space="preserve">
Programming note: 100 degrees of extension of PIP joint is maximum loss.</t>
        </r>
      </text>
    </comment>
    <comment ref="T96" authorId="1" shapeId="0" xr:uid="{7202CD43-6E99-4CCA-9D9C-4CC0B32637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2D66E02A-061E-4DB6-9007-57EFDAF1293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2ECDE4A8-6B74-4B15-8DBF-FA4607A0E03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6" authorId="1" shapeId="0" xr:uid="{8680A8A3-3F7D-49E5-9D0B-C0C761001D54}">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6" authorId="1" shapeId="0" xr:uid="{DD9AF662-8AD2-42DE-A0CB-5A2C88A835F4}">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6" authorId="1" shapeId="0" xr:uid="{AEC3617E-6B96-4198-8002-607DA0A40141}">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S97" authorId="1" shapeId="0" xr:uid="{4DC27C15-FB18-4782-83CE-9C28350DCC92}">
      <text>
        <r>
          <rPr>
            <b/>
            <sz val="9"/>
            <color indexed="81"/>
            <rFont val="Tahoma"/>
            <family val="2"/>
          </rPr>
          <t>Bruyns Fred H:</t>
        </r>
        <r>
          <rPr>
            <sz val="9"/>
            <color indexed="81"/>
            <rFont val="Tahoma"/>
            <family val="2"/>
          </rPr>
          <t xml:space="preserve">
Programming note: 100 degrees of ankylosis of PIP joint is maximum loss.</t>
        </r>
      </text>
    </comment>
    <comment ref="T97" authorId="1" shapeId="0" xr:uid="{7D1FDA16-5989-49F5-A377-58DC83F097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98" authorId="1" shapeId="0" xr:uid="{7579A45C-807E-4481-82F7-599D32646703}">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98" authorId="1" shapeId="0" xr:uid="{35A08525-1271-41E2-BFAA-EBF961278D6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98" authorId="1" shapeId="0" xr:uid="{3865EC31-E330-4A6E-82E3-38DD351DAD5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98" authorId="1" shapeId="0" xr:uid="{C7FA14D8-4ADB-4CC3-B132-5B7BE14EF11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99" authorId="1" shapeId="0" xr:uid="{3281E69E-4594-4543-9BCC-C8B8848AA161}">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99" authorId="1" shapeId="0" xr:uid="{7C4812E6-1C8E-4E33-8CEF-BCCA35E2FE7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9" authorId="1" shapeId="0" xr:uid="{9FEE3CF7-BD14-4EBA-AAD4-5D73231BCF6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9" authorId="1" shapeId="0" xr:uid="{861CF6D8-3937-4F63-9D74-2E3B2DE4061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9" authorId="1" shapeId="0" xr:uid="{0D71EBB3-EF44-4D98-9BF0-90D410B4B5C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00" authorId="1" shapeId="0" xr:uid="{9B16F5D4-B704-4AA0-8F60-FE9CE621E6BE}">
      <text>
        <r>
          <rPr>
            <b/>
            <sz val="9"/>
            <color indexed="81"/>
            <rFont val="Tahoma"/>
            <family val="2"/>
          </rPr>
          <t>Bruyns Fred H:</t>
        </r>
        <r>
          <rPr>
            <sz val="9"/>
            <color indexed="81"/>
            <rFont val="Tahoma"/>
            <family val="2"/>
          </rPr>
          <t xml:space="preserve">
Programming note: 90 degrees of extension of MP joint is maximum loss.</t>
        </r>
      </text>
    </comment>
    <comment ref="T100" authorId="1" shapeId="0" xr:uid="{53F9CAF9-886B-4E78-9A76-CA52C401C4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00" authorId="1" shapeId="0" xr:uid="{98CBBE8D-1AA2-43AC-9470-435383C44D5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00" authorId="1" shapeId="0" xr:uid="{9783B02B-BB75-48F3-B152-5B0E737153B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00" authorId="1" shapeId="0" xr:uid="{4DBE6FA5-6BC7-4737-86E3-3073E51C030E}">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100" authorId="1" shapeId="0" xr:uid="{E4696BA1-6762-4E92-992E-C63BF4896DA4}">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00" authorId="1" shapeId="0" xr:uid="{AEB0A9F2-CBA1-4C99-B2B1-5575ED21FD35}">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101" authorId="1" shapeId="0" xr:uid="{759FB653-B222-4761-80DB-0D9725971925}">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01" authorId="1" shapeId="0" xr:uid="{504E35E5-9021-463A-9514-A1BF3F7FED11}">
      <text>
        <r>
          <rPr>
            <b/>
            <sz val="9"/>
            <color indexed="81"/>
            <rFont val="Tahoma"/>
            <family val="2"/>
          </rPr>
          <t>Bruyns Fred H:</t>
        </r>
        <r>
          <rPr>
            <sz val="9"/>
            <color indexed="81"/>
            <rFont val="Tahoma"/>
            <family val="2"/>
          </rPr>
          <t xml:space="preserve">
Programming note: 90 degrees of ankylosis of MP joint is maximum loss.</t>
        </r>
      </text>
    </comment>
    <comment ref="T101" authorId="1" shapeId="0" xr:uid="{F164A633-295A-4A0C-8329-3AC747760D3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05" authorId="1" shapeId="0" xr:uid="{710F3227-A192-4FDE-8474-5634F2A706F4}">
      <text>
        <r>
          <rPr>
            <b/>
            <sz val="9"/>
            <color indexed="81"/>
            <rFont val="Tahoma"/>
            <family val="2"/>
          </rPr>
          <t>Bruyns Fred H:</t>
        </r>
        <r>
          <rPr>
            <sz val="9"/>
            <color indexed="81"/>
            <rFont val="Tahoma"/>
            <family val="2"/>
          </rPr>
          <t xml:space="preserve">
"TRUE" or "FALSE" are output from checkboxes for deformity of movement.</t>
        </r>
      </text>
    </comment>
    <comment ref="AH113" authorId="1" shapeId="0" xr:uid="{2FC0DBAA-48BA-4062-84F5-90A684D23625}">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13" authorId="1" shapeId="0" xr:uid="{765F279E-F209-427D-912A-7CF29D361A77}">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13" authorId="1" shapeId="0" xr:uid="{6CC3AB53-6837-40F4-AEEE-D58DE078FB64}">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13" authorId="1" shapeId="0" xr:uid="{3957CCF3-543B-4230-8415-43BE5BFE191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14" authorId="1" shapeId="0" xr:uid="{85191ED8-DD3D-4E11-BF0E-0073C194097B}">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14" authorId="1" shapeId="0" xr:uid="{B852639D-5B1C-4EAC-8420-4DB550580833}">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14" authorId="1" shapeId="0" xr:uid="{31CD9B1C-EBCA-496F-ACF9-4D196EF8CAB3}">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14" authorId="1" shapeId="0" xr:uid="{78532585-4535-4FC5-A5BB-37622F3FFAF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14" authorId="1" shapeId="0" xr:uid="{FED03C80-1AF9-41A6-BAB7-BBE4EE1D337E}">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14" authorId="1" shapeId="0" xr:uid="{84CCC97F-2628-4BAB-8357-EC85356DECF6}">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14" authorId="1" shapeId="0" xr:uid="{FE0B4845-8F1A-4051-BCA6-426983B106C3}">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15" authorId="1" shapeId="0" xr:uid="{B6ECC2A3-26E4-481B-BAFF-3EEFD62D5FB2}">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18" authorId="1" shapeId="0" xr:uid="{A2C1FA20-FF92-4343-AC72-E9E15BED3997}">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18" authorId="1" shapeId="0" xr:uid="{7AA16B8F-28AB-497B-A21F-9A7AF9214847}">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18" authorId="1" shapeId="0" xr:uid="{06308461-E8B5-4176-98E4-6604B28BA55E}">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18" authorId="1" shapeId="0" xr:uid="{DFBDD386-0F5D-413A-8E68-0B71AAD42B1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23" authorId="1" shapeId="0" xr:uid="{9BD1C195-7B47-43DD-9056-8A6631F5DAEC}">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23" authorId="1" shapeId="0" xr:uid="{829616D6-AD30-4189-B19C-D3A938EE1FE1}">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23" authorId="1" shapeId="0" xr:uid="{34DB86DB-4ABC-43B3-8214-3A8ED001BC2B}">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23" authorId="1" shapeId="0" xr:uid="{D3A3A280-364F-4CE4-B98D-0F5E1C3F80A1}">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126" authorId="1" shapeId="0" xr:uid="{619F2B4C-EEAC-48A6-9686-B804FA9EFEAF}">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6" authorId="1" shapeId="0" xr:uid="{559585A4-0DB8-4C2F-B5E4-444E240D9688}">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6" authorId="1" shapeId="0" xr:uid="{95815CDC-4733-4C0E-B7E2-9156E91A7B71}">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126" authorId="1" shapeId="0" xr:uid="{2B01D59A-B066-4DA2-8A0B-8E9A677E6932}">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127" authorId="1" shapeId="0" xr:uid="{6CD6B607-F48B-4CA9-BFF2-54334F46D60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7" authorId="1" shapeId="0" xr:uid="{D8DA71CA-ACFF-4C2A-B807-74629D2BA7A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7" authorId="1" shapeId="0" xr:uid="{EAF788AC-0009-49C3-8CE9-6B0C5E722C4E}">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127" authorId="1" shapeId="0" xr:uid="{61BC9276-2FC1-4503-AB95-3E65F8456278}">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128" authorId="1" shapeId="0" xr:uid="{14FA1A8F-A151-42B0-BD5C-FCE93E720EFF}">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8" authorId="1" shapeId="0" xr:uid="{C039CF21-1B96-4E00-9C6B-42368604B4C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8" authorId="1" shapeId="0" xr:uid="{755A4629-6EDD-490B-9A04-A318613672C9}">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130" authorId="1" shapeId="0" xr:uid="{AA37B0FF-B643-4CD3-A34F-61A8E2A4F68E}">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134" authorId="1" shapeId="0" xr:uid="{97F8558A-8155-4E3E-B740-E072BC8D3269}">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137" authorId="1" shapeId="0" xr:uid="{AD63A3EA-32DA-4C64-BE78-5DF37A369E5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137" authorId="1" shapeId="0" xr:uid="{47AC994B-A42A-49AA-A6EC-895AB38E0E5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137" authorId="1" shapeId="0" xr:uid="{C99420CF-34D1-408C-A6DD-4177B73E85E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137" authorId="1" shapeId="0" xr:uid="{55A8FFAC-432C-422D-BA95-FA6A5B97FC5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137" authorId="1" shapeId="0" xr:uid="{EF8BD079-4DAF-4B7B-91BC-F090B081AF52}">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their are findings in the hand/forearm or arm), but the exception is when two digits are affected only due to loss of opposition following amputation of part or all of a digit.</t>
        </r>
      </text>
    </comment>
    <comment ref="X138" authorId="1" shapeId="0" xr:uid="{2A614C00-2157-4CD3-A511-4F33076839CD}">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140" authorId="1" shapeId="0" xr:uid="{EA58E805-7DAF-4249-AB15-8E6A1FCFE309}">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157" authorId="1" shapeId="0" xr:uid="{D5D3E68C-6B72-4344-8EED-42C447A72DD9}">
      <text>
        <r>
          <rPr>
            <b/>
            <sz val="9"/>
            <color indexed="81"/>
            <rFont val="Tahoma"/>
            <family val="2"/>
          </rPr>
          <t>Bruyns Fred H:</t>
        </r>
        <r>
          <rPr>
            <sz val="9"/>
            <color indexed="81"/>
            <rFont val="Tahoma"/>
            <family val="2"/>
          </rPr>
          <t xml:space="preserve">
Descriptions in the chart to the right are used in a pull-down menu below "Middle finger, amputation or resection without reattachment (or shortening of digit)." The percentages correspond to the extent of amputation per OAR 436-035-0030.</t>
        </r>
      </text>
    </comment>
    <comment ref="R160" authorId="1" shapeId="0" xr:uid="{825393A6-DA8D-478C-963F-374651265CC7}">
      <text>
        <r>
          <rPr>
            <b/>
            <sz val="9"/>
            <color indexed="81"/>
            <rFont val="Tahoma"/>
            <family val="2"/>
          </rPr>
          <t>Bruyns Fred H:</t>
        </r>
        <r>
          <rPr>
            <sz val="9"/>
            <color indexed="81"/>
            <rFont val="Tahoma"/>
            <family val="2"/>
          </rPr>
          <t xml:space="preserve">
Programming note: This formula finds a match between the selected middle finger amputation level in Cell B161 with the amputation levels listed in the table to the right, and then the formula returns the percentage of thumb opposition loss associated with the middle finger amputation level. NOTE: This percentage, if any, will display for the thumb, not for the middle finger.</t>
        </r>
      </text>
    </comment>
    <comment ref="S168" authorId="1" shapeId="0" xr:uid="{39DE470A-6FCC-42EA-B36D-8C842BBD896B}">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168" authorId="1" shapeId="0" xr:uid="{DACE01C9-EE38-44F2-82C4-0E10594F542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8" authorId="1" shapeId="0" xr:uid="{9C4AB5DA-B299-409C-8C49-F9EA9825760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8" authorId="1" shapeId="0" xr:uid="{FDED51DD-08FA-4C8A-84F3-B531D2A0BFB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68" authorId="1" shapeId="0" xr:uid="{FAB41935-B72A-46B8-A23D-DABF4D5B12E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169" authorId="1" shapeId="0" xr:uid="{031B1197-6906-48D1-B7E9-0F31A3F55CBD}">
      <text>
        <r>
          <rPr>
            <b/>
            <sz val="9"/>
            <color indexed="81"/>
            <rFont val="Tahoma"/>
            <family val="2"/>
          </rPr>
          <t>Bruyns Fred H:</t>
        </r>
        <r>
          <rPr>
            <sz val="9"/>
            <color indexed="81"/>
            <rFont val="Tahoma"/>
            <family val="2"/>
          </rPr>
          <t xml:space="preserve">
Programming note: 70 degrees of extension of DIP joint is maximum loss.</t>
        </r>
      </text>
    </comment>
    <comment ref="T169" authorId="1" shapeId="0" xr:uid="{98868AF8-F405-484B-BE78-AD8DCD12000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9" authorId="1" shapeId="0" xr:uid="{1891FA8C-D2CF-4768-9520-9B7009D067A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9" authorId="1" shapeId="0" xr:uid="{DD1D4369-F887-4F04-AAB7-25E7DB04DC5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69" authorId="1" shapeId="0" xr:uid="{6C899688-C190-459D-A1FE-156FBBCBDF3D}">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69" authorId="1" shapeId="0" xr:uid="{01E10964-296B-438C-96D0-F8A7BCECDA0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69" authorId="1" shapeId="0" xr:uid="{073BB5BB-CF1B-48B1-BC95-300925E98241}">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S170" authorId="1" shapeId="0" xr:uid="{D64A3BAA-DD28-4372-8DDD-3B87CD03B8B2}">
      <text>
        <r>
          <rPr>
            <b/>
            <sz val="9"/>
            <color indexed="81"/>
            <rFont val="Tahoma"/>
            <family val="2"/>
          </rPr>
          <t>Bruyns Fred H:</t>
        </r>
        <r>
          <rPr>
            <sz val="9"/>
            <color indexed="81"/>
            <rFont val="Tahoma"/>
            <family val="2"/>
          </rPr>
          <t xml:space="preserve">
Programming note: 70 degrees of ankylosis of DIP joint is maximum loss.</t>
        </r>
      </text>
    </comment>
    <comment ref="T170" authorId="1" shapeId="0" xr:uid="{9446A883-B33B-4075-AF81-3317FAC4E4D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2" authorId="1" shapeId="0" xr:uid="{3502D560-F7D1-4D68-A547-5F8E4714A233}">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172" authorId="1" shapeId="0" xr:uid="{5AFA590A-DA7F-4E53-ADA1-842253F0FD7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2" authorId="1" shapeId="0" xr:uid="{1033A4F1-EA9A-4B21-9655-DBAC75FD92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2" authorId="1" shapeId="0" xr:uid="{E5446ED4-A393-44C4-B911-80EC5CAC7CA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2" authorId="1" shapeId="0" xr:uid="{4C0E8D7C-5642-45BC-97D4-0FD9CE17DA8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173" authorId="1" shapeId="0" xr:uid="{F5B7BA37-D701-4652-B0DB-FCD31A052559}">
      <text>
        <r>
          <rPr>
            <b/>
            <sz val="9"/>
            <color indexed="81"/>
            <rFont val="Tahoma"/>
            <family val="2"/>
          </rPr>
          <t>Bruyns Fred H:</t>
        </r>
        <r>
          <rPr>
            <sz val="9"/>
            <color indexed="81"/>
            <rFont val="Tahoma"/>
            <family val="2"/>
          </rPr>
          <t xml:space="preserve">
Programming note: 100 degrees of extension of PIP joint is maximum loss.</t>
        </r>
      </text>
    </comment>
    <comment ref="T173" authorId="1" shapeId="0" xr:uid="{11EFEC93-6013-42D0-AC21-873CC0D45AC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3" authorId="1" shapeId="0" xr:uid="{E8857659-F3C5-4AD1-9547-176223A709D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3" authorId="1" shapeId="0" xr:uid="{EC312309-0D9C-4EDD-BF7B-CE9B7D4C441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3" authorId="1" shapeId="0" xr:uid="{EB9F8C27-B748-4E8D-A498-8CF896A3EF07}">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3" authorId="1" shapeId="0" xr:uid="{10266B9C-F366-4B79-9C85-D5814DBBA355}">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3" authorId="1" shapeId="0" xr:uid="{2177F036-B5E7-4B14-AC63-73A4EDD661EF}">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S174" authorId="1" shapeId="0" xr:uid="{1CE046DF-F710-4E8C-A31A-A8DA72BDDF5C}">
      <text>
        <r>
          <rPr>
            <b/>
            <sz val="9"/>
            <color indexed="81"/>
            <rFont val="Tahoma"/>
            <family val="2"/>
          </rPr>
          <t>Bruyns Fred H:</t>
        </r>
        <r>
          <rPr>
            <sz val="9"/>
            <color indexed="81"/>
            <rFont val="Tahoma"/>
            <family val="2"/>
          </rPr>
          <t xml:space="preserve">
Programming note: 100 degrees of ankylosis of PIP joint is maximum loss.</t>
        </r>
      </text>
    </comment>
    <comment ref="T174" authorId="1" shapeId="0" xr:uid="{EA121950-2272-44B5-A83D-1C79ED2B2DE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175" authorId="1" shapeId="0" xr:uid="{3AAB5E64-194C-4246-A0C5-9A1B776DEE72}">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175" authorId="1" shapeId="0" xr:uid="{93990417-FE6D-44C0-9948-6A6C512E3D3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175" authorId="1" shapeId="0" xr:uid="{EB67613F-ECE4-407C-8A88-EDDE0D8AD0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175" authorId="1" shapeId="0" xr:uid="{AF8125DF-80E7-47C5-B0C7-77473FDAFBD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176" authorId="1" shapeId="0" xr:uid="{AD716D2F-5998-41F4-8F7A-C0810350A2F3}">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176" authorId="1" shapeId="0" xr:uid="{F49A668E-68B8-49A7-9583-90C158C699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276E8250-53A7-4B6F-B207-AC30CC1A432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1C17DB39-34BC-4B59-A869-B8D7CB9135A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6" authorId="1" shapeId="0" xr:uid="{4DBB9686-6CD0-429C-8CBB-0CCE457CB35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77" authorId="1" shapeId="0" xr:uid="{823D8C37-E58F-47E0-8771-7953D87291C8}">
      <text>
        <r>
          <rPr>
            <b/>
            <sz val="9"/>
            <color indexed="81"/>
            <rFont val="Tahoma"/>
            <family val="2"/>
          </rPr>
          <t>Bruyns Fred H:</t>
        </r>
        <r>
          <rPr>
            <sz val="9"/>
            <color indexed="81"/>
            <rFont val="Tahoma"/>
            <family val="2"/>
          </rPr>
          <t xml:space="preserve">
Programming note: 90 degrees of extension of MP joint is maximum loss.</t>
        </r>
      </text>
    </comment>
    <comment ref="T177" authorId="1" shapeId="0" xr:uid="{B2899AB7-1DED-4238-B98C-F9BC2A6AFA8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7" authorId="1" shapeId="0" xr:uid="{0292819B-70BB-4954-AEB5-181ABC091E5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7" authorId="1" shapeId="0" xr:uid="{C3705F2D-0309-486E-ACE8-8C7A5518163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7" authorId="1" shapeId="0" xr:uid="{118695AC-E3BE-444D-B37F-05B33FC50F1A}">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7" authorId="1" shapeId="0" xr:uid="{AF1E20A4-B625-4DCE-BEA6-B5CEBB4B11B2}">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7" authorId="1" shapeId="0" xr:uid="{6958B233-9340-4E38-8A85-63806140567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178" authorId="1" shapeId="0" xr:uid="{E23A9FD7-8958-4874-9ABB-6E28F6254118}">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78" authorId="1" shapeId="0" xr:uid="{B4D200F4-E9AB-4493-B444-287A8E66E646}">
      <text>
        <r>
          <rPr>
            <b/>
            <sz val="9"/>
            <color indexed="81"/>
            <rFont val="Tahoma"/>
            <family val="2"/>
          </rPr>
          <t>Bruyns Fred H:</t>
        </r>
        <r>
          <rPr>
            <sz val="9"/>
            <color indexed="81"/>
            <rFont val="Tahoma"/>
            <family val="2"/>
          </rPr>
          <t xml:space="preserve">
Programming note: 90 degrees of ankylosis of MP joint is maximum loss.</t>
        </r>
      </text>
    </comment>
    <comment ref="T178" authorId="1" shapeId="0" xr:uid="{DA3D65CC-2D59-43AE-A9A9-79404A7CC2C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1" authorId="1" shapeId="0" xr:uid="{7D6A46CE-1D4C-4A76-9AC6-080910E86C16}">
      <text>
        <r>
          <rPr>
            <b/>
            <sz val="9"/>
            <color indexed="81"/>
            <rFont val="Tahoma"/>
            <family val="2"/>
          </rPr>
          <t>Bruyns Fred H:</t>
        </r>
        <r>
          <rPr>
            <sz val="9"/>
            <color indexed="81"/>
            <rFont val="Tahoma"/>
            <family val="2"/>
          </rPr>
          <t xml:space="preserve">
"TRUE" or "FALSE" are output from checkboxes for deformity of movement.</t>
        </r>
      </text>
    </comment>
    <comment ref="AH189" authorId="1" shapeId="0" xr:uid="{1621B9CF-DFFF-4BD8-B0B6-FD381BE94262}">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89" authorId="1" shapeId="0" xr:uid="{8E3FAEF0-8F72-4895-B4B8-34FA67B9300B}">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89" authorId="1" shapeId="0" xr:uid="{EF553F26-B4B4-4F99-9B73-D546035A88E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89" authorId="1" shapeId="0" xr:uid="{3419EDED-A713-48C4-AABD-E84B0E5C5B86}">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90" authorId="1" shapeId="0" xr:uid="{DC20B5B0-DDBC-423B-A00F-21C26BDA1786}">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90" authorId="1" shapeId="0" xr:uid="{9F825D1F-A397-4987-A708-FA8A7ACC507A}">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90" authorId="1" shapeId="0" xr:uid="{A8C9D3A1-1318-4EB7-9533-0B5CCD38DE3F}">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90" authorId="1" shapeId="0" xr:uid="{205EC9FB-8AE1-437B-A620-DD2225EA6C72}">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90" authorId="1" shapeId="0" xr:uid="{E06F5EA2-5604-4135-9927-F4CF3AFE9C77}">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90" authorId="1" shapeId="0" xr:uid="{84D2214D-F99C-48AF-92D2-6B6DF459C512}">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90" authorId="1" shapeId="0" xr:uid="{A753D8FC-6F7F-417D-9027-469FDA20D804}">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91" authorId="1" shapeId="0" xr:uid="{69BE499B-0F65-4BBA-B7A7-CFB6B5187332}">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94" authorId="1" shapeId="0" xr:uid="{7E380FBB-F068-48E3-9B09-762F1C4D8036}">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94" authorId="1" shapeId="0" xr:uid="{2B915048-8F90-4095-9A2C-B1C13F22FE89}">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94" authorId="1" shapeId="0" xr:uid="{9369C692-AAA2-4D5B-8340-E58DA7231B86}">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94" authorId="1" shapeId="0" xr:uid="{4C3DD47A-5B69-46D2-B7F7-333A96B44E2D}">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99" authorId="1" shapeId="0" xr:uid="{BCE04400-0840-4CFB-8C1E-477AC45BE047}">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99" authorId="1" shapeId="0" xr:uid="{56907A70-6A42-4A05-9C15-F9E648DD3378}">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99" authorId="1" shapeId="0" xr:uid="{6891E722-5FE8-4CB2-AFD3-4E3F9C299482}">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99" authorId="1" shapeId="0" xr:uid="{59EE620C-3F7C-4D63-982F-9CFAB40A79F5}">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202" authorId="1" shapeId="0" xr:uid="{99A1F3D7-A2EC-4235-A6E9-F9005A0A56C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2" authorId="1" shapeId="0" xr:uid="{B83EC551-D768-4C90-BE43-23C6C5E73114}">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W202" authorId="1" shapeId="0" xr:uid="{204C44E3-1EE5-4DD5-9806-80B11D7262F2}">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03" authorId="1" shapeId="0" xr:uid="{03BE3D5F-9B96-48D3-8A97-C39DCF93DF56}">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3" authorId="1" shapeId="0" xr:uid="{BC6920D3-61CC-40DB-8A19-A4B3EFAC05BF}">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H204" authorId="1" shapeId="0" xr:uid="{4C020F5D-0FB3-44FD-AECA-28F9D1AC9C58}">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4" authorId="1" shapeId="0" xr:uid="{53A9E1A1-FB0A-44FC-84A5-D8FB48D8AD5B}">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R206" authorId="1" shapeId="0" xr:uid="{562D799A-9406-465D-A024-EFB238878D11}">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10" authorId="1" shapeId="0" xr:uid="{969A577B-B302-4F9B-AB2D-94A03D5D50F3}">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14" authorId="1" shapeId="0" xr:uid="{8247CFDF-E2A9-460E-8070-1DB2DD5B5C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14" authorId="1" shapeId="0" xr:uid="{030B2CC5-512C-4C28-A854-EE4455901BD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14" authorId="1" shapeId="0" xr:uid="{B10EF6E7-BA2B-4A18-9C11-A2C4BD5F78B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14" authorId="1" shapeId="0" xr:uid="{5143A0FD-4E8D-4079-9AA5-C0B1C7E8DA36}">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14" authorId="1" shapeId="0" xr:uid="{9CE88557-6D85-4B00-9B53-967071D7247D}">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15" authorId="1" shapeId="0" xr:uid="{8EB65135-8C34-42C9-824D-C818816CDB6B}">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17" authorId="1" shapeId="0" xr:uid="{1E5B70E6-12FA-4819-8701-28F2B25FF9FE}">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234" authorId="1" shapeId="0" xr:uid="{4F057A53-0DC3-49E1-8462-798F25E41909}">
      <text>
        <r>
          <rPr>
            <b/>
            <sz val="9"/>
            <color indexed="81"/>
            <rFont val="Tahoma"/>
            <family val="2"/>
          </rPr>
          <t>Bruyns Fred H:</t>
        </r>
        <r>
          <rPr>
            <sz val="9"/>
            <color indexed="81"/>
            <rFont val="Tahoma"/>
            <family val="2"/>
          </rPr>
          <t xml:space="preserve">
Descriptions in the chart to the right are used in a pull-down menu below "Ring finger, amputation or resection without reattachment (or shortening of digit)." The percentages correspond to the extent of amputation per OAR 436-035-0030.</t>
        </r>
      </text>
    </comment>
    <comment ref="R237" authorId="1" shapeId="0" xr:uid="{B5927ECB-AD62-4E55-86C4-4854764A1C54}">
      <text>
        <r>
          <rPr>
            <b/>
            <sz val="9"/>
            <color indexed="81"/>
            <rFont val="Tahoma"/>
            <family val="2"/>
          </rPr>
          <t>Bruyns Fred H:</t>
        </r>
        <r>
          <rPr>
            <sz val="9"/>
            <color indexed="81"/>
            <rFont val="Tahoma"/>
            <family val="2"/>
          </rPr>
          <t xml:space="preserve">
Programming note: This formula finds a match between the selected ring finger amputation level in Cell B238 with the amputation levels listed in the table to the right, and then the formula returns the percentage of thumb opposition loss associated with the ring finger amputation level. NOTE: This percentage, if any, will display for the thumb, not for the ring finger.</t>
        </r>
      </text>
    </comment>
    <comment ref="S244" authorId="1" shapeId="0" xr:uid="{3BE1D7B2-4B6F-4BF3-91A2-4EAFBA34F22F}">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244" authorId="1" shapeId="0" xr:uid="{F3D2CF4E-4E5F-4CC2-ADCF-B5036E2CBF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4" authorId="1" shapeId="0" xr:uid="{A37528AD-8956-47FE-9D43-927CF15C74E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4" authorId="1" shapeId="0" xr:uid="{83B1B921-83AD-4A95-8AFC-BF8A487A10F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4" authorId="1" shapeId="0" xr:uid="{213A2E97-27A1-4B04-B42A-46A065075DE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245" authorId="1" shapeId="0" xr:uid="{74770CFE-E08B-48EC-BC83-0C6DD64DF85B}">
      <text>
        <r>
          <rPr>
            <b/>
            <sz val="9"/>
            <color indexed="81"/>
            <rFont val="Tahoma"/>
            <family val="2"/>
          </rPr>
          <t>Bruyns Fred H:</t>
        </r>
        <r>
          <rPr>
            <sz val="9"/>
            <color indexed="81"/>
            <rFont val="Tahoma"/>
            <family val="2"/>
          </rPr>
          <t xml:space="preserve">
Programming note: 70 degrees of extension of DIP joint is maximum loss.</t>
        </r>
      </text>
    </comment>
    <comment ref="T245" authorId="1" shapeId="0" xr:uid="{859721FA-E714-4EFE-B13C-8F7DA6A148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5" authorId="1" shapeId="0" xr:uid="{56121650-77D5-405C-812C-6AB750D43EF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5" authorId="1" shapeId="0" xr:uid="{08897C96-85CD-4331-A2D6-9E4F8CC6C2B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5" authorId="1" shapeId="0" xr:uid="{A76F6244-9370-4C07-9BA7-555C2062B65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5" authorId="1" shapeId="0" xr:uid="{EB09A89C-650B-440E-89F5-5663B9C2BF2D}">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5" authorId="1" shapeId="0" xr:uid="{839595D6-80E5-4D7C-91EB-371798FA69E7}">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S246" authorId="1" shapeId="0" xr:uid="{44476E35-5EE2-49A7-B0BE-3918083152F6}">
      <text>
        <r>
          <rPr>
            <b/>
            <sz val="9"/>
            <color indexed="81"/>
            <rFont val="Tahoma"/>
            <family val="2"/>
          </rPr>
          <t>Bruyns Fred H:</t>
        </r>
        <r>
          <rPr>
            <sz val="9"/>
            <color indexed="81"/>
            <rFont val="Tahoma"/>
            <family val="2"/>
          </rPr>
          <t xml:space="preserve">
Programming note: 70 degrees of ankylosis of DIP joint is maximum loss.</t>
        </r>
      </text>
    </comment>
    <comment ref="T246" authorId="1" shapeId="0" xr:uid="{20287EB6-DF1B-4324-BBA3-8838723C9A1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48" authorId="1" shapeId="0" xr:uid="{7D58E445-25C4-4CB2-8CFB-EB346DF20308}">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248" authorId="1" shapeId="0" xr:uid="{0DE6EF83-4979-4998-997E-CA8C9114DD2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8" authorId="1" shapeId="0" xr:uid="{20EEE092-2FEE-4D4B-8656-B2A5208E51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8" authorId="1" shapeId="0" xr:uid="{4C79BD41-3C8E-4511-93B0-C5C85EFBDA5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8" authorId="1" shapeId="0" xr:uid="{11C950A5-1985-44EF-BDB7-C3B0F381432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249" authorId="1" shapeId="0" xr:uid="{B58DC06F-EFC7-45E5-B997-448D63CDCEB6}">
      <text>
        <r>
          <rPr>
            <b/>
            <sz val="9"/>
            <color indexed="81"/>
            <rFont val="Tahoma"/>
            <family val="2"/>
          </rPr>
          <t>Bruyns Fred H:</t>
        </r>
        <r>
          <rPr>
            <sz val="9"/>
            <color indexed="81"/>
            <rFont val="Tahoma"/>
            <family val="2"/>
          </rPr>
          <t xml:space="preserve">
Programming note: 100 degrees of extension of PIP joint is maximum loss.</t>
        </r>
      </text>
    </comment>
    <comment ref="T249" authorId="1" shapeId="0" xr:uid="{69E0F02A-65D0-4B50-9946-378B18BE13F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9" authorId="1" shapeId="0" xr:uid="{52CC15EF-C4B2-482B-BE5D-6C7ED6E27DD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9" authorId="1" shapeId="0" xr:uid="{2D6EA252-343E-481F-A984-248F2FCA0AE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9" authorId="1" shapeId="0" xr:uid="{7BF5A79D-6FD0-49E7-958F-093F3650BB2D}">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9" authorId="1" shapeId="0" xr:uid="{EC81EBFD-5CE3-44B8-AC73-1C5066224566}">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9" authorId="1" shapeId="0" xr:uid="{F8555ACD-942B-4AEA-BF7F-9C19C12C8E2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S250" authorId="1" shapeId="0" xr:uid="{8C82CF0C-002B-4C61-A042-BAC82B13EEEA}">
      <text>
        <r>
          <rPr>
            <b/>
            <sz val="9"/>
            <color indexed="81"/>
            <rFont val="Tahoma"/>
            <family val="2"/>
          </rPr>
          <t>Bruyns Fred H:</t>
        </r>
        <r>
          <rPr>
            <sz val="9"/>
            <color indexed="81"/>
            <rFont val="Tahoma"/>
            <family val="2"/>
          </rPr>
          <t xml:space="preserve">
Programming note: 100 degrees of ankylosis of PIP joint is maximum loss.</t>
        </r>
      </text>
    </comment>
    <comment ref="T250" authorId="1" shapeId="0" xr:uid="{2716BF3E-235E-49FF-AAE5-0AAAA595E2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51" authorId="1" shapeId="0" xr:uid="{B53C0474-5529-47D6-BB03-7888AC890975}">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251" authorId="1" shapeId="0" xr:uid="{F299C09B-108E-497C-9B7F-E99D5068EC9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51" authorId="1" shapeId="0" xr:uid="{0F0F7368-E93B-43F0-9F95-B82437D5249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51" authorId="1" shapeId="0" xr:uid="{FCE4612E-D5B1-443B-81E6-A4EC1DDF243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252" authorId="1" shapeId="0" xr:uid="{F323058D-D1E6-4980-B4B3-691EB3E5D7F8}">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252" authorId="1" shapeId="0" xr:uid="{DA1DFAE4-CC7A-47CC-8552-CBA7F557721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2" authorId="1" shapeId="0" xr:uid="{3967FBDF-3F45-4D77-8B44-7D87F37C362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2" authorId="1" shapeId="0" xr:uid="{CB62E12B-CD49-4B5E-9D30-C83951F1280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52" authorId="1" shapeId="0" xr:uid="{A0B8B26C-BAF9-4478-B300-067C2862A07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253" authorId="1" shapeId="0" xr:uid="{A9EB0334-DA49-4359-A439-B1ED99D2E118}">
      <text>
        <r>
          <rPr>
            <b/>
            <sz val="9"/>
            <color indexed="81"/>
            <rFont val="Tahoma"/>
            <family val="2"/>
          </rPr>
          <t>Bruyns Fred H:</t>
        </r>
        <r>
          <rPr>
            <sz val="9"/>
            <color indexed="81"/>
            <rFont val="Tahoma"/>
            <family val="2"/>
          </rPr>
          <t xml:space="preserve">
Programming note: 90 degrees of extension of MP joint is maximum loss.</t>
        </r>
      </text>
    </comment>
    <comment ref="T253" authorId="1" shapeId="0" xr:uid="{7CD52518-7A72-4AE3-91CD-799208299E6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3" authorId="1" shapeId="0" xr:uid="{E0922E66-15D1-4A1A-9FBA-698D714BCC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3" authorId="1" shapeId="0" xr:uid="{0AA4C505-1EB8-4AA8-B6DA-C790DD39C7E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53" authorId="1" shapeId="0" xr:uid="{DA8FE5BA-824B-4D0E-AB71-E64F8F52599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53" authorId="1" shapeId="0" xr:uid="{D5DD38F5-DD06-4D2C-AD79-0EA50679D3F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53" authorId="1" shapeId="0" xr:uid="{20880B77-32E0-480D-B8D2-534B36322C1C}">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254" authorId="1" shapeId="0" xr:uid="{53450F33-EF1A-4CB0-A28A-9F52F985B626}">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254" authorId="1" shapeId="0" xr:uid="{C1408008-34A2-4620-931E-DC09BBB56CA6}">
      <text>
        <r>
          <rPr>
            <b/>
            <sz val="9"/>
            <color indexed="81"/>
            <rFont val="Tahoma"/>
            <family val="2"/>
          </rPr>
          <t>Bruyns Fred H:</t>
        </r>
        <r>
          <rPr>
            <sz val="9"/>
            <color indexed="81"/>
            <rFont val="Tahoma"/>
            <family val="2"/>
          </rPr>
          <t xml:space="preserve">
Programming note: 90 degrees of ankylosis of MP joint is maximum loss.</t>
        </r>
      </text>
    </comment>
    <comment ref="T254" authorId="1" shapeId="0" xr:uid="{B86362D9-464A-4B8A-A902-61F708B1B5F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57" authorId="1" shapeId="0" xr:uid="{BDB0C7CA-FBDB-4AC8-8536-F5902582D76C}">
      <text>
        <r>
          <rPr>
            <b/>
            <sz val="9"/>
            <color indexed="81"/>
            <rFont val="Tahoma"/>
            <family val="2"/>
          </rPr>
          <t>Bruyns Fred H:</t>
        </r>
        <r>
          <rPr>
            <sz val="9"/>
            <color indexed="81"/>
            <rFont val="Tahoma"/>
            <family val="2"/>
          </rPr>
          <t xml:space="preserve">
"TRUE" or "FALSE" are output from checkboxes for deformity of movement.</t>
        </r>
      </text>
    </comment>
    <comment ref="AH265" authorId="1" shapeId="0" xr:uid="{E231A949-69C0-4CB8-8223-4CCD9823D214}">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265" authorId="1" shapeId="0" xr:uid="{5668505E-891D-4146-9246-448B9514442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265" authorId="1" shapeId="0" xr:uid="{0899BA15-EBBC-4E78-9A43-6FD25CB73289}">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265" authorId="1" shapeId="0" xr:uid="{2D902E8C-B93E-40EC-96BC-64958C01057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266" authorId="1" shapeId="0" xr:uid="{7E07B956-CBD2-4333-A9B5-DE12ADD39A68}">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266" authorId="1" shapeId="0" xr:uid="{A9464F38-F34B-4B3C-9839-42B8C1A1DD43}">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266" authorId="1" shapeId="0" xr:uid="{FDBC63BB-8CC7-4454-BF1F-EC068B8EB268}">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266" authorId="1" shapeId="0" xr:uid="{B4F369B5-0A50-419A-A68D-F0E079DE3893}">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266" authorId="1" shapeId="0" xr:uid="{3655ABCC-3531-4DBA-ADB8-DD4F695993F8}">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266" authorId="1" shapeId="0" xr:uid="{D71BC14C-5DB5-4842-A42B-A707980F9F6B}">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266" authorId="1" shapeId="0" xr:uid="{41AD7907-AB4A-4498-8600-BCA642918124}">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267" authorId="1" shapeId="0" xr:uid="{B80E50D0-878A-4678-A12F-226DB80A4A1D}">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270" authorId="1" shapeId="0" xr:uid="{2BA3F556-85E8-434C-BD3E-C215FFFAD955}">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270" authorId="1" shapeId="0" xr:uid="{619B636D-837C-42F2-A85B-BC07D31F1D64}">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270" authorId="1" shapeId="0" xr:uid="{3B6EAD7F-CA43-4A6A-BBDF-B6873FD925A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270" authorId="1" shapeId="0" xr:uid="{02B1381C-BBCD-40C1-82E7-178808929DE3}">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275" authorId="1" shapeId="0" xr:uid="{8BA61E79-7128-4028-9FBD-8986FB98C3D5}">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275" authorId="1" shapeId="0" xr:uid="{79F8CF6E-6761-478D-BF8C-028E807881C1}">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275" authorId="1" shapeId="0" xr:uid="{C2F4B920-FAA1-4693-A3B5-97E10F1E9DBA}">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275" authorId="1" shapeId="0" xr:uid="{2825F436-340A-4A8E-8997-B0AE615E41D5}">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278" authorId="1" shapeId="0" xr:uid="{2232BF72-70E9-40CC-992F-AEF484A578D7}">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8" authorId="1" shapeId="0" xr:uid="{8C5406B4-8991-4681-9C18-62625C27FDC2}">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8" authorId="1" shapeId="0" xr:uid="{244346E6-6483-47D5-94B9-0A2F8B2B1E1D}">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78" authorId="1" shapeId="0" xr:uid="{C9C86476-BDE3-4144-AD64-EB26CDC458ED}">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79" authorId="1" shapeId="0" xr:uid="{D8A72D44-96BC-4082-84BA-B14DC0F313DA}">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9" authorId="1" shapeId="0" xr:uid="{B79DF8FC-FE1B-4F7C-8C8F-D5065B590D08}">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9" authorId="1" shapeId="0" xr:uid="{8E298D57-C1E4-4A23-A4CF-E4BD29F89225}">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79" authorId="1" shapeId="0" xr:uid="{46CE64CD-2E73-49BC-B71E-6F675F7B98AC}">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280" authorId="1" shapeId="0" xr:uid="{734DC4EB-F433-40C0-A439-254046C806C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80" authorId="1" shapeId="0" xr:uid="{699DB697-7620-446A-842F-F63118D27E1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80" authorId="1" shapeId="0" xr:uid="{2CB110B3-AE92-4F5D-AAB1-389E65AC9D79}">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82" authorId="1" shapeId="0" xr:uid="{DF5E2829-0478-4580-856E-37FF042DDC24}">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86" authorId="1" shapeId="0" xr:uid="{4E2E140E-8307-4624-975C-F45D381AF512}">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89" authorId="1" shapeId="0" xr:uid="{19F5D5E0-C753-46EF-BCEA-FECFCC8EEE46}">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89" authorId="1" shapeId="0" xr:uid="{22F20FE5-A9D5-44FE-80E5-26A3B058330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89" authorId="1" shapeId="0" xr:uid="{D3FCC48C-B765-4848-BAA2-8DC275917A2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89" authorId="1" shapeId="0" xr:uid="{5EA27EF4-3CC1-4DBC-8939-4310CAEE7BF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89" authorId="1" shapeId="0" xr:uid="{0521D14C-26E4-43C1-BF12-2AA4C714D469}">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90" authorId="1" shapeId="0" xr:uid="{44BA4A38-60DD-47F1-87F6-EDD49ABF67B3}">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92" authorId="1" shapeId="0" xr:uid="{B01637CC-F93F-47B4-906B-82A030F7AAAD}">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09" authorId="1" shapeId="0" xr:uid="{FCEF547E-57BE-4DB7-A795-C2D2FEF6D9A0}">
      <text>
        <r>
          <rPr>
            <b/>
            <sz val="9"/>
            <color indexed="81"/>
            <rFont val="Tahoma"/>
            <family val="2"/>
          </rPr>
          <t>Bruyns Fred H:</t>
        </r>
        <r>
          <rPr>
            <sz val="9"/>
            <color indexed="81"/>
            <rFont val="Tahoma"/>
            <family val="2"/>
          </rPr>
          <t xml:space="preserve">
Descriptions in the chart to the right are used in a pull-down menu below "Little finger, amputation or resection without reattachment (or shortening of digit)." The percentages correspond to the extent of amputation per OAR 436-035-0030.</t>
        </r>
      </text>
    </comment>
    <comment ref="R312" authorId="1" shapeId="0" xr:uid="{3E53DA02-A265-462E-8548-EB665F7C63B3}">
      <text>
        <r>
          <rPr>
            <b/>
            <sz val="9"/>
            <color indexed="81"/>
            <rFont val="Tahoma"/>
            <family val="2"/>
          </rPr>
          <t>Bruyns Fred H:</t>
        </r>
        <r>
          <rPr>
            <sz val="9"/>
            <color indexed="81"/>
            <rFont val="Tahoma"/>
            <family val="2"/>
          </rPr>
          <t xml:space="preserve">
Programming note: This formula finds a match between the selected little finger amputation level in Cell B313 with the amputation levels listed in the table to the right, and then the formula returns the percentage of thumb opposition loss associated with the little finger amputation level. NOTE: This percentage, if any, will display for the thumb, not for the little finger.</t>
        </r>
      </text>
    </comment>
    <comment ref="S319" authorId="1" shapeId="0" xr:uid="{0836F681-11CF-46C7-A3E7-5E7AD9464932}">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319" authorId="1" shapeId="0" xr:uid="{9CBBC010-A702-4C74-9E3C-DB6C739D370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19" authorId="1" shapeId="0" xr:uid="{CB4EE9D3-82A4-41D3-AB6F-635509D45A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19" authorId="1" shapeId="0" xr:uid="{0CDD9746-625D-4CBB-B269-B1D02DCE6AD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19" authorId="1" shapeId="0" xr:uid="{B29E1493-BCDC-47E4-849A-4221832F66D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320" authorId="1" shapeId="0" xr:uid="{A5067116-AD6B-4C4D-A164-281F51AC79E3}">
      <text>
        <r>
          <rPr>
            <b/>
            <sz val="9"/>
            <color indexed="81"/>
            <rFont val="Tahoma"/>
            <family val="2"/>
          </rPr>
          <t>Bruyns Fred H:</t>
        </r>
        <r>
          <rPr>
            <sz val="9"/>
            <color indexed="81"/>
            <rFont val="Tahoma"/>
            <family val="2"/>
          </rPr>
          <t xml:space="preserve">
Programming note: 70 degrees of extension of DIP joint is maximum loss.</t>
        </r>
      </text>
    </comment>
    <comment ref="T320" authorId="1" shapeId="0" xr:uid="{F6F3B7C3-873E-4FEF-B3B6-D5F0FA6F06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0" authorId="1" shapeId="0" xr:uid="{D9BF8B55-6342-4D2D-AA57-2B4B0D80EA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0" authorId="1" shapeId="0" xr:uid="{CFACEF50-0E32-4D68-A4CC-0820127A070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0" authorId="1" shapeId="0" xr:uid="{9A45FB2C-DC3F-480B-8136-24B75754B54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0" authorId="1" shapeId="0" xr:uid="{8049BF5C-B0DF-4248-811F-00A2669186E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0" authorId="1" shapeId="0" xr:uid="{BF2BE965-3EE9-4C01-996E-D70A4529FC9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S321" authorId="1" shapeId="0" xr:uid="{0B8E86EC-DDEB-4BA3-8F03-F9BBB715EC73}">
      <text>
        <r>
          <rPr>
            <b/>
            <sz val="9"/>
            <color indexed="81"/>
            <rFont val="Tahoma"/>
            <family val="2"/>
          </rPr>
          <t>Bruyns Fred H:</t>
        </r>
        <r>
          <rPr>
            <sz val="9"/>
            <color indexed="81"/>
            <rFont val="Tahoma"/>
            <family val="2"/>
          </rPr>
          <t xml:space="preserve">
Programming note: 70 degrees of ankylosis of DIP joint is maximum loss.</t>
        </r>
      </text>
    </comment>
    <comment ref="T321" authorId="1" shapeId="0" xr:uid="{48CF20E3-4036-4241-A506-9A924179ED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23" authorId="1" shapeId="0" xr:uid="{36F306BF-538F-49E6-9AA2-68A3966D5043}">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323" authorId="1" shapeId="0" xr:uid="{6B7F4EBE-B742-47EF-9005-6153A86B90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3" authorId="1" shapeId="0" xr:uid="{2CFC1B47-CDAB-46A2-A690-3F011E72E1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3" authorId="1" shapeId="0" xr:uid="{54302060-CDDC-4E8A-8B90-36190E00033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3" authorId="1" shapeId="0" xr:uid="{EFE5CA5A-5CEE-492A-9166-30BA6C7A37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324" authorId="1" shapeId="0" xr:uid="{0C91C6E8-68EA-41FF-9F02-514045633829}">
      <text>
        <r>
          <rPr>
            <b/>
            <sz val="9"/>
            <color indexed="81"/>
            <rFont val="Tahoma"/>
            <family val="2"/>
          </rPr>
          <t>Bruyns Fred H:</t>
        </r>
        <r>
          <rPr>
            <sz val="9"/>
            <color indexed="81"/>
            <rFont val="Tahoma"/>
            <family val="2"/>
          </rPr>
          <t xml:space="preserve">
Programming note: 100 degrees of extension of PIP joint is maximum loss.</t>
        </r>
      </text>
    </comment>
    <comment ref="T324" authorId="1" shapeId="0" xr:uid="{89DCF008-B2D1-434F-9B35-FA0F539F5F4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4" authorId="1" shapeId="0" xr:uid="{5133A510-F267-4987-955D-920662839D1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4" authorId="1" shapeId="0" xr:uid="{BD176F6D-17A1-48D1-AB75-521F5E7253E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4" authorId="1" shapeId="0" xr:uid="{59DF95E7-C8C1-473F-A7D5-796B683D13CC}">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4" authorId="1" shapeId="0" xr:uid="{446961D8-F56A-4F71-ABC0-0B422748F81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4" authorId="1" shapeId="0" xr:uid="{AE97611E-CA96-4DD6-9422-7CF3A4437BE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S325" authorId="1" shapeId="0" xr:uid="{9BD1FAA3-8247-4750-B581-927423AC7586}">
      <text>
        <r>
          <rPr>
            <b/>
            <sz val="9"/>
            <color indexed="81"/>
            <rFont val="Tahoma"/>
            <family val="2"/>
          </rPr>
          <t>Bruyns Fred H:</t>
        </r>
        <r>
          <rPr>
            <sz val="9"/>
            <color indexed="81"/>
            <rFont val="Tahoma"/>
            <family val="2"/>
          </rPr>
          <t xml:space="preserve">
Programming note: 100 degrees of ankylosis of PIP joint is maximum loss.</t>
        </r>
      </text>
    </comment>
    <comment ref="T325" authorId="1" shapeId="0" xr:uid="{5FAC9E3F-9FBA-4EA7-8A51-67CB4B3E251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326" authorId="1" shapeId="0" xr:uid="{2E98E575-1127-477E-B345-DFF5F74E6655}">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326" authorId="1" shapeId="0" xr:uid="{94481B9C-A701-4164-AE3E-407E4AE5FC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326" authorId="1" shapeId="0" xr:uid="{0182A8CF-4FCE-4983-AEF9-6A382F5EBDA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326" authorId="1" shapeId="0" xr:uid="{9285214D-C135-420A-951C-D20D779D1D1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327" authorId="1" shapeId="0" xr:uid="{B4EF9501-3FCE-416E-89B2-40BB61C1B17C}">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327" authorId="1" shapeId="0" xr:uid="{27391CB8-56F1-47DC-90C9-62BF412F7C1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7" authorId="1" shapeId="0" xr:uid="{715F442A-1E8A-48C0-9A10-EE1DDBC4BBA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7" authorId="1" shapeId="0" xr:uid="{044B0188-4388-4A4A-BBF6-6A52B803A6E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7" authorId="1" shapeId="0" xr:uid="{F1B50D90-61E8-44FA-ABFB-992DB7D774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328" authorId="1" shapeId="0" xr:uid="{4F3F4206-7507-4323-80AE-7C2AF1BA762A}">
      <text>
        <r>
          <rPr>
            <b/>
            <sz val="9"/>
            <color indexed="81"/>
            <rFont val="Tahoma"/>
            <family val="2"/>
          </rPr>
          <t>Bruyns Fred H:</t>
        </r>
        <r>
          <rPr>
            <sz val="9"/>
            <color indexed="81"/>
            <rFont val="Tahoma"/>
            <family val="2"/>
          </rPr>
          <t xml:space="preserve">
Programming note: 90 degrees of extension of MP joint is maximum loss.</t>
        </r>
      </text>
    </comment>
    <comment ref="T328" authorId="1" shapeId="0" xr:uid="{1B754438-09A4-40BD-A807-8ACADA05E1B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8" authorId="1" shapeId="0" xr:uid="{0647ACD6-52B3-4071-9C77-8F1CDED3B7F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8" authorId="1" shapeId="0" xr:uid="{C9422F75-B2D2-4590-AE6F-7FA1B553C41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8" authorId="1" shapeId="0" xr:uid="{54B3ADC2-CF7A-4C85-BC67-5E0FAFCC76A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8" authorId="1" shapeId="0" xr:uid="{8E783B8A-1CD8-4327-8E6A-3650AA6F6758}">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8" authorId="1" shapeId="0" xr:uid="{98B0E3D3-C351-48E4-8BC5-7E40FB64E38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329" authorId="1" shapeId="0" xr:uid="{8E49F474-1798-4A41-A0CB-A2A1D3DAC6D5}">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329" authorId="1" shapeId="0" xr:uid="{AEC3007B-0238-4837-AF3C-8B3140CF858F}">
      <text>
        <r>
          <rPr>
            <b/>
            <sz val="9"/>
            <color indexed="81"/>
            <rFont val="Tahoma"/>
            <family val="2"/>
          </rPr>
          <t>Bruyns Fred H:</t>
        </r>
        <r>
          <rPr>
            <sz val="9"/>
            <color indexed="81"/>
            <rFont val="Tahoma"/>
            <family val="2"/>
          </rPr>
          <t xml:space="preserve">
Programming note: 90 degrees of ankylosis of MP joint is maximum loss.</t>
        </r>
      </text>
    </comment>
    <comment ref="T329" authorId="1" shapeId="0" xr:uid="{E7ABD6E0-525B-43C4-A461-1646BB343F3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32" authorId="1" shapeId="0" xr:uid="{1DA827F4-2206-4FDA-B6B2-3EF8CD107EF3}">
      <text>
        <r>
          <rPr>
            <b/>
            <sz val="9"/>
            <color indexed="81"/>
            <rFont val="Tahoma"/>
            <family val="2"/>
          </rPr>
          <t>Bruyns Fred H:</t>
        </r>
        <r>
          <rPr>
            <sz val="9"/>
            <color indexed="81"/>
            <rFont val="Tahoma"/>
            <family val="2"/>
          </rPr>
          <t xml:space="preserve">
"TRUE" or "FALSE" are output from checkboxes for deformity of movement.</t>
        </r>
      </text>
    </comment>
    <comment ref="AH340" authorId="1" shapeId="0" xr:uid="{93C85EF3-44B5-4421-BE3B-073F5346FABB}">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340" authorId="1" shapeId="0" xr:uid="{D0121281-BE17-496D-B3ED-81762B5A2463}">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340" authorId="1" shapeId="0" xr:uid="{A9C02643-9B1C-4EAA-AA56-5F8170FA1168}">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340" authorId="1" shapeId="0" xr:uid="{768ECB30-E61A-4BD9-86DA-BB2C83ACC84E}">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341" authorId="1" shapeId="0" xr:uid="{A3A2980C-D892-47D3-AD88-B6D597AA55F2}">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341" authorId="1" shapeId="0" xr:uid="{5F941F15-34D9-48B8-A88C-5F617C96078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341" authorId="1" shapeId="0" xr:uid="{28DB565D-4040-4A51-8FD6-E0C538CFCD19}">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341" authorId="1" shapeId="0" xr:uid="{F4664605-D7E9-439A-92A1-E10F4CF3F139}">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341" authorId="1" shapeId="0" xr:uid="{CF0B853D-5D59-4F51-AF2A-60B011F83489}">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341" authorId="1" shapeId="0" xr:uid="{F1140E45-1168-4A40-98E3-F2BBDC971E78}">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341" authorId="1" shapeId="0" xr:uid="{0491DF26-CEAE-4802-9EE0-B73586D2AF0C}">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342" authorId="1" shapeId="0" xr:uid="{BDBD6293-BFA0-40AE-865B-B4A047E9BF69}">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345" authorId="1" shapeId="0" xr:uid="{FA16B0F3-1F07-489E-B420-9C36F2412E82}">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345" authorId="1" shapeId="0" xr:uid="{EF5E1ABD-5EE6-460E-8AFC-A71B07784D49}">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345" authorId="1" shapeId="0" xr:uid="{B6BAA855-E8F8-4AA2-A093-474417DD54EC}">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345" authorId="1" shapeId="0" xr:uid="{F9ECB2BB-2615-4CEC-82D2-E2D259CC6818}">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350" authorId="1" shapeId="0" xr:uid="{191E95CC-6310-40A2-9A12-9A14FE1197BD}">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350" authorId="1" shapeId="0" xr:uid="{B91ACCF9-A059-4DA6-85AB-7E67E217E589}">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350" authorId="1" shapeId="0" xr:uid="{B5696221-668B-4F22-886F-B99CC4597339}">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350" authorId="1" shapeId="0" xr:uid="{2D557C61-ED5A-406E-8158-CFB52F164BA3}">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353" authorId="1" shapeId="0" xr:uid="{52B17FBE-B54A-4777-9D0D-0C4B4DCF15B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3" authorId="1" shapeId="0" xr:uid="{7569C5AB-09C6-40A4-A39E-903F5C913AE4}">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3" authorId="1" shapeId="0" xr:uid="{7DD129BF-FB20-491E-914B-76E988ED0DFA}">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353" authorId="1" shapeId="0" xr:uid="{C674FB54-3EBA-487E-AA4C-52C5CB22DFEC}">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354" authorId="1" shapeId="0" xr:uid="{5FF1C7A6-98C7-45A0-ABB3-7F03B15A679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4" authorId="1" shapeId="0" xr:uid="{257DA868-D435-46B8-9679-E873AF96C6E7}">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4" authorId="1" shapeId="0" xr:uid="{5CB52059-83C6-4F57-9F5C-05B84A2CACAC}">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354" authorId="1" shapeId="0" xr:uid="{3198BA6E-2A0E-4B4C-B778-4550D51AB03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355" authorId="1" shapeId="0" xr:uid="{D51A43A7-F5AE-41CC-A56D-82D9E60345B5}">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5" authorId="1" shapeId="0" xr:uid="{A4FE1F42-BFC5-4E9E-86D3-B4693521983F}">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5" authorId="1" shapeId="0" xr:uid="{F52BA43C-D080-45C0-8EBE-4DAD2E47213D}">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357" authorId="1" shapeId="0" xr:uid="{8C0C2F5A-A4B2-4664-98F8-690F89DFD592}">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361" authorId="1" shapeId="0" xr:uid="{749579EE-153A-48E3-AD47-C0AE70A9EE7C}">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364" authorId="1" shapeId="0" xr:uid="{E1E36095-9DC1-43B3-9CA7-C6B5CEB05FD8}">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364" authorId="1" shapeId="0" xr:uid="{491FA843-7F1B-42AB-BEFD-74B08B8A52B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364" authorId="1" shapeId="0" xr:uid="{CC8E8C1B-8E0A-4E0F-BD30-1B7189C54BA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364" authorId="1" shapeId="0" xr:uid="{C42F79B9-2D8B-43EC-A2CB-A8E02AD9E15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364" authorId="1" shapeId="0" xr:uid="{118CC8A8-1F96-47AD-B50E-CFBAF284FFFF}">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365" authorId="1" shapeId="0" xr:uid="{8D3BA736-669A-4675-ABE6-FC87EEC4FDFD}">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367" authorId="1" shapeId="0" xr:uid="{3C4250DF-37C8-429D-B79B-36563A9ACE92}">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85" authorId="1" shapeId="0" xr:uid="{AD2B083A-0625-49CE-AE0C-E49451596D2D}">
      <text>
        <r>
          <rPr>
            <b/>
            <sz val="9"/>
            <color indexed="81"/>
            <rFont val="Tahoma"/>
            <family val="2"/>
          </rPr>
          <t>Bruyns Fred H:</t>
        </r>
        <r>
          <rPr>
            <sz val="9"/>
            <color indexed="81"/>
            <rFont val="Tahoma"/>
            <family val="2"/>
          </rPr>
          <t xml:space="preserve">
Programming note: Output from options buttons, 1, 2, or 3. 1=NA.</t>
        </r>
      </text>
    </comment>
    <comment ref="R386" authorId="1" shapeId="0" xr:uid="{3AFE823A-14D0-454E-8789-655C75BA2DB6}">
      <text>
        <r>
          <rPr>
            <b/>
            <sz val="9"/>
            <color indexed="81"/>
            <rFont val="Tahoma"/>
            <family val="2"/>
          </rPr>
          <t>Bruyns Fred H:</t>
        </r>
        <r>
          <rPr>
            <sz val="9"/>
            <color indexed="81"/>
            <rFont val="Tahoma"/>
            <family val="2"/>
          </rPr>
          <t xml:space="preserve">
Programming note: "TRUE" or "FALSE" are output from checkboxes for metacarpal losses.</t>
        </r>
      </text>
    </comment>
    <comment ref="R387" authorId="1" shapeId="0" xr:uid="{C79CDE21-7478-4A06-81AC-CA6C674596A9}">
      <text>
        <r>
          <rPr>
            <b/>
            <sz val="9"/>
            <color indexed="81"/>
            <rFont val="Tahoma"/>
            <family val="2"/>
          </rPr>
          <t>Bruyns Fred H:</t>
        </r>
        <r>
          <rPr>
            <sz val="9"/>
            <color indexed="81"/>
            <rFont val="Tahoma"/>
            <family val="2"/>
          </rPr>
          <t xml:space="preserve">
Programming note: "TRUE" or "FALSE" are output from checkboxes for metacarpal losses.</t>
        </r>
      </text>
    </comment>
    <comment ref="R388" authorId="1" shapeId="0" xr:uid="{1905EF9A-60E5-4F2D-BCD0-6206E067C7F1}">
      <text>
        <r>
          <rPr>
            <b/>
            <sz val="9"/>
            <color indexed="81"/>
            <rFont val="Tahoma"/>
            <family val="2"/>
          </rPr>
          <t>Bruyns Fred H:</t>
        </r>
        <r>
          <rPr>
            <sz val="9"/>
            <color indexed="81"/>
            <rFont val="Tahoma"/>
            <family val="2"/>
          </rPr>
          <t xml:space="preserve">
Programming note: "TRUE" or "FALSE" are output from checkboxes for metacarpal losses.</t>
        </r>
      </text>
    </comment>
    <comment ref="R389" authorId="1" shapeId="0" xr:uid="{493A436B-6C73-4522-B31A-5339588A0B38}">
      <text>
        <r>
          <rPr>
            <b/>
            <sz val="9"/>
            <color indexed="81"/>
            <rFont val="Tahoma"/>
            <family val="2"/>
          </rPr>
          <t>Bruyns Fred H:</t>
        </r>
        <r>
          <rPr>
            <sz val="9"/>
            <color indexed="81"/>
            <rFont val="Tahoma"/>
            <family val="2"/>
          </rPr>
          <t xml:space="preserve">
Programming note: "TRUE" or "FALSE" are output from checkboxes for metacarpal losses.</t>
        </r>
      </text>
    </comment>
    <comment ref="R390" authorId="1" shapeId="0" xr:uid="{D0155917-3868-4D2B-8771-47BE09F0E9C3}">
      <text>
        <r>
          <rPr>
            <b/>
            <sz val="9"/>
            <color indexed="81"/>
            <rFont val="Tahoma"/>
            <family val="2"/>
          </rPr>
          <t>Bruyns Fred H:</t>
        </r>
        <r>
          <rPr>
            <sz val="9"/>
            <color indexed="81"/>
            <rFont val="Tahoma"/>
            <family val="2"/>
          </rPr>
          <t xml:space="preserve">
Programming note: "TRUE" or "FALSE" are output from checkboxes for metacarpal losses.</t>
        </r>
      </text>
    </comment>
    <comment ref="S394" authorId="1" shapeId="0" xr:uid="{951353BC-CBA5-4151-84F7-61F006572A2F}">
      <text>
        <r>
          <rPr>
            <b/>
            <sz val="9"/>
            <color indexed="81"/>
            <rFont val="Tahoma"/>
            <family val="2"/>
          </rPr>
          <t>Bruyns Fred H:</t>
        </r>
        <r>
          <rPr>
            <sz val="9"/>
            <color indexed="81"/>
            <rFont val="Tahoma"/>
            <family val="2"/>
          </rPr>
          <t xml:space="preserve">
Programming note: 15 degrees of flexion of CMC joint is considered normal - no impairment.</t>
        </r>
      </text>
    </comment>
    <comment ref="V394" authorId="1" shapeId="0" xr:uid="{5BC0F29D-BB90-4D57-8812-710021B316CE}">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4" authorId="1" shapeId="0" xr:uid="{D4B00229-BF01-425E-A7FF-D531107DC60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 (max/normal). See instructions for this formula under OAR 436-035-0011. </t>
        </r>
      </text>
    </comment>
    <comment ref="S395" authorId="1" shapeId="0" xr:uid="{2CA1EE75-F852-45A0-BB2D-7C5B9AD59D5E}">
      <text>
        <r>
          <rPr>
            <b/>
            <sz val="9"/>
            <color indexed="81"/>
            <rFont val="Tahoma"/>
            <family val="2"/>
          </rPr>
          <t>Bruyns Fred H:</t>
        </r>
        <r>
          <rPr>
            <sz val="9"/>
            <color indexed="81"/>
            <rFont val="Tahoma"/>
            <family val="2"/>
          </rPr>
          <t xml:space="preserve">
Programming note: 30 degrees of extension of CMC joint is considered normal - no impairment.</t>
        </r>
      </text>
    </comment>
    <comment ref="V395" authorId="1" shapeId="0" xr:uid="{E1DB98D7-83CF-4FDF-9BC4-3284774DDD6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5" authorId="1" shapeId="0" xr:uid="{4770029F-48C0-417F-909C-89C48C29DAA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96" authorId="1" shapeId="0" xr:uid="{35F47F34-9D64-4146-AB1B-AF3979CDBE74}">
      <text>
        <r>
          <rPr>
            <b/>
            <sz val="9"/>
            <color indexed="81"/>
            <rFont val="Tahoma"/>
            <family val="2"/>
          </rPr>
          <t>Bruyns Fred H:</t>
        </r>
        <r>
          <rPr>
            <sz val="9"/>
            <color indexed="81"/>
            <rFont val="Tahoma"/>
            <family val="2"/>
          </rPr>
          <t xml:space="preserve">
Programming note: ankylsosis at 15 degrees of flexion of CMC joint is maximum loss.</t>
        </r>
      </text>
    </comment>
    <comment ref="S397" authorId="1" shapeId="0" xr:uid="{62164022-A899-4FE3-BBB3-3D3286B39A5E}">
      <text>
        <r>
          <rPr>
            <b/>
            <sz val="9"/>
            <color indexed="81"/>
            <rFont val="Tahoma"/>
            <family val="2"/>
          </rPr>
          <t>Bruyns Fred H:</t>
        </r>
        <r>
          <rPr>
            <sz val="9"/>
            <color indexed="81"/>
            <rFont val="Tahoma"/>
            <family val="2"/>
          </rPr>
          <t xml:space="preserve">
Programming note: ankylsosis at 30 degrees of extension of CMC joint is maximum loss.</t>
        </r>
      </text>
    </comment>
    <comment ref="S400" authorId="1" shapeId="0" xr:uid="{2C2BDABB-3A34-480E-B49B-22BB328999C3}">
      <text>
        <r>
          <rPr>
            <b/>
            <sz val="9"/>
            <color indexed="81"/>
            <rFont val="Tahoma"/>
            <family val="2"/>
          </rPr>
          <t>Bruyns Fred H:</t>
        </r>
        <r>
          <rPr>
            <sz val="9"/>
            <color indexed="81"/>
            <rFont val="Tahoma"/>
            <family val="2"/>
          </rPr>
          <t xml:space="preserve">
Programming note: 60 degrees of extension of wrist joint is considered normal - no impairment.</t>
        </r>
      </text>
    </comment>
    <comment ref="V400" authorId="1" shapeId="0" xr:uid="{47A464E8-8BA9-4BAB-972F-2FA344587A9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0" authorId="1" shapeId="0" xr:uid="{124FA3BB-408D-450B-A893-AA4AC6A7D72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AJ400" authorId="1" shapeId="0" xr:uid="{AA30579D-915F-4684-9295-556A8D364EB5}">
      <text>
        <r>
          <rPr>
            <b/>
            <sz val="9"/>
            <color indexed="81"/>
            <rFont val="Tahoma"/>
            <family val="2"/>
          </rPr>
          <t>Bruyns Fred H:</t>
        </r>
        <r>
          <rPr>
            <sz val="9"/>
            <color indexed="81"/>
            <rFont val="Tahoma"/>
            <family val="2"/>
          </rPr>
          <t xml:space="preserve">
Programming note: This text is for conditional formatting only.</t>
        </r>
      </text>
    </comment>
    <comment ref="S401" authorId="1" shapeId="0" xr:uid="{50B64F7C-683F-4E7F-B7F0-A483563A912C}">
      <text>
        <r>
          <rPr>
            <b/>
            <sz val="9"/>
            <color indexed="81"/>
            <rFont val="Tahoma"/>
            <family val="2"/>
          </rPr>
          <t>Bruyns Fred H:</t>
        </r>
        <r>
          <rPr>
            <sz val="9"/>
            <color indexed="81"/>
            <rFont val="Tahoma"/>
            <family val="2"/>
          </rPr>
          <t xml:space="preserve">
Programming note: 60 degrees of extension ankylosis of wrist joint is maximum loss.</t>
        </r>
      </text>
    </comment>
    <comment ref="AJ401" authorId="1" shapeId="0" xr:uid="{6DD10702-94BC-4490-BC04-207C7051FE0D}">
      <text>
        <r>
          <rPr>
            <b/>
            <sz val="9"/>
            <color indexed="81"/>
            <rFont val="Tahoma"/>
            <family val="2"/>
          </rPr>
          <t>Bruyns Fred H:</t>
        </r>
        <r>
          <rPr>
            <sz val="9"/>
            <color indexed="81"/>
            <rFont val="Tahoma"/>
            <family val="2"/>
          </rPr>
          <t xml:space="preserve">
Programming note: This text is for conditional formatting only.</t>
        </r>
      </text>
    </comment>
    <comment ref="S402" authorId="1" shapeId="0" xr:uid="{CBEA8567-04C1-4A72-87EE-DA7A2ED8B53F}">
      <text>
        <r>
          <rPr>
            <b/>
            <sz val="9"/>
            <color indexed="81"/>
            <rFont val="Tahoma"/>
            <family val="2"/>
          </rPr>
          <t>Bruyns Fred H:</t>
        </r>
        <r>
          <rPr>
            <sz val="9"/>
            <color indexed="81"/>
            <rFont val="Tahoma"/>
            <family val="2"/>
          </rPr>
          <t xml:space="preserve">
Programming note: 70 degrees of flexion (palmar) of wrist joint is considered normal - no impairment.</t>
        </r>
      </text>
    </comment>
    <comment ref="V402" authorId="1" shapeId="0" xr:uid="{671BBFA5-2ABA-4FAA-8BFD-51F5A0FE7F6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2" authorId="1" shapeId="0" xr:uid="{99BD9C7C-6830-45AF-883B-11C69B4C6D6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403" authorId="1" shapeId="0" xr:uid="{77538AC8-CCA3-47F9-976C-4409D89378F0}">
      <text>
        <r>
          <rPr>
            <b/>
            <sz val="9"/>
            <color indexed="81"/>
            <rFont val="Tahoma"/>
            <family val="2"/>
          </rPr>
          <t>Bruyns Fred H:</t>
        </r>
        <r>
          <rPr>
            <sz val="9"/>
            <color indexed="81"/>
            <rFont val="Tahoma"/>
            <family val="2"/>
          </rPr>
          <t xml:space="preserve">
Programming note: 70 degrees of ankylosis of wrist joint is maximum loss.</t>
        </r>
      </text>
    </comment>
    <comment ref="S404" authorId="1" shapeId="0" xr:uid="{2FD244DA-5CBD-4345-A357-6114E5F2FB90}">
      <text>
        <r>
          <rPr>
            <b/>
            <sz val="9"/>
            <color indexed="81"/>
            <rFont val="Tahoma"/>
            <family val="2"/>
          </rPr>
          <t>Bruyns Fred H:</t>
        </r>
        <r>
          <rPr>
            <sz val="9"/>
            <color indexed="81"/>
            <rFont val="Tahoma"/>
            <family val="2"/>
          </rPr>
          <t xml:space="preserve">
Programming note: 20 degrees of radial deviation is considered normal - no impairment.</t>
        </r>
      </text>
    </comment>
    <comment ref="V404" authorId="1" shapeId="0" xr:uid="{5F8CE535-F4D9-471B-8303-F9C7F11372A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4" authorId="1" shapeId="0" xr:uid="{118E8218-01BC-4CCB-9B16-5E37B0BA001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405" authorId="1" shapeId="0" xr:uid="{9FE35BE5-5AEE-47D4-996E-456ABFECA294}">
      <text>
        <r>
          <rPr>
            <b/>
            <sz val="9"/>
            <color indexed="81"/>
            <rFont val="Tahoma"/>
            <family val="2"/>
          </rPr>
          <t>Bruyns Fred H:</t>
        </r>
        <r>
          <rPr>
            <sz val="9"/>
            <color indexed="81"/>
            <rFont val="Tahoma"/>
            <family val="2"/>
          </rPr>
          <t xml:space="preserve">
Programming note: 20 degrees of radial deviation ankylosis is maximum loss.</t>
        </r>
      </text>
    </comment>
    <comment ref="S406" authorId="1" shapeId="0" xr:uid="{2AEF53C9-DAB0-468D-8AED-8DC6F4749FF0}">
      <text>
        <r>
          <rPr>
            <b/>
            <sz val="9"/>
            <color indexed="81"/>
            <rFont val="Tahoma"/>
            <family val="2"/>
          </rPr>
          <t>Bruyns Fred H:</t>
        </r>
        <r>
          <rPr>
            <sz val="9"/>
            <color indexed="81"/>
            <rFont val="Tahoma"/>
            <family val="2"/>
          </rPr>
          <t xml:space="preserve">
Programming note: 30 degrees of ulnar deviation is considered normal - no impairment.</t>
        </r>
      </text>
    </comment>
    <comment ref="V406" authorId="1" shapeId="0" xr:uid="{D70FADC0-F50E-4CF9-9660-56A9F863A7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6" authorId="1" shapeId="0" xr:uid="{2AC55C61-B5BB-471A-A9CE-66E1AF1B253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U411" authorId="1" shapeId="0" xr:uid="{C7D44893-DF33-406C-90DF-12A34BA4C54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V411" authorId="1" shapeId="0" xr:uid="{38A2735F-0E66-4796-A75D-A574A262AE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11" authorId="1" shapeId="0" xr:uid="{13A2BF62-0298-4087-B7FD-7086A6309FB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U418" authorId="1" shapeId="0" xr:uid="{B2FC5A4D-A363-4671-A69C-C605BF294970}">
      <text>
        <r>
          <rPr>
            <b/>
            <sz val="9"/>
            <color indexed="81"/>
            <rFont val="Tahoma"/>
            <family val="2"/>
          </rPr>
          <t>Bruyns Fred H:</t>
        </r>
        <r>
          <rPr>
            <sz val="9"/>
            <color indexed="81"/>
            <rFont val="Tahoma"/>
            <family val="2"/>
          </rPr>
          <t xml:space="preserve">
Programming note: The lists below are used for pull-down menus for injured joint and contralateral joint, and also for formulas.</t>
        </r>
      </text>
    </comment>
    <comment ref="R422" authorId="1" shapeId="0" xr:uid="{FC927C6D-C085-4D6F-B86B-F917FAFDFDE5}">
      <text>
        <r>
          <rPr>
            <b/>
            <sz val="9"/>
            <color indexed="81"/>
            <rFont val="Tahoma"/>
            <family val="2"/>
          </rPr>
          <t>Bruyns Fred H:</t>
        </r>
        <r>
          <rPr>
            <sz val="9"/>
            <color indexed="81"/>
            <rFont val="Tahoma"/>
            <family val="2"/>
          </rPr>
          <t xml:space="preserve">
Programming note: "TRUE" or "FALSE" are output from the checkboxes to the left.</t>
        </r>
      </text>
    </comment>
    <comment ref="S426" authorId="1" shapeId="0" xr:uid="{D1696F23-6BA5-4B11-A063-766E5DA71165}">
      <text>
        <r>
          <rPr>
            <b/>
            <sz val="9"/>
            <color indexed="81"/>
            <rFont val="Tahoma"/>
            <family val="2"/>
          </rPr>
          <t>Bruyns Fred H:</t>
        </r>
        <r>
          <rPr>
            <sz val="9"/>
            <color indexed="81"/>
            <rFont val="Tahoma"/>
            <family val="2"/>
          </rPr>
          <t xml:space="preserve">
Programming note: Number list to the right is used for a pull-down menu for carpal bone fusions.</t>
        </r>
      </text>
    </comment>
    <comment ref="R435" authorId="1" shapeId="0" xr:uid="{A2613FE6-7783-4201-92AD-1D35EBD4A294}">
      <text>
        <r>
          <rPr>
            <b/>
            <sz val="9"/>
            <color indexed="81"/>
            <rFont val="Tahoma"/>
            <family val="2"/>
          </rPr>
          <t>Bruyns Fred H:</t>
        </r>
        <r>
          <rPr>
            <sz val="9"/>
            <color indexed="81"/>
            <rFont val="Tahoma"/>
            <family val="2"/>
          </rPr>
          <t xml:space="preserve">
Programming note: Short lists to the right are used for pull-down menus in chart to the left.</t>
        </r>
      </text>
    </comment>
    <comment ref="R448" authorId="1" shapeId="0" xr:uid="{60590D82-3E99-413D-9243-46D9F6562EA8}">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449" authorId="1" shapeId="0" xr:uid="{2EC0083C-CB85-4156-B8FE-FDD6CC1BE790}">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T449" authorId="1" shapeId="0" xr:uid="{9C60EB64-8E74-404B-9199-108386EAE334}">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49" authorId="1" shapeId="0" xr:uid="{6DDC8D3D-7D05-4B6F-A10B-EA4427C31CF0}">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49" authorId="1" shapeId="0" xr:uid="{01EA9EB3-B138-49ED-BB4D-AC1D81B8C257}">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49" authorId="1" shapeId="0" xr:uid="{2397B76E-8158-4BE1-8E20-C04EC95BECC9}">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49" authorId="1" shapeId="0" xr:uid="{9A9D4E65-5BB6-4B18-9D1D-07B61559FCE2}">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49" authorId="1" shapeId="0" xr:uid="{43A3F29D-C5DC-4024-8F57-0C431AF5463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449" authorId="1" shapeId="0" xr:uid="{EAF68D13-759D-4AD3-BE25-199E57EF9DC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449" authorId="1" shapeId="0" xr:uid="{95093154-6E67-467D-B297-374448516C9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449" authorId="1" shapeId="0" xr:uid="{402A27F0-AFD5-4FCC-BCBE-57EBA3810D1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449" authorId="1" shapeId="0" xr:uid="{6489C2B9-20D5-4740-B167-B7589182C9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449" authorId="1" shapeId="0" xr:uid="{99DFC7DE-2B01-4B9B-B8A2-CB6405423D6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Z450" authorId="1" shapeId="0" xr:uid="{78CBE977-A5FB-4621-A091-CD5BE0CA45DC}">
      <text>
        <r>
          <rPr>
            <b/>
            <sz val="9"/>
            <color indexed="81"/>
            <rFont val="Tahoma"/>
            <family val="2"/>
          </rPr>
          <t>Bruyns Fred H:</t>
        </r>
        <r>
          <rPr>
            <sz val="9"/>
            <color indexed="81"/>
            <rFont val="Tahoma"/>
            <family val="2"/>
          </rPr>
          <t xml:space="preserve">
Programming note: This value is for the radial nerve.</t>
        </r>
      </text>
    </comment>
    <comment ref="AE450" authorId="1" shapeId="0" xr:uid="{D02B0D05-28F4-4EFB-8434-BF63D0F3CB58}">
      <text>
        <r>
          <rPr>
            <b/>
            <sz val="9"/>
            <color indexed="81"/>
            <rFont val="Tahoma"/>
            <family val="2"/>
          </rPr>
          <t>Bruyns Fred H:</t>
        </r>
        <r>
          <rPr>
            <sz val="9"/>
            <color indexed="81"/>
            <rFont val="Tahoma"/>
            <family val="2"/>
          </rPr>
          <t xml:space="preserve">
Programming note: This value is for the C-5 spinal nerve root.</t>
        </r>
      </text>
    </comment>
    <comment ref="Z451" authorId="1" shapeId="0" xr:uid="{5CCC4ECB-0D86-4A61-AE7C-2DFFF37BDE18}">
      <text>
        <r>
          <rPr>
            <b/>
            <sz val="9"/>
            <color indexed="81"/>
            <rFont val="Tahoma"/>
            <family val="2"/>
          </rPr>
          <t>Bruyns Fred H:</t>
        </r>
        <r>
          <rPr>
            <sz val="9"/>
            <color indexed="81"/>
            <rFont val="Tahoma"/>
            <family val="2"/>
          </rPr>
          <t xml:space="preserve">
Programming note: This value is for the median nerve.</t>
        </r>
      </text>
    </comment>
    <comment ref="AE451" authorId="1" shapeId="0" xr:uid="{2F46D79C-5F30-4BC1-914B-44DE2421EAFA}">
      <text>
        <r>
          <rPr>
            <b/>
            <sz val="9"/>
            <color indexed="81"/>
            <rFont val="Tahoma"/>
            <family val="2"/>
          </rPr>
          <t>Bruyns Fred H:</t>
        </r>
        <r>
          <rPr>
            <sz val="9"/>
            <color indexed="81"/>
            <rFont val="Tahoma"/>
            <family val="2"/>
          </rPr>
          <t xml:space="preserve">
Programming note: This value is for the C-6 spinal nerve root.</t>
        </r>
      </text>
    </comment>
    <comment ref="Z452" authorId="1" shapeId="0" xr:uid="{D1A881FD-CCFD-431E-88FF-DFB1E0B1C3B7}">
      <text>
        <r>
          <rPr>
            <b/>
            <sz val="9"/>
            <color indexed="81"/>
            <rFont val="Tahoma"/>
            <family val="2"/>
          </rPr>
          <t>Bruyns Fred H:</t>
        </r>
        <r>
          <rPr>
            <sz val="9"/>
            <color indexed="81"/>
            <rFont val="Tahoma"/>
            <family val="2"/>
          </rPr>
          <t xml:space="preserve">
Programming note: This value is for the ulnar nerve.</t>
        </r>
      </text>
    </comment>
    <comment ref="AE452" authorId="1" shapeId="0" xr:uid="{475CBE60-125A-4401-8FFC-539266840550}">
      <text>
        <r>
          <rPr>
            <b/>
            <sz val="9"/>
            <color indexed="81"/>
            <rFont val="Tahoma"/>
            <family val="2"/>
          </rPr>
          <t>Bruyns Fred H:</t>
        </r>
        <r>
          <rPr>
            <sz val="9"/>
            <color indexed="81"/>
            <rFont val="Tahoma"/>
            <family val="2"/>
          </rPr>
          <t xml:space="preserve">
Programming note: This value is for the C-7 spinal nerve root.</t>
        </r>
      </text>
    </comment>
    <comment ref="AE453" authorId="1" shapeId="0" xr:uid="{BEB9B0E8-3CCD-419C-838F-1366B05F00D2}">
      <text>
        <r>
          <rPr>
            <b/>
            <sz val="9"/>
            <color indexed="81"/>
            <rFont val="Tahoma"/>
            <family val="2"/>
          </rPr>
          <t>Bruyns Fred H:</t>
        </r>
        <r>
          <rPr>
            <sz val="9"/>
            <color indexed="81"/>
            <rFont val="Tahoma"/>
            <family val="2"/>
          </rPr>
          <t xml:space="preserve">
Programming note: This value is for the C-8 spinal nerve root.</t>
        </r>
      </text>
    </comment>
    <comment ref="AE454" authorId="1" shapeId="0" xr:uid="{65ECFFD9-895C-4B87-ADA8-9CA3B1A785F2}">
      <text>
        <r>
          <rPr>
            <b/>
            <sz val="9"/>
            <color indexed="81"/>
            <rFont val="Tahoma"/>
            <family val="2"/>
          </rPr>
          <t>Bruyns Fred H:</t>
        </r>
        <r>
          <rPr>
            <sz val="9"/>
            <color indexed="81"/>
            <rFont val="Tahoma"/>
            <family val="2"/>
          </rPr>
          <t xml:space="preserve">
Programming note: This value is for the T-1 spinal nerve root.</t>
        </r>
      </text>
    </comment>
    <comment ref="T457" authorId="1" shapeId="0" xr:uid="{DC03C9B6-E5B8-4197-8146-4B4E85FF45B5}">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7" authorId="1" shapeId="0" xr:uid="{A30B5356-7E1C-4086-AFD4-0E3588C72E9B}">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7" authorId="1" shapeId="0" xr:uid="{29BF8146-173C-4A4A-8276-268198D560B6}">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7" authorId="1" shapeId="0" xr:uid="{71DBABE0-F77F-4F71-9840-42DD336EE09F}">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7" authorId="1" shapeId="0" xr:uid="{D9189BE3-8586-485A-9D54-8A7D89B781BB}">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E457" authorId="1" shapeId="0" xr:uid="{6B0C27D7-4CC2-41F3-845A-ACB1F1D5011E}">
      <text>
        <r>
          <rPr>
            <b/>
            <sz val="9"/>
            <color indexed="81"/>
            <rFont val="Tahoma"/>
            <family val="2"/>
          </rPr>
          <t>Bruyns Fred H:</t>
        </r>
        <r>
          <rPr>
            <sz val="9"/>
            <color indexed="81"/>
            <rFont val="Tahoma"/>
            <family val="2"/>
          </rPr>
          <t xml:space="preserve">
Programming note: This value is for the musculocutaneous nerve.</t>
        </r>
      </text>
    </comment>
    <comment ref="AE458" authorId="1" shapeId="0" xr:uid="{C4F405C4-FE38-4DEE-9115-3827420E6530}">
      <text>
        <r>
          <rPr>
            <b/>
            <sz val="9"/>
            <color indexed="81"/>
            <rFont val="Tahoma"/>
            <family val="2"/>
          </rPr>
          <t>Bruyns Fred H:</t>
        </r>
        <r>
          <rPr>
            <sz val="9"/>
            <color indexed="81"/>
            <rFont val="Tahoma"/>
            <family val="2"/>
          </rPr>
          <t xml:space="preserve">
Programming note: This value is for the radial nerve - arm portion.</t>
        </r>
      </text>
    </comment>
    <comment ref="T463" authorId="1" shapeId="0" xr:uid="{34A8F9C4-1E06-493F-899B-38B03EB01A06}">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63" authorId="1" shapeId="0" xr:uid="{D5A43EE9-2F81-40B0-A28B-0E4CDA8019E2}">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63" authorId="1" shapeId="0" xr:uid="{F5EE9C88-4C86-4432-ABCC-82AA3253BB78}">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63" authorId="1" shapeId="0" xr:uid="{BB9E1F85-0676-44D5-BDCF-83A6DBF9B71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63" authorId="1" shapeId="0" xr:uid="{37381797-2CF5-435B-A6DE-B8D0D4D7BDE4}">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64" authorId="1" shapeId="0" xr:uid="{C2EEED4E-6D19-445A-906F-85EF27866DE5}">
      <text>
        <r>
          <rPr>
            <b/>
            <sz val="9"/>
            <color indexed="81"/>
            <rFont val="Tahoma"/>
            <family val="2"/>
          </rPr>
          <t>Bruyns Fred H:</t>
        </r>
        <r>
          <rPr>
            <sz val="9"/>
            <color indexed="81"/>
            <rFont val="Tahoma"/>
            <family val="2"/>
          </rPr>
          <t xml:space="preserve">
Programming note: 1=NA, 2=upper arm with loss of triceps; 3=triceps only</t>
        </r>
      </text>
    </comment>
    <comment ref="P465" authorId="1" shapeId="0" xr:uid="{4AE7DCCE-E576-4971-BCEF-36E4775B4806}">
      <text>
        <r>
          <rPr>
            <b/>
            <sz val="9"/>
            <color indexed="81"/>
            <rFont val="Tahoma"/>
            <family val="2"/>
          </rPr>
          <t>Bruyns Fred H:</t>
        </r>
        <r>
          <rPr>
            <sz val="9"/>
            <color indexed="81"/>
            <rFont val="Tahoma"/>
            <family val="2"/>
          </rPr>
          <t xml:space="preserve">
Programming note: If only triceps is checked for the upper arm, and a strength grade is entered - formula returns "ERROR" for this cell. 
In another cell, user is reminded to check box for "Triceps only," which is equal to 25% of the arm.</t>
        </r>
      </text>
    </comment>
    <comment ref="B469" authorId="1" shapeId="0" xr:uid="{BF0FA31C-050F-4E34-911A-E082317BFE35}">
      <text>
        <r>
          <rPr>
            <b/>
            <sz val="9"/>
            <color indexed="81"/>
            <rFont val="Tahoma"/>
            <family val="2"/>
          </rPr>
          <t>Bruyns Fred H:</t>
        </r>
        <r>
          <rPr>
            <sz val="9"/>
            <color indexed="81"/>
            <rFont val="Tahoma"/>
            <family val="2"/>
          </rPr>
          <t xml:space="preserve">
Programming note: If "ERROR" is present in the cell for adjusted triceps strength, formula reminds user to check the box for "Triceps only." </t>
        </r>
      </text>
    </comment>
    <comment ref="T470" authorId="1" shapeId="0" xr:uid="{D6C5F186-1AFE-4217-BD40-9A8F08ECEDD5}">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70" authorId="1" shapeId="0" xr:uid="{A8DEBB4C-06F9-4E7E-ADE2-2DEBAC20118A}">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70" authorId="1" shapeId="0" xr:uid="{7051F08F-0EEE-401A-8F70-A7B5B4294D72}">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70" authorId="1" shapeId="0" xr:uid="{8D8B81CD-B787-471B-8EDC-01A400B1296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70" authorId="1" shapeId="0" xr:uid="{B5D41AE3-58C7-40A0-8A38-28810BCFD289}">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82" authorId="1" shapeId="0" xr:uid="{7DEC299C-7836-43BF-8A51-38A30483E76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82" authorId="1" shapeId="0" xr:uid="{B20237CD-0D86-47B3-8DAF-B7835148FFE4}">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82" authorId="1" shapeId="0" xr:uid="{DB3CCD22-B201-4F9D-B545-F4F09998950E}">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82" authorId="1" shapeId="0" xr:uid="{3663DE26-14CD-475C-BE4F-AA5283E8FC15}">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82" authorId="1" shapeId="0" xr:uid="{9148C12B-0AB6-4F95-B19A-D413C2369CA8}">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521" authorId="1" shapeId="0" xr:uid="{50A069F2-1BBD-4572-9C80-101A9EFA45C6}">
      <text>
        <r>
          <rPr>
            <b/>
            <sz val="9"/>
            <color indexed="81"/>
            <rFont val="Tahoma"/>
            <family val="2"/>
          </rPr>
          <t>Bruyns Fred H:</t>
        </r>
        <r>
          <rPr>
            <sz val="9"/>
            <color indexed="81"/>
            <rFont val="Tahoma"/>
            <family val="2"/>
          </rPr>
          <t xml:space="preserve">
Programming note: Digit values are multiplied by maximum degree values for each digit - 48 for thumb, 24 for index, 22 for middle, 10 for ring, and 6 degrees for little finger.</t>
        </r>
      </text>
    </comment>
    <comment ref="U521" authorId="1" shapeId="0" xr:uid="{F94AB90B-EF08-44BD-89D7-A283AF255D3B}">
      <text>
        <r>
          <rPr>
            <b/>
            <sz val="9"/>
            <color indexed="81"/>
            <rFont val="Tahoma"/>
            <family val="2"/>
          </rPr>
          <t>Bruyns Fred H:</t>
        </r>
        <r>
          <rPr>
            <sz val="9"/>
            <color indexed="81"/>
            <rFont val="Tahoma"/>
            <family val="2"/>
          </rPr>
          <t xml:space="preserve">
Programming note: Converted digit-to-hand values are multiplied by maximum degree value for the hand - 150 degrees.</t>
        </r>
      </text>
    </comment>
    <comment ref="V521" authorId="1" shapeId="0" xr:uid="{2CB95EA4-ACC9-4B0A-9E3A-D87F12FA0CB2}">
      <text>
        <r>
          <rPr>
            <b/>
            <sz val="9"/>
            <color indexed="81"/>
            <rFont val="Tahoma"/>
            <family val="2"/>
          </rPr>
          <t>Bruyns Fred H:</t>
        </r>
        <r>
          <rPr>
            <sz val="9"/>
            <color indexed="81"/>
            <rFont val="Tahoma"/>
            <family val="2"/>
          </rPr>
          <t xml:space="preserve">
Programming note: Digit values are multiplied by maximum whole-person values for each digit, 15% for thumb, 8% for index, 7% for middle, 3% for ring, and 2% for little finger. The minimum whole-person value is 1%.</t>
        </r>
      </text>
    </comment>
    <comment ref="W521" authorId="1" shapeId="0" xr:uid="{5D03BB9F-364B-4B59-B836-B52930BB638E}">
      <text>
        <r>
          <rPr>
            <b/>
            <sz val="9"/>
            <color indexed="81"/>
            <rFont val="Tahoma"/>
            <family val="2"/>
          </rPr>
          <t>Bruyns Fred H:</t>
        </r>
        <r>
          <rPr>
            <sz val="9"/>
            <color indexed="81"/>
            <rFont val="Tahoma"/>
            <family val="2"/>
          </rPr>
          <t xml:space="preserve">
Programming note: The sum of converted digit-to-hand values is multiplied by the whole-person value for the hand - 47%.</t>
        </r>
      </text>
    </comment>
    <comment ref="Z521" authorId="1" shapeId="0" xr:uid="{4DA46C60-57D9-408F-A3C1-BC5FA2A5097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21" authorId="1" shapeId="0" xr:uid="{BB635597-602B-40B9-B1C5-DB23151043F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t>
        </r>
      </text>
    </comment>
    <comment ref="AB521" authorId="1" shapeId="0" xr:uid="{8A0D48B3-5790-4397-8518-F17F5071DF5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T527" authorId="1" shapeId="0" xr:uid="{9ED7B28B-B748-44A2-B32F-045786E23C59}">
      <text>
        <r>
          <rPr>
            <b/>
            <sz val="9"/>
            <color indexed="81"/>
            <rFont val="Tahoma"/>
            <family val="2"/>
          </rPr>
          <t>Bruyns Fred H:</t>
        </r>
        <r>
          <rPr>
            <sz val="9"/>
            <color indexed="81"/>
            <rFont val="Tahoma"/>
            <family val="2"/>
          </rPr>
          <t xml:space="preserve">
Programming note: Sum of digit values.</t>
        </r>
      </text>
    </comment>
    <comment ref="U527" authorId="1" shapeId="0" xr:uid="{04E224BC-1557-4890-AACB-0893F00BBF0F}">
      <text>
        <r>
          <rPr>
            <b/>
            <sz val="9"/>
            <color indexed="81"/>
            <rFont val="Tahoma"/>
            <family val="2"/>
          </rPr>
          <t>Bruyns Fred H:</t>
        </r>
        <r>
          <rPr>
            <sz val="9"/>
            <color indexed="81"/>
            <rFont val="Tahoma"/>
            <family val="2"/>
          </rPr>
          <t xml:space="preserve">
Programming note: Sum of converted digit-to-hand values.</t>
        </r>
      </text>
    </comment>
    <comment ref="V527" authorId="1" shapeId="0" xr:uid="{27D0B870-BF09-4680-B3F2-B4DBE34E61E4}">
      <text>
        <r>
          <rPr>
            <b/>
            <sz val="9"/>
            <color indexed="81"/>
            <rFont val="Tahoma"/>
            <family val="2"/>
          </rPr>
          <t>Bruyns Fred H:</t>
        </r>
        <r>
          <rPr>
            <sz val="9"/>
            <color indexed="81"/>
            <rFont val="Tahoma"/>
            <family val="2"/>
          </rPr>
          <t xml:space="preserve">
Programming note: The digit values are combined.</t>
        </r>
      </text>
    </comment>
    <comment ref="B528" authorId="1" shapeId="0" xr:uid="{E466E4BF-F559-48F3-B3D1-9A340C5370AF}">
      <text>
        <r>
          <rPr>
            <b/>
            <sz val="9"/>
            <color indexed="81"/>
            <rFont val="Tahoma"/>
            <family val="2"/>
          </rPr>
          <t>Bruyns Fred H:</t>
        </r>
        <r>
          <rPr>
            <sz val="9"/>
            <color indexed="81"/>
            <rFont val="Tahoma"/>
            <family val="2"/>
          </rPr>
          <t xml:space="preserve">
Programming note: If there are any digit impairment values, this area wiill display an appropriate message about whether conversion of digits to a hand value is necessary.</t>
        </r>
      </text>
    </comment>
    <comment ref="R531" authorId="1" shapeId="0" xr:uid="{46B3E617-D36C-454F-A6E6-B0035A55EB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531" authorId="1" shapeId="0" xr:uid="{DF463FBB-0C4A-479E-B928-3AA8C90FE6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531" authorId="1" shapeId="0" xr:uid="{5C47C45A-9A43-4025-ABC9-4C3A23F8CF8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531" authorId="1" shapeId="0" xr:uid="{48413015-7979-494C-86DB-1A3B3208A8D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38" authorId="1" shapeId="0" xr:uid="{98D21A29-BE32-440A-BD2F-F748356656BD}">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539" authorId="1" shapeId="0" xr:uid="{D6A046B2-13CF-4E0C-B912-9B92CCB81D94}">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559" authorId="1" shapeId="0" xr:uid="{BE0445AE-DC99-4FBE-B17A-E7C769784C03}">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560" authorId="1" shapeId="0" xr:uid="{DC13B50C-C19B-4B5A-9D33-E440A5D30F8C}">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S570" authorId="1" shapeId="0" xr:uid="{33CB7ED6-0BF9-4D0F-93A9-43EE36A0C758}">
      <text>
        <r>
          <rPr>
            <b/>
            <sz val="9"/>
            <color indexed="81"/>
            <rFont val="Tahoma"/>
            <family val="2"/>
          </rPr>
          <t>Bruyns Fred H:</t>
        </r>
        <r>
          <rPr>
            <sz val="9"/>
            <color indexed="81"/>
            <rFont val="Tahoma"/>
            <family val="2"/>
          </rPr>
          <t xml:space="preserve">
Programming note: 150 degrees of flexion of elbow joint is considered maximum normal. See OAR 436-035-0100.</t>
        </r>
      </text>
    </comment>
    <comment ref="V570" authorId="1" shapeId="0" xr:uid="{4A1EEF53-AF69-4431-86EA-783252CA6EA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0" authorId="1" shapeId="0" xr:uid="{69047205-42FD-4089-8873-805EAFCECCF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571" authorId="1" shapeId="0" xr:uid="{F626D079-52AD-4964-8D5B-94502C07CDED}">
      <text>
        <r>
          <rPr>
            <b/>
            <sz val="9"/>
            <color indexed="81"/>
            <rFont val="Tahoma"/>
            <family val="2"/>
          </rPr>
          <t>Bruyns Fred H:</t>
        </r>
        <r>
          <rPr>
            <sz val="9"/>
            <color indexed="81"/>
            <rFont val="Tahoma"/>
            <family val="2"/>
          </rPr>
          <t xml:space="preserve">
Programming note: 150 degrees of flexion ankylosis of the elbow joint is considered maximum loss. See OAR 436-035-0100.</t>
        </r>
      </text>
    </comment>
    <comment ref="S572" authorId="1" shapeId="0" xr:uid="{3FE45752-B53C-45FC-8809-602BB7602B83}">
      <text>
        <r>
          <rPr>
            <b/>
            <sz val="9"/>
            <color indexed="81"/>
            <rFont val="Tahoma"/>
            <family val="2"/>
          </rPr>
          <t>Bruyns Fred H:</t>
        </r>
        <r>
          <rPr>
            <sz val="9"/>
            <color indexed="81"/>
            <rFont val="Tahoma"/>
            <family val="2"/>
          </rPr>
          <t xml:space="preserve">
Programming note: 150 degrees of extension of elbow joint is considered maximum loss. See OAR 436-035-0100.</t>
        </r>
      </text>
    </comment>
    <comment ref="V572" authorId="1" shapeId="0" xr:uid="{2FC3B7F5-8DA6-4D3C-8E26-082BD174562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572" authorId="1" shapeId="0" xr:uid="{86C4B211-A019-4875-949B-3893D269EEBC}">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572" authorId="1" shapeId="0" xr:uid="{E52DA24A-129D-4873-AAF7-A328DF38C09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572" authorId="1" shapeId="0" xr:uid="{321CAE2E-8D6E-432C-A890-265D70DE60A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S573" authorId="1" shapeId="0" xr:uid="{C3FFA2A1-4E48-479E-936C-B6CE5AAAF0E8}">
      <text>
        <r>
          <rPr>
            <b/>
            <sz val="9"/>
            <color indexed="81"/>
            <rFont val="Tahoma"/>
            <family val="2"/>
          </rPr>
          <t>Bruyns Fred H:</t>
        </r>
        <r>
          <rPr>
            <sz val="9"/>
            <color indexed="81"/>
            <rFont val="Tahoma"/>
            <family val="2"/>
          </rPr>
          <t xml:space="preserve">
Programming note: 150 degrees of extension ankylosis of the elbow joint is considered maximum loss. See OAR 436-035-0100.</t>
        </r>
      </text>
    </comment>
    <comment ref="S574" authorId="1" shapeId="0" xr:uid="{BBCFD10E-73CA-47E3-A364-DA1201FCD666}">
      <text>
        <r>
          <rPr>
            <b/>
            <sz val="9"/>
            <color indexed="81"/>
            <rFont val="Tahoma"/>
            <family val="2"/>
          </rPr>
          <t>Bruyns Fred H:</t>
        </r>
        <r>
          <rPr>
            <sz val="9"/>
            <color indexed="81"/>
            <rFont val="Tahoma"/>
            <family val="2"/>
          </rPr>
          <t xml:space="preserve">
Programming note: 80 degrees of supination of elbow joint is considered maximum normal. See OAR 436-035-0100.</t>
        </r>
      </text>
    </comment>
    <comment ref="V574" authorId="1" shapeId="0" xr:uid="{35C4B915-1D0E-441C-8036-414ABBFD5ED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4" authorId="1" shapeId="0" xr:uid="{7FE24B5B-9BB8-41EE-9F58-FBD4672DEEE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75" authorId="1" shapeId="0" xr:uid="{D3E031A1-D27F-403F-A315-447BD0712EE9}">
      <text>
        <r>
          <rPr>
            <b/>
            <sz val="9"/>
            <color indexed="81"/>
            <rFont val="Tahoma"/>
            <family val="2"/>
          </rPr>
          <t>Bruyns Fred H:</t>
        </r>
        <r>
          <rPr>
            <sz val="9"/>
            <color indexed="81"/>
            <rFont val="Tahoma"/>
            <family val="2"/>
          </rPr>
          <t xml:space="preserve">
Programming note: 80 degrees of supination ankylosis of the elbow joint is considered maximum loss. See OAR 436-035-0100.</t>
        </r>
      </text>
    </comment>
    <comment ref="S576" authorId="1" shapeId="0" xr:uid="{7A067965-5231-4729-A7EC-7F47E05DD3D2}">
      <text>
        <r>
          <rPr>
            <b/>
            <sz val="9"/>
            <color indexed="81"/>
            <rFont val="Tahoma"/>
            <family val="2"/>
          </rPr>
          <t>Bruyns Fred H:</t>
        </r>
        <r>
          <rPr>
            <sz val="9"/>
            <color indexed="81"/>
            <rFont val="Tahoma"/>
            <family val="2"/>
          </rPr>
          <t xml:space="preserve">
Programming note: 80 degrees of pronation of elbow joint is considered maximum normal. See OAR 436-035-0100.</t>
        </r>
      </text>
    </comment>
    <comment ref="V576" authorId="1" shapeId="0" xr:uid="{0F506347-9A5E-47FE-B71B-6ADD217B00B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6" authorId="1" shapeId="0" xr:uid="{281262EC-528A-4555-9E58-532717DBD63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77" authorId="1" shapeId="0" xr:uid="{2AF48200-A630-43C4-A2B1-A8C6586B3BC0}">
      <text>
        <r>
          <rPr>
            <b/>
            <sz val="9"/>
            <color indexed="81"/>
            <rFont val="Tahoma"/>
            <family val="2"/>
          </rPr>
          <t>Bruyns Fred H:</t>
        </r>
        <r>
          <rPr>
            <sz val="9"/>
            <color indexed="81"/>
            <rFont val="Tahoma"/>
            <family val="2"/>
          </rPr>
          <t xml:space="preserve">
Programming note: 80 degrees of pronation ankylosis of the elbow joint is considered maximum loss. See OAR 436-035-0100.</t>
        </r>
      </text>
    </comment>
    <comment ref="S602" authorId="1" shapeId="0" xr:uid="{848DCECA-C13C-4181-BA7B-A16CE817D86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2" authorId="1" shapeId="0" xr:uid="{12C8FB15-59B4-45A1-8386-A1D03719ADE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602" authorId="1" shapeId="0" xr:uid="{8D4B5A85-AB7A-43F0-926B-CF3BD778617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E604" authorId="1" shapeId="0" xr:uid="{ECE054A1-4573-49FE-A302-ED87DFCB4650}">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613" authorId="1" shapeId="0" xr:uid="{3CCC9993-F36E-42A3-B18D-D870408C9888}">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614" authorId="1" shapeId="0" xr:uid="{92D1BA0B-87BE-4C1D-B5EB-61AD64A3F984}">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U626" authorId="1" shapeId="0" xr:uid="{72615EBF-2C75-4E00-A1B2-1FFC78C74190}">
      <text>
        <r>
          <rPr>
            <b/>
            <sz val="9"/>
            <color indexed="81"/>
            <rFont val="Tahoma"/>
            <family val="2"/>
          </rPr>
          <t>Bruyns Fred H:</t>
        </r>
        <r>
          <rPr>
            <sz val="9"/>
            <color indexed="81"/>
            <rFont val="Tahoma"/>
            <family val="2"/>
          </rPr>
          <t xml:space="preserve">
programming note: Only if arm impairment is present is the hand/forearm value converted to an arm value.</t>
        </r>
      </text>
    </comment>
    <comment ref="C634" authorId="1" shapeId="0" xr:uid="{E9F8FCED-F562-47EF-B1EA-A832299C7735}">
      <text>
        <r>
          <rPr>
            <b/>
            <sz val="9"/>
            <color indexed="81"/>
            <rFont val="Tahoma"/>
            <family val="2"/>
          </rPr>
          <t>Bruyns Fred H:</t>
        </r>
        <r>
          <rPr>
            <sz val="9"/>
            <color indexed="81"/>
            <rFont val="Tahoma"/>
            <family val="2"/>
          </rPr>
          <t xml:space="preserve">
Programming note: This date is copied in from the "Start here" worksheet.</t>
        </r>
      </text>
    </comment>
    <comment ref="R636" authorId="1" shapeId="0" xr:uid="{0BB4F7E5-1CCF-47CD-8A37-7E976333E4C2}">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1" authorId="0" shapeId="0" xr:uid="{5B48FBA3-C54D-44B1-B02D-B1287092988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S2" authorId="0" shapeId="0" xr:uid="{68391336-1505-48F3-8E7C-69CFAAF099C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T7" authorId="0" shapeId="0" xr:uid="{8E2447D3-D1C6-4EB5-9D95-D691E426DB78}">
      <text>
        <r>
          <rPr>
            <b/>
            <sz val="9"/>
            <color indexed="81"/>
            <rFont val="Tahoma"/>
            <family val="2"/>
          </rPr>
          <t xml:space="preserve">Fred Bruyns:
</t>
        </r>
        <r>
          <rPr>
            <sz val="9"/>
            <color indexed="81"/>
            <rFont val="Tahoma"/>
            <family val="2"/>
          </rPr>
          <t>Descriptions in the chart to the right are used in a pull-down menu below "Great toe amputation." The percentages correspond to the extent of amputation per OAR 436-035-0140.</t>
        </r>
      </text>
    </comment>
    <comment ref="S13" authorId="1" shapeId="0" xr:uid="{5B12B95A-EE36-4CE0-B0B9-AD342C734698}">
      <text>
        <r>
          <rPr>
            <b/>
            <sz val="9"/>
            <color indexed="81"/>
            <rFont val="Tahoma"/>
            <family val="2"/>
          </rPr>
          <t>Bruyns Fred H:</t>
        </r>
        <r>
          <rPr>
            <sz val="9"/>
            <color indexed="81"/>
            <rFont val="Tahoma"/>
            <family val="2"/>
          </rPr>
          <t xml:space="preserve">
Programming note: 30 degrees of plantarflexion of IP joint is considered normal - no impairment. See OAR 436-035-0150.</t>
        </r>
      </text>
    </comment>
    <comment ref="T13" authorId="1" shapeId="0" xr:uid="{3A38377C-3E0B-468E-AC56-B65F6FDFDA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63A4073C-352F-4A74-984B-5E946F0F65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A4F1F05C-5C02-425E-B6AE-58C3FFB1AC0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 authorId="1" shapeId="0" xr:uid="{52D19011-B446-4F3D-8BC3-83EA810F38D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E14" authorId="1" shapeId="0" xr:uid="{3B20D4C1-FC48-476A-AB27-FE9AEF470CE1}">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4" authorId="1" shapeId="0" xr:uid="{65D1C195-A6FA-462B-847D-69F487B573C2}">
      <text>
        <r>
          <rPr>
            <b/>
            <sz val="9"/>
            <color indexed="81"/>
            <rFont val="Tahoma"/>
            <family val="2"/>
          </rPr>
          <t>Bruyns Fred H:</t>
        </r>
        <r>
          <rPr>
            <sz val="9"/>
            <color indexed="81"/>
            <rFont val="Tahoma"/>
            <family val="2"/>
          </rPr>
          <t xml:space="preserve">
Programming note:30 degrees of ankylosis of IP joint is considered maximum loss. See OAR 436-035-0150.</t>
        </r>
      </text>
    </comment>
    <comment ref="T14" authorId="1" shapeId="0" xr:uid="{ABC8314B-37F3-48B1-836C-CA33B0DC91A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6" authorId="1" shapeId="0" xr:uid="{9314C339-20AF-40F3-A4A6-AC6589A2E9D3}">
      <text>
        <r>
          <rPr>
            <b/>
            <sz val="9"/>
            <color indexed="81"/>
            <rFont val="Tahoma"/>
            <family val="2"/>
          </rPr>
          <t>Bruyns Fred H:</t>
        </r>
        <r>
          <rPr>
            <sz val="9"/>
            <color indexed="81"/>
            <rFont val="Tahoma"/>
            <family val="2"/>
          </rPr>
          <t xml:space="preserve">
Programming note: 50 degrees of dorsiflexion of MP joint is considered normal - no impairment. See OAR 436-035-0150.</t>
        </r>
      </text>
    </comment>
    <comment ref="T16" authorId="1" shapeId="0" xr:uid="{3529C650-2307-4CD5-B6DC-65030CB5C39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 authorId="1" shapeId="0" xr:uid="{3DDB19B5-32F5-454C-95D8-774517958D3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 authorId="1" shapeId="0" xr:uid="{9A111E7A-D408-4F9C-85FE-2562D99CE83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6" authorId="1" shapeId="0" xr:uid="{3756E4FC-896B-42EC-B88C-71074B7B002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E17" authorId="1" shapeId="0" xr:uid="{89D4F77E-2EEF-4962-A641-19A995A556C2}">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 authorId="1" shapeId="0" xr:uid="{682E2F12-555B-4320-9456-EC289B9A738B}">
      <text>
        <r>
          <rPr>
            <b/>
            <sz val="9"/>
            <color indexed="81"/>
            <rFont val="Tahoma"/>
            <family val="2"/>
          </rPr>
          <t>Bruyns Fred H:</t>
        </r>
        <r>
          <rPr>
            <sz val="9"/>
            <color indexed="81"/>
            <rFont val="Tahoma"/>
            <family val="2"/>
          </rPr>
          <t xml:space="preserve">
Programming note: 50 degrees of dorsiflexion ankylosis of MP joint is considered maximum loss. See OAR 436-035-0150.</t>
        </r>
      </text>
    </comment>
    <comment ref="T17" authorId="1" shapeId="0" xr:uid="{B2B416E3-8781-40A2-AF7B-0AD5EE7CA26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 authorId="1" shapeId="0" xr:uid="{FEE418F5-9D21-45E2-864D-9370351510B0}">
      <text>
        <r>
          <rPr>
            <b/>
            <sz val="9"/>
            <color indexed="81"/>
            <rFont val="Tahoma"/>
            <family val="2"/>
          </rPr>
          <t>Bruyns Fred H:</t>
        </r>
        <r>
          <rPr>
            <sz val="9"/>
            <color indexed="81"/>
            <rFont val="Tahoma"/>
            <family val="2"/>
          </rPr>
          <t xml:space="preserve">
Programming note: 30 degrees of plantarflexion of MP joint is considered normal - no impairment. See OAR 436-035-0150.</t>
        </r>
      </text>
    </comment>
    <comment ref="T18" authorId="1" shapeId="0" xr:uid="{EE08A5A6-9AF2-4C9C-B0F6-488A365A5F5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28B2F865-6F38-45CE-962B-C14E368EC7F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FFD117C4-3FD6-495D-AAC9-D6E43AC3BE1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8" authorId="1" shapeId="0" xr:uid="{61B780EF-2519-49C4-801C-BAF6A6BDCD0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8" authorId="1" shapeId="0" xr:uid="{853F0C47-0236-419B-9AA3-00E57E0C7BB2}">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8" authorId="1" shapeId="0" xr:uid="{52A5184E-6FDD-4577-8E5B-27338185447B}">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8" authorId="1" shapeId="0" xr:uid="{6F46495E-9872-4328-AAA5-996E649087A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8" authorId="1" shapeId="0" xr:uid="{4CE316D5-35D7-4538-BCA8-0E5E689290C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 authorId="1" shapeId="0" xr:uid="{BDABF006-B30C-47F9-9A88-2273F91A9475}">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9" authorId="1" shapeId="0" xr:uid="{B1976F86-6EB5-4C12-82C4-625CC6A4A5AC}">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436-035-0150.</t>
        </r>
      </text>
    </comment>
    <comment ref="T19" authorId="1" shapeId="0" xr:uid="{BDFB4CEE-C582-4324-ADD7-EC3177BC8F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20" authorId="1" shapeId="0" xr:uid="{B925ADBF-428D-47D5-B155-5528ED012BCF}">
      <text>
        <r>
          <rPr>
            <b/>
            <sz val="9"/>
            <color indexed="81"/>
            <rFont val="Tahoma"/>
            <family val="2"/>
          </rPr>
          <t>Bruyns Fred H:</t>
        </r>
        <r>
          <rPr>
            <sz val="9"/>
            <color indexed="81"/>
            <rFont val="Tahoma"/>
            <family val="2"/>
          </rPr>
          <t xml:space="preserve">
Programming note: If multiple ankylosis values, use the higher of the two.</t>
        </r>
      </text>
    </comment>
    <comment ref="S23" authorId="1" shapeId="0" xr:uid="{3B5D4403-498D-4E91-BD3B-1A0FB590C95B}">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28" authorId="1" shapeId="0" xr:uid="{7E51DBBD-E208-4717-909A-6F95F662176A}">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33" authorId="1" shapeId="0" xr:uid="{592BC210-567B-481E-BED0-BCEFEEE55279}">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3" authorId="1" shapeId="0" xr:uid="{C67A5A8F-9475-423E-A5A8-EB6589CEE33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3" authorId="1" shapeId="0" xr:uid="{C875D528-C0FE-40B6-8698-C0994DD9B98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3" authorId="1" shapeId="0" xr:uid="{B4CAADBE-5C7D-4311-9EE6-C006C3D0D1E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35" authorId="1" shapeId="0" xr:uid="{AB8A4D4F-05EB-48C7-B4BA-7715DD101FF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45" authorId="0" shapeId="0" xr:uid="{01486752-5E6A-483D-9031-C0C4170F7BFA}">
      <text>
        <r>
          <rPr>
            <b/>
            <sz val="9"/>
            <color indexed="81"/>
            <rFont val="Tahoma"/>
            <family val="2"/>
          </rPr>
          <t xml:space="preserve">Fred Bruyns:
</t>
        </r>
        <r>
          <rPr>
            <sz val="9"/>
            <color indexed="81"/>
            <rFont val="Tahoma"/>
            <family val="2"/>
          </rPr>
          <t>Descriptions in the chart to the right are used in a pull-down menu below "Second toe amputation." The percentages correspond to the extent of amputation per OAR 436-035-0140.</t>
        </r>
      </text>
    </comment>
    <comment ref="R49" authorId="1" shapeId="0" xr:uid="{D0C1DB4B-912C-46FD-8EAF-C11B5918516E}">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54" authorId="1" shapeId="0" xr:uid="{867DB256-909D-48CD-8B32-02C933C0E95F}">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54" authorId="1" shapeId="0" xr:uid="{BB1EB34E-01B4-417E-869A-49C10A6E4D6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4" authorId="1" shapeId="0" xr:uid="{B0D0CAA4-DDD3-4F97-9D48-D780DE9E8AB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4" authorId="1" shapeId="0" xr:uid="{E8C113FD-C583-4EB2-A8E8-38F72B142CD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4" authorId="1" shapeId="0" xr:uid="{1CEFE266-70DF-4977-8546-047D6D9286A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55" authorId="1" shapeId="0" xr:uid="{F1217045-3A1D-44A9-820A-F46BFE4AA8C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5" authorId="1" shapeId="0" xr:uid="{20D3737B-95CD-41D1-AD01-63E012173702}">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55" authorId="1" shapeId="0" xr:uid="{CD5F366F-BB97-41C3-B15B-160890AB674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56" authorId="1" shapeId="0" xr:uid="{211D5204-71EF-4423-9D14-E6B6B18E47F1}">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56" authorId="1" shapeId="0" xr:uid="{BB0C7BED-09BA-46A3-B6EE-8311A8C3460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6" authorId="1" shapeId="0" xr:uid="{BDC8FA5A-4ADE-422C-97C1-564ADACD38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6" authorId="1" shapeId="0" xr:uid="{FA54E385-D6CE-4C6A-9BAD-7BB61BF4F84E}">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6" authorId="1" shapeId="0" xr:uid="{4DCCE062-9066-445B-A2C9-F611BEA9481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56" authorId="1" shapeId="0" xr:uid="{EB95BBA7-52E9-44B1-A1F9-44EF48FDF269}">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56" authorId="1" shapeId="0" xr:uid="{1D6464C1-CFFA-4411-A0C8-AB36C05F3B03}">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6" authorId="1" shapeId="0" xr:uid="{4CA0570B-AF2C-4E50-AE22-7A37BCDECE77}">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56" authorId="1" shapeId="0" xr:uid="{0A60185B-086B-4218-B3AE-B88D6491422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7" authorId="1" shapeId="0" xr:uid="{3BC52254-3175-4217-96DD-9E586DCDC966}">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7" authorId="1" shapeId="0" xr:uid="{6721269C-EF2A-4DB2-A879-5F05A0BD64B7}">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57" authorId="1" shapeId="0" xr:uid="{B982763A-6835-4B08-8168-1C03A45765F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58" authorId="1" shapeId="0" xr:uid="{1171653C-5D34-4968-B4AB-A589285FBF84}">
      <text>
        <r>
          <rPr>
            <b/>
            <sz val="9"/>
            <color indexed="81"/>
            <rFont val="Tahoma"/>
            <family val="2"/>
          </rPr>
          <t>Bruyns Fred H:</t>
        </r>
        <r>
          <rPr>
            <sz val="9"/>
            <color indexed="81"/>
            <rFont val="Tahoma"/>
            <family val="2"/>
          </rPr>
          <t xml:space="preserve">
Programming note: If multiple ankylosis values, use the higher of the two.</t>
        </r>
      </text>
    </comment>
    <comment ref="S61" authorId="1" shapeId="0" xr:uid="{48A77897-2E90-4C18-AEB0-183D57B7B66F}">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66" authorId="1" shapeId="0" xr:uid="{A00733A4-350A-4C8A-B0A8-6FAAE6723AF2}">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72" authorId="1" shapeId="0" xr:uid="{689F5289-CEE7-4700-870D-71D86F1F603B}">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72" authorId="1" shapeId="0" xr:uid="{303BB84B-5753-4661-A04F-062E4B57FE0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72" authorId="1" shapeId="0" xr:uid="{FA2C21B9-F071-4F3E-924F-2BFBDF683D7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72" authorId="1" shapeId="0" xr:uid="{29CE45BB-E8B6-44C8-9763-454006795A8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74" authorId="1" shapeId="0" xr:uid="{DA2B4DD6-B2E9-42A7-9532-E138667BC020}">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85" authorId="0" shapeId="0" xr:uid="{E71C08EC-FB9A-4B56-8DCD-FE9FFB67B8D7}">
      <text>
        <r>
          <rPr>
            <b/>
            <sz val="9"/>
            <color indexed="81"/>
            <rFont val="Tahoma"/>
            <family val="2"/>
          </rPr>
          <t xml:space="preserve">Fred Bruyns:
</t>
        </r>
        <r>
          <rPr>
            <sz val="9"/>
            <color indexed="81"/>
            <rFont val="Tahoma"/>
            <family val="2"/>
          </rPr>
          <t>Descriptions in the chart to the right are used in a pull-down menu below "Third toe amputation." The percentages correspond to the extent of amputation per OAR 436-035-0140.</t>
        </r>
      </text>
    </comment>
    <comment ref="R89" authorId="1" shapeId="0" xr:uid="{FB9D292B-1BFB-4095-9F5C-88155A699C5A}">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94" authorId="1" shapeId="0" xr:uid="{27947656-A3C1-45F1-969A-42FF536A3807}">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94" authorId="1" shapeId="0" xr:uid="{C8CC763F-5AB7-42D2-B4E2-8109192E4C3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4" authorId="1" shapeId="0" xr:uid="{995A6A28-6674-47CA-9913-3AB4F093894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4" authorId="1" shapeId="0" xr:uid="{8D5AEAF8-460D-4CD5-8265-1A7018827AC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4" authorId="1" shapeId="0" xr:uid="{4D2B7768-9B67-404E-B69F-194576D5C4D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95" authorId="1" shapeId="0" xr:uid="{115102B0-1C55-44E4-B237-19C4FEB2D42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5" authorId="1" shapeId="0" xr:uid="{3A302A12-7957-4661-8EC3-CEF05EAF86C7}">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95" authorId="1" shapeId="0" xr:uid="{84C6DA58-E1C2-43AE-99AC-8AC4B1FC92F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6" authorId="1" shapeId="0" xr:uid="{B9784FD4-D0F1-4C70-9E28-6E4B1CC407E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96" authorId="1" shapeId="0" xr:uid="{7E46142D-167E-4967-AA2D-24E9D90A10D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1C2DAB7C-4291-4BE7-803F-993AF79FF31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96B4524B-2991-4159-9C86-D760821CE73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6" authorId="1" shapeId="0" xr:uid="{92E341C9-7E27-45AD-B179-6024A4DB0B3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96" authorId="1" shapeId="0" xr:uid="{F272AF1C-DA04-41A5-8F6D-311F913BF4BE}">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96" authorId="1" shapeId="0" xr:uid="{61402193-A2C1-49C8-85EF-CAF2DBB6B43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96" authorId="1" shapeId="0" xr:uid="{E8446812-D584-4F93-BA09-EAA1FB627E6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96" authorId="1" shapeId="0" xr:uid="{1BC65348-C502-453E-B20A-F596F29AE48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97" authorId="1" shapeId="0" xr:uid="{742064F8-63A7-4FD1-B317-BFA4BDDFE2F5}">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C804C0B1-F9E8-4624-A929-67A575B688DB}">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97" authorId="1" shapeId="0" xr:uid="{A5D1381A-F85E-406C-8E7D-7EDFD702E82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98" authorId="1" shapeId="0" xr:uid="{A677451B-0D2C-4F4E-A667-71F5D4DFCDF7}">
      <text>
        <r>
          <rPr>
            <b/>
            <sz val="9"/>
            <color indexed="81"/>
            <rFont val="Tahoma"/>
            <family val="2"/>
          </rPr>
          <t>Bruyns Fred H:</t>
        </r>
        <r>
          <rPr>
            <sz val="9"/>
            <color indexed="81"/>
            <rFont val="Tahoma"/>
            <family val="2"/>
          </rPr>
          <t xml:space="preserve">
Programming note: This is sum of impairment for MP joint.</t>
        </r>
      </text>
    </comment>
    <comment ref="W98" authorId="1" shapeId="0" xr:uid="{7FB433B3-AFFE-4192-BEF5-D1715F974B88}">
      <text>
        <r>
          <rPr>
            <b/>
            <sz val="9"/>
            <color indexed="81"/>
            <rFont val="Tahoma"/>
            <family val="2"/>
          </rPr>
          <t>Bruyns Fred H:</t>
        </r>
        <r>
          <rPr>
            <sz val="9"/>
            <color indexed="81"/>
            <rFont val="Tahoma"/>
            <family val="2"/>
          </rPr>
          <t xml:space="preserve">
Programming note: If multiple ankylosis values, use the higher of the two.</t>
        </r>
      </text>
    </comment>
    <comment ref="S101" authorId="1" shapeId="0" xr:uid="{5F8C6072-BB63-47ED-89D1-92D043AE6D61}">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06" authorId="1" shapeId="0" xr:uid="{614D06A4-BA68-477D-AB38-CE30CD924568}">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12" authorId="1" shapeId="0" xr:uid="{01D16CD2-E6DC-48BB-8A7A-5043A56C33E6}">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12" authorId="1" shapeId="0" xr:uid="{A39D96F3-2D73-4D84-A812-697A13E945F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12" authorId="1" shapeId="0" xr:uid="{122B7533-3ED7-41B0-85B2-AB52302EBD9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12" authorId="1" shapeId="0" xr:uid="{3013E777-B400-493A-8F3A-A813B6EF009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14" authorId="1" shapeId="0" xr:uid="{3A8D920D-4BEF-4A48-96F4-347E2D7E1F22}">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25" authorId="0" shapeId="0" xr:uid="{9F8A3B38-12C7-4D6E-BCB5-8ABCAC59BAAB}">
      <text>
        <r>
          <rPr>
            <b/>
            <sz val="9"/>
            <color indexed="81"/>
            <rFont val="Tahoma"/>
            <family val="2"/>
          </rPr>
          <t xml:space="preserve">Fred Bruyns:
</t>
        </r>
        <r>
          <rPr>
            <sz val="9"/>
            <color indexed="81"/>
            <rFont val="Tahoma"/>
            <family val="2"/>
          </rPr>
          <t>Descriptions in the chart to the right are used in a pull-down menu below Fourth toe amputation." The percentages correspond to the extent of amputation per OAR 436-035-0140.</t>
        </r>
      </text>
    </comment>
    <comment ref="R129" authorId="1" shapeId="0" xr:uid="{2F166ABB-EB2B-4EB8-876E-A92916DE0849}">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134" authorId="1" shapeId="0" xr:uid="{7A11A6A1-7116-464D-B2CC-01AEC25AD294}">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34" authorId="1" shapeId="0" xr:uid="{B40F683A-D919-4AA4-AEBB-43C15EB8D4C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4" authorId="1" shapeId="0" xr:uid="{016AF80A-F610-4921-9966-4D27DFA0F0E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4" authorId="1" shapeId="0" xr:uid="{BB1CBDF2-651A-43F1-A6E6-BC7DF10B076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4" authorId="1" shapeId="0" xr:uid="{95D1F632-83A1-4995-A9B6-2EB88C60BE8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35" authorId="1" shapeId="0" xr:uid="{927978FC-FA5F-45FA-BA9A-68911E0234A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5" authorId="1" shapeId="0" xr:uid="{25C28CE3-3801-4B7B-9DA5-31D601600DEB}">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35" authorId="1" shapeId="0" xr:uid="{DABC46B4-26D1-43E4-9A43-F3F429EFCD4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6" authorId="1" shapeId="0" xr:uid="{B85EE544-D9A7-4F88-A117-E401B155653F}">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36" authorId="1" shapeId="0" xr:uid="{0C062FBC-649D-484F-92C4-DB6F639CEC1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6" authorId="1" shapeId="0" xr:uid="{F201EBDF-018E-405C-8F72-2D66A6F5F36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6" authorId="1" shapeId="0" xr:uid="{AFA6A886-C93F-4843-9218-E44917A5C35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6" authorId="1" shapeId="0" xr:uid="{590BD009-3B57-4214-89FC-6BC043EC77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36" authorId="1" shapeId="0" xr:uid="{1C670F0E-2B50-4EBD-BFE0-9D283184A1BB}">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36" authorId="1" shapeId="0" xr:uid="{11D8FA3E-D08E-441E-B4E6-45AB7D75835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36" authorId="1" shapeId="0" xr:uid="{E68020CF-4176-4868-B42B-EB01562484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36" authorId="1" shapeId="0" xr:uid="{9559E730-8A97-4160-90BC-FBE7E0FC9D8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37" authorId="1" shapeId="0" xr:uid="{20694432-A650-433B-BD6A-F5F98FD787E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7" authorId="1" shapeId="0" xr:uid="{1CDB0237-F9C9-4E8A-9748-9ADCF0D8E9EC}">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37" authorId="1" shapeId="0" xr:uid="{8B9C0E09-E914-4ACE-A0AC-D94BAA8A3D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138" authorId="1" shapeId="0" xr:uid="{688E62A9-E975-49A0-992F-42A5CC34BF3B}">
      <text>
        <r>
          <rPr>
            <b/>
            <sz val="9"/>
            <color indexed="81"/>
            <rFont val="Tahoma"/>
            <family val="2"/>
          </rPr>
          <t>Bruyns Fred H:</t>
        </r>
        <r>
          <rPr>
            <sz val="9"/>
            <color indexed="81"/>
            <rFont val="Tahoma"/>
            <family val="2"/>
          </rPr>
          <t xml:space="preserve">
Programming note: This is sum of impairment for MP joint.</t>
        </r>
      </text>
    </comment>
    <comment ref="W138" authorId="1" shapeId="0" xr:uid="{9D7C6610-085C-4827-A118-D83DBF707852}">
      <text>
        <r>
          <rPr>
            <b/>
            <sz val="9"/>
            <color indexed="81"/>
            <rFont val="Tahoma"/>
            <family val="2"/>
          </rPr>
          <t>Bruyns Fred H:</t>
        </r>
        <r>
          <rPr>
            <sz val="9"/>
            <color indexed="81"/>
            <rFont val="Tahoma"/>
            <family val="2"/>
          </rPr>
          <t xml:space="preserve">
Programming note: If multiple ankylosis values, use the higher of the two.</t>
        </r>
      </text>
    </comment>
    <comment ref="S141" authorId="1" shapeId="0" xr:uid="{A5028941-FA39-4AB4-B669-1E3280A7872B}">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46" authorId="1" shapeId="0" xr:uid="{F8F167A1-2FBE-40E4-9754-E329FF155962}">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52" authorId="1" shapeId="0" xr:uid="{055BC35E-94A8-4437-8D44-89A3EC09C02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52" authorId="1" shapeId="0" xr:uid="{79143F0A-F682-4BCD-BCA1-2188F1C7348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52" authorId="1" shapeId="0" xr:uid="{DF884B6B-2722-42E7-A262-51F478CD6F7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52" authorId="1" shapeId="0" xr:uid="{2201CFFF-141D-488D-8E57-FE488A1B59E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54" authorId="1" shapeId="0" xr:uid="{5D8F11B6-19E3-4E3F-ACFB-AABC4DB3FCC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65" authorId="0" shapeId="0" xr:uid="{934A8D23-CAF9-4F62-8DBB-D4D49E5CFA6F}">
      <text>
        <r>
          <rPr>
            <b/>
            <sz val="9"/>
            <color indexed="81"/>
            <rFont val="Tahoma"/>
            <family val="2"/>
          </rPr>
          <t xml:space="preserve">Fred Bruyns:
</t>
        </r>
        <r>
          <rPr>
            <sz val="9"/>
            <color indexed="81"/>
            <rFont val="Tahoma"/>
            <family val="2"/>
          </rPr>
          <t>Descriptions in the chart to the right are used in a pull-down menu below Fifth toe amputation." The percentages correspond to the extent of amputation per OAR 436-035-0140.</t>
        </r>
      </text>
    </comment>
    <comment ref="R169" authorId="1" shapeId="0" xr:uid="{630EBD5B-D0FC-468F-8056-044D0DA7EF0A}">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174" authorId="1" shapeId="0" xr:uid="{24B74F50-C960-431C-A14D-0A42347EE48C}">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74" authorId="1" shapeId="0" xr:uid="{4A0F8A91-C3AE-4330-BEC0-D05E621904E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4" authorId="1" shapeId="0" xr:uid="{43B506F4-E547-4643-9153-DC11A5EC0A6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4" authorId="1" shapeId="0" xr:uid="{9A1BFADB-1DB3-4FF9-8988-46A91DB5E49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4" authorId="1" shapeId="0" xr:uid="{88DAE720-9BF9-4AF3-A02D-4E0D7887C23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75" authorId="1" shapeId="0" xr:uid="{D6ADAE60-ECDE-465A-8D89-EF1333ABFBB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5" authorId="1" shapeId="0" xr:uid="{C8B55C77-9CA1-4A5C-9E3D-4A1146A9268C}">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75" authorId="1" shapeId="0" xr:uid="{49F49608-4ED5-413E-93AB-A42F78D9B8A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6" authorId="1" shapeId="0" xr:uid="{8D410849-F671-4442-96F0-A74315452D83}">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76" authorId="1" shapeId="0" xr:uid="{65423E48-3E2B-400B-A0CD-2C3BF6731F8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B21E8C9E-28B0-44D3-9C1E-DA86B3F8FAD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AD8E0F94-B9A4-4A2E-AB09-510ED1F2536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6" authorId="1" shapeId="0" xr:uid="{60C615D2-6BAB-4A39-88AB-116C71676FB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76" authorId="1" shapeId="0" xr:uid="{70EA6EC2-0527-448F-9C19-7263F77DE409}">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76" authorId="1" shapeId="0" xr:uid="{21D99ED1-F4AA-48C7-842C-F937FAB4470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76" authorId="1" shapeId="0" xr:uid="{6CC617FC-892C-4EA7-83B7-F3D3B1BBD7B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76" authorId="1" shapeId="0" xr:uid="{E2F35A7A-F0A1-4A40-A423-084E78DD422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77" authorId="1" shapeId="0" xr:uid="{0597C03D-E0DD-4155-BDA2-D8DDC0053FD7}">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7" authorId="1" shapeId="0" xr:uid="{FF1C6EEA-4731-4182-B675-9B85DA745D79}">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77" authorId="1" shapeId="0" xr:uid="{FA48AD65-562C-4002-9ECB-9BD04B009C2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178" authorId="1" shapeId="0" xr:uid="{E62C3955-31F9-4A4E-842D-5D38793F93F5}">
      <text>
        <r>
          <rPr>
            <b/>
            <sz val="9"/>
            <color indexed="81"/>
            <rFont val="Tahoma"/>
            <family val="2"/>
          </rPr>
          <t>Bruyns Fred H:</t>
        </r>
        <r>
          <rPr>
            <sz val="9"/>
            <color indexed="81"/>
            <rFont val="Tahoma"/>
            <family val="2"/>
          </rPr>
          <t xml:space="preserve">
Programming note: This is sum of impairment for MP joint.</t>
        </r>
      </text>
    </comment>
    <comment ref="W178" authorId="1" shapeId="0" xr:uid="{A27D4309-A45B-4952-B8AF-68710716084A}">
      <text>
        <r>
          <rPr>
            <b/>
            <sz val="9"/>
            <color indexed="81"/>
            <rFont val="Tahoma"/>
            <family val="2"/>
          </rPr>
          <t>Bruyns Fred H:</t>
        </r>
        <r>
          <rPr>
            <sz val="9"/>
            <color indexed="81"/>
            <rFont val="Tahoma"/>
            <family val="2"/>
          </rPr>
          <t xml:space="preserve">
Programming note: If multiple ankylosis values, use the higher of the two.</t>
        </r>
      </text>
    </comment>
    <comment ref="S181" authorId="1" shapeId="0" xr:uid="{5312BD5B-1771-4CEF-9F59-320A81687215}">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86" authorId="1" shapeId="0" xr:uid="{4AB9A041-181F-43CF-B322-7C626220A3C1}">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92" authorId="1" shapeId="0" xr:uid="{D1933D4D-9438-4DA0-8AA6-3F0578AE9577}">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92" authorId="1" shapeId="0" xr:uid="{A36C1609-5269-4CCA-B58E-447E521AD49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92" authorId="1" shapeId="0" xr:uid="{084E6A5F-66BA-4112-AE4A-26257525A8F5}">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92" authorId="1" shapeId="0" xr:uid="{93C484D2-44B8-4A23-814B-048A8A42F94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4" authorId="1" shapeId="0" xr:uid="{32C52488-0E50-47E2-A7FD-65994C587B5E}">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R207" authorId="1" shapeId="0" xr:uid="{3F746F41-92C6-4963-A48C-867DBE7CDAF1}">
      <text>
        <r>
          <rPr>
            <b/>
            <sz val="9"/>
            <color indexed="81"/>
            <rFont val="Tahoma"/>
            <family val="2"/>
          </rPr>
          <t>Bruyns Fred H:</t>
        </r>
        <r>
          <rPr>
            <sz val="9"/>
            <color indexed="81"/>
            <rFont val="Tahoma"/>
            <family val="2"/>
          </rPr>
          <t xml:space="preserve">
Programming note: The chart at the right is used for a pull-down menu under "Amputation of the right foot."</t>
        </r>
      </text>
    </comment>
    <comment ref="P208" authorId="1" shapeId="0" xr:uid="{38A271B7-9D6F-4DBE-A762-DB9DA36F04B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09" authorId="1" shapeId="0" xr:uid="{2A0556CA-A4DC-4C1F-9453-0A366985CE93}">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0" authorId="1" shapeId="0" xr:uid="{C2F08155-22AA-4310-B9CB-0BF9E3A5A4D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1" authorId="1" shapeId="0" xr:uid="{DEB9E5B9-8B00-4E64-B8C8-6AA902AC4B2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T211" authorId="1" shapeId="0" xr:uid="{F19BCF2A-CC48-4EF5-A5AE-8FC4CF93C5C1}">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metatarsal amputation data. </t>
        </r>
      </text>
    </comment>
    <comment ref="P212" authorId="1" shapeId="0" xr:uid="{6EB5CBB3-8F56-4AD5-B25F-13B127CBACB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5" authorId="1" shapeId="0" xr:uid="{BDEDB852-BC86-4A29-B057-A1944A158131}">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6" authorId="1" shapeId="0" xr:uid="{085E53C2-CC09-4505-AAF5-01B022C8976D}">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7" authorId="1" shapeId="0" xr:uid="{D29308DE-4B14-4EBA-8E72-CC3F73F3883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8" authorId="1" shapeId="0" xr:uid="{C5C997A2-2652-44D5-99D5-39451B3FD24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T218" authorId="1" shapeId="0" xr:uid="{E5BEE58F-7EB6-415F-97D9-FB56AD942507}">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tarsometatarsal amputation data. </t>
        </r>
      </text>
    </comment>
    <comment ref="P219" authorId="1" shapeId="0" xr:uid="{FBDBC8A2-D536-4355-9C42-B811E74FA7B6}">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Y221" authorId="1" shapeId="0" xr:uid="{FA40BF86-1D5E-4E2D-BE33-69712AFE598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1" authorId="1" shapeId="0" xr:uid="{4238E7D1-1C38-4CDE-B52F-5913656B6D4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S222" authorId="1" shapeId="0" xr:uid="{13447DDF-0BEC-4A67-9EAE-56A78BA272F5}">
      <text>
        <r>
          <rPr>
            <b/>
            <sz val="9"/>
            <color indexed="81"/>
            <rFont val="Tahoma"/>
            <family val="2"/>
          </rPr>
          <t>Bruyns Fred H:</t>
        </r>
        <r>
          <rPr>
            <sz val="9"/>
            <color indexed="81"/>
            <rFont val="Tahoma"/>
            <family val="2"/>
          </rPr>
          <t xml:space="preserve">
Programming note: 30 degrees of subtalar inversion of the foot is considered normal - no impairment. See OAR 436-035-0190.</t>
        </r>
      </text>
    </comment>
    <comment ref="T222" authorId="1" shapeId="0" xr:uid="{648BD31B-1028-41B3-B746-86C85643BB4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2" authorId="1" shapeId="0" xr:uid="{82B5CFAA-CF68-40CD-B4D2-D0E7D5DB21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2" authorId="1" shapeId="0" xr:uid="{D9F9DF90-7854-431F-964A-A3FDEFE81E16}">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2" authorId="1" shapeId="0" xr:uid="{5BC062D3-C239-4631-9BE9-9956CCE4D0F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223" authorId="1" shapeId="0" xr:uid="{AE58ACBB-5A86-4065-92F4-DC4D33690D1C}">
      <text>
        <r>
          <rPr>
            <b/>
            <sz val="9"/>
            <color indexed="81"/>
            <rFont val="Tahoma"/>
            <family val="2"/>
          </rPr>
          <t>Bruyns Fred H:</t>
        </r>
        <r>
          <rPr>
            <sz val="9"/>
            <color indexed="81"/>
            <rFont val="Tahoma"/>
            <family val="2"/>
          </rPr>
          <t xml:space="preserve">
Programming note: 30 degrees of inversion ankylosis of the foot is considered maximum loss. See OAR 436-035-0190.</t>
        </r>
      </text>
    </comment>
    <comment ref="T223" authorId="1" shapeId="0" xr:uid="{99327EAA-19CE-4104-8F2D-1E9B6FF09DA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24" authorId="1" shapeId="0" xr:uid="{1C878134-6B99-43D3-A3E8-97857FC3CAE4}">
      <text>
        <r>
          <rPr>
            <b/>
            <sz val="9"/>
            <color indexed="81"/>
            <rFont val="Tahoma"/>
            <family val="2"/>
          </rPr>
          <t>Bruyns Fred H:</t>
        </r>
        <r>
          <rPr>
            <sz val="9"/>
            <color indexed="81"/>
            <rFont val="Tahoma"/>
            <family val="2"/>
          </rPr>
          <t xml:space="preserve">
Programming note: 20 degrees of subtalar eversion of the foot is considered normal - no impairment. See OAR 436-035-0190.</t>
        </r>
      </text>
    </comment>
    <comment ref="T224" authorId="1" shapeId="0" xr:uid="{C0C4C169-A43E-4BB8-AA04-543B68DCC5F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4" authorId="1" shapeId="0" xr:uid="{FE0CA981-7CAB-4A35-AA06-B6B040AA391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4" authorId="1" shapeId="0" xr:uid="{12281B8E-130E-4B63-8613-820E3DA98EC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4" authorId="1" shapeId="0" xr:uid="{249D1C10-77AF-4762-BA6D-4F0FF924F8B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5" authorId="1" shapeId="0" xr:uid="{45C14A8B-B497-4648-978A-98B397D50301}">
      <text>
        <r>
          <rPr>
            <b/>
            <sz val="9"/>
            <color indexed="81"/>
            <rFont val="Tahoma"/>
            <family val="2"/>
          </rPr>
          <t>Bruyns Fred H:</t>
        </r>
        <r>
          <rPr>
            <sz val="9"/>
            <color indexed="81"/>
            <rFont val="Tahoma"/>
            <family val="2"/>
          </rPr>
          <t xml:space="preserve">
Programming note: 20 degrees of subtalar eversion of the foot is considered maximum loss. See OAR 436-035-0190.</t>
        </r>
      </text>
    </comment>
    <comment ref="T225" authorId="1" shapeId="0" xr:uid="{0CD43D9E-85B3-48E6-AF7E-9A1ABF59649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C225" authorId="1" shapeId="0" xr:uid="{0B51ECF8-B56B-404D-9CBD-4DCA3F84DFD7}">
      <text>
        <r>
          <rPr>
            <b/>
            <sz val="9"/>
            <color indexed="81"/>
            <rFont val="Tahoma"/>
            <family val="2"/>
          </rPr>
          <t>Bruyns Fred H:</t>
        </r>
        <r>
          <rPr>
            <sz val="9"/>
            <color indexed="81"/>
            <rFont val="Tahoma"/>
            <family val="2"/>
          </rPr>
          <t xml:space="preserve">
Programming note: This text is for conditional formatting only.</t>
        </r>
      </text>
    </comment>
    <comment ref="Y226" authorId="1" shapeId="0" xr:uid="{D7BBE847-7F89-485C-B181-A95AD14F589B}">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6" authorId="1" shapeId="0" xr:uid="{7E215592-8DE2-4642-B0EC-3EF4F52452AF}">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AC227" authorId="1" shapeId="0" xr:uid="{71125F92-EADF-4FE6-A19C-9902A106E974}">
      <text>
        <r>
          <rPr>
            <b/>
            <sz val="9"/>
            <color indexed="81"/>
            <rFont val="Tahoma"/>
            <family val="2"/>
          </rPr>
          <t>Bruyns Fred H:</t>
        </r>
        <r>
          <rPr>
            <sz val="9"/>
            <color indexed="81"/>
            <rFont val="Tahoma"/>
            <family val="2"/>
          </rPr>
          <t xml:space="preserve">
Programming note: This text is for conditional formatting only.</t>
        </r>
      </text>
    </comment>
    <comment ref="S228" authorId="1" shapeId="0" xr:uid="{7747584F-7FA5-4FA2-870E-DC12B187389F}">
      <text>
        <r>
          <rPr>
            <b/>
            <sz val="9"/>
            <color indexed="81"/>
            <rFont val="Tahoma"/>
            <family val="2"/>
          </rPr>
          <t>Bruyns Fred H:</t>
        </r>
        <r>
          <rPr>
            <sz val="9"/>
            <color indexed="81"/>
            <rFont val="Tahoma"/>
            <family val="2"/>
          </rPr>
          <t xml:space="preserve">
Programming note: 20 degrees of dorsiflexion (extension) of the ankle is considered normal - no impairment. See OAR 436-035-0190.</t>
        </r>
      </text>
    </comment>
    <comment ref="U228" authorId="1" shapeId="0" xr:uid="{FB2D091B-ED17-41BC-9A58-4B0057C36F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8" authorId="1" shapeId="0" xr:uid="{170F230B-B3FF-406A-A1AC-B3FD086C554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8" authorId="1" shapeId="0" xr:uid="{895C3BB4-A677-43B7-8CFB-7E5D78B1AE6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9" authorId="1" shapeId="0" xr:uid="{9F5E9D13-24C3-4335-B35B-17F463DCE9E2}">
      <text>
        <r>
          <rPr>
            <b/>
            <sz val="9"/>
            <color indexed="81"/>
            <rFont val="Tahoma"/>
            <family val="2"/>
          </rPr>
          <t>Bruyns Fred H:</t>
        </r>
        <r>
          <rPr>
            <sz val="9"/>
            <color indexed="81"/>
            <rFont val="Tahoma"/>
            <family val="2"/>
          </rPr>
          <t xml:space="preserve">
Programming note: 20 degrees of dorsiflexion ankylosis of the ankle is considered maximum loss. See OAR 436-035-0190.</t>
        </r>
      </text>
    </comment>
    <comment ref="S230" authorId="1" shapeId="0" xr:uid="{89865435-DDAC-48DE-BCD8-648F1A2AC19B}">
      <text>
        <r>
          <rPr>
            <b/>
            <sz val="9"/>
            <color indexed="81"/>
            <rFont val="Tahoma"/>
            <family val="2"/>
          </rPr>
          <t>Bruyns Fred H:</t>
        </r>
        <r>
          <rPr>
            <sz val="9"/>
            <color indexed="81"/>
            <rFont val="Tahoma"/>
            <family val="2"/>
          </rPr>
          <t xml:space="preserve">
Programming note: 40 degrees of plantar flexion of the ankle is considered normal - no impairment. See OAR 436-035-0190.</t>
        </r>
      </text>
    </comment>
    <comment ref="U230" authorId="1" shapeId="0" xr:uid="{B48BC5E4-C20A-4944-9563-962A7557710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0" authorId="1" shapeId="0" xr:uid="{9AC5230E-451C-4176-9DAF-BA2762D3ECB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30" authorId="1" shapeId="0" xr:uid="{71B32F1B-5094-48D5-B4A9-D0B11D01325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231" authorId="1" shapeId="0" xr:uid="{C0E075E1-624A-438D-8BF8-4B74591F1A5D}">
      <text>
        <r>
          <rPr>
            <b/>
            <sz val="9"/>
            <color indexed="81"/>
            <rFont val="Tahoma"/>
            <family val="2"/>
          </rPr>
          <t>Bruyns Fred H:</t>
        </r>
        <r>
          <rPr>
            <sz val="9"/>
            <color indexed="81"/>
            <rFont val="Tahoma"/>
            <family val="2"/>
          </rPr>
          <t xml:space="preserve">
Programming note: 40 degrees of plantar flexion ankylosis of the ankle is considered maximum loss. See OAR 436-035-0190.</t>
        </r>
      </text>
    </comment>
    <comment ref="P233" authorId="1" shapeId="0" xr:uid="{53282F65-33C7-4646-B4E7-029B7E9DC8BC}">
      <text>
        <r>
          <rPr>
            <b/>
            <sz val="9"/>
            <color indexed="81"/>
            <rFont val="Tahoma"/>
            <family val="2"/>
          </rPr>
          <t>Bruyns Fred H:</t>
        </r>
        <r>
          <rPr>
            <sz val="9"/>
            <color indexed="81"/>
            <rFont val="Tahoma"/>
            <family val="2"/>
          </rPr>
          <t xml:space="preserve">
Programming note: Formula increases values greater than zero but less than 1% to 1%. Formula decreases values greater than 100% to 100%.</t>
        </r>
      </text>
    </comment>
    <comment ref="R233" authorId="1" shapeId="0" xr:uid="{3D95615E-0362-46A3-87E0-5579BB23164B}">
      <text>
        <r>
          <rPr>
            <b/>
            <sz val="9"/>
            <color indexed="81"/>
            <rFont val="Tahoma"/>
            <family val="2"/>
          </rPr>
          <t>Bruyns Fred H:</t>
        </r>
        <r>
          <rPr>
            <sz val="9"/>
            <color indexed="81"/>
            <rFont val="Tahoma"/>
            <family val="2"/>
          </rPr>
          <t xml:space="preserve">
Programming note: This is the sum of the foot and ankle ROM impairment.</t>
        </r>
      </text>
    </comment>
    <comment ref="R237" authorId="1" shapeId="0" xr:uid="{469468E7-EE76-402A-84B2-80318CF66674}">
      <text>
        <r>
          <rPr>
            <b/>
            <sz val="9"/>
            <color indexed="81"/>
            <rFont val="Tahoma"/>
            <family val="2"/>
          </rPr>
          <t>Bruyns Fred H:</t>
        </r>
        <r>
          <rPr>
            <sz val="9"/>
            <color indexed="81"/>
            <rFont val="Tahoma"/>
            <family val="2"/>
          </rPr>
          <t xml:space="preserve">
Programming note: The lists of values to the right are used in pull-down menus for loss of sensation and hypersensitivity.</t>
        </r>
      </text>
    </comment>
    <comment ref="W238" authorId="1" shapeId="0" xr:uid="{2D8B5746-3347-4182-948D-497CE6EFE2BD}">
      <text>
        <r>
          <rPr>
            <b/>
            <sz val="9"/>
            <color indexed="81"/>
            <rFont val="Tahoma"/>
            <family val="2"/>
          </rPr>
          <t>Bruyns Fred H:</t>
        </r>
        <r>
          <rPr>
            <sz val="9"/>
            <color indexed="81"/>
            <rFont val="Tahoma"/>
            <family val="2"/>
          </rPr>
          <t xml:space="preserve">
Programming note: If this value is greater than zero, formulas for sensation loss or hypersensitivity in the toes will suppress output of losses in the toes.</t>
        </r>
      </text>
    </comment>
    <comment ref="R241" authorId="1" shapeId="0" xr:uid="{7E2C1F69-3899-4FFE-A57D-E9151DF9A71C}">
      <text>
        <r>
          <rPr>
            <b/>
            <sz val="9"/>
            <color indexed="81"/>
            <rFont val="Tahoma"/>
            <family val="2"/>
          </rPr>
          <t>Bruyns Fred H:</t>
        </r>
        <r>
          <rPr>
            <sz val="9"/>
            <color indexed="81"/>
            <rFont val="Tahoma"/>
            <family val="2"/>
          </rPr>
          <t xml:space="preserve">
Programming note: The list of value to the right is used for pull-down menus for ankle instability to the left.</t>
        </r>
      </text>
    </comment>
    <comment ref="R278" authorId="1" shapeId="0" xr:uid="{0110A7EB-071D-4373-BF15-83B6B3721691}">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279" authorId="1" shapeId="0" xr:uid="{3BC9216F-F4EF-4285-B5D9-83B83B93CA07}">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AA279" authorId="1" shapeId="0" xr:uid="{49095BBE-1510-4AFB-AEEE-5C86B88DB9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79" authorId="1" shapeId="0" xr:uid="{98C3105A-DBE5-4612-AC6B-2D13A6AAC5E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79" authorId="1" shapeId="0" xr:uid="{75D4B8BF-B3B5-4D02-A9B9-83184B631B1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279" authorId="1" shapeId="0" xr:uid="{0FDFDDD8-DBF6-44BF-A3BF-FDD16F205B6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279" authorId="1" shapeId="0" xr:uid="{4BE56803-B58F-465F-9F54-B6C92E0ADDA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279" authorId="1" shapeId="0" xr:uid="{269048DC-98ED-48BA-A804-43026BECB33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N291" authorId="1" shapeId="0" xr:uid="{649EF7ED-2244-4F28-AC50-FFFB72F1FA2F}">
      <text>
        <r>
          <rPr>
            <b/>
            <sz val="9"/>
            <color indexed="81"/>
            <rFont val="Tahoma"/>
            <family val="2"/>
          </rPr>
          <t>Bruyns Fred H:</t>
        </r>
        <r>
          <rPr>
            <sz val="9"/>
            <color indexed="81"/>
            <rFont val="Tahoma"/>
            <family val="2"/>
          </rPr>
          <t xml:space="preserve">
Programming note: If the overall nerve is rated, "Total" displays her. If parts of the nerve are rated, the word "Average" displays here.</t>
        </r>
      </text>
    </comment>
    <comment ref="F298" authorId="1" shapeId="0" xr:uid="{D65CCCD5-BB07-472C-B201-7030E2A692F5}">
      <text>
        <r>
          <rPr>
            <b/>
            <sz val="9"/>
            <color indexed="81"/>
            <rFont val="Tahoma"/>
            <family val="2"/>
          </rPr>
          <t>Bruyns Fred H:</t>
        </r>
        <r>
          <rPr>
            <sz val="9"/>
            <color indexed="81"/>
            <rFont val="Tahoma"/>
            <family val="2"/>
          </rPr>
          <t xml:space="preserve">
Programming note: If 4th or 6th option button is selected, this message will display: "Total for peroneal except superficial; FOOT impairment."</t>
        </r>
      </text>
    </comment>
    <comment ref="B302" authorId="1" shapeId="0" xr:uid="{FF4A71F3-A274-435A-9D0B-944B33DA50C3}">
      <text>
        <r>
          <rPr>
            <b/>
            <sz val="9"/>
            <color indexed="81"/>
            <rFont val="Tahoma"/>
            <family val="2"/>
          </rPr>
          <t>Bruyns Fred H:</t>
        </r>
        <r>
          <rPr>
            <sz val="9"/>
            <color indexed="81"/>
            <rFont val="Tahoma"/>
            <family val="2"/>
          </rPr>
          <t xml:space="preserve">
Programming note: If the 2nd, 3rd, or 5th option button is selected, this is displayed: "Total for peroneal; FOOT impairment." If the 4th or 6th option button is selected, this will display: "Total for superficial peroneal; FOOT impairment."</t>
        </r>
      </text>
    </comment>
    <comment ref="F317" authorId="1" shapeId="0" xr:uid="{628398B3-AE95-41EC-B033-5C5A8D1FF652}">
      <text>
        <r>
          <rPr>
            <b/>
            <sz val="9"/>
            <color indexed="81"/>
            <rFont val="Tahoma"/>
            <family val="2"/>
          </rPr>
          <t>Bruyns Fred H:</t>
        </r>
        <r>
          <rPr>
            <sz val="9"/>
            <color indexed="81"/>
            <rFont val="Tahoma"/>
            <family val="2"/>
          </rPr>
          <t xml:space="preserve">
Programming note: If option 5 or 6 is selected, this will display: "Total for lateral plantar branch of the tibial nerve."</t>
        </r>
      </text>
    </comment>
    <comment ref="B319" authorId="1" shapeId="0" xr:uid="{B32E7AEB-304B-4C66-8E5A-90D93CC3FD74}">
      <text>
        <r>
          <rPr>
            <b/>
            <sz val="9"/>
            <color indexed="81"/>
            <rFont val="Tahoma"/>
            <family val="2"/>
          </rPr>
          <t>Bruyns Fred H:</t>
        </r>
        <r>
          <rPr>
            <sz val="9"/>
            <color indexed="81"/>
            <rFont val="Tahoma"/>
            <family val="2"/>
          </rPr>
          <t xml:space="preserve">
Programming note: The text displayed is based on which of the seven option buttons for the tibial nerve is selected. </t>
        </r>
      </text>
    </comment>
    <comment ref="B327" authorId="1" shapeId="0" xr:uid="{4BFC7952-DBBD-4E02-AF5B-277654803F25}">
      <text>
        <r>
          <rPr>
            <b/>
            <sz val="9"/>
            <color indexed="81"/>
            <rFont val="Tahoma"/>
            <family val="2"/>
          </rPr>
          <t>Bruyns Fred H:</t>
        </r>
        <r>
          <rPr>
            <sz val="9"/>
            <color indexed="81"/>
            <rFont val="Tahoma"/>
            <family val="2"/>
          </rPr>
          <t xml:space="preserve">
Programming note: If any part of the femoral nerve is rated, this will display: "Total for femoral nerve; LEG impairment."</t>
        </r>
      </text>
    </comment>
    <comment ref="B334" authorId="1" shapeId="0" xr:uid="{50F4DE12-25CD-4014-9F40-1E50537EAC33}">
      <text>
        <r>
          <rPr>
            <b/>
            <sz val="9"/>
            <color indexed="81"/>
            <rFont val="Tahoma"/>
            <family val="2"/>
          </rPr>
          <t>Bruyns Fred H:</t>
        </r>
        <r>
          <rPr>
            <sz val="9"/>
            <color indexed="81"/>
            <rFont val="Tahoma"/>
            <family val="2"/>
          </rPr>
          <t xml:space="preserve">
Programming note: If any part of the superior gluteal nerve is rated, this will display: "Total for superior gluteal; LEG impairment."</t>
        </r>
      </text>
    </comment>
    <comment ref="S340" authorId="1" shapeId="0" xr:uid="{76429C06-1694-413E-9A13-F1BB84479552}">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40" authorId="1" shapeId="0" xr:uid="{03725690-DFBC-4C21-864A-0D6086A1EDC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40" authorId="1" shapeId="0" xr:uid="{E384B2DC-2B2B-4839-ADB7-50CC34FD948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40" authorId="1" shapeId="0" xr:uid="{1E17A597-02D8-4B8A-AF5D-8E4F2D99A10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W347" authorId="1" shapeId="0" xr:uid="{6F2B0359-1AB4-4AAB-97CF-9B0CB53DEB12}">
      <text>
        <r>
          <rPr>
            <b/>
            <sz val="9"/>
            <color indexed="81"/>
            <rFont val="Tahoma"/>
            <family val="2"/>
          </rPr>
          <t>Bruyns Fred H:</t>
        </r>
        <r>
          <rPr>
            <sz val="9"/>
            <color indexed="81"/>
            <rFont val="Tahoma"/>
            <family val="2"/>
          </rPr>
          <t xml:space="preserve">
Programming note: Formula checks ROM, Strength, and Chronic condition above, and if corresponding values add to greater than zero, a formula in the PPD chart for the foot displays a note that "The worker has motor loss impairment. Additional impairment values are not allowed for chronic condition, reduced range of motion, or strength loss."</t>
        </r>
      </text>
    </comment>
    <comment ref="E352" authorId="1" shapeId="0" xr:uid="{F26FA920-45F0-4BEB-B513-CAEC5C0D5143}">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364" authorId="1" shapeId="0" xr:uid="{942DF8D2-940E-4FB3-A969-F4561D2FFB67}">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365" authorId="1" shapeId="0" xr:uid="{55F531EB-27C3-4543-B6E6-7F3CF569D657}">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S376" authorId="1" shapeId="0" xr:uid="{74E1527C-AF45-4A0A-887E-AA09553858BB}">
      <text>
        <r>
          <rPr>
            <b/>
            <sz val="9"/>
            <color indexed="81"/>
            <rFont val="Tahoma"/>
            <family val="2"/>
          </rPr>
          <t>Bruyns Fred H:</t>
        </r>
        <r>
          <rPr>
            <sz val="9"/>
            <color indexed="81"/>
            <rFont val="Tahoma"/>
            <family val="2"/>
          </rPr>
          <t xml:space="preserve">
Programming note: 150 degrees of flexion of the knee is considered normal - no impairment. See OAR 436-035-0220.</t>
        </r>
      </text>
    </comment>
    <comment ref="T376" authorId="1" shapeId="0" xr:uid="{BC9997F8-4B08-4376-BC3F-9011B2B3FE8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6" authorId="1" shapeId="0" xr:uid="{0518BD67-7C23-46C5-83CA-D6DA0ED13AE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6" authorId="1" shapeId="0" xr:uid="{911980A5-0C06-49BE-8C90-524720FFDB7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76" authorId="1" shapeId="0" xr:uid="{CC4E8258-0A9D-44A1-A517-F33A0A60E53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377" authorId="1" shapeId="0" xr:uid="{DC71D565-7663-4248-A30D-843717441A4E}">
      <text>
        <r>
          <rPr>
            <b/>
            <sz val="9"/>
            <color indexed="81"/>
            <rFont val="Tahoma"/>
            <family val="2"/>
          </rPr>
          <t>Bruyns Fred H:</t>
        </r>
        <r>
          <rPr>
            <sz val="9"/>
            <color indexed="81"/>
            <rFont val="Tahoma"/>
            <family val="2"/>
          </rPr>
          <t xml:space="preserve">
Programming note: 50-150 degrees of flexion ankylosis of the knee is considered maximum loss. See OAR 436-035-0220.</t>
        </r>
      </text>
    </comment>
    <comment ref="T377" authorId="1" shapeId="0" xr:uid="{DEEDE586-E71B-4CD4-BF24-B161689576F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378" authorId="1" shapeId="0" xr:uid="{3550491A-33A3-4BCA-B99B-B242E7D71099}">
      <text>
        <r>
          <rPr>
            <b/>
            <sz val="9"/>
            <color indexed="81"/>
            <rFont val="Tahoma"/>
            <family val="2"/>
          </rPr>
          <t>Bruyns Fred H:</t>
        </r>
        <r>
          <rPr>
            <sz val="9"/>
            <color indexed="81"/>
            <rFont val="Tahoma"/>
            <family val="2"/>
          </rPr>
          <t xml:space="preserve">
Programming note: After checking for error flags, formula returns the sum of ROM impairment for the knee.</t>
        </r>
      </text>
    </comment>
    <comment ref="S378" authorId="1" shapeId="0" xr:uid="{DB8DF3B1-E4FC-48AC-99EC-75B408E487E4}">
      <text>
        <r>
          <rPr>
            <b/>
            <sz val="9"/>
            <color indexed="81"/>
            <rFont val="Tahoma"/>
            <family val="2"/>
          </rPr>
          <t>Bruyns Fred H:</t>
        </r>
        <r>
          <rPr>
            <sz val="9"/>
            <color indexed="81"/>
            <rFont val="Tahoma"/>
            <family val="2"/>
          </rPr>
          <t xml:space="preserve">
Programming note: 50-150 degrees of extension of the knee is considered maximum loss. See OAR 436-035-0220.</t>
        </r>
      </text>
    </comment>
    <comment ref="T378" authorId="1" shapeId="0" xr:uid="{181CF79B-97F8-4289-ACAF-832D60B8CA2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8" authorId="1" shapeId="0" xr:uid="{B34E7926-694C-46AF-881E-A347E5C1D5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8" authorId="1" shapeId="0" xr:uid="{16EEE850-6772-498A-93A9-A9D321B359D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378" authorId="1" shapeId="0" xr:uid="{4D4183DD-C1E3-4ADB-8AF8-D8F4427536C5}">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78" authorId="1" shapeId="0" xr:uid="{F5E47BC7-16CF-487C-A260-FF1094E7E96D}">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78" authorId="1" shapeId="0" xr:uid="{FB9BC5F1-211A-4FF4-AB99-0325E173683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R379" authorId="1" shapeId="0" xr:uid="{BEB584A2-28E4-449C-9876-3767F4D7EE6F}">
      <text>
        <r>
          <rPr>
            <b/>
            <sz val="9"/>
            <color indexed="81"/>
            <rFont val="Tahoma"/>
            <family val="2"/>
          </rPr>
          <t>Bruyns Fred H:</t>
        </r>
        <r>
          <rPr>
            <sz val="9"/>
            <color indexed="81"/>
            <rFont val="Tahoma"/>
            <family val="2"/>
          </rPr>
          <t xml:space="preserve">
Programming note: After checking for error flag, formula checks if ROM impairment is greater than zero but less than 1, and if so adjusts to = 1. Otherwise, the formula rounds the ROM impairment from cell above.</t>
        </r>
      </text>
    </comment>
    <comment ref="S379" authorId="1" shapeId="0" xr:uid="{79678822-1087-4037-94CF-BBA7656FDDCE}">
      <text>
        <r>
          <rPr>
            <b/>
            <sz val="9"/>
            <color indexed="81"/>
            <rFont val="Tahoma"/>
            <family val="2"/>
          </rPr>
          <t>Bruyns Fred H:</t>
        </r>
        <r>
          <rPr>
            <sz val="9"/>
            <color indexed="81"/>
            <rFont val="Tahoma"/>
            <family val="2"/>
          </rPr>
          <t xml:space="preserve">
Programming note: 50-150 degrees of extension ankylosis of the knee is considered maximum loss. See OAR 436-035-0220.</t>
        </r>
      </text>
    </comment>
    <comment ref="T379" authorId="1" shapeId="0" xr:uid="{5F712CEB-B001-497E-A6D5-3CB453DA9E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81" authorId="1" shapeId="0" xr:uid="{FFA0A7EB-822B-4DAF-A5EB-B03A1BF7CC35}">
      <text>
        <r>
          <rPr>
            <b/>
            <sz val="9"/>
            <color indexed="81"/>
            <rFont val="Tahoma"/>
            <family val="2"/>
          </rPr>
          <t>Bruyns Fred H:</t>
        </r>
        <r>
          <rPr>
            <sz val="9"/>
            <color indexed="81"/>
            <rFont val="Tahoma"/>
            <family val="2"/>
          </rPr>
          <t xml:space="preserve">
Programming note: 100 degrees of forward flexion of the hip is considered normal - no impairment. See OAR 436-035-0220.</t>
        </r>
      </text>
    </comment>
    <comment ref="T381" authorId="1" shapeId="0" xr:uid="{B90D56C5-DFEF-4FA9-8CA2-C907E06161D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1" authorId="1" shapeId="0" xr:uid="{97CBA5E4-CAB5-4C0C-A938-511DB7A640A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1" authorId="1" shapeId="0" xr:uid="{BE851D2F-F1D6-475D-BB74-5CDB68FBFF8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1" authorId="1" shapeId="0" xr:uid="{41BBDA8D-9B22-4373-ACB0-95BDF9737F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A381" authorId="1" shapeId="0" xr:uid="{FD69FF33-A914-4917-BE8E-707D8D95CB39}">
      <text>
        <r>
          <rPr>
            <b/>
            <sz val="9"/>
            <color indexed="81"/>
            <rFont val="Tahoma"/>
            <family val="2"/>
          </rPr>
          <t>Bruyns Fred H:</t>
        </r>
        <r>
          <rPr>
            <sz val="9"/>
            <color indexed="81"/>
            <rFont val="Tahoma"/>
            <family val="2"/>
          </rPr>
          <t xml:space="preserve">
Programming note: This text is for conditional formatting only.</t>
        </r>
      </text>
    </comment>
    <comment ref="S382" authorId="1" shapeId="0" xr:uid="{47C8DE01-0494-493E-917C-2B882EC91159}">
      <text>
        <r>
          <rPr>
            <b/>
            <sz val="9"/>
            <color indexed="81"/>
            <rFont val="Tahoma"/>
            <family val="2"/>
          </rPr>
          <t>Bruyns Fred H:</t>
        </r>
        <r>
          <rPr>
            <sz val="9"/>
            <color indexed="81"/>
            <rFont val="Tahoma"/>
            <family val="2"/>
          </rPr>
          <t xml:space="preserve">
Programming note: 30 degrees of backward extension of the hip is considered normal - no impairment. See OAR 436-035-0220.</t>
        </r>
      </text>
    </comment>
    <comment ref="T382" authorId="1" shapeId="0" xr:uid="{6067AA51-2D54-40D0-8FED-D2FB662422E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2" authorId="1" shapeId="0" xr:uid="{6CFC279C-FF77-4C3C-8749-3F91A924330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2" authorId="1" shapeId="0" xr:uid="{0C120F40-F8AD-4EF5-8C87-538F66B67E7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2" authorId="1" shapeId="0" xr:uid="{73FA248D-5080-41D2-AFE4-41CAC0A45F7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83" authorId="1" shapeId="0" xr:uid="{89F97B5A-04AB-4A0D-A63A-455F49410AB9}">
      <text>
        <r>
          <rPr>
            <b/>
            <sz val="9"/>
            <color indexed="81"/>
            <rFont val="Tahoma"/>
            <family val="2"/>
          </rPr>
          <t>Bruyns Fred H:</t>
        </r>
        <r>
          <rPr>
            <sz val="9"/>
            <color indexed="81"/>
            <rFont val="Tahoma"/>
            <family val="2"/>
          </rPr>
          <t xml:space="preserve">
Programming note: 40 degrees of abduction of the hip is considered normal - no impairment. See OAR 436-035-0220.</t>
        </r>
      </text>
    </comment>
    <comment ref="T383" authorId="1" shapeId="0" xr:uid="{3FD35254-9BE2-4773-8DF9-0A89E794FFE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3" authorId="1" shapeId="0" xr:uid="{618449F9-B9CF-431F-8334-F58D906AD48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3" authorId="1" shapeId="0" xr:uid="{6F8C8673-8E31-4D76-B993-AB1BBE115A7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3" authorId="1" shapeId="0" xr:uid="{639CFC57-D4A2-46A6-AE98-D39F90A3917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384" authorId="1" shapeId="0" xr:uid="{C065156A-D0B2-4BBE-BD54-F9B0DE9FBC5F}">
      <text>
        <r>
          <rPr>
            <b/>
            <sz val="9"/>
            <color indexed="81"/>
            <rFont val="Tahoma"/>
            <family val="2"/>
          </rPr>
          <t>Bruyns Fred H:</t>
        </r>
        <r>
          <rPr>
            <sz val="9"/>
            <color indexed="81"/>
            <rFont val="Tahoma"/>
            <family val="2"/>
          </rPr>
          <t xml:space="preserve">
Programming note: 20 degrees of adduction of the hip is considered normal - no impairment. See OAR 436-035-0220.</t>
        </r>
      </text>
    </comment>
    <comment ref="T384" authorId="1" shapeId="0" xr:uid="{5F84A2A2-75C7-4CFD-893B-176BAE5ADD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4" authorId="1" shapeId="0" xr:uid="{8A31AA8A-55AF-44E9-9013-A87AFEBEA1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4" authorId="1" shapeId="0" xr:uid="{046A01EE-B82B-4E8E-9F81-F2F55D521FE2}">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4" authorId="1" shapeId="0" xr:uid="{3D7AB852-C9B6-4682-A25F-4B79AD77102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385" authorId="1" shapeId="0" xr:uid="{56D1A683-5325-4F64-93CE-DE6E2C0B6D66}">
      <text>
        <r>
          <rPr>
            <b/>
            <sz val="9"/>
            <color indexed="81"/>
            <rFont val="Tahoma"/>
            <family val="2"/>
          </rPr>
          <t>Bruyns Fred H:</t>
        </r>
        <r>
          <rPr>
            <sz val="9"/>
            <color indexed="81"/>
            <rFont val="Tahoma"/>
            <family val="2"/>
          </rPr>
          <t xml:space="preserve">
Programming note: Formula sums hip ROM impairment values.</t>
        </r>
      </text>
    </comment>
    <comment ref="S385" authorId="1" shapeId="0" xr:uid="{2991BC7B-D1AA-408E-941E-A829E58EA778}">
      <text>
        <r>
          <rPr>
            <b/>
            <sz val="9"/>
            <color indexed="81"/>
            <rFont val="Tahoma"/>
            <family val="2"/>
          </rPr>
          <t>Bruyns Fred H:</t>
        </r>
        <r>
          <rPr>
            <sz val="9"/>
            <color indexed="81"/>
            <rFont val="Tahoma"/>
            <family val="2"/>
          </rPr>
          <t xml:space="preserve">
Programming note: 40 degrees of internal rotation of the hip is considered normal - no impairment. See OAR 436-035-0220.</t>
        </r>
      </text>
    </comment>
    <comment ref="T385" authorId="1" shapeId="0" xr:uid="{EA0ACDF9-CC83-45F2-BB8F-7591D092CD1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5" authorId="1" shapeId="0" xr:uid="{D2C435CC-4C65-4865-91D7-3D3FA29BF71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5" authorId="1" shapeId="0" xr:uid="{FC875B5F-F252-45B9-BA92-AB1F9144E568}">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5" authorId="1" shapeId="0" xr:uid="{64CA329E-30CC-4C90-847B-BCF6A6EE38E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R386" authorId="1" shapeId="0" xr:uid="{DD60C2B6-5BEB-4E9E-A828-C33F657FE7E7}">
      <text>
        <r>
          <rPr>
            <b/>
            <sz val="9"/>
            <color indexed="81"/>
            <rFont val="Tahoma"/>
            <family val="2"/>
          </rPr>
          <t>Bruyns Fred H:</t>
        </r>
        <r>
          <rPr>
            <sz val="9"/>
            <color indexed="81"/>
            <rFont val="Tahoma"/>
            <family val="2"/>
          </rPr>
          <t xml:space="preserve">
Programming note: Formula checks if ROM impairment is greater than zero but less than 1, and if so adjusts to = 1. Otherwise, the formula rounds the ROM impairment from cell above.</t>
        </r>
      </text>
    </comment>
    <comment ref="S386" authorId="1" shapeId="0" xr:uid="{0283B510-45D2-48BC-8A3C-48387D994E8A}">
      <text>
        <r>
          <rPr>
            <b/>
            <sz val="9"/>
            <color indexed="81"/>
            <rFont val="Tahoma"/>
            <family val="2"/>
          </rPr>
          <t>Bruyns Fred H:</t>
        </r>
        <r>
          <rPr>
            <sz val="9"/>
            <color indexed="81"/>
            <rFont val="Tahoma"/>
            <family val="2"/>
          </rPr>
          <t xml:space="preserve">
Programming note: 50 degrees of external rotation of the hip is considered normal - no impairment. See OAR 436-035-0220.</t>
        </r>
      </text>
    </comment>
    <comment ref="T386" authorId="1" shapeId="0" xr:uid="{2C1CF650-EF21-465C-AC38-38098CE64DD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6" authorId="1" shapeId="0" xr:uid="{C9ECB09D-4A0C-4E33-B032-143AED4700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6" authorId="1" shapeId="0" xr:uid="{B5B609C8-638A-4112-8307-CE18504A538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6" authorId="1" shapeId="0" xr:uid="{A077469E-D597-414C-86EB-6672DDECCCE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R391" authorId="1" shapeId="0" xr:uid="{B2E00B4C-56EF-45AB-AC1F-7C620F202202}">
      <text>
        <r>
          <rPr>
            <b/>
            <sz val="9"/>
            <color indexed="81"/>
            <rFont val="Tahoma"/>
            <family val="2"/>
          </rPr>
          <t>Bruyns Fred H:</t>
        </r>
        <r>
          <rPr>
            <sz val="9"/>
            <color indexed="81"/>
            <rFont val="Tahoma"/>
            <family val="2"/>
          </rPr>
          <t xml:space="preserve">
Programming note: Length discrepancy descriptions to the right are used in pull-down menu to the left.</t>
        </r>
      </text>
    </comment>
    <comment ref="Y394" authorId="1" shapeId="0" xr:uid="{AE0C551E-45D0-43C1-9D2A-107F62931D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Z394" authorId="1" shapeId="0" xr:uid="{223ED219-0248-41C5-8F6A-A237578435B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A394" authorId="1" shapeId="0" xr:uid="{7877230B-7655-4F4B-A541-05CFB77CECC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O396" authorId="1" shapeId="0" xr:uid="{85B7B31B-4692-4D8B-A341-BCC798B43647}">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7" authorId="1" shapeId="0" xr:uid="{A4D16035-13F5-4DFA-8BD0-5DE488B3CD4A}">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8" authorId="1" shapeId="0" xr:uid="{8E067D7D-A92B-4538-B2FE-AE20505ABD4B}">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9" authorId="1" shapeId="0" xr:uid="{CAE1EDC5-E314-419D-9DA7-AC4B17430D2B}">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R400" authorId="1" shapeId="0" xr:uid="{5E8A35FD-DE9A-49CB-9BC6-C8CE7D13B7F1}">
      <text>
        <r>
          <rPr>
            <b/>
            <sz val="9"/>
            <color indexed="81"/>
            <rFont val="Tahoma"/>
            <family val="2"/>
          </rPr>
          <t>Bruyns Fred H:</t>
        </r>
        <r>
          <rPr>
            <sz val="9"/>
            <color indexed="81"/>
            <rFont val="Tahoma"/>
            <family val="2"/>
          </rPr>
          <t xml:space="preserve">
Programming note: If the value in this cell is greater than zero, one or more instances of Grade 1 joint instability have been entered.</t>
        </r>
      </text>
    </comment>
    <comment ref="R403" authorId="1" shapeId="0" xr:uid="{526044D9-A6A6-4C9B-B79B-965CDE88FFBA}">
      <text>
        <r>
          <rPr>
            <b/>
            <sz val="9"/>
            <color indexed="81"/>
            <rFont val="Tahoma"/>
            <family val="2"/>
          </rPr>
          <t>Bruyns Fred H:</t>
        </r>
        <r>
          <rPr>
            <sz val="9"/>
            <color indexed="81"/>
            <rFont val="Tahoma"/>
            <family val="2"/>
          </rPr>
          <t xml:space="preserve">
Option button output: 1, 2, or 3.</t>
        </r>
      </text>
    </comment>
    <comment ref="R405" authorId="1" shapeId="0" xr:uid="{6C06D234-B53B-4695-A1EC-9F397EEB8E2B}">
      <text>
        <r>
          <rPr>
            <b/>
            <sz val="9"/>
            <color indexed="81"/>
            <rFont val="Tahoma"/>
            <family val="2"/>
          </rPr>
          <t>Bruyns Fred H:</t>
        </r>
        <r>
          <rPr>
            <sz val="9"/>
            <color indexed="81"/>
            <rFont val="Tahoma"/>
            <family val="2"/>
          </rPr>
          <t xml:space="preserve">
Programming note: List of deformities to the right are used in a pull-down menu to the left.</t>
        </r>
      </text>
    </comment>
    <comment ref="R409" authorId="1" shapeId="0" xr:uid="{D84DB43B-68B2-4142-82B8-B858DC69C2FA}">
      <text>
        <r>
          <rPr>
            <b/>
            <sz val="9"/>
            <color indexed="81"/>
            <rFont val="Tahoma"/>
            <family val="2"/>
          </rPr>
          <t>Bruyns Fred H:</t>
        </r>
        <r>
          <rPr>
            <sz val="9"/>
            <color indexed="81"/>
            <rFont val="Tahoma"/>
            <family val="2"/>
          </rPr>
          <t xml:space="preserve">
Programming note: List of surgeries to the right are used in a pull-down menu to the left.</t>
        </r>
      </text>
    </comment>
    <comment ref="P410" authorId="1" shapeId="0" xr:uid="{B0697E50-5140-4A8D-9186-B13200D9453F}">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1" authorId="1" shapeId="0" xr:uid="{A2ED1ECD-383B-4AB0-A588-A1842BC05F0D}">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2" authorId="1" shapeId="0" xr:uid="{7B3EF6E3-B62C-4BF2-9699-731643B628CC}">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2" authorId="1" shapeId="0" xr:uid="{5CBB681A-BD18-49FF-B2F8-C1893A4D123F}">
      <text>
        <r>
          <rPr>
            <b/>
            <sz val="9"/>
            <color indexed="81"/>
            <rFont val="Tahoma"/>
            <family val="2"/>
          </rPr>
          <t>Bruyns Fred H:</t>
        </r>
        <r>
          <rPr>
            <sz val="9"/>
            <color indexed="81"/>
            <rFont val="Tahoma"/>
            <family val="2"/>
          </rPr>
          <t xml:space="preserve">
Option button output: 1, 2, 3, 4, or 5.</t>
        </r>
      </text>
    </comment>
    <comment ref="P413" authorId="1" shapeId="0" xr:uid="{1DA470DD-E54B-40A7-A2CF-4392626069E3}">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4" authorId="1" shapeId="0" xr:uid="{75869DF4-491B-4A07-870F-6DB5C051D16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5" authorId="1" shapeId="0" xr:uid="{36C77007-6F8A-4C4E-9807-2531757A479A}">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9" authorId="1" shapeId="0" xr:uid="{A4537EDF-F46F-48C3-B085-6EF9EC226436}">
      <text>
        <r>
          <rPr>
            <b/>
            <sz val="9"/>
            <color indexed="81"/>
            <rFont val="Tahoma"/>
            <family val="2"/>
          </rPr>
          <t>Bruyns Fred H:</t>
        </r>
        <r>
          <rPr>
            <sz val="9"/>
            <color indexed="81"/>
            <rFont val="Tahoma"/>
            <family val="2"/>
          </rPr>
          <t xml:space="preserve">
Programming note: The list of five classes to the right is used in a pull-down menu to the left.</t>
        </r>
      </text>
    </comment>
    <comment ref="R425" authorId="1" shapeId="0" xr:uid="{DF52D4F3-004D-4BC9-900E-1CA463911FEC}">
      <text>
        <r>
          <rPr>
            <b/>
            <sz val="9"/>
            <color indexed="81"/>
            <rFont val="Tahoma"/>
            <family val="2"/>
          </rPr>
          <t>Bruyns Fred H:</t>
        </r>
        <r>
          <rPr>
            <sz val="9"/>
            <color indexed="81"/>
            <rFont val="Tahoma"/>
            <family val="2"/>
          </rPr>
          <t xml:space="preserve">
Option button output: 1, 2, 3, 4, or 5.</t>
        </r>
      </text>
    </comment>
    <comment ref="U435" authorId="1" shapeId="0" xr:uid="{98ED0BC9-C90C-49FC-982E-FEA32E497636}">
      <text>
        <r>
          <rPr>
            <b/>
            <sz val="9"/>
            <color indexed="81"/>
            <rFont val="Tahoma"/>
            <family val="2"/>
          </rPr>
          <t>Bruyns Fred H:</t>
        </r>
        <r>
          <rPr>
            <sz val="9"/>
            <color indexed="81"/>
            <rFont val="Tahoma"/>
            <family val="2"/>
          </rPr>
          <t xml:space="preserve">
Programming note: If at least one box is checked of boxes 1 through 3 plus at least one box in boxes 4 through 7, 5% is awarded.</t>
        </r>
      </text>
    </comment>
    <comment ref="R438" authorId="1" shapeId="0" xr:uid="{532F23C9-BC20-4671-B4A6-893C1546ADD9}">
      <text>
        <r>
          <rPr>
            <b/>
            <sz val="9"/>
            <color indexed="81"/>
            <rFont val="Tahoma"/>
            <family val="2"/>
          </rPr>
          <t>Bruyns Fred H:</t>
        </r>
        <r>
          <rPr>
            <sz val="9"/>
            <color indexed="81"/>
            <rFont val="Tahoma"/>
            <family val="2"/>
          </rPr>
          <t xml:space="preserve">
Programming note: Option button output: 1 or 2.</t>
        </r>
      </text>
    </comment>
    <comment ref="R442" authorId="1" shapeId="0" xr:uid="{C38074D2-6724-49A6-B102-7B0E3721054D}">
      <text>
        <r>
          <rPr>
            <b/>
            <sz val="9"/>
            <color indexed="81"/>
            <rFont val="Tahoma"/>
            <family val="2"/>
          </rPr>
          <t>Bruyns Fred H:</t>
        </r>
        <r>
          <rPr>
            <sz val="9"/>
            <color indexed="81"/>
            <rFont val="Tahoma"/>
            <family val="2"/>
          </rPr>
          <t xml:space="preserve">
Programming note: Option button output: 1 or 2.</t>
        </r>
      </text>
    </comment>
    <comment ref="S447" authorId="1" shapeId="0" xr:uid="{D23E3850-53E5-4AF5-959F-5DAC93EA91F5}">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447" authorId="1" shapeId="0" xr:uid="{AAB29EEB-1AA4-40ED-A93F-3CBD10DF64D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47" authorId="1" shapeId="0" xr:uid="{00F83A74-2CA2-4C91-86C0-69B222260D2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47" authorId="1" shapeId="0" xr:uid="{8CE98981-10C9-4F6E-9BB8-3F371E21E4C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449" authorId="1" shapeId="0" xr:uid="{A359F130-EBA7-4467-B488-84709CE83F92}">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450" authorId="1" shapeId="0" xr:uid="{FC3EB62A-A10D-4EF9-B7D0-AD45774DFD2C}">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W456" authorId="1" shapeId="0" xr:uid="{E6F97A3E-4695-44CD-9C98-635CD873D44A}">
      <text>
        <r>
          <rPr>
            <b/>
            <sz val="9"/>
            <color indexed="81"/>
            <rFont val="Tahoma"/>
            <family val="2"/>
          </rPr>
          <t>Bruyns Fred H:</t>
        </r>
        <r>
          <rPr>
            <sz val="9"/>
            <color indexed="81"/>
            <rFont val="Tahoma"/>
            <family val="2"/>
          </rPr>
          <t xml:space="preserve">
Programming note: If this value is greater than zero, and if motor loss is present, the chart will include a message that "The worker has motor loss impairment. Additional impairment values are not allowed for chronic condition, a walking/standing limitation, reduced range of motion, or strength loss."</t>
        </r>
      </text>
    </comment>
    <comment ref="E467" authorId="1" shapeId="0" xr:uid="{7211FD62-56F7-4D29-B94E-EA4EBB7493D8}">
      <text>
        <r>
          <rPr>
            <b/>
            <sz val="9"/>
            <color indexed="81"/>
            <rFont val="Tahoma"/>
            <family val="2"/>
          </rPr>
          <t>Bruyns Fred H:</t>
        </r>
        <r>
          <rPr>
            <sz val="9"/>
            <color indexed="81"/>
            <rFont val="Tahoma"/>
            <family val="2"/>
          </rPr>
          <t xml:space="preserve">
Programming note: Formula first checks for motor loss, and if present, returns zero value for walk/stand limitation.</t>
        </r>
      </text>
    </comment>
    <comment ref="E468" authorId="1" shapeId="0" xr:uid="{0739B0FC-D7BE-4A5F-8B43-FA104A9B2407}">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469" authorId="1" shapeId="0" xr:uid="{5AFB214E-170B-4350-8B9F-A87FD7A023E4}">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U480" authorId="1" shapeId="0" xr:uid="{62A1AD8B-B028-447F-9BC8-B58675B6E7D7}">
      <text>
        <r>
          <rPr>
            <b/>
            <sz val="9"/>
            <color indexed="81"/>
            <rFont val="Tahoma"/>
            <family val="2"/>
          </rPr>
          <t>Bruyns Fred H:</t>
        </r>
        <r>
          <rPr>
            <sz val="9"/>
            <color indexed="81"/>
            <rFont val="Tahoma"/>
            <family val="2"/>
          </rPr>
          <t xml:space="preserve">
programming note: Only if leg impairment is present is the foot/ankle value converted to a leg value.</t>
        </r>
      </text>
    </comment>
    <comment ref="R490" authorId="1" shapeId="0" xr:uid="{528AF035-ED96-4DA9-9D72-38A917F62F5A}">
      <text>
        <r>
          <rPr>
            <b/>
            <sz val="9"/>
            <color indexed="81"/>
            <rFont val="Tahoma"/>
            <family val="2"/>
          </rPr>
          <t>Bruyns Fred H:</t>
        </r>
        <r>
          <rPr>
            <sz val="9"/>
            <color indexed="81"/>
            <rFont val="Tahoma"/>
            <family val="2"/>
          </rPr>
          <t xml:space="preserve">
Programming note: Formula returns "1" if either the foot/ankle or the leg have impairment. If so, formulas in chart to left convert toe values to foot or leg values.</t>
        </r>
      </text>
    </comment>
    <comment ref="R491" authorId="1" shapeId="0" xr:uid="{000A80F0-6389-4E98-AA71-19BEE3914766}">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1" authorId="0" shapeId="0" xr:uid="{E2EDECB0-C184-48F7-B274-557084E4373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S2" authorId="0" shapeId="0" xr:uid="{9BB17E89-F381-480F-87C9-46D80EA464D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T7" authorId="0" shapeId="0" xr:uid="{1403171D-0C77-490E-90C9-3DFCA1827BE6}">
      <text>
        <r>
          <rPr>
            <b/>
            <sz val="9"/>
            <color indexed="81"/>
            <rFont val="Tahoma"/>
            <family val="2"/>
          </rPr>
          <t xml:space="preserve">Fred Bruyns:
</t>
        </r>
        <r>
          <rPr>
            <sz val="9"/>
            <color indexed="81"/>
            <rFont val="Tahoma"/>
            <family val="2"/>
          </rPr>
          <t>Descriptions in the chart to the right are used in a pull-down menu below "Great toe amputation." The percentages correspond to the extent of amputation per OAR 436-035-0140.</t>
        </r>
      </text>
    </comment>
    <comment ref="S13" authorId="1" shapeId="0" xr:uid="{77993E53-9715-4797-A1EE-22CC020666BC}">
      <text>
        <r>
          <rPr>
            <b/>
            <sz val="9"/>
            <color indexed="81"/>
            <rFont val="Tahoma"/>
            <family val="2"/>
          </rPr>
          <t>Bruyns Fred H:</t>
        </r>
        <r>
          <rPr>
            <sz val="9"/>
            <color indexed="81"/>
            <rFont val="Tahoma"/>
            <family val="2"/>
          </rPr>
          <t xml:space="preserve">
Programming note: 30 degrees of plantarflexion of IP joint is considered normal - no impairment. See OAR 436-035-0150.</t>
        </r>
      </text>
    </comment>
    <comment ref="T13" authorId="1" shapeId="0" xr:uid="{BA53F88A-790C-440C-9662-5309FCBAC3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8C514004-0DD5-4DAE-9CD0-5CF65105D91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1496F48F-4EC3-4C05-A366-26AFB2BB7A5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 authorId="1" shapeId="0" xr:uid="{C6486188-3995-4473-9B2A-A8A6943A6B3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14" authorId="1" shapeId="0" xr:uid="{3F6C76BC-EE02-48C9-B7DF-D2893AC61571}">
      <text>
        <r>
          <rPr>
            <b/>
            <sz val="9"/>
            <color indexed="81"/>
            <rFont val="Tahoma"/>
            <family val="2"/>
          </rPr>
          <t>Bruyns Fred H:</t>
        </r>
        <r>
          <rPr>
            <sz val="9"/>
            <color indexed="81"/>
            <rFont val="Tahoma"/>
            <family val="2"/>
          </rPr>
          <t xml:space="preserve">
Programming note:30 degrees of ankylosis of IP joint is considered maximum loss. See OAR 436-035-0150.</t>
        </r>
      </text>
    </comment>
    <comment ref="T14" authorId="1" shapeId="0" xr:uid="{1ABF8C2F-1103-4E7A-81EA-B3F9A48A6C4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6" authorId="1" shapeId="0" xr:uid="{AE569557-D45D-4142-A0A9-83A470F65976}">
      <text>
        <r>
          <rPr>
            <b/>
            <sz val="9"/>
            <color indexed="81"/>
            <rFont val="Tahoma"/>
            <family val="2"/>
          </rPr>
          <t>Bruyns Fred H:</t>
        </r>
        <r>
          <rPr>
            <sz val="9"/>
            <color indexed="81"/>
            <rFont val="Tahoma"/>
            <family val="2"/>
          </rPr>
          <t xml:space="preserve">
Programming note: 50 degrees of dorsiflexion of MP joint is considered normal - no impairment. See OAR 436-035-0150.</t>
        </r>
      </text>
    </comment>
    <comment ref="T16" authorId="1" shapeId="0" xr:uid="{B015BBE8-3AF4-41A0-BF25-BF9EE70ED68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 authorId="1" shapeId="0" xr:uid="{1CB17359-217D-4D5D-B8B1-36134909D16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 authorId="1" shapeId="0" xr:uid="{A7116A96-9778-4038-A404-CA5DC233CDD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6" authorId="1" shapeId="0" xr:uid="{FBD8E62F-04A9-4526-9C43-36508333022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E17" authorId="1" shapeId="0" xr:uid="{6CE6002E-F9B3-4F2B-AD6C-0AB4FBB9D00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 authorId="1" shapeId="0" xr:uid="{7BC9A9FD-97F4-45D6-864B-68E426064F3B}">
      <text>
        <r>
          <rPr>
            <b/>
            <sz val="9"/>
            <color indexed="81"/>
            <rFont val="Tahoma"/>
            <family val="2"/>
          </rPr>
          <t>Bruyns Fred H:</t>
        </r>
        <r>
          <rPr>
            <sz val="9"/>
            <color indexed="81"/>
            <rFont val="Tahoma"/>
            <family val="2"/>
          </rPr>
          <t xml:space="preserve">
Programming note: 50 degrees of dorsiflexion ankylosis of MP joint is considered maximum loss. See OAR 436-035-0150.</t>
        </r>
      </text>
    </comment>
    <comment ref="T17" authorId="1" shapeId="0" xr:uid="{463E5693-95D1-4CAA-8437-B576EB07C87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 authorId="1" shapeId="0" xr:uid="{2317B1E0-37F1-49F6-9821-866680579F80}">
      <text>
        <r>
          <rPr>
            <b/>
            <sz val="9"/>
            <color indexed="81"/>
            <rFont val="Tahoma"/>
            <family val="2"/>
          </rPr>
          <t>Bruyns Fred H:</t>
        </r>
        <r>
          <rPr>
            <sz val="9"/>
            <color indexed="81"/>
            <rFont val="Tahoma"/>
            <family val="2"/>
          </rPr>
          <t xml:space="preserve">
Programming note: 30 degrees of plantarflexion of MP joint is considered normal - no impairment. See OAR 436-035-0150.</t>
        </r>
      </text>
    </comment>
    <comment ref="T18" authorId="1" shapeId="0" xr:uid="{2F80F5D2-D3CF-4260-9201-7DF1842422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707CBB7C-0112-4644-9330-F9DE6B621B4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89282390-407B-46D5-8CB2-324E8A8C26B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8" authorId="1" shapeId="0" xr:uid="{ABA635B9-EAA6-426F-B35C-D37E50A36F2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8" authorId="1" shapeId="0" xr:uid="{1B7D7D12-F092-4743-AE6E-84134167E7A8}">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8" authorId="1" shapeId="0" xr:uid="{A29D1478-ADA6-4276-A4B6-A3736C50051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8" authorId="1" shapeId="0" xr:uid="{A71FA71F-83E1-4A85-AA53-1E908B8D8DC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8" authorId="1" shapeId="0" xr:uid="{992A96F8-5890-45F8-A430-439E3113AE14}">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 authorId="1" shapeId="0" xr:uid="{BC4B5187-7BC2-49AB-85D5-38C487E748A1}">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9" authorId="1" shapeId="0" xr:uid="{6B0CCDBC-5C50-4420-930D-C827560FF6BD}">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436-035-0150.</t>
        </r>
      </text>
    </comment>
    <comment ref="T19" authorId="1" shapeId="0" xr:uid="{35861B61-5516-442B-89E4-143693CF3C2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20" authorId="1" shapeId="0" xr:uid="{2FEA4F6C-7AEB-4B16-8D16-B68557345A3D}">
      <text>
        <r>
          <rPr>
            <b/>
            <sz val="9"/>
            <color indexed="81"/>
            <rFont val="Tahoma"/>
            <family val="2"/>
          </rPr>
          <t>Bruyns Fred H:</t>
        </r>
        <r>
          <rPr>
            <sz val="9"/>
            <color indexed="81"/>
            <rFont val="Tahoma"/>
            <family val="2"/>
          </rPr>
          <t xml:space="preserve">
Programming note: If multiple ankylosis values, use the higher of the two.</t>
        </r>
      </text>
    </comment>
    <comment ref="S23" authorId="1" shapeId="0" xr:uid="{2E5C131E-C450-4F89-ABF7-45506E98F439}">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28" authorId="1" shapeId="0" xr:uid="{08135A31-119B-4A2A-AFBC-3F4DE819C289}">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33" authorId="1" shapeId="0" xr:uid="{4C85A0E2-A7E8-4875-9058-7B0D229337DF}">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3" authorId="1" shapeId="0" xr:uid="{6B4DAE92-0B02-4466-BF7F-4FAF5A35293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3" authorId="1" shapeId="0" xr:uid="{7C259F9B-F585-4234-8D56-8B06A5DE8F0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3" authorId="1" shapeId="0" xr:uid="{50D180AA-34F6-4968-A0B5-E16F3A0746C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35" authorId="1" shapeId="0" xr:uid="{787EA586-3A5D-4232-A62C-737CD3B08554}">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45" authorId="0" shapeId="0" xr:uid="{87A53787-C861-450A-9DA7-E0214276EC28}">
      <text>
        <r>
          <rPr>
            <b/>
            <sz val="9"/>
            <color indexed="81"/>
            <rFont val="Tahoma"/>
            <family val="2"/>
          </rPr>
          <t xml:space="preserve">Fred Bruyns:
</t>
        </r>
        <r>
          <rPr>
            <sz val="9"/>
            <color indexed="81"/>
            <rFont val="Tahoma"/>
            <family val="2"/>
          </rPr>
          <t>Descriptions in the chart to the right are used in a pull-down menu below "Second toe amputation." The percentages correspond to the extent of amputation per OAR 436-035-0140.</t>
        </r>
      </text>
    </comment>
    <comment ref="R49" authorId="1" shapeId="0" xr:uid="{CEE412C7-3B6F-4C4E-8BDA-64D3D812AEB0}">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54" authorId="1" shapeId="0" xr:uid="{BD0A53AB-7742-4820-8F0E-6D8FB59EA579}">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54" authorId="1" shapeId="0" xr:uid="{57CD85B9-B4F4-4727-B5C5-B504AC4803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4" authorId="1" shapeId="0" xr:uid="{23521C79-76CC-4A8A-BC4F-48CB12E552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4" authorId="1" shapeId="0" xr:uid="{179668D2-AAD2-4DCA-B896-7717276F95B4}">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4" authorId="1" shapeId="0" xr:uid="{C0423F7A-5D98-40DE-A110-DB060C667A1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55" authorId="1" shapeId="0" xr:uid="{A4418BE6-97D8-4D07-A9EF-517712903AF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5" authorId="1" shapeId="0" xr:uid="{39631BB7-E20C-466F-A6C9-6BF36E6969B8}">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55" authorId="1" shapeId="0" xr:uid="{2AD8860D-5C51-4603-A14A-05EE9A1E97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56" authorId="1" shapeId="0" xr:uid="{D3988183-34FB-4288-8584-0197D1F26A2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56" authorId="1" shapeId="0" xr:uid="{3995109B-DA1A-4075-B394-C5D9C618FD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6" authorId="1" shapeId="0" xr:uid="{DD97A96D-EAB8-4105-98DE-87D7D129891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6" authorId="1" shapeId="0" xr:uid="{A0444F4A-A1F8-49F3-B49D-16378F9B671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6" authorId="1" shapeId="0" xr:uid="{E332ED1B-A6AB-45DD-907E-E1FE32918F8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56" authorId="1" shapeId="0" xr:uid="{919CE03C-AAF3-4A65-96E4-411D80204C61}">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56" authorId="1" shapeId="0" xr:uid="{63A8D484-4051-4DE7-A32E-00057A0D5F9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6" authorId="1" shapeId="0" xr:uid="{7A907ADE-9D33-46D9-8B7E-0CF93E0CDAF7}">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56" authorId="1" shapeId="0" xr:uid="{F23F50A6-CA62-4092-AEA6-CDCE92EB06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7" authorId="1" shapeId="0" xr:uid="{83E9386F-98F6-4538-80DA-E497562F161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7" authorId="1" shapeId="0" xr:uid="{24ECE9ED-08FF-4B9A-B537-A7E79BE18391}">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57" authorId="1" shapeId="0" xr:uid="{BB7A5C56-D223-4826-A5DB-6AD3D5AC47D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58" authorId="1" shapeId="0" xr:uid="{ACB47A1C-21F2-4703-8723-8AF66C9341BF}">
      <text>
        <r>
          <rPr>
            <b/>
            <sz val="9"/>
            <color indexed="81"/>
            <rFont val="Tahoma"/>
            <family val="2"/>
          </rPr>
          <t>Bruyns Fred H:</t>
        </r>
        <r>
          <rPr>
            <sz val="9"/>
            <color indexed="81"/>
            <rFont val="Tahoma"/>
            <family val="2"/>
          </rPr>
          <t xml:space="preserve">
Programming note: If multiple ankylosis values, use the higher of the two.</t>
        </r>
      </text>
    </comment>
    <comment ref="R66" authorId="1" shapeId="0" xr:uid="{DA76D83F-C6EB-4BAA-8458-BCE202786904}">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72" authorId="1" shapeId="0" xr:uid="{D0C3E214-C13F-4765-AA4C-86861A87A0F7}">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72" authorId="1" shapeId="0" xr:uid="{A5A297BF-EEBA-4A38-9AD2-DE14411E54E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72" authorId="1" shapeId="0" xr:uid="{23860645-3253-409D-854D-10049B9DA5E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72" authorId="1" shapeId="0" xr:uid="{0C56B86F-5D6F-47D8-A06B-8A018E13016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74" authorId="1" shapeId="0" xr:uid="{83176A2D-AEBA-4F3D-B856-AD2F80240C1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85" authorId="0" shapeId="0" xr:uid="{28CB0BA2-5E2D-413A-B784-26F54283BA1D}">
      <text>
        <r>
          <rPr>
            <b/>
            <sz val="9"/>
            <color indexed="81"/>
            <rFont val="Tahoma"/>
            <family val="2"/>
          </rPr>
          <t xml:space="preserve">Fred Bruyns:
</t>
        </r>
        <r>
          <rPr>
            <sz val="9"/>
            <color indexed="81"/>
            <rFont val="Tahoma"/>
            <family val="2"/>
          </rPr>
          <t>Descriptions in the chart to the right are used in a pull-down menu below "Third toe amputation." The percentages correspond to the extent of amputation per OAR 436-035-0140.</t>
        </r>
      </text>
    </comment>
    <comment ref="R89" authorId="1" shapeId="0" xr:uid="{7A609CB4-914B-4030-9932-8EEDDAAF000B}">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94" authorId="1" shapeId="0" xr:uid="{50EA894C-1FE4-4FC1-B03C-A57242D0B992}">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94" authorId="1" shapeId="0" xr:uid="{E3048E0D-E23E-4E53-9938-73CABCE9D1E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4" authorId="1" shapeId="0" xr:uid="{446CF011-D5C8-4ED6-8C5C-475F2F89173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4" authorId="1" shapeId="0" xr:uid="{3E47A252-FEB5-498E-AE1E-956EE9739EC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4" authorId="1" shapeId="0" xr:uid="{00C04CDB-1BC8-45A1-927D-38E2055E049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95" authorId="1" shapeId="0" xr:uid="{3C5ADF16-43F4-4A02-AFE4-B4AC9DB26F6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5" authorId="1" shapeId="0" xr:uid="{7F022081-551E-44F4-9355-1D713CF8C4E9}">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95" authorId="1" shapeId="0" xr:uid="{0123AFB8-DA41-46C3-986D-06F890C3FCC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6" authorId="1" shapeId="0" xr:uid="{910A0E5C-A834-4312-9E67-7872D6520B3B}">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96" authorId="1" shapeId="0" xr:uid="{E68B4221-E62B-4F8A-8213-D72EEABA7DC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7E45D4D8-6577-4575-A712-3582C9E653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79D23903-B32E-4B4F-8331-B9ACD78A4853}">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6" authorId="1" shapeId="0" xr:uid="{78B0D8AE-F849-4897-8771-344FFAAD03D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96" authorId="1" shapeId="0" xr:uid="{EFEE6E82-1533-4D1E-A8A6-4160D8EF91C3}">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96" authorId="1" shapeId="0" xr:uid="{DBA9AF7D-1615-429B-885C-F86E0CC5350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96" authorId="1" shapeId="0" xr:uid="{668290E3-8BDB-46B0-AAF7-4CB2C2E1BDE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96" authorId="1" shapeId="0" xr:uid="{E9E6B46F-20AD-4D7D-84C4-AD5CE48148B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97" authorId="1" shapeId="0" xr:uid="{4BC98656-6ABA-4DB6-A2E7-A4F11245D7D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41C3630B-B5C8-4A5B-9D4E-C5112E2662C4}">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97" authorId="1" shapeId="0" xr:uid="{998A838A-48D9-46E0-BAA1-DAD60648DB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98" authorId="1" shapeId="0" xr:uid="{90ADA2EB-64B9-4711-8321-9F19FC8967F1}">
      <text>
        <r>
          <rPr>
            <b/>
            <sz val="9"/>
            <color indexed="81"/>
            <rFont val="Tahoma"/>
            <family val="2"/>
          </rPr>
          <t>Bruyns Fred H:</t>
        </r>
        <r>
          <rPr>
            <sz val="9"/>
            <color indexed="81"/>
            <rFont val="Tahoma"/>
            <family val="2"/>
          </rPr>
          <t xml:space="preserve">
Programming note: If multiple ankylosis values, use the higher of the two.</t>
        </r>
      </text>
    </comment>
    <comment ref="R106" authorId="1" shapeId="0" xr:uid="{D4666C28-5954-4966-8F52-9E20A4FE6D33}">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12" authorId="1" shapeId="0" xr:uid="{ADAA908B-60F8-4BF2-8861-0FA752B7FF0B}">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12" authorId="1" shapeId="0" xr:uid="{D975E870-9F86-4155-8B7B-A69DB830884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12" authorId="1" shapeId="0" xr:uid="{D04C1039-6CDB-44F7-8E43-7FB17D9CA87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12" authorId="1" shapeId="0" xr:uid="{4A50A092-3E4E-4B6B-8CD0-10B17E47D0EC}">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14" authorId="1" shapeId="0" xr:uid="{21826BE4-F336-48BE-B62A-FE4B13295DC5}">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25" authorId="0" shapeId="0" xr:uid="{B9A91A8F-13CF-494E-8B6F-987B4D66D0AD}">
      <text>
        <r>
          <rPr>
            <b/>
            <sz val="9"/>
            <color indexed="81"/>
            <rFont val="Tahoma"/>
            <family val="2"/>
          </rPr>
          <t xml:space="preserve">Fred Bruyns:
</t>
        </r>
        <r>
          <rPr>
            <sz val="9"/>
            <color indexed="81"/>
            <rFont val="Tahoma"/>
            <family val="2"/>
          </rPr>
          <t>Descriptions in the chart to the right are used in a pull-down menu below Fourth toe amputation." The percentages correspond to the extent of amputation per OAR 436-035-0140.</t>
        </r>
      </text>
    </comment>
    <comment ref="R129" authorId="1" shapeId="0" xr:uid="{93FF48A4-63FF-4756-9D03-C38730646A58}">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134" authorId="1" shapeId="0" xr:uid="{17582BBC-850E-46BD-9A5C-56CBE7A27555}">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34" authorId="1" shapeId="0" xr:uid="{FEC4C47B-FE4B-4C1C-B1F6-71092C6B07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4" authorId="1" shapeId="0" xr:uid="{73ABA7E6-77D8-4155-8F91-EF4DE52A825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4" authorId="1" shapeId="0" xr:uid="{530FC712-A174-4A27-A1B3-2B5EEA21CB54}">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4" authorId="1" shapeId="0" xr:uid="{3EDA408B-11B3-45E2-AFEF-03114A7A6BF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35" authorId="1" shapeId="0" xr:uid="{13FF1C72-CC39-4D87-98D7-84D3C10227CF}">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5" authorId="1" shapeId="0" xr:uid="{D390991C-CA93-4134-A39D-3489C41890B4}">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35" authorId="1" shapeId="0" xr:uid="{B0D0098F-261C-47D7-B6C3-79B508BCEB1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6" authorId="1" shapeId="0" xr:uid="{355563F3-9CC9-4211-9E6C-132BAA9C10EC}">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36" authorId="1" shapeId="0" xr:uid="{6403B8D5-34C2-43DA-BBC9-1CF5D2CEAB1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6" authorId="1" shapeId="0" xr:uid="{198E720A-8B71-4CB4-B0B1-58B11ED72C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6" authorId="1" shapeId="0" xr:uid="{D7A7A928-76CC-4BD6-A2DF-BB1C67F19632}">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6" authorId="1" shapeId="0" xr:uid="{6A6F2C67-F12C-4ECF-A74B-ACAC76D927C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36" authorId="1" shapeId="0" xr:uid="{4CAB3CA7-2E89-4FF8-A270-E9D31C7B032E}">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36" authorId="1" shapeId="0" xr:uid="{DF720284-E708-48C6-A6B8-A029E186EF13}">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36" authorId="1" shapeId="0" xr:uid="{6F11AB81-01AB-40AE-9D1B-3BD457F3119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36" authorId="1" shapeId="0" xr:uid="{7454D018-C57E-4842-A840-FD4E9D7470C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37" authorId="1" shapeId="0" xr:uid="{7DDA6ECB-8FD4-484C-8F85-6AC9F412074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7" authorId="1" shapeId="0" xr:uid="{EF5EDE3E-A5A9-4CFB-A345-A21E11CE7CC2}">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37" authorId="1" shapeId="0" xr:uid="{C8745775-02DC-4C52-9C2E-08BAA45A76F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138" authorId="1" shapeId="0" xr:uid="{150B8B76-900D-43ED-947D-93047E8FC6D1}">
      <text>
        <r>
          <rPr>
            <b/>
            <sz val="9"/>
            <color indexed="81"/>
            <rFont val="Tahoma"/>
            <family val="2"/>
          </rPr>
          <t>Bruyns Fred H:</t>
        </r>
        <r>
          <rPr>
            <sz val="9"/>
            <color indexed="81"/>
            <rFont val="Tahoma"/>
            <family val="2"/>
          </rPr>
          <t xml:space="preserve">
Programming note: If multiple ankylosis values, use the higher of the two.</t>
        </r>
      </text>
    </comment>
    <comment ref="R146" authorId="1" shapeId="0" xr:uid="{DD5874A4-9FE0-4BCA-92EB-7142EB8005F0}">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52" authorId="1" shapeId="0" xr:uid="{4630F229-D5FE-4568-AD0C-C37417E7FF2F}">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52" authorId="1" shapeId="0" xr:uid="{27D558A1-7281-4EDC-8407-E726278FCDE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52" authorId="1" shapeId="0" xr:uid="{0EA6DD33-145D-4CC7-AFDC-484FE02D08D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152" authorId="1" shapeId="0" xr:uid="{54275A04-4EFB-4BD2-9385-8B3C5E5FF65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54" authorId="1" shapeId="0" xr:uid="{D82197CB-7D85-4594-891C-411D33D71195}">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65" authorId="0" shapeId="0" xr:uid="{2EF8ED40-CBC8-4023-BBA0-A9B1756130BC}">
      <text>
        <r>
          <rPr>
            <b/>
            <sz val="9"/>
            <color indexed="81"/>
            <rFont val="Tahoma"/>
            <family val="2"/>
          </rPr>
          <t xml:space="preserve">Fred Bruyns:
</t>
        </r>
        <r>
          <rPr>
            <sz val="9"/>
            <color indexed="81"/>
            <rFont val="Tahoma"/>
            <family val="2"/>
          </rPr>
          <t>Descriptions in the chart to the right are used in a pull-down menu below Fifth toe amputation." The percentages correspond to the extent of amputation per OAR 436-035-0140.</t>
        </r>
      </text>
    </comment>
    <comment ref="R169" authorId="1" shapeId="0" xr:uid="{640874A2-F010-4E19-B3D9-E63E14EBC33E}">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174" authorId="1" shapeId="0" xr:uid="{59E7D466-75A9-43A2-95D1-51CF19428C29}">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74" authorId="1" shapeId="0" xr:uid="{BA7B0F37-86C2-4311-978C-15ACCACC0A5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4" authorId="1" shapeId="0" xr:uid="{28933383-DBE7-46A8-9963-8B4E447B7E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4" authorId="1" shapeId="0" xr:uid="{5591302D-1552-48EF-B06C-B94D05883A7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4" authorId="1" shapeId="0" xr:uid="{2A59CB27-CF7F-41C7-A618-D36D621168A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75" authorId="1" shapeId="0" xr:uid="{E3E7EAB0-D118-43DB-900B-5CF1AA13D92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5" authorId="1" shapeId="0" xr:uid="{3B9F63F7-C15C-46C4-8420-5BC4B784ACB9}">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75" authorId="1" shapeId="0" xr:uid="{D7B0E293-9EF4-43AC-AB28-4751672FAC6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6" authorId="1" shapeId="0" xr:uid="{373EA1A3-D6C9-4E38-9243-3080C01A401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76" authorId="1" shapeId="0" xr:uid="{1854D745-67F4-4EC7-9A8B-3827909B86B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E8183D4F-87EF-472F-8551-0101F853E4A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D4743A14-070D-42C9-A0B8-4BC44217A17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6" authorId="1" shapeId="0" xr:uid="{38F89D91-F0E9-47A7-87B8-77F2A6DA845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76" authorId="1" shapeId="0" xr:uid="{DB82E9B8-2C2F-464C-9E16-0D55FF737F3A}">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76" authorId="1" shapeId="0" xr:uid="{61855FDB-A8D5-40E1-9E2E-B1E4ABDF594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76" authorId="1" shapeId="0" xr:uid="{22D63E4C-DEA6-4D86-BB89-3A655590213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76" authorId="1" shapeId="0" xr:uid="{7D5558BC-2B72-40A4-B982-80C2B0057B3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77" authorId="1" shapeId="0" xr:uid="{B82B1922-7C2C-4A6B-B6BE-E5AC5AE78D64}">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7" authorId="1" shapeId="0" xr:uid="{E8B72DAC-71DA-4703-8E6A-5C9481CA3036}">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77" authorId="1" shapeId="0" xr:uid="{219B38AF-98D0-4F22-8CB9-96FDF860303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178" authorId="1" shapeId="0" xr:uid="{57E69C1F-8CEF-4D8C-A871-64C432475CE5}">
      <text>
        <r>
          <rPr>
            <b/>
            <sz val="9"/>
            <color indexed="81"/>
            <rFont val="Tahoma"/>
            <family val="2"/>
          </rPr>
          <t>Bruyns Fred H:</t>
        </r>
        <r>
          <rPr>
            <sz val="9"/>
            <color indexed="81"/>
            <rFont val="Tahoma"/>
            <family val="2"/>
          </rPr>
          <t xml:space="preserve">
Programming note: If multiple ankylosis values, use the higher of the two.</t>
        </r>
      </text>
    </comment>
    <comment ref="R186" authorId="1" shapeId="0" xr:uid="{BEC77392-6C51-41DC-B05C-7893AD4632B9}">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92" authorId="1" shapeId="0" xr:uid="{3BF916C5-2A1A-4B1F-9BAC-6798C3A06FD4}">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92" authorId="1" shapeId="0" xr:uid="{66271E98-80F7-49FB-A278-D6590247D80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92" authorId="1" shapeId="0" xr:uid="{68542D30-BDB2-4711-A1F6-7CEFBDA5AAE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92" authorId="1" shapeId="0" xr:uid="{39351E59-22A6-493B-BA11-8F182218C00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4" authorId="1" shapeId="0" xr:uid="{098E27AC-1207-48C8-8E82-845EF0621EF2}">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R207" authorId="1" shapeId="0" xr:uid="{33F02449-C344-41CC-8C70-E2918F522E93}">
      <text>
        <r>
          <rPr>
            <b/>
            <sz val="9"/>
            <color indexed="81"/>
            <rFont val="Tahoma"/>
            <family val="2"/>
          </rPr>
          <t>Bruyns Fred H:</t>
        </r>
        <r>
          <rPr>
            <sz val="9"/>
            <color indexed="81"/>
            <rFont val="Tahoma"/>
            <family val="2"/>
          </rPr>
          <t xml:space="preserve">
Programming note: The chart at the right is used for a pull-down menu under "Amputation of the right foot."</t>
        </r>
      </text>
    </comment>
    <comment ref="P208" authorId="1" shapeId="0" xr:uid="{02DF5986-028C-4877-A03F-C8B3375C8849}">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09" authorId="1" shapeId="0" xr:uid="{5830226F-17E4-4145-8AE3-6CC2E98C00D6}">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0" authorId="1" shapeId="0" xr:uid="{9E91DB44-838D-4DA3-891E-0DC0E2A4132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1" authorId="1" shapeId="0" xr:uid="{47CD49D6-654C-41A6-A288-7A6D30F837DC}">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T211" authorId="1" shapeId="0" xr:uid="{E497BE38-203B-47A7-8E4B-244A780BD797}">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metatarsal amputation data. </t>
        </r>
      </text>
    </comment>
    <comment ref="P212" authorId="1" shapeId="0" xr:uid="{047464CB-7BD6-4DB7-871D-A670F492C7C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5" authorId="1" shapeId="0" xr:uid="{DF6CE9EE-F508-445C-A830-BDFB29448D7C}">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6" authorId="1" shapeId="0" xr:uid="{C0B1C675-E23B-42A3-A578-177084183371}">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7" authorId="1" shapeId="0" xr:uid="{3328E54F-D312-4681-A24A-49A7C3AB8B92}">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8" authorId="1" shapeId="0" xr:uid="{7F6F9AA3-C025-4013-A26B-8E783062A0D9}">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T218" authorId="1" shapeId="0" xr:uid="{CE71BFDD-93D4-4C09-998F-4ED6CA82CA13}">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tarsometatarsal amputation data. </t>
        </r>
      </text>
    </comment>
    <comment ref="P219" authorId="1" shapeId="0" xr:uid="{D3B25847-C6B4-44A8-B8B0-F0B2EDF3ACE0}">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Y221" authorId="1" shapeId="0" xr:uid="{23B847A5-FA3F-4AA3-92EA-61F9C40CF973}">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1" authorId="1" shapeId="0" xr:uid="{4B51119D-0369-4CE4-A9C3-4DE6976D10AF}">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S222" authorId="1" shapeId="0" xr:uid="{501451D1-9F8A-40D1-9E14-864324A026C9}">
      <text>
        <r>
          <rPr>
            <b/>
            <sz val="9"/>
            <color indexed="81"/>
            <rFont val="Tahoma"/>
            <family val="2"/>
          </rPr>
          <t>Bruyns Fred H:</t>
        </r>
        <r>
          <rPr>
            <sz val="9"/>
            <color indexed="81"/>
            <rFont val="Tahoma"/>
            <family val="2"/>
          </rPr>
          <t xml:space="preserve">
Programming note: 30 degrees of subtalar inversion of the foot is considered normal - no impairment. See OAR 436-035-0190.</t>
        </r>
      </text>
    </comment>
    <comment ref="T222" authorId="1" shapeId="0" xr:uid="{9CAB2F61-F716-4A2C-A853-229951900BE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2" authorId="1" shapeId="0" xr:uid="{1796218C-2730-431E-9C06-6EB700C1C6B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2" authorId="1" shapeId="0" xr:uid="{FEBE09CA-54F1-4902-9311-D7F2A346B16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2" authorId="1" shapeId="0" xr:uid="{0929706D-AB13-4358-9FC6-331C0AC3288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223" authorId="1" shapeId="0" xr:uid="{069174B5-4736-4E34-9DFE-89F5B721C0EA}">
      <text>
        <r>
          <rPr>
            <b/>
            <sz val="9"/>
            <color indexed="81"/>
            <rFont val="Tahoma"/>
            <family val="2"/>
          </rPr>
          <t>Bruyns Fred H:</t>
        </r>
        <r>
          <rPr>
            <sz val="9"/>
            <color indexed="81"/>
            <rFont val="Tahoma"/>
            <family val="2"/>
          </rPr>
          <t xml:space="preserve">
Programming note: 30 degrees of inversion ankylosis of the foot is considered maximum loss. See OAR 436-035-0190.</t>
        </r>
      </text>
    </comment>
    <comment ref="T223" authorId="1" shapeId="0" xr:uid="{E1518EC2-A5C4-44FD-8B39-21674DFD9C2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24" authorId="1" shapeId="0" xr:uid="{43A1CDDA-7203-49B9-93C6-196BDEB917A3}">
      <text>
        <r>
          <rPr>
            <b/>
            <sz val="9"/>
            <color indexed="81"/>
            <rFont val="Tahoma"/>
            <family val="2"/>
          </rPr>
          <t>Bruyns Fred H:</t>
        </r>
        <r>
          <rPr>
            <sz val="9"/>
            <color indexed="81"/>
            <rFont val="Tahoma"/>
            <family val="2"/>
          </rPr>
          <t xml:space="preserve">
Programming note: 20 degrees of subtalar eversion of the foot is considered normal - no impairment. See OAR 436-035-0190.</t>
        </r>
      </text>
    </comment>
    <comment ref="T224" authorId="1" shapeId="0" xr:uid="{C25ECC66-B249-48AB-A3F6-9B4DAB86695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4" authorId="1" shapeId="0" xr:uid="{DFB8D501-8A2A-4AB7-93A3-6D953A17BC3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4" authorId="1" shapeId="0" xr:uid="{22C227F4-9947-4131-A1AC-2F742A755F0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4" authorId="1" shapeId="0" xr:uid="{963E3E5F-31CC-4E36-BA60-FDE4D1866AC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5" authorId="1" shapeId="0" xr:uid="{298A7E4D-9C67-438A-ADEE-01731A8DD1B3}">
      <text>
        <r>
          <rPr>
            <b/>
            <sz val="9"/>
            <color indexed="81"/>
            <rFont val="Tahoma"/>
            <family val="2"/>
          </rPr>
          <t>Bruyns Fred H:</t>
        </r>
        <r>
          <rPr>
            <sz val="9"/>
            <color indexed="81"/>
            <rFont val="Tahoma"/>
            <family val="2"/>
          </rPr>
          <t xml:space="preserve">
Programming note: 20 degrees of subtalar eversion of the foot is considered maximum loss. See OAR 436-035-0190.</t>
        </r>
      </text>
    </comment>
    <comment ref="T225" authorId="1" shapeId="0" xr:uid="{4CD05557-ECD1-401F-8EB1-B13821F1B8A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C225" authorId="1" shapeId="0" xr:uid="{150EEED6-05BC-4269-BCEA-21A245C0DF4C}">
      <text>
        <r>
          <rPr>
            <b/>
            <sz val="9"/>
            <color indexed="81"/>
            <rFont val="Tahoma"/>
            <family val="2"/>
          </rPr>
          <t>Bruyns Fred H:</t>
        </r>
        <r>
          <rPr>
            <sz val="9"/>
            <color indexed="81"/>
            <rFont val="Tahoma"/>
            <family val="2"/>
          </rPr>
          <t xml:space="preserve">
Programming note: This text is for conditional formatting only.</t>
        </r>
      </text>
    </comment>
    <comment ref="Y226" authorId="1" shapeId="0" xr:uid="{5B963377-E969-4FED-A13F-2487FC803B55}">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6" authorId="1" shapeId="0" xr:uid="{3D535415-81D9-44F1-A03E-E4FA0F50EC9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S228" authorId="1" shapeId="0" xr:uid="{7E6F87F2-7CD0-4D67-A9DF-D7F74611FAF5}">
      <text>
        <r>
          <rPr>
            <b/>
            <sz val="9"/>
            <color indexed="81"/>
            <rFont val="Tahoma"/>
            <family val="2"/>
          </rPr>
          <t>Bruyns Fred H:</t>
        </r>
        <r>
          <rPr>
            <sz val="9"/>
            <color indexed="81"/>
            <rFont val="Tahoma"/>
            <family val="2"/>
          </rPr>
          <t xml:space="preserve">
Programming note: 20 degrees of dorsiflexion (extension) of the ankle is considered normal - no impairment. See OAR 436-035-0190.</t>
        </r>
      </text>
    </comment>
    <comment ref="U228" authorId="1" shapeId="0" xr:uid="{62EB6B67-E96D-4D7B-897A-498D3660285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8" authorId="1" shapeId="0" xr:uid="{C3F5A74B-5362-407D-BD5D-5A430AFC56F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8" authorId="1" shapeId="0" xr:uid="{FDA1D80C-67D2-46BB-B478-476DDEBF261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9" authorId="1" shapeId="0" xr:uid="{5E53C1FA-A5B6-4AFB-A16B-8133B5050379}">
      <text>
        <r>
          <rPr>
            <b/>
            <sz val="9"/>
            <color indexed="81"/>
            <rFont val="Tahoma"/>
            <family val="2"/>
          </rPr>
          <t>Bruyns Fred H:</t>
        </r>
        <r>
          <rPr>
            <sz val="9"/>
            <color indexed="81"/>
            <rFont val="Tahoma"/>
            <family val="2"/>
          </rPr>
          <t xml:space="preserve">
Programming note: 20 degrees of dorsiflexion ankylosis of the ankle is considered maximum loss. See OAR 436-035-0190.</t>
        </r>
      </text>
    </comment>
    <comment ref="S230" authorId="1" shapeId="0" xr:uid="{2AB9C6AF-A62B-4C1F-9553-1B53436F1C0E}">
      <text>
        <r>
          <rPr>
            <b/>
            <sz val="9"/>
            <color indexed="81"/>
            <rFont val="Tahoma"/>
            <family val="2"/>
          </rPr>
          <t>Bruyns Fred H:</t>
        </r>
        <r>
          <rPr>
            <sz val="9"/>
            <color indexed="81"/>
            <rFont val="Tahoma"/>
            <family val="2"/>
          </rPr>
          <t xml:space="preserve">
Programming note: 40 degrees of plantar flexion of the ankle is considered normal - no impairment. See OAR 436-035-0190.</t>
        </r>
      </text>
    </comment>
    <comment ref="U230" authorId="1" shapeId="0" xr:uid="{7AD3909E-A461-4843-A05B-9755AFF95A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0" authorId="1" shapeId="0" xr:uid="{CF3FFC3B-906F-4B7C-86ED-FB050DE8E1A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30" authorId="1" shapeId="0" xr:uid="{8F55036B-8790-4B37-BED0-8ED9D3E5362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231" authorId="1" shapeId="0" xr:uid="{AF9ED86B-9712-4F4B-90F8-C4207F40DE1F}">
      <text>
        <r>
          <rPr>
            <b/>
            <sz val="9"/>
            <color indexed="81"/>
            <rFont val="Tahoma"/>
            <family val="2"/>
          </rPr>
          <t>Bruyns Fred H:</t>
        </r>
        <r>
          <rPr>
            <sz val="9"/>
            <color indexed="81"/>
            <rFont val="Tahoma"/>
            <family val="2"/>
          </rPr>
          <t xml:space="preserve">
Programming note: 40 degrees of plantar flexion ankylosis of the ankle is considered maximum loss. See OAR 436-035-0190.</t>
        </r>
      </text>
    </comment>
    <comment ref="P233" authorId="1" shapeId="0" xr:uid="{0482D715-D591-4182-8B94-09E2A119EC42}">
      <text>
        <r>
          <rPr>
            <b/>
            <sz val="9"/>
            <color indexed="81"/>
            <rFont val="Tahoma"/>
            <family val="2"/>
          </rPr>
          <t>Bruyns Fred H:</t>
        </r>
        <r>
          <rPr>
            <sz val="9"/>
            <color indexed="81"/>
            <rFont val="Tahoma"/>
            <family val="2"/>
          </rPr>
          <t xml:space="preserve">
Programming note: Formula increases values greater than zero but less than 1% to 1%. Formula decreases values greater than 100% to 100%.</t>
        </r>
      </text>
    </comment>
    <comment ref="R233" authorId="1" shapeId="0" xr:uid="{C2296F3C-52AE-40DD-8726-FC03B81C5E86}">
      <text>
        <r>
          <rPr>
            <b/>
            <sz val="9"/>
            <color indexed="81"/>
            <rFont val="Tahoma"/>
            <family val="2"/>
          </rPr>
          <t>Bruyns Fred H:</t>
        </r>
        <r>
          <rPr>
            <sz val="9"/>
            <color indexed="81"/>
            <rFont val="Tahoma"/>
            <family val="2"/>
          </rPr>
          <t xml:space="preserve">
Programming note: This is the sum of the foot and ankle ROM impairment.</t>
        </r>
      </text>
    </comment>
    <comment ref="R237" authorId="1" shapeId="0" xr:uid="{EE9EF2DE-B7A2-4A32-BBE7-0E24834AC357}">
      <text>
        <r>
          <rPr>
            <b/>
            <sz val="9"/>
            <color indexed="81"/>
            <rFont val="Tahoma"/>
            <family val="2"/>
          </rPr>
          <t>Bruyns Fred H:</t>
        </r>
        <r>
          <rPr>
            <sz val="9"/>
            <color indexed="81"/>
            <rFont val="Tahoma"/>
            <family val="2"/>
          </rPr>
          <t xml:space="preserve">
Programming note: The lists of values to the right are used in pull-down menus for loss of sensation and hypersensitivity.</t>
        </r>
      </text>
    </comment>
    <comment ref="W238" authorId="1" shapeId="0" xr:uid="{4D810E0A-ACA3-457D-A8D7-C0C47E579354}">
      <text>
        <r>
          <rPr>
            <b/>
            <sz val="9"/>
            <color indexed="81"/>
            <rFont val="Tahoma"/>
            <family val="2"/>
          </rPr>
          <t>Bruyns Fred H:</t>
        </r>
        <r>
          <rPr>
            <sz val="9"/>
            <color indexed="81"/>
            <rFont val="Tahoma"/>
            <family val="2"/>
          </rPr>
          <t xml:space="preserve">
Programming note: If this value is greater than zero, formulas for sensation loss or hypersensitivity in the toes will suppress output of losses in the toes.</t>
        </r>
      </text>
    </comment>
    <comment ref="R241" authorId="1" shapeId="0" xr:uid="{67FE6F75-F506-4E04-9CDD-5DF48C411534}">
      <text>
        <r>
          <rPr>
            <b/>
            <sz val="9"/>
            <color indexed="81"/>
            <rFont val="Tahoma"/>
            <family val="2"/>
          </rPr>
          <t>Bruyns Fred H:</t>
        </r>
        <r>
          <rPr>
            <sz val="9"/>
            <color indexed="81"/>
            <rFont val="Tahoma"/>
            <family val="2"/>
          </rPr>
          <t xml:space="preserve">
Programming note: The list of value to the right is used for pull-down menus for ankle instability to the left.</t>
        </r>
      </text>
    </comment>
    <comment ref="R278" authorId="1" shapeId="0" xr:uid="{66AB9274-7271-4B5E-BACE-44240F6AC6DA}">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AA279" authorId="1" shapeId="0" xr:uid="{BC36441C-AAAF-469E-8462-FBE506D737A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79" authorId="1" shapeId="0" xr:uid="{2405626A-F125-4514-B7FC-A5D69C6104B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79" authorId="1" shapeId="0" xr:uid="{0066DD34-26C3-484C-A580-083FCBEBAF6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279" authorId="1" shapeId="0" xr:uid="{6F8FC9B2-0CD6-4F47-9B94-6ECDD5DABAE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279" authorId="1" shapeId="0" xr:uid="{50BF0C32-D072-443B-9CFE-3A38D8D7961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279" authorId="1" shapeId="0" xr:uid="{D3430556-4177-4676-B9DB-0EC3D1FF95B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N291" authorId="1" shapeId="0" xr:uid="{F8EB884A-F94A-4A35-A282-AB53F100AFAF}">
      <text>
        <r>
          <rPr>
            <b/>
            <sz val="9"/>
            <color indexed="81"/>
            <rFont val="Tahoma"/>
            <family val="2"/>
          </rPr>
          <t>Bruyns Fred H:</t>
        </r>
        <r>
          <rPr>
            <sz val="9"/>
            <color indexed="81"/>
            <rFont val="Tahoma"/>
            <family val="2"/>
          </rPr>
          <t xml:space="preserve">
Programming note: If the overall nerve is rated, "Total" displays her. If parts of the nerve are rated, the word "Average" displays here.</t>
        </r>
      </text>
    </comment>
    <comment ref="F298" authorId="1" shapeId="0" xr:uid="{233F7848-8FFB-4127-A17A-CAFF03638924}">
      <text>
        <r>
          <rPr>
            <b/>
            <sz val="9"/>
            <color indexed="81"/>
            <rFont val="Tahoma"/>
            <family val="2"/>
          </rPr>
          <t>Bruyns Fred H:</t>
        </r>
        <r>
          <rPr>
            <sz val="9"/>
            <color indexed="81"/>
            <rFont val="Tahoma"/>
            <family val="2"/>
          </rPr>
          <t xml:space="preserve">
Programming note: If 4th or 6th option button is selected, this message will display: "Total for peroneal except superficial; FOOT impairment."</t>
        </r>
      </text>
    </comment>
    <comment ref="B302" authorId="1" shapeId="0" xr:uid="{CDA5A842-E571-4EDD-9AAB-4918BA34D4D1}">
      <text>
        <r>
          <rPr>
            <b/>
            <sz val="9"/>
            <color indexed="81"/>
            <rFont val="Tahoma"/>
            <family val="2"/>
          </rPr>
          <t>Bruyns Fred H:</t>
        </r>
        <r>
          <rPr>
            <sz val="9"/>
            <color indexed="81"/>
            <rFont val="Tahoma"/>
            <family val="2"/>
          </rPr>
          <t xml:space="preserve">
Programming note: If the 2nd, 3rd, or 5th option button is selected, this is displayed: "Total for peroneal; FOOT impairment." If the 4th or 6th option button is selected, this will display: "Total for superficial peroneal; FOOT impairment."</t>
        </r>
      </text>
    </comment>
    <comment ref="F317" authorId="1" shapeId="0" xr:uid="{FFE76237-6B5A-4097-BB38-FA9B4F5DA282}">
      <text>
        <r>
          <rPr>
            <b/>
            <sz val="9"/>
            <color indexed="81"/>
            <rFont val="Tahoma"/>
            <family val="2"/>
          </rPr>
          <t>Bruyns Fred H:</t>
        </r>
        <r>
          <rPr>
            <sz val="9"/>
            <color indexed="81"/>
            <rFont val="Tahoma"/>
            <family val="2"/>
          </rPr>
          <t xml:space="preserve">
Programming note: If option 5 or 6 is selected, this will display: "Total for lateral plantar branch of the tibial nerve."</t>
        </r>
      </text>
    </comment>
    <comment ref="B319" authorId="1" shapeId="0" xr:uid="{48CB9187-371F-40CF-8E45-B5F83BD0FD09}">
      <text>
        <r>
          <rPr>
            <b/>
            <sz val="9"/>
            <color indexed="81"/>
            <rFont val="Tahoma"/>
            <family val="2"/>
          </rPr>
          <t>Bruyns Fred H:</t>
        </r>
        <r>
          <rPr>
            <sz val="9"/>
            <color indexed="81"/>
            <rFont val="Tahoma"/>
            <family val="2"/>
          </rPr>
          <t xml:space="preserve">
Programming note: The text displayed is based on which of the seven option buttons for the tibial nerve is selected. </t>
        </r>
      </text>
    </comment>
    <comment ref="B327" authorId="1" shapeId="0" xr:uid="{501B94C8-389A-4827-99F0-79F4E437E9DD}">
      <text>
        <r>
          <rPr>
            <b/>
            <sz val="9"/>
            <color indexed="81"/>
            <rFont val="Tahoma"/>
            <family val="2"/>
          </rPr>
          <t>Bruyns Fred H:</t>
        </r>
        <r>
          <rPr>
            <sz val="9"/>
            <color indexed="81"/>
            <rFont val="Tahoma"/>
            <family val="2"/>
          </rPr>
          <t xml:space="preserve">
Programming note: If any part of the femoral nerve is rated, this will display: "Total for femoral nerve; LEG impairment."</t>
        </r>
      </text>
    </comment>
    <comment ref="B334" authorId="1" shapeId="0" xr:uid="{5E6A0593-AA91-4B6F-AC5B-1769F7479C29}">
      <text>
        <r>
          <rPr>
            <b/>
            <sz val="9"/>
            <color indexed="81"/>
            <rFont val="Tahoma"/>
            <family val="2"/>
          </rPr>
          <t>Bruyns Fred H:</t>
        </r>
        <r>
          <rPr>
            <sz val="9"/>
            <color indexed="81"/>
            <rFont val="Tahoma"/>
            <family val="2"/>
          </rPr>
          <t xml:space="preserve">
Programming note: If any part of the superior gluteal nerve is rated, this will display: "Total for superior gluteal; LEG impairment."</t>
        </r>
      </text>
    </comment>
    <comment ref="S340" authorId="1" shapeId="0" xr:uid="{C09E106A-FF19-4B75-A050-BB408BB49E6D}">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40" authorId="1" shapeId="0" xr:uid="{E719BC54-C961-42BB-B12E-7C3671829C2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40" authorId="1" shapeId="0" xr:uid="{B8719DA1-DEA7-44DC-B2C2-60BFD651247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40" authorId="1" shapeId="0" xr:uid="{DF18B564-53BC-4589-9517-9A5109FE547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352" authorId="1" shapeId="0" xr:uid="{62F50856-3C04-442E-A484-422780ABD98C}">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364" authorId="1" shapeId="0" xr:uid="{83080BF7-51BD-4A24-AF01-3101E82828FF}">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365" authorId="1" shapeId="0" xr:uid="{3F5B602E-227A-483F-9DB0-E0B3CE8E44D6}">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S376" authorId="1" shapeId="0" xr:uid="{C43284ED-821F-4C59-8DAB-1AA9CA8DDE03}">
      <text>
        <r>
          <rPr>
            <b/>
            <sz val="9"/>
            <color indexed="81"/>
            <rFont val="Tahoma"/>
            <family val="2"/>
          </rPr>
          <t>Bruyns Fred H:</t>
        </r>
        <r>
          <rPr>
            <sz val="9"/>
            <color indexed="81"/>
            <rFont val="Tahoma"/>
            <family val="2"/>
          </rPr>
          <t xml:space="preserve">
Programming note: 150 degrees of flexion of the knee is considered normal - no impairment. See OAR 436-035-0220.</t>
        </r>
      </text>
    </comment>
    <comment ref="T376" authorId="1" shapeId="0" xr:uid="{72729024-2DAA-4C13-B4C1-D04966FE326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6" authorId="1" shapeId="0" xr:uid="{AAA366A0-A22F-41EF-91FE-26A5F56A6C5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6" authorId="1" shapeId="0" xr:uid="{C4BB0E55-5BB7-4238-A50A-2536D0BA523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76" authorId="1" shapeId="0" xr:uid="{B1AC3A59-D917-4D25-AAE6-7B183F20E1A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377" authorId="1" shapeId="0" xr:uid="{7D8F145D-B689-45DF-A53F-5B9CFB2F4DD7}">
      <text>
        <r>
          <rPr>
            <b/>
            <sz val="9"/>
            <color indexed="81"/>
            <rFont val="Tahoma"/>
            <family val="2"/>
          </rPr>
          <t>Bruyns Fred H:</t>
        </r>
        <r>
          <rPr>
            <sz val="9"/>
            <color indexed="81"/>
            <rFont val="Tahoma"/>
            <family val="2"/>
          </rPr>
          <t xml:space="preserve">
Programming note: 50-150 degrees of flexion ankylosis of the knee is considered maximum loss. See OAR 436-035-0220.</t>
        </r>
      </text>
    </comment>
    <comment ref="T377" authorId="1" shapeId="0" xr:uid="{1DB95A81-7172-4581-826C-68B9AC0C6CF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378" authorId="1" shapeId="0" xr:uid="{F3E0D6D9-BAE3-4180-A145-D946580FD4F7}">
      <text>
        <r>
          <rPr>
            <b/>
            <sz val="9"/>
            <color indexed="81"/>
            <rFont val="Tahoma"/>
            <family val="2"/>
          </rPr>
          <t>Bruyns Fred H:</t>
        </r>
        <r>
          <rPr>
            <sz val="9"/>
            <color indexed="81"/>
            <rFont val="Tahoma"/>
            <family val="2"/>
          </rPr>
          <t xml:space="preserve">
Programming note: After checking for error flags, formula returns the sum of ROM impairment for the knee.</t>
        </r>
      </text>
    </comment>
    <comment ref="S378" authorId="1" shapeId="0" xr:uid="{1753613C-0060-47E5-84B1-A17D3D107A3D}">
      <text>
        <r>
          <rPr>
            <b/>
            <sz val="9"/>
            <color indexed="81"/>
            <rFont val="Tahoma"/>
            <family val="2"/>
          </rPr>
          <t>Bruyns Fred H:</t>
        </r>
        <r>
          <rPr>
            <sz val="9"/>
            <color indexed="81"/>
            <rFont val="Tahoma"/>
            <family val="2"/>
          </rPr>
          <t xml:space="preserve">
Programming note: 50-150 degrees of extension of the knee is considered maximum loss. See OAR 436-035-0220.</t>
        </r>
      </text>
    </comment>
    <comment ref="T378" authorId="1" shapeId="0" xr:uid="{F9B928C0-ACB5-40C2-B5F2-68FC298642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8" authorId="1" shapeId="0" xr:uid="{282AC4B6-07A2-4B94-A70F-13581B95125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8" authorId="1" shapeId="0" xr:uid="{913EAD77-B54D-4337-8BE2-103D61A1612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378" authorId="1" shapeId="0" xr:uid="{05E67E09-6D4F-4098-884C-29FB681208F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78" authorId="1" shapeId="0" xr:uid="{F897E9C0-07D0-41A8-BE1D-35A26AB97AC7}">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78" authorId="1" shapeId="0" xr:uid="{5AF0D874-CAB3-477E-AF88-34F4EA66DCF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R379" authorId="1" shapeId="0" xr:uid="{C7DC5A96-164F-4AB1-BAA9-C085719E542B}">
      <text>
        <r>
          <rPr>
            <b/>
            <sz val="9"/>
            <color indexed="81"/>
            <rFont val="Tahoma"/>
            <family val="2"/>
          </rPr>
          <t>Bruyns Fred H:</t>
        </r>
        <r>
          <rPr>
            <sz val="9"/>
            <color indexed="81"/>
            <rFont val="Tahoma"/>
            <family val="2"/>
          </rPr>
          <t xml:space="preserve">
Programming note: After checking for error flag, formula checks if ROM impairment is greater than zero but less than 1, and if so adjusts to = 1. Otherwise, the formula rounds the ROM impairment from cell above.</t>
        </r>
      </text>
    </comment>
    <comment ref="S379" authorId="1" shapeId="0" xr:uid="{2DD5DEB0-5C7A-4381-83BE-6C048DE579A9}">
      <text>
        <r>
          <rPr>
            <b/>
            <sz val="9"/>
            <color indexed="81"/>
            <rFont val="Tahoma"/>
            <family val="2"/>
          </rPr>
          <t>Bruyns Fred H:</t>
        </r>
        <r>
          <rPr>
            <sz val="9"/>
            <color indexed="81"/>
            <rFont val="Tahoma"/>
            <family val="2"/>
          </rPr>
          <t xml:space="preserve">
Programming note: 50-150 degrees of extension ankylosis of the knee is considered maximum loss. See OAR 436-035-0220.</t>
        </r>
      </text>
    </comment>
    <comment ref="T379" authorId="1" shapeId="0" xr:uid="{E29D4AB2-A9C6-4EFC-8C7D-8113993EEE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81" authorId="1" shapeId="0" xr:uid="{59A3E227-540A-4029-B485-904A42CA594A}">
      <text>
        <r>
          <rPr>
            <b/>
            <sz val="9"/>
            <color indexed="81"/>
            <rFont val="Tahoma"/>
            <family val="2"/>
          </rPr>
          <t>Bruyns Fred H:</t>
        </r>
        <r>
          <rPr>
            <sz val="9"/>
            <color indexed="81"/>
            <rFont val="Tahoma"/>
            <family val="2"/>
          </rPr>
          <t xml:space="preserve">
Programming note: 100 degrees of forward flexion of the hip is considered normal - no impairment. See OAR 436-035-0220.</t>
        </r>
      </text>
    </comment>
    <comment ref="T381" authorId="1" shapeId="0" xr:uid="{8242A7E6-B883-46DB-B5BD-881A22E6153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1" authorId="1" shapeId="0" xr:uid="{D29D350B-4C86-44D5-BDB3-C2013E07E43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1" authorId="1" shapeId="0" xr:uid="{30BADF76-301B-41E1-AC4E-2067D5753BB9}">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1" authorId="1" shapeId="0" xr:uid="{F67D2384-1C63-487B-8683-6C13509C568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A381" authorId="1" shapeId="0" xr:uid="{6DC8D0B0-9715-407D-85FD-F88C4BAF7090}">
      <text>
        <r>
          <rPr>
            <b/>
            <sz val="9"/>
            <color indexed="81"/>
            <rFont val="Tahoma"/>
            <family val="2"/>
          </rPr>
          <t>Bruyns Fred H:</t>
        </r>
        <r>
          <rPr>
            <sz val="9"/>
            <color indexed="81"/>
            <rFont val="Tahoma"/>
            <family val="2"/>
          </rPr>
          <t xml:space="preserve">
Programming note: This text is for conditional formatting only.</t>
        </r>
      </text>
    </comment>
    <comment ref="S382" authorId="1" shapeId="0" xr:uid="{B6A5E750-6635-4A4C-B257-652E30F15A95}">
      <text>
        <r>
          <rPr>
            <b/>
            <sz val="9"/>
            <color indexed="81"/>
            <rFont val="Tahoma"/>
            <family val="2"/>
          </rPr>
          <t>Bruyns Fred H:</t>
        </r>
        <r>
          <rPr>
            <sz val="9"/>
            <color indexed="81"/>
            <rFont val="Tahoma"/>
            <family val="2"/>
          </rPr>
          <t xml:space="preserve">
Programming note: 30 degrees of backward extension of the hip is considered normal - no impairment. See OAR 436-035-0220.</t>
        </r>
      </text>
    </comment>
    <comment ref="T382" authorId="1" shapeId="0" xr:uid="{AE6B5D0A-59C2-43FF-B819-A27F9357D99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2" authorId="1" shapeId="0" xr:uid="{8F84F925-54C3-470C-8ABA-4E54CA42802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2" authorId="1" shapeId="0" xr:uid="{12C50E4F-BBA7-4573-A1B4-3A2154A6E06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2" authorId="1" shapeId="0" xr:uid="{8598E04F-539A-4CED-8768-90DEE69B80B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83" authorId="1" shapeId="0" xr:uid="{841ED3C4-8643-4A48-92DA-0F38A191EA22}">
      <text>
        <r>
          <rPr>
            <b/>
            <sz val="9"/>
            <color indexed="81"/>
            <rFont val="Tahoma"/>
            <family val="2"/>
          </rPr>
          <t>Bruyns Fred H:</t>
        </r>
        <r>
          <rPr>
            <sz val="9"/>
            <color indexed="81"/>
            <rFont val="Tahoma"/>
            <family val="2"/>
          </rPr>
          <t xml:space="preserve">
Programming note: 40 degrees of abduction of the hip is considered normal - no impairment. See OAR 436-035-0220.</t>
        </r>
      </text>
    </comment>
    <comment ref="T383" authorId="1" shapeId="0" xr:uid="{44349962-C936-4465-B763-288B71E99CE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3" authorId="1" shapeId="0" xr:uid="{1826AD8C-01DB-460B-B29C-97DCBB55E36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3" authorId="1" shapeId="0" xr:uid="{0202353D-FAE1-4A51-A28F-3512B0FDC243}">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3" authorId="1" shapeId="0" xr:uid="{F495EEA2-E8FA-481E-B2E8-96556EA4B40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384" authorId="1" shapeId="0" xr:uid="{204D68C0-C191-4361-A2C6-AE144F3BA6B7}">
      <text>
        <r>
          <rPr>
            <b/>
            <sz val="9"/>
            <color indexed="81"/>
            <rFont val="Tahoma"/>
            <family val="2"/>
          </rPr>
          <t>Bruyns Fred H:</t>
        </r>
        <r>
          <rPr>
            <sz val="9"/>
            <color indexed="81"/>
            <rFont val="Tahoma"/>
            <family val="2"/>
          </rPr>
          <t xml:space="preserve">
Programming note: 20 degrees of adduction of the hip is considered normal - no impairment. See OAR 436-035-0220.</t>
        </r>
      </text>
    </comment>
    <comment ref="T384" authorId="1" shapeId="0" xr:uid="{F097303D-E060-4B7A-BF40-C13B16CCC0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4" authorId="1" shapeId="0" xr:uid="{87040756-CDED-4A2F-A3F2-B39B37F8FB4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4" authorId="1" shapeId="0" xr:uid="{C5D6D5C0-DF2E-417E-9A21-47A693FEBBD8}">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4" authorId="1" shapeId="0" xr:uid="{A1A832E3-1320-4986-ACB1-D0976C7369B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385" authorId="1" shapeId="0" xr:uid="{A08E687A-DE46-494C-A410-BF58D601A1F9}">
      <text>
        <r>
          <rPr>
            <b/>
            <sz val="9"/>
            <color indexed="81"/>
            <rFont val="Tahoma"/>
            <family val="2"/>
          </rPr>
          <t>Bruyns Fred H:</t>
        </r>
        <r>
          <rPr>
            <sz val="9"/>
            <color indexed="81"/>
            <rFont val="Tahoma"/>
            <family val="2"/>
          </rPr>
          <t xml:space="preserve">
Programming note: Formula sums hip ROM impairment values.</t>
        </r>
      </text>
    </comment>
    <comment ref="S385" authorId="1" shapeId="0" xr:uid="{637296E2-87D1-4719-912E-B9678F7D3ABC}">
      <text>
        <r>
          <rPr>
            <b/>
            <sz val="9"/>
            <color indexed="81"/>
            <rFont val="Tahoma"/>
            <family val="2"/>
          </rPr>
          <t>Bruyns Fred H:</t>
        </r>
        <r>
          <rPr>
            <sz val="9"/>
            <color indexed="81"/>
            <rFont val="Tahoma"/>
            <family val="2"/>
          </rPr>
          <t xml:space="preserve">
Programming note: 40 degrees of internal rotation of the hip is considered normal - no impairment. See OAR 436-035-0220.</t>
        </r>
      </text>
    </comment>
    <comment ref="T385" authorId="1" shapeId="0" xr:uid="{41D2E08B-9777-4116-BF2F-F8FECF9EE0E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5" authorId="1" shapeId="0" xr:uid="{7D375598-A3CE-4AE0-B5C9-7FDA042A3E5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5" authorId="1" shapeId="0" xr:uid="{CDC38A84-4615-4286-BDE6-36C8695BD2B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5" authorId="1" shapeId="0" xr:uid="{98BAD960-649B-4B5B-8DEC-6975B3FE11A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R386" authorId="1" shapeId="0" xr:uid="{4FC1C62B-3A08-4DFA-A925-4BA1AEE06520}">
      <text>
        <r>
          <rPr>
            <b/>
            <sz val="9"/>
            <color indexed="81"/>
            <rFont val="Tahoma"/>
            <family val="2"/>
          </rPr>
          <t>Bruyns Fred H:</t>
        </r>
        <r>
          <rPr>
            <sz val="9"/>
            <color indexed="81"/>
            <rFont val="Tahoma"/>
            <family val="2"/>
          </rPr>
          <t xml:space="preserve">
Programming note: Formula checks if ROM impairment is greater than zero but less than 1, and if so adjusts to = 1. Otherwise, the formula rounds the ROM impairment from cell above.</t>
        </r>
      </text>
    </comment>
    <comment ref="S386" authorId="1" shapeId="0" xr:uid="{9BF75510-0AED-442A-90AF-F65DED823C31}">
      <text>
        <r>
          <rPr>
            <b/>
            <sz val="9"/>
            <color indexed="81"/>
            <rFont val="Tahoma"/>
            <family val="2"/>
          </rPr>
          <t>Bruyns Fred H:</t>
        </r>
        <r>
          <rPr>
            <sz val="9"/>
            <color indexed="81"/>
            <rFont val="Tahoma"/>
            <family val="2"/>
          </rPr>
          <t xml:space="preserve">
Programming note: 50 degrees of external rotation of the hip is considered normal - no impairment. See OAR 436-035-0220.</t>
        </r>
      </text>
    </comment>
    <comment ref="T386" authorId="1" shapeId="0" xr:uid="{49A87FEB-ABA2-4ECD-A5F5-1F86649DADC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6" authorId="1" shapeId="0" xr:uid="{BA72738E-92D0-4EBC-8FF0-0B8BF169AD6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6" authorId="1" shapeId="0" xr:uid="{B636B8F3-E0F4-4177-8112-781556DAF3C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6" authorId="1" shapeId="0" xr:uid="{A645C2DE-B690-46BE-9C10-1C56DFED6D1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R391" authorId="1" shapeId="0" xr:uid="{C2237545-99D2-4DD5-9BE7-9D8A1FEC1E07}">
      <text>
        <r>
          <rPr>
            <b/>
            <sz val="9"/>
            <color indexed="81"/>
            <rFont val="Tahoma"/>
            <family val="2"/>
          </rPr>
          <t>Bruyns Fred H:</t>
        </r>
        <r>
          <rPr>
            <sz val="9"/>
            <color indexed="81"/>
            <rFont val="Tahoma"/>
            <family val="2"/>
          </rPr>
          <t xml:space="preserve">
Programming note: Length discrepancy descriptions to the right are used in pull-down menu to the left.</t>
        </r>
      </text>
    </comment>
    <comment ref="Y394" authorId="1" shapeId="0" xr:uid="{6E5E12A4-BDA6-415D-9743-E01C76AF855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Z394" authorId="1" shapeId="0" xr:uid="{233F1A92-6F2B-4BD3-B8E7-BE019B076EB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A394" authorId="1" shapeId="0" xr:uid="{7A8F0876-873A-4CAD-BD0B-8F00698CDB7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O396" authorId="1" shapeId="0" xr:uid="{11030278-3FE9-489F-8481-9BC51E4537F3}">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7" authorId="1" shapeId="0" xr:uid="{D170FF78-7A69-4559-8402-E284DD0AFC54}">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8" authorId="1" shapeId="0" xr:uid="{4B5E7A4E-67C7-414B-98CF-7FB7F47E758C}">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9" authorId="1" shapeId="0" xr:uid="{AADB49CB-E582-4DC7-ABD5-EF53B9C87234}">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R400" authorId="1" shapeId="0" xr:uid="{F23B0EC9-7C51-445C-A134-80E09CA7955C}">
      <text>
        <r>
          <rPr>
            <b/>
            <sz val="9"/>
            <color indexed="81"/>
            <rFont val="Tahoma"/>
            <family val="2"/>
          </rPr>
          <t>Bruyns Fred H:</t>
        </r>
        <r>
          <rPr>
            <sz val="9"/>
            <color indexed="81"/>
            <rFont val="Tahoma"/>
            <family val="2"/>
          </rPr>
          <t xml:space="preserve">
Programming note: If the value in this cell is greater than zero, one or more instances of Grade 1 joint instability have been entered.</t>
        </r>
      </text>
    </comment>
    <comment ref="R405" authorId="1" shapeId="0" xr:uid="{922257B3-1BD7-4324-9155-DB49263BC5B7}">
      <text>
        <r>
          <rPr>
            <b/>
            <sz val="9"/>
            <color indexed="81"/>
            <rFont val="Tahoma"/>
            <family val="2"/>
          </rPr>
          <t>Bruyns Fred H:</t>
        </r>
        <r>
          <rPr>
            <sz val="9"/>
            <color indexed="81"/>
            <rFont val="Tahoma"/>
            <family val="2"/>
          </rPr>
          <t xml:space="preserve">
Programming note: List of deformities to the right are used in a pull-down menu to the left.</t>
        </r>
      </text>
    </comment>
    <comment ref="R409" authorId="1" shapeId="0" xr:uid="{2AB38E5B-728B-4A9E-854D-9712A104128E}">
      <text>
        <r>
          <rPr>
            <b/>
            <sz val="9"/>
            <color indexed="81"/>
            <rFont val="Tahoma"/>
            <family val="2"/>
          </rPr>
          <t>Bruyns Fred H:</t>
        </r>
        <r>
          <rPr>
            <sz val="9"/>
            <color indexed="81"/>
            <rFont val="Tahoma"/>
            <family val="2"/>
          </rPr>
          <t xml:space="preserve">
Programming note: List of surgeries to the right are used in a pull-down menu to the left.</t>
        </r>
      </text>
    </comment>
    <comment ref="P410" authorId="1" shapeId="0" xr:uid="{1FB10E9D-864F-4129-8B3C-B64EDAF81A84}">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1" authorId="1" shapeId="0" xr:uid="{17886FF7-6424-4F60-AD34-1A766B173F4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2" authorId="1" shapeId="0" xr:uid="{F43BACF0-34A1-42D0-9B28-B79B16D0E046}">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2" authorId="1" shapeId="0" xr:uid="{A64A2A06-43DE-4172-A770-D6AA4C9C8EF8}">
      <text>
        <r>
          <rPr>
            <b/>
            <sz val="9"/>
            <color indexed="81"/>
            <rFont val="Tahoma"/>
            <family val="2"/>
          </rPr>
          <t>Bruyns Fred H:</t>
        </r>
        <r>
          <rPr>
            <sz val="9"/>
            <color indexed="81"/>
            <rFont val="Tahoma"/>
            <family val="2"/>
          </rPr>
          <t xml:space="preserve">
Option button output: 1, 2, 3, 4, or 5.</t>
        </r>
      </text>
    </comment>
    <comment ref="P413" authorId="1" shapeId="0" xr:uid="{149B495E-CB21-4032-88DC-AAA1D337E1C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4" authorId="1" shapeId="0" xr:uid="{53FBDC55-2ECD-4B84-96C8-3F7A60D02105}">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5" authorId="1" shapeId="0" xr:uid="{1EE0C680-1371-4439-BD11-C7064EA0F89F}">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9" authorId="1" shapeId="0" xr:uid="{6CD9A728-8952-497C-B304-4D51F75A38B9}">
      <text>
        <r>
          <rPr>
            <b/>
            <sz val="9"/>
            <color indexed="81"/>
            <rFont val="Tahoma"/>
            <family val="2"/>
          </rPr>
          <t>Bruyns Fred H:</t>
        </r>
        <r>
          <rPr>
            <sz val="9"/>
            <color indexed="81"/>
            <rFont val="Tahoma"/>
            <family val="2"/>
          </rPr>
          <t xml:space="preserve">
Programming note: The list of five classes to the right is used in a pull-down menu to the left.</t>
        </r>
      </text>
    </comment>
    <comment ref="R425" authorId="1" shapeId="0" xr:uid="{0E7C24D4-AC21-48B7-94B0-8173F5E908D0}">
      <text>
        <r>
          <rPr>
            <b/>
            <sz val="9"/>
            <color indexed="81"/>
            <rFont val="Tahoma"/>
            <family val="2"/>
          </rPr>
          <t>Bruyns Fred H:</t>
        </r>
        <r>
          <rPr>
            <sz val="9"/>
            <color indexed="81"/>
            <rFont val="Tahoma"/>
            <family val="2"/>
          </rPr>
          <t xml:space="preserve">
Option button output: 1, 2, 3, 4, or 5.</t>
        </r>
      </text>
    </comment>
    <comment ref="U435" authorId="1" shapeId="0" xr:uid="{D0492E44-862E-4970-AB56-B8F39D22A120}">
      <text>
        <r>
          <rPr>
            <b/>
            <sz val="9"/>
            <color indexed="81"/>
            <rFont val="Tahoma"/>
            <family val="2"/>
          </rPr>
          <t>Bruyns Fred H:</t>
        </r>
        <r>
          <rPr>
            <sz val="9"/>
            <color indexed="81"/>
            <rFont val="Tahoma"/>
            <family val="2"/>
          </rPr>
          <t xml:space="preserve">
Programming note: If at least one box is checked of boxes 1 through 3 plus at least one box in boxes 4 through 7, 5% is awarded.</t>
        </r>
      </text>
    </comment>
    <comment ref="R438" authorId="1" shapeId="0" xr:uid="{E45635A8-A017-4676-BF55-87AE47B1502C}">
      <text>
        <r>
          <rPr>
            <b/>
            <sz val="9"/>
            <color indexed="81"/>
            <rFont val="Tahoma"/>
            <family val="2"/>
          </rPr>
          <t>Bruyns Fred H:</t>
        </r>
        <r>
          <rPr>
            <sz val="9"/>
            <color indexed="81"/>
            <rFont val="Tahoma"/>
            <family val="2"/>
          </rPr>
          <t xml:space="preserve">
Programming note: Option button output: 1 or 2.</t>
        </r>
      </text>
    </comment>
    <comment ref="R442" authorId="1" shapeId="0" xr:uid="{FCFECF05-D3C7-4B95-AAB8-A7D0A49CF431}">
      <text>
        <r>
          <rPr>
            <b/>
            <sz val="9"/>
            <color indexed="81"/>
            <rFont val="Tahoma"/>
            <family val="2"/>
          </rPr>
          <t>Bruyns Fred H:</t>
        </r>
        <r>
          <rPr>
            <sz val="9"/>
            <color indexed="81"/>
            <rFont val="Tahoma"/>
            <family val="2"/>
          </rPr>
          <t xml:space="preserve">
Programming note: Option button output: 1 or 2.</t>
        </r>
      </text>
    </comment>
    <comment ref="S447" authorId="1" shapeId="0" xr:uid="{2598168B-CE4B-4520-B188-6FC3794684B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447" authorId="1" shapeId="0" xr:uid="{FF0C9B4D-FCDE-4B20-A29B-57C11086AF3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47" authorId="1" shapeId="0" xr:uid="{A8F14223-9DC0-45DA-A6BF-484A121F072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47" authorId="1" shapeId="0" xr:uid="{CF1D323E-99A8-40FA-8D33-C27AB841CC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449" authorId="1" shapeId="0" xr:uid="{8C0E3E2A-2B0A-4964-9034-17EFDA89818D}">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450" authorId="1" shapeId="0" xr:uid="{CF75AD11-6DA0-4EAC-90AD-0285A4C43537}">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W456" authorId="1" shapeId="0" xr:uid="{158D87CC-5D90-4720-A13E-0880A660CE21}">
      <text>
        <r>
          <rPr>
            <b/>
            <sz val="9"/>
            <color indexed="81"/>
            <rFont val="Tahoma"/>
            <family val="2"/>
          </rPr>
          <t>Bruyns Fred H:</t>
        </r>
        <r>
          <rPr>
            <sz val="9"/>
            <color indexed="81"/>
            <rFont val="Tahoma"/>
            <family val="2"/>
          </rPr>
          <t xml:space="preserve">
Programming note: If this value is greater than zero, and if motor loss is present, the chart will include a message that "The worker has motor loss impairment. Additional impairment values are not allowed for chronic condition, a walking/standing limitation, reduced range of motion, or strength loss."</t>
        </r>
      </text>
    </comment>
    <comment ref="E467" authorId="1" shapeId="0" xr:uid="{E6063751-ABA9-4EA5-A661-2F179A601BE7}">
      <text>
        <r>
          <rPr>
            <b/>
            <sz val="9"/>
            <color indexed="81"/>
            <rFont val="Tahoma"/>
            <family val="2"/>
          </rPr>
          <t>Bruyns Fred H:</t>
        </r>
        <r>
          <rPr>
            <sz val="9"/>
            <color indexed="81"/>
            <rFont val="Tahoma"/>
            <family val="2"/>
          </rPr>
          <t xml:space="preserve">
Programming note: Formula first checks for motor loss, and if present, returns zero value for walk/stand limitation.</t>
        </r>
      </text>
    </comment>
    <comment ref="E468" authorId="1" shapeId="0" xr:uid="{DA64D28D-3018-481E-8D14-94C70198B44A}">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469" authorId="1" shapeId="0" xr:uid="{00C837BF-4BA9-4722-9D31-533F86F45174}">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U480" authorId="1" shapeId="0" xr:uid="{5FAA8C50-1DC2-487F-BBE4-991541CD56A9}">
      <text>
        <r>
          <rPr>
            <b/>
            <sz val="9"/>
            <color indexed="81"/>
            <rFont val="Tahoma"/>
            <family val="2"/>
          </rPr>
          <t>Bruyns Fred H:</t>
        </r>
        <r>
          <rPr>
            <sz val="9"/>
            <color indexed="81"/>
            <rFont val="Tahoma"/>
            <family val="2"/>
          </rPr>
          <t xml:space="preserve">
programming note: Only if leg impairment is present is the foot/ankle value converted to a leg value.</t>
        </r>
      </text>
    </comment>
    <comment ref="R490" authorId="1" shapeId="0" xr:uid="{66071A29-E47A-4232-812E-715FD25CF90C}">
      <text>
        <r>
          <rPr>
            <b/>
            <sz val="9"/>
            <color indexed="81"/>
            <rFont val="Tahoma"/>
            <family val="2"/>
          </rPr>
          <t>Bruyns Fred H:</t>
        </r>
        <r>
          <rPr>
            <sz val="9"/>
            <color indexed="81"/>
            <rFont val="Tahoma"/>
            <family val="2"/>
          </rPr>
          <t xml:space="preserve">
Programming note: Formula returns "1" if either the foot/ankle or the leg have impairment. If so, formulas in chart to left convert toe values to foot or leg values.</t>
        </r>
      </text>
    </comment>
    <comment ref="R491" authorId="1" shapeId="0" xr:uid="{88B08974-D519-45C7-BD57-13810B20B319}">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4" authorId="0" shapeId="0" xr:uid="{73CA597B-832F-4860-89E4-5A18ECD5529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T4" authorId="0" shapeId="0" xr:uid="{9AF2909A-E0DF-43EF-97B6-94D6E8E8EA6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O7" authorId="1" shapeId="0" xr:uid="{B10939D7-E5C0-438A-9BC4-0120E22D72DD}">
      <text>
        <r>
          <rPr>
            <b/>
            <sz val="9"/>
            <color indexed="81"/>
            <rFont val="Tahoma"/>
            <family val="2"/>
          </rPr>
          <t>Bruyns Fred H:</t>
        </r>
        <r>
          <rPr>
            <sz val="9"/>
            <color indexed="81"/>
            <rFont val="Tahoma"/>
            <family val="2"/>
          </rPr>
          <t xml:space="preserve">
Programming note: Formula checks for necessary audiogram findings and displays error message if findings are missing.</t>
        </r>
      </text>
    </comment>
    <comment ref="W19" authorId="1" shapeId="0" xr:uid="{00A70A3D-7B1A-495C-9498-FD389B11DB3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S24" authorId="1" shapeId="0" xr:uid="{DA4F2EDF-79FF-4D45-9610-18A06780F111}">
      <text>
        <r>
          <rPr>
            <b/>
            <sz val="9"/>
            <color indexed="81"/>
            <rFont val="Tahoma"/>
            <family val="2"/>
          </rPr>
          <t>Bruyns Fred H:</t>
        </r>
        <r>
          <rPr>
            <sz val="9"/>
            <color indexed="81"/>
            <rFont val="Tahoma"/>
            <family val="2"/>
          </rPr>
          <t xml:space="preserve">
Programming note: The formula selects the larger of either the monaural or binaural total. This total is transferred to the PPD calculation page.</t>
        </r>
      </text>
    </comment>
    <comment ref="R25" authorId="0" shapeId="0" xr:uid="{00000000-0006-0000-0800-000001000000}">
      <text>
        <r>
          <rPr>
            <b/>
            <sz val="9"/>
            <color indexed="81"/>
            <rFont val="Tahoma"/>
            <family val="2"/>
          </rPr>
          <t>Fred Bruyns:</t>
        </r>
        <r>
          <rPr>
            <sz val="9"/>
            <color indexed="81"/>
            <rFont val="Tahoma"/>
            <family val="2"/>
          </rPr>
          <t xml:space="preserve">
Programming note: This number is carried over to the PPD worksheet and used to determine appropriate label for hearing in list of body parts and systems at left of sheet - when hearing in one is affected.</t>
        </r>
      </text>
    </comment>
    <comment ref="S25" authorId="0" shapeId="0" xr:uid="{00000000-0006-0000-0800-000002000000}">
      <text>
        <r>
          <rPr>
            <b/>
            <sz val="9"/>
            <color indexed="81"/>
            <rFont val="Tahoma"/>
            <family val="2"/>
          </rPr>
          <t>Fred Bruyns:</t>
        </r>
        <r>
          <rPr>
            <sz val="9"/>
            <color indexed="81"/>
            <rFont val="Tahoma"/>
            <family val="2"/>
          </rPr>
          <t xml:space="preserve">
Programming note: 
0 = no impairment in either ear.
1 = impairement in one ear.
2 = impairment in both ears and monaural total is greater than binaural total.
3 = impairement in both ears and binaural total is greater than monaural total.
This number is carried over to the PPD worksheet and used to determine appropriate label (monaural, binaural, L/R) for hearing in list of body parts and systems at left of sheet.</t>
        </r>
      </text>
    </comment>
    <comment ref="S28" authorId="1" shapeId="0" xr:uid="{363FB150-72AB-4295-83C1-4955BA8FB469}">
      <text>
        <r>
          <rPr>
            <b/>
            <sz val="9"/>
            <color indexed="81"/>
            <rFont val="Tahoma"/>
            <family val="2"/>
          </rPr>
          <t>Bruyns Fred H:</t>
        </r>
        <r>
          <rPr>
            <sz val="9"/>
            <color indexed="81"/>
            <rFont val="Tahoma"/>
            <family val="2"/>
          </rPr>
          <t xml:space="preserve">
Programming note: Formula returns "1" if monaural total is greater than binaural total. If the binaural is equal to or greater than the monaural total, "2" is displayed.</t>
        </r>
      </text>
    </comment>
    <comment ref="S40" authorId="0" shapeId="0" xr:uid="{00000000-0006-0000-0800-000003000000}">
      <text>
        <r>
          <rPr>
            <b/>
            <sz val="9"/>
            <color indexed="81"/>
            <rFont val="Tahoma"/>
            <family val="2"/>
          </rPr>
          <t>Fred Bruyns:</t>
        </r>
        <r>
          <rPr>
            <sz val="9"/>
            <color indexed="81"/>
            <rFont val="Tahoma"/>
            <family val="2"/>
          </rPr>
          <t xml:space="preserve">
Programming note: Formula returns 
"4" if binaural hearing loss calculation results in the highest impairment value; 
"3" if monaural calculation results in the highest impairment value; 
"2" if the right ear is rated; and 
"1" if the left ear is rated.
This number is carried over to the PPD worksheet and used to determine appropriate label (monaural, binaural, L/R) for hearing in list of body parts and systems at left of sheet.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AL4" authorId="0" shapeId="0" xr:uid="{396A409F-0E9D-4084-8DC4-D97F019B193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AN4" authorId="0" shapeId="0" xr:uid="{3A33913F-FE32-4315-9453-F353C31F155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AN6" authorId="1" shapeId="0" xr:uid="{52C5A1B6-76E1-4844-A000-87DF12927054}">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6" authorId="1" shapeId="0" xr:uid="{AB9B6155-2522-4797-BF1B-B87E01D40157}">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O7" authorId="1" shapeId="0" xr:uid="{1CD691E1-9427-466E-AB9F-C5901708ED81}">
      <text>
        <r>
          <rPr>
            <b/>
            <sz val="9"/>
            <color indexed="81"/>
            <rFont val="Tahoma"/>
            <family val="2"/>
          </rPr>
          <t>Bruyns Fred H:</t>
        </r>
        <r>
          <rPr>
            <sz val="9"/>
            <color indexed="81"/>
            <rFont val="Tahoma"/>
            <family val="2"/>
          </rPr>
          <t xml:space="preserve">
Programming note: The formula  checks for an error message, and if present, returns "ERROR." Otherwise, the formula returns the far vision impairment value.</t>
        </r>
      </text>
    </comment>
    <comment ref="AF7" authorId="1" shapeId="0" xr:uid="{629B9E4C-1E2A-4270-B4CF-3C20B324303D}">
      <text>
        <r>
          <rPr>
            <b/>
            <sz val="9"/>
            <color indexed="81"/>
            <rFont val="Tahoma"/>
            <family val="2"/>
          </rPr>
          <t>Bruyns Fred H:</t>
        </r>
        <r>
          <rPr>
            <sz val="9"/>
            <color indexed="81"/>
            <rFont val="Tahoma"/>
            <family val="2"/>
          </rPr>
          <t xml:space="preserve">
Programming note: The formula  checks for an error message, and if present, returns "ERROR." Otherwise, the formula returns the far vision impairment value.</t>
        </r>
      </text>
    </comment>
    <comment ref="AN7" authorId="1" shapeId="0" xr:uid="{A1C59896-A877-48F4-8548-39A1C8BAD769}">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7" authorId="1" shapeId="0" xr:uid="{4CB39B07-5EA4-4F9E-9103-F1A0B922A70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N8" authorId="1" shapeId="0" xr:uid="{EB9D78A3-1EC7-4867-9233-6F215AB886C2}">
      <text>
        <r>
          <rPr>
            <b/>
            <sz val="9"/>
            <color indexed="81"/>
            <rFont val="Tahoma"/>
            <family val="2"/>
          </rPr>
          <t>Bruyns Fred H:</t>
        </r>
        <r>
          <rPr>
            <sz val="9"/>
            <color indexed="81"/>
            <rFont val="Tahoma"/>
            <family val="2"/>
          </rPr>
          <t xml:space="preserve">
Programming note: Formula sums the values above for English measure and Metric 6, only one of which will be greater than zero. (Only one measure may be used.)</t>
        </r>
      </text>
    </comment>
    <comment ref="AO8" authorId="1" shapeId="0" xr:uid="{C35FBC2A-0FAF-4445-AEC2-8E628954CABC}">
      <text>
        <r>
          <rPr>
            <b/>
            <sz val="9"/>
            <color indexed="81"/>
            <rFont val="Tahoma"/>
            <family val="2"/>
          </rPr>
          <t>Bruyns Fred H:</t>
        </r>
        <r>
          <rPr>
            <sz val="9"/>
            <color indexed="81"/>
            <rFont val="Tahoma"/>
            <family val="2"/>
          </rPr>
          <t xml:space="preserve">
Programming note: Formula sums the values above for English measure and Metric 6, only one of which will be greater than zero. (Only one measure may be used.)</t>
        </r>
      </text>
    </comment>
    <comment ref="AN10" authorId="1" shapeId="0" xr:uid="{F4AE8EBB-52AD-411A-84F3-7A2B6CF2B18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0" authorId="1" shapeId="0" xr:uid="{F1067C03-8238-47A1-9D47-968FDD71E12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N11" authorId="1" shapeId="0" xr:uid="{8D0DB8FF-7AF7-4F82-8162-992371533B2C}">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1" authorId="1" shapeId="0" xr:uid="{471E3BF5-FD66-4EB8-A155-E6A47AF5184E}">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O12" authorId="1" shapeId="0" xr:uid="{DA927A0C-BBF6-4F75-9131-0E4BDC735F18}">
      <text>
        <r>
          <rPr>
            <b/>
            <sz val="9"/>
            <color indexed="81"/>
            <rFont val="Tahoma"/>
            <family val="2"/>
          </rPr>
          <t>Bruyns Fred H:</t>
        </r>
        <r>
          <rPr>
            <sz val="9"/>
            <color indexed="81"/>
            <rFont val="Tahoma"/>
            <family val="2"/>
          </rPr>
          <t xml:space="preserve">
Programming note: The formula  checks for an error message, and if present, returns "ERROR." Otherwise, the formula returns the near vision impairment value.</t>
        </r>
      </text>
    </comment>
    <comment ref="AF12" authorId="1" shapeId="0" xr:uid="{ACCB9310-836C-4198-8807-E87AD7513712}">
      <text>
        <r>
          <rPr>
            <b/>
            <sz val="9"/>
            <color indexed="81"/>
            <rFont val="Tahoma"/>
            <family val="2"/>
          </rPr>
          <t>Bruyns Fred H:</t>
        </r>
        <r>
          <rPr>
            <sz val="9"/>
            <color indexed="81"/>
            <rFont val="Tahoma"/>
            <family val="2"/>
          </rPr>
          <t xml:space="preserve">
Programming note: The formula  checks for an error message, and if present, returns "ERROR." Otherwise, the formula returns the near vision impairment value.</t>
        </r>
      </text>
    </comment>
    <comment ref="AN12" authorId="1" shapeId="0" xr:uid="{4D701D94-C26A-456D-ADCF-CE6CCC411DC0}">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2" authorId="1" shapeId="0" xr:uid="{F20B49BA-221A-42D1-8F5E-EA064D9BD29C}">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L13" authorId="1" shapeId="0" xr:uid="{BBB6464D-EAE9-4A12-A730-BC33A6878061}">
      <text>
        <r>
          <rPr>
            <b/>
            <sz val="9"/>
            <color indexed="81"/>
            <rFont val="Tahoma"/>
            <family val="2"/>
          </rPr>
          <t>Bruyns Fred H:</t>
        </r>
        <r>
          <rPr>
            <sz val="9"/>
            <color indexed="81"/>
            <rFont val="Tahoma"/>
            <family val="2"/>
          </rPr>
          <t xml:space="preserve">
Programming note: If the formula returns a sum greater than "1," meaning more than one type of near vision measure has been entered, an error message will display in the chart to the left.</t>
        </r>
      </text>
    </comment>
    <comment ref="AM13" authorId="1" shapeId="0" xr:uid="{31EA7604-95EC-4E30-B159-5A60E071D193}">
      <text>
        <r>
          <rPr>
            <b/>
            <sz val="9"/>
            <color indexed="81"/>
            <rFont val="Tahoma"/>
            <family val="2"/>
          </rPr>
          <t>Bruyns Fred H:</t>
        </r>
        <r>
          <rPr>
            <sz val="9"/>
            <color indexed="81"/>
            <rFont val="Tahoma"/>
            <family val="2"/>
          </rPr>
          <t xml:space="preserve">
Programming note: If the formula returns a sum greater than "1," meaning more than one type of near vision measure has been entered, an error message will display in the chart to the left.</t>
        </r>
      </text>
    </comment>
    <comment ref="AN13" authorId="1" shapeId="0" xr:uid="{EA839A53-8561-429D-B969-5BC45A48A58A}">
      <text>
        <r>
          <rPr>
            <b/>
            <sz val="9"/>
            <color indexed="81"/>
            <rFont val="Tahoma"/>
            <family val="2"/>
          </rPr>
          <t>Bruyns Fred H:</t>
        </r>
        <r>
          <rPr>
            <sz val="9"/>
            <color indexed="81"/>
            <rFont val="Tahoma"/>
            <family val="2"/>
          </rPr>
          <t xml:space="preserve">
Programming note: Formula sums the values above for Near Snellen, Jaeger, and American Point-type, only one of which will be greater than zero. (Only one measure may be used.)</t>
        </r>
      </text>
    </comment>
    <comment ref="AO13" authorId="1" shapeId="0" xr:uid="{00022030-53D0-4C19-8F3E-EFC3A681670E}">
      <text>
        <r>
          <rPr>
            <b/>
            <sz val="9"/>
            <color indexed="81"/>
            <rFont val="Tahoma"/>
            <family val="2"/>
          </rPr>
          <t>Bruyns Fred H:</t>
        </r>
        <r>
          <rPr>
            <sz val="9"/>
            <color indexed="81"/>
            <rFont val="Tahoma"/>
            <family val="2"/>
          </rPr>
          <t xml:space="preserve">
Programming note: Formula sums the values above for Near Snellen, Jaeger, and American Point-type, only one of which will be greater than zero. (Only one measure may be used.)</t>
        </r>
      </text>
    </comment>
    <comment ref="AM14" authorId="1" shapeId="0" xr:uid="{3E9E6D14-D505-4507-9E87-D993B135F9E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O14" authorId="1" shapeId="0" xr:uid="{02BE2FDA-3BF5-49FB-B44B-978327F6371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R14" authorId="1" shapeId="0" xr:uid="{D905579C-7718-4E1E-A817-24AA81AD4AC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L16" authorId="1" shapeId="0" xr:uid="{840D4B3F-72B7-4F31-A2DA-4206165FFACE}">
      <text>
        <r>
          <rPr>
            <b/>
            <sz val="9"/>
            <color indexed="81"/>
            <rFont val="Tahoma"/>
            <family val="2"/>
          </rPr>
          <t>Bruyns Fred H:</t>
        </r>
        <r>
          <rPr>
            <sz val="9"/>
            <color indexed="81"/>
            <rFont val="Tahoma"/>
            <family val="2"/>
          </rPr>
          <t xml:space="preserve">
Programming note: This is the output field for the right eye option buttons.</t>
        </r>
      </text>
    </comment>
    <comment ref="O17" authorId="1" shapeId="0" xr:uid="{F2D8DCC2-A7C5-44C4-A386-BE9EDABC9085}">
      <text>
        <r>
          <rPr>
            <b/>
            <sz val="9"/>
            <color indexed="81"/>
            <rFont val="Tahoma"/>
            <family val="2"/>
          </rPr>
          <t>Bruyns Fred H:</t>
        </r>
        <r>
          <rPr>
            <sz val="9"/>
            <color indexed="81"/>
            <rFont val="Tahoma"/>
            <family val="2"/>
          </rPr>
          <t xml:space="preserve">
Programming note: This formula first checks to see if either the near/far vision average is zero or  the lens involvement value is zero; if so, the ouput is the sum of the two values, unrounded. If neither value is equal to zero, the formula returns a combined (rounded) impairment value.</t>
        </r>
      </text>
    </comment>
    <comment ref="AF17" authorId="1" shapeId="0" xr:uid="{281CCA95-4D51-4844-B24C-918846E69903}">
      <text>
        <r>
          <rPr>
            <b/>
            <sz val="9"/>
            <color indexed="81"/>
            <rFont val="Tahoma"/>
            <family val="2"/>
          </rPr>
          <t>Bruyns Fred H:</t>
        </r>
        <r>
          <rPr>
            <sz val="9"/>
            <color indexed="81"/>
            <rFont val="Tahoma"/>
            <family val="2"/>
          </rPr>
          <t xml:space="preserve">
Programming note: This formula first checks to see if either the near/far vision average is zero or  the lens involvement value is zero; if so, the ouput is the sum of the two values, unrounded. If neither value is equal to zero, the formula returns a combined (rounded) impairment value.</t>
        </r>
      </text>
    </comment>
    <comment ref="AL17" authorId="1" shapeId="0" xr:uid="{A2888053-1775-41EF-8959-A91EE433C2A6}">
      <text>
        <r>
          <rPr>
            <b/>
            <sz val="9"/>
            <color indexed="81"/>
            <rFont val="Tahoma"/>
            <family val="2"/>
          </rPr>
          <t>Bruyns Fred H:</t>
        </r>
        <r>
          <rPr>
            <sz val="9"/>
            <color indexed="81"/>
            <rFont val="Tahoma"/>
            <family val="2"/>
          </rPr>
          <t xml:space="preserve">
Programming note: This is the output field for the left eye option buttons.</t>
        </r>
      </text>
    </comment>
    <comment ref="AK20" authorId="1" shapeId="0" xr:uid="{FC61D999-AE01-4E57-A8B1-544599BF796C}">
      <text>
        <r>
          <rPr>
            <b/>
            <sz val="9"/>
            <color indexed="81"/>
            <rFont val="Tahoma"/>
            <family val="2"/>
          </rPr>
          <t>Bruyns Fred H:</t>
        </r>
        <r>
          <rPr>
            <sz val="9"/>
            <color indexed="81"/>
            <rFont val="Tahoma"/>
            <family val="2"/>
          </rPr>
          <t xml:space="preserve">
Programming note: Checkbox output: TRUE or FALSE.</t>
        </r>
      </text>
    </comment>
    <comment ref="AL20" authorId="1" shapeId="0" xr:uid="{2E844BC8-FEAA-4480-878E-EFE4AEB722C5}">
      <text>
        <r>
          <rPr>
            <b/>
            <sz val="9"/>
            <color indexed="81"/>
            <rFont val="Tahoma"/>
            <family val="2"/>
          </rPr>
          <t>Bruyns Fred H:</t>
        </r>
        <r>
          <rPr>
            <sz val="9"/>
            <color indexed="81"/>
            <rFont val="Tahoma"/>
            <family val="2"/>
          </rPr>
          <t xml:space="preserve">
Programming note: Checkbox output: TRUE or FALSE.</t>
        </r>
      </text>
    </comment>
    <comment ref="AO21" authorId="1" shapeId="0" xr:uid="{766059B2-52EA-4417-A11A-F226814DA67F}">
      <text>
        <r>
          <rPr>
            <b/>
            <sz val="9"/>
            <color indexed="81"/>
            <rFont val="Tahoma"/>
            <family val="2"/>
          </rPr>
          <t>Bruyns Fred H:</t>
        </r>
        <r>
          <rPr>
            <sz val="9"/>
            <color indexed="81"/>
            <rFont val="Tahoma"/>
            <family val="2"/>
          </rPr>
          <t xml:space="preserve">
Programming note: Perimetric values are rated (by formula) in the Eye-Table, and the percentage of impairment is displayed in this cell.</t>
        </r>
      </text>
    </comment>
    <comment ref="AP21" authorId="1" shapeId="0" xr:uid="{2D3E45E3-D842-43F7-AF94-CEA0180591CE}">
      <text>
        <r>
          <rPr>
            <b/>
            <sz val="9"/>
            <color indexed="81"/>
            <rFont val="Tahoma"/>
            <family val="2"/>
          </rPr>
          <t>Bruyns Fred H:</t>
        </r>
        <r>
          <rPr>
            <sz val="9"/>
            <color indexed="81"/>
            <rFont val="Tahoma"/>
            <family val="2"/>
          </rPr>
          <t xml:space="preserve">
Programming note: Perimetric values are rated (by formula) in the Eye-Table, and the percentage of impairment is displayed in this cell.</t>
        </r>
      </text>
    </comment>
    <comment ref="AL22" authorId="1" shapeId="0" xr:uid="{ED70BB61-C207-4DD1-8D12-F2C19D424B84}">
      <text>
        <r>
          <rPr>
            <b/>
            <sz val="9"/>
            <color indexed="81"/>
            <rFont val="Tahoma"/>
            <family val="2"/>
          </rPr>
          <t>Bruyns Fred H:</t>
        </r>
        <r>
          <rPr>
            <sz val="9"/>
            <color indexed="81"/>
            <rFont val="Tahoma"/>
            <family val="2"/>
          </rPr>
          <t xml:space="preserve">
Programming note: Formula in left column below inserts impairment value corresponding to 1/4 or 1/2 visual field loss. Formula in right column below inserts "1" if perimetric measurements have been overwritten with "0"s due to 1/4 or 1/2 visual field loss. </t>
        </r>
      </text>
    </comment>
    <comment ref="AN22" authorId="1" shapeId="0" xr:uid="{381AED1E-EAD7-4276-BF4C-BCEFFC1425CC}">
      <text>
        <r>
          <rPr>
            <b/>
            <sz val="9"/>
            <color indexed="81"/>
            <rFont val="Tahoma"/>
            <family val="2"/>
          </rPr>
          <t>Bruyns Fred H:</t>
        </r>
        <r>
          <rPr>
            <sz val="9"/>
            <color indexed="81"/>
            <rFont val="Tahoma"/>
            <family val="2"/>
          </rPr>
          <t xml:space="preserve">
Programming note: Formula in left column below inserts impairment value corresponding to 1/4 or 1/2 visual field loss. Formula in right column below inserts "1" if perimetric measurements have been overwritten with "0"s due to 1/4 or 1/2 visual field loss. </t>
        </r>
      </text>
    </comment>
    <comment ref="AP29" authorId="1" shapeId="0" xr:uid="{DAEDBC0A-C2DB-4FAE-9F38-4AF4D68C6C4C}">
      <text>
        <r>
          <rPr>
            <b/>
            <sz val="9"/>
            <color indexed="81"/>
            <rFont val="Tahoma"/>
            <family val="2"/>
          </rPr>
          <t>Bruyns Fred H:</t>
        </r>
        <r>
          <rPr>
            <sz val="9"/>
            <color indexed="81"/>
            <rFont val="Tahoma"/>
            <family val="2"/>
          </rPr>
          <t xml:space="preserve">
The formulas below sum the perimetric values and scotoma. If the Sum = the scotoma value, that means only scotoma has been entered. This will prompt an error message of "Missing perimetric values."</t>
        </r>
      </text>
    </comment>
    <comment ref="AL38" authorId="1" shapeId="0" xr:uid="{53CDF58E-2161-4CCA-93E5-AEC9ABBB6220}">
      <text>
        <r>
          <rPr>
            <b/>
            <sz val="9"/>
            <color indexed="81"/>
            <rFont val="Tahoma"/>
            <family val="2"/>
          </rPr>
          <t>Bruyns Fred H:</t>
        </r>
        <r>
          <rPr>
            <sz val="9"/>
            <color indexed="81"/>
            <rFont val="Tahoma"/>
            <family val="2"/>
          </rPr>
          <t xml:space="preserve">
Programming note: The list below is used to populate pull-down menus in the charts for ocular motility impairment.</t>
        </r>
      </text>
    </comment>
    <comment ref="AL56" authorId="1" shapeId="0" xr:uid="{A8736D00-73F4-419A-B2DC-54F63DECE823}">
      <text>
        <r>
          <rPr>
            <b/>
            <sz val="9"/>
            <color indexed="81"/>
            <rFont val="Tahoma"/>
            <family val="2"/>
          </rPr>
          <t>Bruyns Fred H:</t>
        </r>
        <r>
          <rPr>
            <sz val="9"/>
            <color indexed="81"/>
            <rFont val="Tahoma"/>
            <family val="2"/>
          </rPr>
          <t xml:space="preserve">
Programming note: TRUE or FALSE are output from enucleation checkboxes in the chart.</t>
        </r>
      </text>
    </comment>
    <comment ref="AM56" authorId="1" shapeId="0" xr:uid="{C402CF1D-41DE-4830-B3CD-C752D4A73C70}">
      <text>
        <r>
          <rPr>
            <b/>
            <sz val="9"/>
            <color indexed="81"/>
            <rFont val="Tahoma"/>
            <family val="2"/>
          </rPr>
          <t>Bruyns Fred H:</t>
        </r>
        <r>
          <rPr>
            <sz val="9"/>
            <color indexed="81"/>
            <rFont val="Tahoma"/>
            <family val="2"/>
          </rPr>
          <t xml:space="preserve">
Programming note: TRUE or FALSE are output from enucleation checkboxes in the chart.</t>
        </r>
      </text>
    </comment>
    <comment ref="AN59" authorId="1" shapeId="0" xr:uid="{72E83387-DC47-45DB-B9A5-5E6CA1CBA25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I if there is no apportionment, or from Column O if the disability is apportioned.</t>
        </r>
      </text>
    </comment>
    <comment ref="AO59" authorId="1" shapeId="0" xr:uid="{EE769F34-9424-4D1C-8471-23AE010FC7B5}">
      <text>
        <r>
          <rPr>
            <b/>
            <sz val="9"/>
            <color indexed="81"/>
            <rFont val="Tahoma"/>
            <family val="2"/>
          </rPr>
          <t>Bruyns Fred H:</t>
        </r>
        <r>
          <rPr>
            <sz val="9"/>
            <color indexed="81"/>
            <rFont val="Tahoma"/>
            <family val="2"/>
          </rPr>
          <t xml:space="preserve">
Programming note: Transfered values at left are rounded in this column. The value at the bottom of the column is the total impairment value for body part.</t>
        </r>
      </text>
    </comment>
    <comment ref="AP59" authorId="1" shapeId="0" xr:uid="{DB7FB6B7-14B3-41B9-9772-49DB7ADE6F8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Q59" authorId="1" shapeId="0" xr:uid="{CF6E83EE-B5E4-4A23-A83F-5867714AF245}">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R59" authorId="1" shapeId="0" xr:uid="{5BD60661-5954-498D-988F-46A114CFB01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AS59" authorId="1" shapeId="0" xr:uid="{EE444193-649D-4BF4-9E81-7FE67DC9863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Z if there is no apportionment, or from Column AF if the disability is apportioned.</t>
        </r>
      </text>
    </comment>
    <comment ref="AT59" authorId="1" shapeId="0" xr:uid="{9635EAF4-F1E2-4441-96C3-5BF29303B7E9}">
      <text>
        <r>
          <rPr>
            <b/>
            <sz val="9"/>
            <color indexed="81"/>
            <rFont val="Tahoma"/>
            <family val="2"/>
          </rPr>
          <t>Bruyns Fred H:</t>
        </r>
        <r>
          <rPr>
            <sz val="9"/>
            <color indexed="81"/>
            <rFont val="Tahoma"/>
            <family val="2"/>
          </rPr>
          <t xml:space="preserve">
Programming note: Transfered values at left are rounded in this column. The value at the bottom of the column is the total impairment value for body part.</t>
        </r>
      </text>
    </comment>
    <comment ref="AU59" authorId="1" shapeId="0" xr:uid="{19DA3BC3-CE73-42C7-B7AE-B9773A19BDAC}">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V59" authorId="1" shapeId="0" xr:uid="{8B963779-AF50-4518-BF6A-63DA9BD6FE2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W59" authorId="1" shapeId="0" xr:uid="{AA09F5D5-E05B-42FC-9EE3-B563A27D80B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I67" authorId="1" shapeId="0" xr:uid="{79262C0B-A0A1-4FD0-B582-8B64A0121C3B}">
      <text>
        <r>
          <rPr>
            <b/>
            <sz val="9"/>
            <color indexed="81"/>
            <rFont val="Tahoma"/>
            <family val="2"/>
          </rPr>
          <t>Bruyns Fred H:</t>
        </r>
        <r>
          <rPr>
            <sz val="9"/>
            <color indexed="81"/>
            <rFont val="Tahoma"/>
            <family val="2"/>
          </rPr>
          <t xml:space="preserve">
Programming note: This formula returns an unrounded impairment percentage if only one type of vision loss is rated. Otherwise, the output is the combined (and rounded) value of multiple types of vision impairment</t>
        </r>
      </text>
    </comment>
    <comment ref="Z67" authorId="1" shapeId="0" xr:uid="{31069898-37AE-4671-A0F9-6D12ED4B9303}">
      <text>
        <r>
          <rPr>
            <b/>
            <sz val="9"/>
            <color indexed="81"/>
            <rFont val="Tahoma"/>
            <family val="2"/>
          </rPr>
          <t>Bruyns Fred H:</t>
        </r>
        <r>
          <rPr>
            <sz val="9"/>
            <color indexed="81"/>
            <rFont val="Tahoma"/>
            <family val="2"/>
          </rPr>
          <t xml:space="preserve">
Programming note: This formula returns an unrounded impairment percentage if only one type of vision loss is rated. Otherwise, the output is the combined (and rounded) value of multiple types of vision impairment</t>
        </r>
      </text>
    </comment>
    <comment ref="AL70" authorId="1" shapeId="0" xr:uid="{7AA920A8-5413-4D28-9859-7662272D4B2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M70" authorId="1" shapeId="0" xr:uid="{E316515D-C777-43AE-A98E-96A7676C695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N70" authorId="1" shapeId="0" xr:uid="{37F2670D-A16F-4140-AC3E-97A9F5CC4E9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Q73" authorId="1" shapeId="0" xr:uid="{AEA2E883-51D4-4184-97D8-4A108909B9C8}">
      <text>
        <r>
          <rPr>
            <b/>
            <sz val="9"/>
            <color indexed="81"/>
            <rFont val="Tahoma"/>
            <family val="2"/>
          </rPr>
          <t>Bruyns Fred H:</t>
        </r>
        <r>
          <rPr>
            <sz val="9"/>
            <color indexed="81"/>
            <rFont val="Tahoma"/>
            <family val="2"/>
          </rPr>
          <t xml:space="preserve">
Programming note: Formula returns combined value, but if one of the eyes has zero impairment, the result will equal the value in the eye that has impairment.</t>
        </r>
      </text>
    </comment>
    <comment ref="AL95" authorId="0" shapeId="0" xr:uid="{00000000-0006-0000-0900-000001000000}">
      <text>
        <r>
          <rPr>
            <b/>
            <sz val="9"/>
            <color indexed="81"/>
            <rFont val="Tahoma"/>
            <family val="2"/>
          </rPr>
          <t>Fred Bruyns:</t>
        </r>
        <r>
          <rPr>
            <sz val="9"/>
            <color indexed="81"/>
            <rFont val="Tahoma"/>
            <family val="2"/>
          </rPr>
          <t xml:space="preserve">
Programming note: Formula returns "4" if binocular rating yields the highest impairment rating; "3" if monaural rating has the higher value; "2" if the right eye is rated; and "1" if the left eye is rated.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F0BC2F25-C414-4312-B829-FF8DEF8C567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4BEACBB4-B95E-474F-91BE-8028DB3FEF3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7" authorId="1" shapeId="0" xr:uid="{162E40A6-A8DB-432E-AB50-315672C4D5FE}">
      <text>
        <r>
          <rPr>
            <b/>
            <sz val="9"/>
            <color indexed="81"/>
            <rFont val="Tahoma"/>
            <family val="2"/>
          </rPr>
          <t>Bruyns Fred H:</t>
        </r>
        <r>
          <rPr>
            <sz val="9"/>
            <color indexed="81"/>
            <rFont val="Tahoma"/>
            <family val="2"/>
          </rPr>
          <t xml:space="preserve">
Programming note: 180 degrees of forward elevation (flexion) of the shoulder is considered normal - no impairment. See OAR 436-035-0330.</t>
        </r>
      </text>
    </comment>
    <comment ref="T7" authorId="1" shapeId="0" xr:uid="{5149F55F-5F46-4B14-869C-116B52397A2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7" authorId="1" shapeId="0" xr:uid="{5DD4F3BB-C66C-4397-A70D-F542895349B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7" authorId="1" shapeId="0" xr:uid="{39AD77F3-A76B-491C-9F76-AE56535989AF}">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7" authorId="1" shapeId="0" xr:uid="{D14282CB-5A00-4615-B020-CF72CFC25AE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X7" authorId="1" shapeId="0" xr:uid="{55F96951-0356-4189-9828-940326033420}">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8" authorId="1" shapeId="0" xr:uid="{5F8D009E-2144-425C-A3D3-AEC70A48A96D}">
      <text>
        <r>
          <rPr>
            <b/>
            <sz val="9"/>
            <color indexed="81"/>
            <rFont val="Tahoma"/>
            <family val="2"/>
          </rPr>
          <t>Bruyns Fred H:</t>
        </r>
        <r>
          <rPr>
            <sz val="9"/>
            <color indexed="81"/>
            <rFont val="Tahoma"/>
            <family val="2"/>
          </rPr>
          <t xml:space="preserve">
Programming note: Forward elevation (flexion) ankylosis - see OAR 436-035-0330.</t>
        </r>
      </text>
    </comment>
    <comment ref="T8" authorId="1" shapeId="0" xr:uid="{E8A8833B-6977-4E5E-95D7-FD509C668C2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B8" authorId="1" shapeId="0" xr:uid="{DDC47111-5E28-466B-A4A0-E0E37BAB90F1}">
      <text>
        <r>
          <rPr>
            <b/>
            <sz val="9"/>
            <color indexed="81"/>
            <rFont val="Tahoma"/>
            <family val="2"/>
          </rPr>
          <t>Bruyns Fred H:</t>
        </r>
        <r>
          <rPr>
            <sz val="9"/>
            <color indexed="81"/>
            <rFont val="Tahoma"/>
            <family val="2"/>
          </rPr>
          <t xml:space="preserve">
Programming note: Text used for conditional formatting.</t>
        </r>
      </text>
    </comment>
    <comment ref="S9" authorId="1" shapeId="0" xr:uid="{31DAEA69-95F9-43BD-B530-1A73AF25C53F}">
      <text>
        <r>
          <rPr>
            <b/>
            <sz val="9"/>
            <color indexed="81"/>
            <rFont val="Tahoma"/>
            <family val="2"/>
          </rPr>
          <t>Bruyns Fred H:</t>
        </r>
        <r>
          <rPr>
            <sz val="9"/>
            <color indexed="81"/>
            <rFont val="Tahoma"/>
            <family val="2"/>
          </rPr>
          <t xml:space="preserve">
Programming note: 50 degrees of backward elevation (extension) of the shoulder is considered normal - no impairment. See OAR 436-035-0330.</t>
        </r>
      </text>
    </comment>
    <comment ref="T9" authorId="1" shapeId="0" xr:uid="{F250FE87-1002-4C3A-ABE1-AD732F0CB39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 authorId="1" shapeId="0" xr:uid="{9D641998-B870-45DA-A57D-FE12B08103D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 authorId="1" shapeId="0" xr:uid="{A83E723C-E65E-47FE-A28F-33D9936B23F4}">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9" authorId="1" shapeId="0" xr:uid="{AA73ADCB-7F02-4AC5-8FD5-3B93809BBFE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X9" authorId="1" shapeId="0" xr:uid="{6118F166-4DCC-4B47-BA5F-E12D0B0CBC03}">
      <text>
        <r>
          <rPr>
            <b/>
            <sz val="9"/>
            <color indexed="81"/>
            <rFont val="Tahoma"/>
            <family val="2"/>
          </rPr>
          <t>Bruyns Fred H:</t>
        </r>
        <r>
          <rPr>
            <sz val="9"/>
            <color indexed="81"/>
            <rFont val="Tahoma"/>
            <family val="2"/>
          </rPr>
          <t xml:space="preserve">
Programming note: Under OAR 436-035-0330, "When two or more ankylosis positions are documented, select the one direction representing the largest impairment." </t>
        </r>
      </text>
    </comment>
    <comment ref="S10" authorId="1" shapeId="0" xr:uid="{7926257D-7B94-4BE3-B4FE-B613C4E11A61}">
      <text>
        <r>
          <rPr>
            <b/>
            <sz val="9"/>
            <color indexed="81"/>
            <rFont val="Tahoma"/>
            <family val="2"/>
          </rPr>
          <t>Bruyns Fred H:</t>
        </r>
        <r>
          <rPr>
            <sz val="9"/>
            <color indexed="81"/>
            <rFont val="Tahoma"/>
            <family val="2"/>
          </rPr>
          <t xml:space="preserve">
Programming note: Backward elevation (extension) ankylosis - see OAR 436-035-0330.</t>
        </r>
      </text>
    </comment>
    <comment ref="T10" authorId="1" shapeId="0" xr:uid="{E82B9F26-891B-4DF4-8FA5-11A6FBD5F66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1" authorId="1" shapeId="0" xr:uid="{17C06EE8-A4A5-4ADA-8916-EE18CCFED871}">
      <text>
        <r>
          <rPr>
            <b/>
            <sz val="9"/>
            <color indexed="81"/>
            <rFont val="Tahoma"/>
            <family val="2"/>
          </rPr>
          <t>Bruyns Fred H:</t>
        </r>
        <r>
          <rPr>
            <sz val="9"/>
            <color indexed="81"/>
            <rFont val="Tahoma"/>
            <family val="2"/>
          </rPr>
          <t xml:space="preserve">
Programming note: 170 to 180 degrees of abduction of the shoulder is considered normal - no impairment. See OAR 436-035-0330.</t>
        </r>
      </text>
    </comment>
    <comment ref="T11" authorId="1" shapeId="0" xr:uid="{99DC0FE4-5562-42C8-81A7-D1BAEADC3C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1" authorId="1" shapeId="0" xr:uid="{A24A70E9-F955-44BC-967B-FA4E1ADC1BA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1" authorId="1" shapeId="0" xr:uid="{3836417D-EB50-4F33-A015-0F477D67FA78}">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1" authorId="1" shapeId="0" xr:uid="{16843FC3-A29A-4858-9FEB-58E9E74FA0C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S12" authorId="1" shapeId="0" xr:uid="{3EFFBA68-5F88-4B79-A4EF-43413A5DBDDA}">
      <text>
        <r>
          <rPr>
            <b/>
            <sz val="9"/>
            <color indexed="81"/>
            <rFont val="Tahoma"/>
            <family val="2"/>
          </rPr>
          <t>Bruyns Fred H:</t>
        </r>
        <r>
          <rPr>
            <sz val="9"/>
            <color indexed="81"/>
            <rFont val="Tahoma"/>
            <family val="2"/>
          </rPr>
          <t xml:space="preserve">
Programming note: Abduction ankylosis - see OAR 436-035-0330.</t>
        </r>
      </text>
    </comment>
    <comment ref="T12" authorId="1" shapeId="0" xr:uid="{B5A8F52F-FF8E-46B9-B368-80F02168224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 authorId="1" shapeId="0" xr:uid="{59E6BB9C-2086-4586-A3D5-74C9D2DEFBE6}">
      <text>
        <r>
          <rPr>
            <b/>
            <sz val="9"/>
            <color indexed="81"/>
            <rFont val="Tahoma"/>
            <family val="2"/>
          </rPr>
          <t>Bruyns Fred H:</t>
        </r>
        <r>
          <rPr>
            <sz val="9"/>
            <color indexed="81"/>
            <rFont val="Tahoma"/>
            <family val="2"/>
          </rPr>
          <t xml:space="preserve">
Programming note: 40 to 50 degrees of adduction of the shoulder is considered normal - no impairment. See OAR 436-035-0330.</t>
        </r>
      </text>
    </comment>
    <comment ref="T13" authorId="1" shapeId="0" xr:uid="{8EC8464B-637E-42EC-88E9-85BF558824E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23B7E838-9A11-4E38-B40D-2A6BEB42E06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7400FD04-37A7-41CE-A318-9B0102A958F6}">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3" authorId="1" shapeId="0" xr:uid="{315F538B-00D9-4D42-B590-469026BB62B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14" authorId="1" shapeId="0" xr:uid="{950DEE7C-67E7-4665-82C3-2A32FEC8D92B}">
      <text>
        <r>
          <rPr>
            <b/>
            <sz val="9"/>
            <color indexed="81"/>
            <rFont val="Tahoma"/>
            <family val="2"/>
          </rPr>
          <t>Bruyns Fred H:</t>
        </r>
        <r>
          <rPr>
            <sz val="9"/>
            <color indexed="81"/>
            <rFont val="Tahoma"/>
            <family val="2"/>
          </rPr>
          <t xml:space="preserve">
Programming note: Adduction ankylosis - see OAR 436-035-0330.</t>
        </r>
      </text>
    </comment>
    <comment ref="T14" authorId="1" shapeId="0" xr:uid="{0A135F71-6980-42C6-A25F-7F804E38246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5" authorId="1" shapeId="0" xr:uid="{3D337FAD-E7E2-4D00-9C4E-2532730F16A6}">
      <text>
        <r>
          <rPr>
            <b/>
            <sz val="9"/>
            <color indexed="81"/>
            <rFont val="Tahoma"/>
            <family val="2"/>
          </rPr>
          <t>Bruyns Fred H:</t>
        </r>
        <r>
          <rPr>
            <sz val="9"/>
            <color indexed="81"/>
            <rFont val="Tahoma"/>
            <family val="2"/>
          </rPr>
          <t xml:space="preserve">
Programming note: 80 to 90 degrees of internal rotation of the shoulder is considered normal - no impairment. See OAR 436-035-0330.</t>
        </r>
      </text>
    </comment>
    <comment ref="T15" authorId="1" shapeId="0" xr:uid="{966019E3-D096-4C5F-86EE-8131232C5B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5" authorId="1" shapeId="0" xr:uid="{864C8581-F1E6-4E7E-8A72-DCBA8C7167B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5" authorId="1" shapeId="0" xr:uid="{61A10882-BD7F-4362-A404-F5DDF4CD6207}">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5" authorId="1" shapeId="0" xr:uid="{6076D1F0-B463-496A-AA66-43A5F22CCA1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6" authorId="1" shapeId="0" xr:uid="{753656CB-4FE8-4691-878D-0A564E018F7C}">
      <text>
        <r>
          <rPr>
            <b/>
            <sz val="9"/>
            <color indexed="81"/>
            <rFont val="Tahoma"/>
            <family val="2"/>
          </rPr>
          <t>Bruyns Fred H:</t>
        </r>
        <r>
          <rPr>
            <sz val="9"/>
            <color indexed="81"/>
            <rFont val="Tahoma"/>
            <family val="2"/>
          </rPr>
          <t xml:space="preserve">
Programming note: Internal rotation ankylosis - see OAR 436-035-0330.</t>
        </r>
      </text>
    </comment>
    <comment ref="T16" authorId="1" shapeId="0" xr:uid="{786ED9CD-B25F-47F9-99A6-DE447AE4C8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 authorId="1" shapeId="0" xr:uid="{9E0D39DA-E654-4303-BF69-08D4EF58B2E4}">
      <text>
        <r>
          <rPr>
            <b/>
            <sz val="9"/>
            <color indexed="81"/>
            <rFont val="Tahoma"/>
            <family val="2"/>
          </rPr>
          <t>Bruyns Fred H:</t>
        </r>
        <r>
          <rPr>
            <sz val="9"/>
            <color indexed="81"/>
            <rFont val="Tahoma"/>
            <family val="2"/>
          </rPr>
          <t xml:space="preserve">
Programming note: 60 to 90 degrees of external rotation of the shoulder is considered normal - no impairment. See OAR 436-035-0330.</t>
        </r>
      </text>
    </comment>
    <comment ref="T17" authorId="1" shapeId="0" xr:uid="{E303BD72-00E9-40A9-BD6B-7EE2DBD4BE8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 authorId="1" shapeId="0" xr:uid="{11716CBA-1489-4F40-937E-63BDDAB704F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 authorId="1" shapeId="0" xr:uid="{93BCE357-B183-4DF0-B397-835C3A3DA83B}">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7" authorId="1" shapeId="0" xr:uid="{6D0610A4-ED54-4FBE-B25B-CA93894825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8" authorId="1" shapeId="0" xr:uid="{621E4EF5-CBA0-4149-BCAB-5663A47E8808}">
      <text>
        <r>
          <rPr>
            <b/>
            <sz val="9"/>
            <color indexed="81"/>
            <rFont val="Tahoma"/>
            <family val="2"/>
          </rPr>
          <t>Bruyns Fred H:</t>
        </r>
        <r>
          <rPr>
            <sz val="9"/>
            <color indexed="81"/>
            <rFont val="Tahoma"/>
            <family val="2"/>
          </rPr>
          <t xml:space="preserve">
Programming note: External rotation ankylosis - see OAR 436-035-0330.</t>
        </r>
      </text>
    </comment>
    <comment ref="T18" authorId="1" shapeId="0" xr:uid="{C3102B68-E3FE-418B-8800-9934EE5C5DF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18" authorId="1" shapeId="0" xr:uid="{19B6CF82-A70D-41D9-BAAE-CD69CC5F8974}">
      <text>
        <r>
          <rPr>
            <b/>
            <sz val="9"/>
            <color indexed="81"/>
            <rFont val="Tahoma"/>
            <family val="2"/>
          </rPr>
          <t>Bruyns Fred H:</t>
        </r>
        <r>
          <rPr>
            <sz val="9"/>
            <color indexed="81"/>
            <rFont val="Tahoma"/>
            <family val="2"/>
          </rPr>
          <t xml:space="preserve">
Programming note: Formula returns "1" if any ROM values are entered.</t>
        </r>
      </text>
    </comment>
    <comment ref="Z18" authorId="1" shapeId="0" xr:uid="{FC1E1B5C-B3B7-4E25-AE25-D0B69EBEA61B}">
      <text>
        <r>
          <rPr>
            <b/>
            <sz val="9"/>
            <color indexed="81"/>
            <rFont val="Tahoma"/>
            <family val="2"/>
          </rPr>
          <t>Bruyns Fred H:</t>
        </r>
        <r>
          <rPr>
            <sz val="9"/>
            <color indexed="81"/>
            <rFont val="Tahoma"/>
            <family val="2"/>
          </rPr>
          <t xml:space="preserve">
Programming note: Formula returns "1" if any ankylosis values are entered.</t>
        </r>
      </text>
    </comment>
    <comment ref="Z19" authorId="1" shapeId="0" xr:uid="{8C2FC6BB-47A0-4945-A660-1F6D616155F8}">
      <text>
        <r>
          <rPr>
            <b/>
            <sz val="9"/>
            <color indexed="81"/>
            <rFont val="Tahoma"/>
            <family val="2"/>
          </rPr>
          <t>Bruyns Fred H:</t>
        </r>
        <r>
          <rPr>
            <sz val="9"/>
            <color indexed="81"/>
            <rFont val="Tahoma"/>
            <family val="2"/>
          </rPr>
          <t xml:space="preserve">
Programming note: Sum of ankylosis findings. Used for message that only highest value is used.</t>
        </r>
      </text>
    </comment>
    <comment ref="S46" authorId="1" shapeId="0" xr:uid="{883AABBD-BCFD-4C45-8E47-E1F1CD909590}">
      <text>
        <r>
          <rPr>
            <b/>
            <sz val="9"/>
            <color indexed="81"/>
            <rFont val="Tahoma"/>
            <family val="2"/>
          </rPr>
          <t>Bruyns Fred H:</t>
        </r>
        <r>
          <rPr>
            <sz val="9"/>
            <color indexed="81"/>
            <rFont val="Tahoma"/>
            <family val="2"/>
          </rPr>
          <t xml:space="preserve">
Programming note: Impairment values are transferred from chart and rounded.</t>
        </r>
      </text>
    </comment>
    <comment ref="T46" authorId="1" shapeId="0" xr:uid="{48F028F6-6E8F-4F25-9160-097A1E5CD40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6" authorId="1" shapeId="0" xr:uid="{549EB9B3-738C-4C4A-B419-EC99B97AB0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6" authorId="1" shapeId="0" xr:uid="{AD992167-0D7E-428A-B537-0866B616637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t>
        </r>
      </text>
    </comment>
    <comment ref="S90" authorId="1" shapeId="0" xr:uid="{51725F0C-29F4-47B6-BDF6-19BB57A5A32E}">
      <text>
        <r>
          <rPr>
            <b/>
            <sz val="9"/>
            <color indexed="81"/>
            <rFont val="Tahoma"/>
            <family val="2"/>
          </rPr>
          <t>Bruyns Fred H:</t>
        </r>
        <r>
          <rPr>
            <sz val="9"/>
            <color indexed="81"/>
            <rFont val="Tahoma"/>
            <family val="2"/>
          </rPr>
          <t xml:space="preserve">
Programming note: Values are transferred in from the chart to the left. </t>
        </r>
      </text>
    </comment>
    <comment ref="T90" authorId="1" shapeId="0" xr:uid="{F275E5C7-5AA3-4F26-835D-105F7DB190B2}">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90" authorId="1" shapeId="0" xr:uid="{3619ACBA-F3DC-4A99-8F36-55070444FE6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90" authorId="1" shapeId="0" xr:uid="{8B3381CC-769F-4555-B76D-67F4E5B094D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sharedStrings.xml><?xml version="1.0" encoding="utf-8"?>
<sst xmlns="http://schemas.openxmlformats.org/spreadsheetml/2006/main" count="8007" uniqueCount="2314">
  <si>
    <t>No additional impairment value is allowed for reduced range of motion in the spine.
For spinal cord damage that has resulted in the loss of use or function of body part(s) other than upper and lower extremities, a value is given for other affected body part(s) or organ system(s). Refer to the appropriate section of these standards for that determination and combine with impairment valued under this rule.</t>
  </si>
  <si>
    <t xml:space="preserve">White blood cell system impairments
</t>
  </si>
  <si>
    <t xml:space="preserve">Impairment of the parathyroid
Hyperparathyroidism
</t>
  </si>
  <si>
    <t xml:space="preserve">Impairment of the Adrenal Cortex
Hypoadrenalism
</t>
  </si>
  <si>
    <t xml:space="preserve">Impairment of the Adrenal Cortex
Hyper-adrenocorticism
</t>
  </si>
  <si>
    <t>x)</t>
  </si>
  <si>
    <t>y)</t>
  </si>
  <si>
    <t>z)</t>
  </si>
  <si>
    <t>W)</t>
  </si>
  <si>
    <t>I)</t>
  </si>
  <si>
    <t>d)</t>
  </si>
  <si>
    <t>c)</t>
  </si>
  <si>
    <t>b)</t>
  </si>
  <si>
    <t>Gastrointestinal &amp; Genitourinary</t>
  </si>
  <si>
    <t>Endocrine</t>
  </si>
  <si>
    <t>Integument &amp; Lacrimal</t>
  </si>
  <si>
    <t>Immune System</t>
  </si>
  <si>
    <t>Hip - Right</t>
  </si>
  <si>
    <t>Hip - Left</t>
  </si>
  <si>
    <t>1)</t>
  </si>
  <si>
    <t>2)</t>
  </si>
  <si>
    <t>3)</t>
  </si>
  <si>
    <t>4)</t>
  </si>
  <si>
    <t>5)</t>
  </si>
  <si>
    <t>6)</t>
  </si>
  <si>
    <t>7)</t>
  </si>
  <si>
    <t>Baseline audiogram
(if performed)</t>
  </si>
  <si>
    <t>Right shoulder</t>
  </si>
  <si>
    <t>Right ear</t>
  </si>
  <si>
    <t>Left ear</t>
  </si>
  <si>
    <t>Frequencies (Hz)    500</t>
  </si>
  <si>
    <t>Right arm
Arm strength loss is rated in the hand/forearm section. Click link at right to rate strength.</t>
  </si>
  <si>
    <t>Subtotals</t>
  </si>
  <si>
    <t>Thoracic spine: Total impairment for surgical procedures:</t>
  </si>
  <si>
    <t xml:space="preserve">A worker is presumed to have met the SVP training time after completing employment with one or more employers in that job classification for the time period specified in the table. </t>
  </si>
  <si>
    <t>College training organized around a specific vocational objective is considered specific vocational training.</t>
  </si>
  <si>
    <t>Lateral collateral ligament damage</t>
  </si>
  <si>
    <t>First cranial nerve; loss or alteration of sense of smell</t>
  </si>
  <si>
    <t>Fifth cranial nerve; trigeminal - loss or alteration of sensation</t>
  </si>
  <si>
    <t>Seventh cranial nerve; loss or alteration of sense of taste</t>
  </si>
  <si>
    <t>Seventh cranial nerve; motor loss in the face</t>
  </si>
  <si>
    <t>Eighth cranial nerve; disequilibrium</t>
  </si>
  <si>
    <t>Eighth cranial nerve; tinnitus</t>
  </si>
  <si>
    <t>V/HM</t>
  </si>
  <si>
    <t>V/HM/H</t>
  </si>
  <si>
    <t>V/HH</t>
  </si>
  <si>
    <t>V/HV/H</t>
  </si>
  <si>
    <t>Ring finger, DIP joint, radial side only, total loss</t>
  </si>
  <si>
    <t>temporarily increase limitations.</t>
  </si>
  <si>
    <r>
      <t xml:space="preserve">(b) </t>
    </r>
    <r>
      <rPr>
        <b/>
        <sz val="10"/>
        <rFont val="Times New Roman"/>
        <family val="1"/>
      </rPr>
      <t xml:space="preserve">Class 2: </t>
    </r>
    <r>
      <rPr>
        <sz val="10"/>
        <rFont val="Times New Roman"/>
        <family val="1"/>
      </rPr>
      <t>15% for the affected body part if intermittent treatments and prescribed examinations are</t>
    </r>
  </si>
  <si>
    <t>required, and the worker has some limitations in the performance of activities of daily living.</t>
  </si>
  <si>
    <r>
      <t xml:space="preserve">(c) </t>
    </r>
    <r>
      <rPr>
        <b/>
        <sz val="10"/>
        <rFont val="Times New Roman"/>
        <family val="1"/>
      </rPr>
      <t>Class 3:</t>
    </r>
    <r>
      <rPr>
        <sz val="10"/>
        <rFont val="Times New Roman"/>
        <family val="1"/>
      </rPr>
      <t xml:space="preserve"> 38% for the affected body part if regularly prescribed examinations</t>
    </r>
    <r>
      <rPr>
        <b/>
        <sz val="10"/>
        <rFont val="Times New Roman"/>
        <family val="1"/>
      </rPr>
      <t xml:space="preserve"> </t>
    </r>
    <r>
      <rPr>
        <sz val="10"/>
        <rFont val="Times New Roman"/>
        <family val="1"/>
      </rPr>
      <t>and continuous</t>
    </r>
  </si>
  <si>
    <t>treatments are required, and the worker has many limitations in the performance of activities of daily living.</t>
  </si>
  <si>
    <r>
      <t xml:space="preserve">(d) </t>
    </r>
    <r>
      <rPr>
        <b/>
        <sz val="10"/>
        <rFont val="Times New Roman"/>
        <family val="1"/>
      </rPr>
      <t>Class 4:</t>
    </r>
    <r>
      <rPr>
        <sz val="10"/>
        <rFont val="Times New Roman"/>
        <family val="1"/>
      </rPr>
      <t xml:space="preserve"> 68% for the affected body part if continuous prescribed treatments are required. The</t>
    </r>
  </si>
  <si>
    <t>treatment may include periodically having the worker stay home or admitting the worker to a care facility,</t>
  </si>
  <si>
    <t>Converted values are added; total left hand value:</t>
  </si>
  <si>
    <t>Left Upper Extremity Disability Determination
Permanent Partial Disability - Date of injury prior to 1/1/2005</t>
  </si>
  <si>
    <t>Total impairment, left leg:</t>
  </si>
  <si>
    <t>Combined disability: Thoracic spine</t>
  </si>
  <si>
    <t>Lumbosacral spine: Retained degrees of motion and percentage of impairment</t>
  </si>
  <si>
    <t>Ankylosis of the third tarsometatarsal joint</t>
  </si>
  <si>
    <t>Left ear current exam: Enter audiogram findings for all frequencies.</t>
  </si>
  <si>
    <t>Total</t>
  </si>
  <si>
    <t>Apportionment 
(if applicable)</t>
  </si>
  <si>
    <t>Unilateral nerves:</t>
  </si>
  <si>
    <t>Injured part</t>
  </si>
  <si>
    <t>Strength
grade</t>
  </si>
  <si>
    <t>Adjusted
impairment</t>
  </si>
  <si>
    <t>5/5</t>
  </si>
  <si>
    <t>5-/5</t>
  </si>
  <si>
    <t>4+/5</t>
  </si>
  <si>
    <t>4/5</t>
  </si>
  <si>
    <t>L. Index finger, DIP</t>
  </si>
  <si>
    <t>L. Index finger, PIP</t>
  </si>
  <si>
    <t>L. Index finger, MP</t>
  </si>
  <si>
    <t>L. Middle finger ROM impairment total:</t>
  </si>
  <si>
    <t>2/5 distance from the distal interphalangeal joint; between the DIP joint and the proximal interphalangeal joint</t>
  </si>
  <si>
    <t>3/5 distance from the distal interphalangeal joint; between the DIP joint and the proximal interphalangeal joint</t>
  </si>
  <si>
    <t xml:space="preserve">vascular disease, or persistent widespread or deep ulceration involving one extremity; or cold </t>
  </si>
  <si>
    <t>Ulnar nerve</t>
  </si>
  <si>
    <t>Ulnar: Option button output</t>
  </si>
  <si>
    <t>Overall impairment due to strength loss: Left forearm</t>
  </si>
  <si>
    <t>Overall impairment due to strength loss: Left arm</t>
  </si>
  <si>
    <t>Chronic condition, left forearm/wrist/hand</t>
  </si>
  <si>
    <t>Conversion from digit values to left hand values</t>
  </si>
  <si>
    <t>1=Opposition
loss only;
2=Injury to the 
digit</t>
  </si>
  <si>
    <t>Lumbosacral spine: Compression fractures - % of compression &amp; % impairment</t>
  </si>
  <si>
    <t>L1</t>
  </si>
  <si>
    <t>L2</t>
  </si>
  <si>
    <t>L3</t>
  </si>
  <si>
    <t>L4</t>
  </si>
  <si>
    <t>L5</t>
  </si>
  <si>
    <t>Little finger, DIP joint, radial side only, total loss</t>
  </si>
  <si>
    <t>Little finger, DIP joint, ulnar side only, total loss</t>
  </si>
  <si>
    <t>Little finger, 1/2 distal phalanx, total loss</t>
  </si>
  <si>
    <t>Little finger, 1/2 distal phalanx, radial side only, total loss</t>
  </si>
  <si>
    <t>Little finger, 1/2 distal phalanx, ulnar side only, total loss</t>
  </si>
  <si>
    <t>7/10 distance from tip; between tip and distal interphalangeal joint</t>
  </si>
  <si>
    <t>4/5 distance from tip; between tip and distal interphalangeal joint</t>
  </si>
  <si>
    <t>Ankylosis, 5th tarsometatarsal</t>
  </si>
  <si>
    <t>Immune system</t>
  </si>
  <si>
    <t>Speech impairment is rated according to the classification in OAR 436-035-0385.</t>
  </si>
  <si>
    <t>Max. degrees</t>
  </si>
  <si>
    <t>All or part of the third metatarsal</t>
  </si>
  <si>
    <t>Impairment of the upper digestive tract (esophagus, stomach and duodenum, small intestine, pancreas) are valued according to the following classes:
*Double-click for "Desirable weight tables."</t>
  </si>
  <si>
    <t>The percentage of loss is recorded for each injured toe, the foot, and the leg. Toe values are converted to foot values only if there are impairment findings in the foot or leg. A foot value is converted to a leg value only if there are impairment findings in the leg.</t>
  </si>
  <si>
    <t>W + I = total permanent partial disability award</t>
  </si>
  <si>
    <t>A fractured pelvis that heals well, leaving no displacement, receives no rating. If fracture affects the acetabulum,</t>
  </si>
  <si>
    <t>rate only loss of hip motion under OAR 436-035-0340:</t>
  </si>
  <si>
    <t>Loss of motor function for right trigeminal nerve</t>
  </si>
  <si>
    <t>Loss of motor function for left trigeminal nerve</t>
  </si>
  <si>
    <t>Total impairment, right thumb:</t>
  </si>
  <si>
    <t>Right index finger</t>
  </si>
  <si>
    <t>Combined disability, right index finger</t>
  </si>
  <si>
    <t>Right middle finger</t>
  </si>
  <si>
    <t>Combined disability, right middle finger</t>
  </si>
  <si>
    <t>Right ring finger</t>
  </si>
  <si>
    <t>Combined disability, right ring finger</t>
  </si>
  <si>
    <t>Diet limited to semi-solid or soft foods</t>
  </si>
  <si>
    <t>Diet limited to liquid foods</t>
  </si>
  <si>
    <t>Anemia</t>
  </si>
  <si>
    <t>White blood cell system impairments</t>
  </si>
  <si>
    <t>Hemorrhagic disorders</t>
  </si>
  <si>
    <t>Total impairment, hematopoietic system:</t>
  </si>
  <si>
    <t>BCDEF</t>
  </si>
  <si>
    <t>CDEFG</t>
  </si>
  <si>
    <t>DEFGH</t>
  </si>
  <si>
    <t>EFGHA</t>
  </si>
  <si>
    <t>FGHAB</t>
  </si>
  <si>
    <t>GHABC</t>
  </si>
  <si>
    <t>Retained visual field</t>
  </si>
  <si>
    <t>Extent of retained peripheral visual field</t>
  </si>
  <si>
    <t>Percent of loss</t>
  </si>
  <si>
    <t>VLOOKUP degree value and corresponding percentage</t>
  </si>
  <si>
    <t>Right eye</t>
  </si>
  <si>
    <t>Left eye</t>
  </si>
  <si>
    <t>Hearing Loss Disability Determination</t>
  </si>
  <si>
    <t>A worker is entitled to a 5% chronic condition impairment value when a preponderance of medical opinion establishes that, due to a chronic and permanent medical condition, the worker is significantly limited in the repetitive use of the lower leg (below knee/foot/ankle).</t>
  </si>
  <si>
    <t>Up right</t>
  </si>
  <si>
    <t>Combined unscheduled disability</t>
  </si>
  <si>
    <t>Total unscheduled impairment</t>
  </si>
  <si>
    <t>Right hand, wrist, forearm, amputation or resection without reattachment</t>
  </si>
  <si>
    <t>Index finger</t>
  </si>
  <si>
    <t>Index</t>
  </si>
  <si>
    <t xml:space="preserve">Thumb amputated 1/4 distance from tip, between tip and IP level </t>
  </si>
  <si>
    <t>More than 1 inch up to and including 1-1/2 inches</t>
  </si>
  <si>
    <t>More than 1-1/2 inches</t>
  </si>
  <si>
    <t>Discrepancy in inches:</t>
  </si>
  <si>
    <t>Left knee joint instability</t>
  </si>
  <si>
    <t>Grade 1 or 1+; Mild; 1-5mm</t>
  </si>
  <si>
    <t>Grade 2 or 2+; Moderate; 6-10mm</t>
  </si>
  <si>
    <t>Right hip ROM impairment total:</t>
  </si>
  <si>
    <t>Right hip surgery</t>
  </si>
  <si>
    <t>Left Hip Disability Determination</t>
  </si>
  <si>
    <t>Left hip ROM impairment total:</t>
  </si>
  <si>
    <t>Left hip surgery</t>
  </si>
  <si>
    <t>Contralateral DIP joint</t>
  </si>
  <si>
    <t>Extension, DIP joint</t>
  </si>
  <si>
    <t>Ankylosis, DIP joint</t>
  </si>
  <si>
    <t>64.1 - 160 degrees
(on or after 1/1/96)</t>
  </si>
  <si>
    <t>160.1 - 320 degrees
(on or after 1/1/96)</t>
  </si>
  <si>
    <t>Rate Start Date</t>
  </si>
  <si>
    <t>Dollars/Deg</t>
  </si>
  <si>
    <t>Injury date:</t>
  </si>
  <si>
    <t>Combined impairment</t>
  </si>
  <si>
    <t>Forward flexion, hip</t>
  </si>
  <si>
    <r>
      <t xml:space="preserve">CLASS 3: There is objective evidence of colonic or rectal disease or anatomic loss or alteration; and
There are moderate to severe exacerbations with disturbance of bowel habit, accompanied by periodic or continual pain; and
Restriction of activity, special diet and drugs are required during attacks; and
There are constitutional manifestations </t>
    </r>
    <r>
      <rPr>
        <sz val="9"/>
        <rFont val="Times New Roman"/>
        <family val="1"/>
      </rPr>
      <t>(fever, anemia, or weight loss)</t>
    </r>
    <r>
      <rPr>
        <sz val="10"/>
        <rFont val="Times New Roman"/>
        <family val="1"/>
      </rPr>
      <t>.</t>
    </r>
    <r>
      <rPr>
        <b/>
        <sz val="10"/>
        <rFont val="Times New Roman"/>
        <family val="1"/>
      </rPr>
      <t/>
    </r>
  </si>
  <si>
    <t>For those workers who have not met the specific vocational preparation training time for any job, a value of +4 is granted.</t>
  </si>
  <si>
    <t>Total impairment                      Adaptability value</t>
  </si>
  <si>
    <t>Additional right foot impairment</t>
  </si>
  <si>
    <t>Chronic condition, right lower leg/foot/ankle</t>
  </si>
  <si>
    <t>Converted values are added; total right foot value:</t>
  </si>
  <si>
    <t>Strength loss in the right foot and leg</t>
  </si>
  <si>
    <t>Total impairment, foot:</t>
  </si>
  <si>
    <t>1-9%                                                         1</t>
  </si>
  <si>
    <t>10-19%                                                     2</t>
  </si>
  <si>
    <t>20-29%                                                     3</t>
  </si>
  <si>
    <t>30-39%                                                     4</t>
  </si>
  <si>
    <t>40-49%                                                     5</t>
  </si>
  <si>
    <t>50-59%                                                     6</t>
  </si>
  <si>
    <t>Right Upper Extremity Disability Determination
Permanent Partial Disability - Date of injury on or after 1/1/2005</t>
  </si>
  <si>
    <t>Ankylosis
elbow joint 
(in pronation or supination)</t>
  </si>
  <si>
    <t>Retained degrees of motion and percentage of impairment, third toe - left</t>
  </si>
  <si>
    <t>Ankylosis:PIP joint</t>
  </si>
  <si>
    <t>Left third toe ROM impairment total:</t>
  </si>
  <si>
    <t>Preliminary R Eye</t>
  </si>
  <si>
    <t>Preliminary L Eye</t>
  </si>
  <si>
    <t>Contralateral formulas</t>
  </si>
  <si>
    <t>Forward flexion</t>
  </si>
  <si>
    <t xml:space="preserve">activity), or cold intolerance (e.g. Raynaud’s phenomenon) which results in a loss of use or </t>
  </si>
  <si>
    <t>Cervical</t>
  </si>
  <si>
    <t>L. Little finger ROM impairment total:</t>
  </si>
  <si>
    <t>L. Arm ROM impairment total:</t>
  </si>
  <si>
    <t>9/10 distance from the interphalangeal joint; between the IP joint and the metatarsophalangeal joint</t>
  </si>
  <si>
    <t>Amputation at the metatarsophalangeal joint</t>
  </si>
  <si>
    <t>Left hand, CMC</t>
  </si>
  <si>
    <t>Humerus</t>
  </si>
  <si>
    <t>Left forearm/hand surgery</t>
  </si>
  <si>
    <t>Carpal bone fusion:</t>
  </si>
  <si>
    <t>a)</t>
  </si>
  <si>
    <t>A1)</t>
  </si>
  <si>
    <t>A2)</t>
  </si>
  <si>
    <t>Exclude all but valid numbers</t>
  </si>
  <si>
    <r>
      <t xml:space="preserve">(c) </t>
    </r>
    <r>
      <rPr>
        <b/>
        <sz val="10"/>
        <rFont val="Times New Roman"/>
        <family val="1"/>
      </rPr>
      <t>Class 3:</t>
    </r>
    <r>
      <rPr>
        <sz val="10"/>
        <rFont val="Times New Roman"/>
        <family val="1"/>
      </rPr>
      <t xml:space="preserve"> 35% for the affected body part if the worker experiences intermittent pain with moderate </t>
    </r>
  </si>
  <si>
    <t xml:space="preserve">The SVP value is determined by identifying these jobs and locating their SVP in the Dictionary of Occupational Titles (DOT) or a specific job analysis. </t>
  </si>
  <si>
    <t>The job with the highest SVP the worker has met is used to assign a value according to the following table:</t>
  </si>
  <si>
    <t>SVP       VALUE       TRAINING TIME</t>
  </si>
  <si>
    <t xml:space="preserve">   1               4             Short demonstration</t>
  </si>
  <si>
    <t xml:space="preserve">   2               4             Short demonstration up to 30 days</t>
  </si>
  <si>
    <t xml:space="preserve">   3               3             30+ days - 3 months</t>
  </si>
  <si>
    <t xml:space="preserve">   4               3             3+ months - 6 months</t>
  </si>
  <si>
    <t>Round R</t>
  </si>
  <si>
    <t>Round L</t>
  </si>
  <si>
    <t>(5% values are added to maximum of 30%.)</t>
  </si>
  <si>
    <t>Dermatological conditions of the left leg, including burns:</t>
  </si>
  <si>
    <t>Supraspinatus</t>
  </si>
  <si>
    <t>Infraspinatus</t>
  </si>
  <si>
    <t>Latissimus dorsi</t>
  </si>
  <si>
    <t>Combined impairment:</t>
  </si>
  <si>
    <t>Surgery: Clavicle</t>
  </si>
  <si>
    <t>Lens removed; no replacement</t>
  </si>
  <si>
    <t>None</t>
  </si>
  <si>
    <t>ABC</t>
  </si>
  <si>
    <t>BCD</t>
  </si>
  <si>
    <t>CDE</t>
  </si>
  <si>
    <t>DEF</t>
  </si>
  <si>
    <t>EFG</t>
  </si>
  <si>
    <t>FGH</t>
  </si>
  <si>
    <t>GHA</t>
  </si>
  <si>
    <t>HAB</t>
  </si>
  <si>
    <t>ABCDE</t>
  </si>
  <si>
    <t>Right 2nd toe</t>
  </si>
  <si>
    <t>Right 3rd toe</t>
  </si>
  <si>
    <t>Right 4th toe</t>
  </si>
  <si>
    <t>Right 5th toe</t>
  </si>
  <si>
    <t>Endocrine system</t>
  </si>
  <si>
    <t>Chronic condition, upper right leg</t>
  </si>
  <si>
    <t>Combined disability, right leg</t>
  </si>
  <si>
    <t>Total impairment, right leg:</t>
  </si>
  <si>
    <t>Whole</t>
  </si>
  <si>
    <t xml:space="preserve"> 1/2</t>
  </si>
  <si>
    <t>1/2 Digit or</t>
  </si>
  <si>
    <t>digit</t>
  </si>
  <si>
    <t>Proximal</t>
  </si>
  <si>
    <t>PIP</t>
  </si>
  <si>
    <t>IP Joint of</t>
  </si>
  <si>
    <t>DIP</t>
  </si>
  <si>
    <t>Distal</t>
  </si>
  <si>
    <t>MP Joint</t>
  </si>
  <si>
    <t>Phalanx</t>
  </si>
  <si>
    <t>Joint</t>
  </si>
  <si>
    <t>the Thumb</t>
  </si>
  <si>
    <t>Grade</t>
  </si>
  <si>
    <t>Sort &amp; Round</t>
  </si>
  <si>
    <t>Ankylosis
elbow joint 
(in flexion or extension)</t>
  </si>
  <si>
    <t>Pronation or supination</t>
  </si>
  <si>
    <t>Visual field loss, right eye</t>
  </si>
  <si>
    <t>Visual field loss, left eye</t>
  </si>
  <si>
    <t>ME Grid - R</t>
  </si>
  <si>
    <t>ME Grid - L</t>
  </si>
  <si>
    <t>Peri - R</t>
  </si>
  <si>
    <t>Peri - L</t>
  </si>
  <si>
    <t>Cardiovascular</t>
  </si>
  <si>
    <t>Respiratory</t>
  </si>
  <si>
    <t>Cranial nerves - Brain</t>
  </si>
  <si>
    <t>Spinal cord</t>
  </si>
  <si>
    <t>Hematopoietic</t>
  </si>
  <si>
    <t xml:space="preserve"> R. Thumb ROM impairment total:</t>
  </si>
  <si>
    <t>Spinal Cord</t>
  </si>
  <si>
    <t>SVP not met</t>
  </si>
  <si>
    <t>ERROR: Date of injury is prior to 1/1/2005. Use PPD Worksheet "PPD DOI before 2005."</t>
  </si>
  <si>
    <t>Ocular motility impairment resulting in binocular diplopia, right eye</t>
  </si>
  <si>
    <t>Ocular motility impairment resulting in binocular diplopia, left eye</t>
  </si>
  <si>
    <t>Determine the single highest value of loss for diplopia noted on each of the standard 45 degree meridians. Sum the percentages of loss up to a maximum of 100%.</t>
  </si>
  <si>
    <t>Direction of gaze</t>
  </si>
  <si>
    <t>Distance from point of fixation</t>
  </si>
  <si>
    <t>Central</t>
  </si>
  <si>
    <t>Central vision to 20 degrees</t>
  </si>
  <si>
    <t>Down</t>
  </si>
  <si>
    <t>21 degrees to 30 degrees</t>
  </si>
  <si>
    <t>Right</t>
  </si>
  <si>
    <t>Beyond 30 degrees</t>
  </si>
  <si>
    <t>Down right</t>
  </si>
  <si>
    <t>Beyond 20 degrees</t>
  </si>
  <si>
    <t>Left</t>
  </si>
  <si>
    <t>Down left</t>
  </si>
  <si>
    <t>Up</t>
  </si>
  <si>
    <t xml:space="preserve">
Fractured pelvis that heals with displacement and deformity
</t>
  </si>
  <si>
    <t xml:space="preserve">Colonic and rectal impairment are rated according to the following classes:
</t>
  </si>
  <si>
    <t>Total ocular motility impairment, right eye:</t>
  </si>
  <si>
    <t>Total ocular motility impairment, left eye:</t>
  </si>
  <si>
    <t>Other eye impairment, right eye</t>
  </si>
  <si>
    <t>Other eye impairment, left eye</t>
  </si>
  <si>
    <t>Glare disturbances</t>
  </si>
  <si>
    <t>3-/5:</t>
  </si>
  <si>
    <t>2+/5:</t>
  </si>
  <si>
    <t>2-/5:</t>
  </si>
  <si>
    <t>1+/5:</t>
  </si>
  <si>
    <t>1-/5:</t>
  </si>
  <si>
    <t>Click appropriate tab below to return to disability rating (or back arrow).</t>
  </si>
  <si>
    <t>Leg surgery left</t>
  </si>
  <si>
    <t>Partial loss of one meniscus</t>
  </si>
  <si>
    <t>Complete loss of one meniscus</t>
  </si>
  <si>
    <t>Complete loss of one; partial loss of other meniscus</t>
  </si>
  <si>
    <t>Hypothalamic-pituitary axis impairment</t>
  </si>
  <si>
    <t>Hyperparathyroidism</t>
  </si>
  <si>
    <t>Hypoparathyroidism</t>
  </si>
  <si>
    <t>Hypoadrenalism</t>
  </si>
  <si>
    <t>Hyper-adrenocorticism</t>
  </si>
  <si>
    <t>Adrenal Medulla - pheochromocytoma</t>
  </si>
  <si>
    <t>Pancreas - diabetes mellitus</t>
  </si>
  <si>
    <t>Pancreas - hypoglycemia</t>
  </si>
  <si>
    <t>Thyroid impairment</t>
  </si>
  <si>
    <t>Gonadal impairment</t>
  </si>
  <si>
    <t>Wage at injury</t>
  </si>
  <si>
    <t>50% of SAWW</t>
  </si>
  <si>
    <t>State average weekly wage (SAWW) look-up</t>
  </si>
  <si>
    <t>133% of SAWW</t>
  </si>
  <si>
    <t>Enter updated SAWW annually. See Bulletin 111.</t>
  </si>
  <si>
    <t>Adjusted wage (if less than or greater than SAWW minimum/maximum)</t>
  </si>
  <si>
    <t>Permanent impairment factor</t>
  </si>
  <si>
    <r>
      <t xml:space="preserve">(d) </t>
    </r>
    <r>
      <rPr>
        <b/>
        <sz val="10"/>
        <rFont val="Times New Roman"/>
        <family val="1"/>
      </rPr>
      <t xml:space="preserve">Class 4: </t>
    </r>
    <r>
      <rPr>
        <sz val="10"/>
        <rFont val="Times New Roman"/>
        <family val="1"/>
      </rPr>
      <t xml:space="preserve">63% for the affected body part if the worker experiences intermittent pain upon mild upper </t>
    </r>
  </si>
  <si>
    <t xml:space="preserve">or there are signs of vascular damage involving more than one extremity such as amputation at or above </t>
  </si>
  <si>
    <t>Flexion
MP Joint</t>
  </si>
  <si>
    <t>Extension
MP Joint</t>
  </si>
  <si>
    <t>Ankylosis
MP Joint</t>
  </si>
  <si>
    <t>Flexion
Distal 
IP Joint</t>
  </si>
  <si>
    <t>Extension
Distal 
IP Joint</t>
  </si>
  <si>
    <t>Ankylosis
Distal 
IP Joint</t>
  </si>
  <si>
    <t>Flexion Proximal 
IP Joint</t>
  </si>
  <si>
    <t>Extension Proximal 
IP Joint</t>
  </si>
  <si>
    <t>Ankylosis
Proximal 
IP Joint</t>
  </si>
  <si>
    <t>Thumb loss to hand loss</t>
  </si>
  <si>
    <t>Values for more than one ligamentous injury are combined. When there is a prosthetic knee replacement, instability only receives a value if the severity is Grade 2 or greater. Instability substantiated by clinical findings is valued even if the ligament demonstrating the laxity has not been injured.</t>
  </si>
  <si>
    <t>Ring finger, 1/2 distal phalanx, radial side only, total loss</t>
  </si>
  <si>
    <t>Great
toe</t>
  </si>
  <si>
    <t>2nd
toe</t>
  </si>
  <si>
    <t>3rd
toe</t>
  </si>
  <si>
    <t>4th
toe</t>
  </si>
  <si>
    <t>5th
toe</t>
  </si>
  <si>
    <t>Total disability percentage for carpometatarsal</t>
  </si>
  <si>
    <t>All or part of the second metatarsal</t>
  </si>
  <si>
    <t>Metatarsals</t>
  </si>
  <si>
    <t>Subsequent surgical procedures: Add 1% for each disc or vertebra treated within the thoracic spine. Select the number of additional procedures for each vertebra and disc.</t>
  </si>
  <si>
    <t>S</t>
  </si>
  <si>
    <t>L</t>
  </si>
  <si>
    <t>M</t>
  </si>
  <si>
    <t>H</t>
  </si>
  <si>
    <t>V/H</t>
  </si>
  <si>
    <t>RS</t>
  </si>
  <si>
    <t>S/L</t>
  </si>
  <si>
    <t>M/L</t>
  </si>
  <si>
    <t>M/H</t>
  </si>
  <si>
    <t>Date of injury</t>
  </si>
  <si>
    <t>The disability award cannot be determined without the date of injury.</t>
  </si>
  <si>
    <t>Degrees</t>
  </si>
  <si>
    <t>HS Diploma/GED</t>
  </si>
  <si>
    <t>2/5:        The worker retains range of motion with gravity eliminated.</t>
  </si>
  <si>
    <t>1/5:        The worker has evidence of slight muscle contractility; no joint motion.</t>
  </si>
  <si>
    <t>Little finger, 1/2 proximal phalanx, ulnar side only, less than normal</t>
  </si>
  <si>
    <t>Little finger, PIP joiint, less than normal</t>
  </si>
  <si>
    <t>Little finger, PIP joiint, radial side only, less than normal</t>
  </si>
  <si>
    <t>Little finger, PIP joiint, ulnar side only, less than normal</t>
  </si>
  <si>
    <t>Little finger, 1/2 digit, less than normal</t>
  </si>
  <si>
    <t>Little finger, 1/2 digit, radial side only, less than normal</t>
  </si>
  <si>
    <t>Little finger, 1/2 digit, ulnar side only, less than normal</t>
  </si>
  <si>
    <t>Little finger, DIP joint, less than normal</t>
  </si>
  <si>
    <t>Great toe - right</t>
  </si>
  <si>
    <t>V/HL</t>
  </si>
  <si>
    <t>V/HM/L</t>
  </si>
  <si>
    <t>Dermatological conditions of the index finger, including burns</t>
  </si>
  <si>
    <t>Combined disability, left index finger</t>
  </si>
  <si>
    <t>Loss of opposition, thumb</t>
  </si>
  <si>
    <t>Joint replacement, DIP</t>
  </si>
  <si>
    <t>Joint replacement, PIP</t>
  </si>
  <si>
    <t>Little finger, 1/2 proximal phalanx, ulnar side only, protective sensation</t>
  </si>
  <si>
    <t>Little finger, PIP joiint, protective sensation</t>
  </si>
  <si>
    <t>Little finger, PIP joiint, radial side only, protective sensation</t>
  </si>
  <si>
    <t>Little finger, PIP joiint, ulnar side only, protective sensation</t>
  </si>
  <si>
    <t>Combined disability, left arm (with hand/forearm conversion, if applicable)</t>
  </si>
  <si>
    <t>Lateral deviation</t>
  </si>
  <si>
    <t>Radial head resection</t>
  </si>
  <si>
    <t>Prosthetic elbow replacement</t>
  </si>
  <si>
    <t>Humeral head replacement</t>
  </si>
  <si>
    <t>D. Down nasally</t>
  </si>
  <si>
    <t>E. Nasally</t>
  </si>
  <si>
    <t>F. Up nasally</t>
  </si>
  <si>
    <t>G. Up</t>
  </si>
  <si>
    <t>Scotoma only</t>
  </si>
  <si>
    <t>H. Up temporally</t>
  </si>
  <si>
    <t>Scotoma (minus)</t>
  </si>
  <si>
    <t>Total degrees retained:</t>
  </si>
  <si>
    <t>1=field count problem</t>
  </si>
  <si>
    <t>Percent of loss:</t>
  </si>
  <si>
    <t>ERROR: Enter findings for Monocular Esterman Grid or perimetric measures, not both.</t>
  </si>
  <si>
    <t>hand/  forearm</t>
  </si>
  <si>
    <r>
      <t xml:space="preserve">Table of contents:
</t>
    </r>
    <r>
      <rPr>
        <sz val="10"/>
        <rFont val="Times New Roman"/>
        <family val="1"/>
      </rPr>
      <t>(Click to navigate.)</t>
    </r>
  </si>
  <si>
    <t>The percentage of loss is recorded for each injured digit, hand, or arm. Values are converted to more proximal parts of the upper extremity if required by OAR 436-035-0070 or 0090.</t>
  </si>
  <si>
    <t>Any 
Finger</t>
  </si>
  <si>
    <t>Wrist</t>
  </si>
  <si>
    <t>Arm</t>
  </si>
  <si>
    <t>Arm or 
Wrist</t>
  </si>
  <si>
    <t>Forward elevation, flexion</t>
  </si>
  <si>
    <t>Forward elevation (flexion) ankylosis</t>
  </si>
  <si>
    <t>Backward elevation, extension</t>
  </si>
  <si>
    <t>Backward elevation (extension) ankylosis</t>
  </si>
  <si>
    <t>Flexion
IP Joint</t>
  </si>
  <si>
    <t>Extension 
IP Joint</t>
  </si>
  <si>
    <t>Ankylosis
IP Joint</t>
  </si>
  <si>
    <t>Peripheral nerves (continued)</t>
  </si>
  <si>
    <t>Tibial</t>
  </si>
  <si>
    <t>Femoral (30% leg)
(below the iliacus nerve)</t>
  </si>
  <si>
    <t xml:space="preserve">subcutaneous tissue of fingertips, calcification of arteries as detected by radiographic examination, </t>
  </si>
  <si>
    <t>Round2-L</t>
  </si>
  <si>
    <t>1=keep to 100ths place</t>
  </si>
  <si>
    <t xml:space="preserve">physical examination, the findings are limited to the following: loss of pulses, minimal loss of </t>
  </si>
  <si>
    <t>Ankylosis of the fourth tarsometatarsal joint</t>
  </si>
  <si>
    <t>Classes</t>
  </si>
  <si>
    <t>Impairments of the integumentary system may or may not show signs or symptoms of skin disorder upon examination but are rated according to the following classes:</t>
  </si>
  <si>
    <t>If the worker has developed an immunologic reaction to physical, chemical or biological agents, impairment is also valued under OAR 436-035-0450.</t>
  </si>
  <si>
    <t>Left fourth toe ROM impairment total:</t>
  </si>
  <si>
    <t>Right second toe ROM impairment total:</t>
  </si>
  <si>
    <t>Right third toe ROM impairment total:</t>
  </si>
  <si>
    <t>Right fourth toe ROM impairment total:</t>
  </si>
  <si>
    <t>Right fifth toe ROM impairment total:</t>
  </si>
  <si>
    <t>Total impairment, fourth toe - right:</t>
  </si>
  <si>
    <t>Combined disability, fourth toe - right</t>
  </si>
  <si>
    <t>Total impairment, third toe - right:</t>
  </si>
  <si>
    <t>Combined disability, third toe - right</t>
  </si>
  <si>
    <t>Combined disability, great toe - right</t>
  </si>
  <si>
    <t>Combined disability, second toe - right</t>
  </si>
  <si>
    <t>Combined disability, great toe - left</t>
  </si>
  <si>
    <t>Total impairment, great toe - left:</t>
  </si>
  <si>
    <t>Combined disability, second toe - left</t>
  </si>
  <si>
    <t>Total impairment, fourth toe - left:</t>
  </si>
  <si>
    <t>Thoracic spine, flexion</t>
  </si>
  <si>
    <t>Thoracic spine, right rotation</t>
  </si>
  <si>
    <t>Thoracic spine, left rotation</t>
  </si>
  <si>
    <t>Thoracic spine: Compression fractures - % of compression &amp; % impairment</t>
  </si>
  <si>
    <t>T1</t>
  </si>
  <si>
    <t>T2</t>
  </si>
  <si>
    <t>T3</t>
  </si>
  <si>
    <t>T4</t>
  </si>
  <si>
    <t>Extension, PIP joint</t>
  </si>
  <si>
    <t>Ankylosis, PIP joint</t>
  </si>
  <si>
    <t>Flexion, MIP joint</t>
  </si>
  <si>
    <t>Contralateral MIP joint</t>
  </si>
  <si>
    <t>Extension, MIP joint</t>
  </si>
  <si>
    <t>Ankylosis, MIP joint</t>
  </si>
  <si>
    <t>Carpometacarpal, flexion</t>
  </si>
  <si>
    <t>Contralateral carpometacarpal</t>
  </si>
  <si>
    <t>Carpometacarpal, extension</t>
  </si>
  <si>
    <t>Carpomet. flexion ankylosis</t>
  </si>
  <si>
    <t>Carpomet. extension ankylosis</t>
  </si>
  <si>
    <t>Contralateral extension</t>
  </si>
  <si>
    <t>Central vision, left eye</t>
  </si>
  <si>
    <t>Distance acuity:</t>
  </si>
  <si>
    <t>(Enter English or Metric 6.)</t>
  </si>
  <si>
    <t>20/30</t>
  </si>
  <si>
    <t>CLASS 3: Signs of organic anal disease are present and there is anatomic loss or alteration; and
Complete fecal incontinence is present; or
Signs of organic anal disease are present and severe anal symptoms unresponsive or not amenable to therapy are present.</t>
  </si>
  <si>
    <t>Dermatological conditions of the arm, including burns</t>
  </si>
  <si>
    <t>Chronic condition, left arm</t>
  </si>
  <si>
    <t>Ankylosis of the fifth tarsometatarsal joint</t>
  </si>
  <si>
    <t>Left foot</t>
  </si>
  <si>
    <t>Multiply the percent of loss in the better ear by seven.</t>
  </si>
  <si>
    <t>Add to that result the percent of loss in the other ear.</t>
  </si>
  <si>
    <t>Divide the sum by eight. This is the binaural loss.</t>
  </si>
  <si>
    <t>Binaural loss times 60% = percent of whole-person disability:</t>
  </si>
  <si>
    <t>÷</t>
  </si>
  <si>
    <t>X 100</t>
  </si>
  <si>
    <t>Binaural hearing loss</t>
  </si>
  <si>
    <t xml:space="preserve">Binaural loss =  </t>
  </si>
  <si>
    <t>Inversion ankylosis:</t>
  </si>
  <si>
    <t>Subtalar eversion</t>
  </si>
  <si>
    <t>Eversion ankylosis</t>
  </si>
  <si>
    <t>Left ankle</t>
  </si>
  <si>
    <t>Severe: 28 degrees</t>
  </si>
  <si>
    <t>Severe: 29 degrees</t>
  </si>
  <si>
    <t>Severe: 30 degrees</t>
  </si>
  <si>
    <t>Severe: 31 degrees</t>
  </si>
  <si>
    <t>Severe: 32 degrees</t>
  </si>
  <si>
    <t>Severe: 33 degrees</t>
  </si>
  <si>
    <t>Severe: 34 degrees</t>
  </si>
  <si>
    <t>Severe: 35 degrees</t>
  </si>
  <si>
    <t>Severe: 36 degrees</t>
  </si>
  <si>
    <t>1=hand
or arm
involvement</t>
  </si>
  <si>
    <t>Little finger, 1/2 distal phalanx, protective sensation</t>
  </si>
  <si>
    <t>Little finger, 1/2 distal phalanx, radial side only, protective sensation</t>
  </si>
  <si>
    <t>Little finger, 1/2 distal phalanx, ulnar side only, protective sensation</t>
  </si>
  <si>
    <t>Little finger, whole digit, total loss</t>
  </si>
  <si>
    <t>Little finger, whole digit, radial side only, total loss</t>
  </si>
  <si>
    <t>Little finger, whole digit, ulnar side only, total loss</t>
  </si>
  <si>
    <t>Right shoulder dislocation or diastasis of a sternal joint</t>
  </si>
  <si>
    <t>Loss of strength in the right shoulder</t>
  </si>
  <si>
    <t>Combined right shoulder disability</t>
  </si>
  <si>
    <t>Current audiogram</t>
  </si>
  <si>
    <t>Right Hip Disability Determination</t>
  </si>
  <si>
    <t>14/80</t>
  </si>
  <si>
    <t>Apportionment</t>
  </si>
  <si>
    <t>Left wrist ROM impairment total:</t>
  </si>
  <si>
    <t>Radial: Option button output</t>
  </si>
  <si>
    <t>Median nerve</t>
  </si>
  <si>
    <t>Median: Option button output</t>
  </si>
  <si>
    <t>Left forearm impairment:</t>
  </si>
  <si>
    <t>Obturator internus 
&amp; Piriformis</t>
  </si>
  <si>
    <t>Quadratus femoris, Superior gemellus, &amp; Obturator externus</t>
  </si>
  <si>
    <t>Superior gluteal (20% leg)</t>
  </si>
  <si>
    <t>Inferior gluteal (25% leg)</t>
  </si>
  <si>
    <t>Gluteus maximus</t>
  </si>
  <si>
    <t>Thumb 
amputation</t>
  </si>
  <si>
    <t>Not applicable</t>
  </si>
  <si>
    <t>Skin (dermis) only</t>
  </si>
  <si>
    <t>Significant flesh or tissue only (no bone)</t>
  </si>
  <si>
    <t>Bone involvement to mid-shaft of the distal phalanx</t>
  </si>
  <si>
    <t>Proximal to/including mid-shaft of the distal phalanx to/including the head of the proximal phalanx</t>
  </si>
  <si>
    <t>No rating is allowed for loss on one side. Bilateral loss is rated as for the 9th, 10th, and 11th cranial nerves.</t>
  </si>
  <si>
    <t>5/5:        The worker retains range of motion against gravity with full resistance applied.</t>
  </si>
  <si>
    <t>Cervical spine: Compression fractures - 
% of compression &amp; 
% impairment</t>
  </si>
  <si>
    <t>Visual Loss Determination</t>
  </si>
  <si>
    <t>Central vision, right eye</t>
  </si>
  <si>
    <t>No loss or alteration of sensation in trigeminal distribution</t>
  </si>
  <si>
    <t>Loss or alteration of sensation in trigeminal distribution - one side</t>
  </si>
  <si>
    <t>Loss or alteration of sensation in trigeminal distribution - both sides</t>
  </si>
  <si>
    <t>Left shoulder ROM impairment total:</t>
  </si>
  <si>
    <r>
      <t>Table of contents:</t>
    </r>
    <r>
      <rPr>
        <sz val="10"/>
        <rFont val="Times New Roman"/>
        <family val="1"/>
      </rPr>
      <t xml:space="preserve">
(click to navigate)</t>
    </r>
  </si>
  <si>
    <t>Little finger, 1/2 proximal phalanx, total loss</t>
  </si>
  <si>
    <t>Third toe - right</t>
  </si>
  <si>
    <t>Fourth toe - right</t>
  </si>
  <si>
    <t>Fifth toe - right</t>
  </si>
  <si>
    <t>Foot - right</t>
  </si>
  <si>
    <t>Leg - right</t>
  </si>
  <si>
    <t>Right upper extremity</t>
  </si>
  <si>
    <t>Left upper extremity</t>
  </si>
  <si>
    <t>Middle finger, DIP</t>
  </si>
  <si>
    <t>Middle finger, PIP</t>
  </si>
  <si>
    <t>Middle finger, MP</t>
  </si>
  <si>
    <t>x* y * z = impairment benefit</t>
  </si>
  <si>
    <t>State avg. weekly wage at injury</t>
  </si>
  <si>
    <t>Dermatological conditions of the right leg, including burns:</t>
  </si>
  <si>
    <t>Vascular dysfunction of the right leg:</t>
  </si>
  <si>
    <t>Worker's name</t>
  </si>
  <si>
    <t>Claim number</t>
  </si>
  <si>
    <t>Anterior Thoracic -</t>
  </si>
  <si>
    <t>Long Thoracic -</t>
  </si>
  <si>
    <t>Dermatological conditions - left foot</t>
  </si>
  <si>
    <t>Class 5</t>
  </si>
  <si>
    <t>Dermatological conditions of the foot, including burns:</t>
  </si>
  <si>
    <t>Full thickness skin loss of the heel (with or without skin graft)?</t>
  </si>
  <si>
    <t>First surgical procedure: 8% is awarded for 1 disc, 1 or 2 vertebrae, or any combination. Add 1% for each additional disc or vertebra treated within the cervical spine.</t>
  </si>
  <si>
    <t>First surgical procedure: 4% is awarded for 1 disc, 1 or 2 vertebrae, or any combination. Add 1% for each additional disc or vertebra treated within the thoracic spine.</t>
  </si>
  <si>
    <t>First surgical procedure: 9% is awarded for 1 disc, 1 or 2 vertebrae, or any combination. Add 1% for each additional disc or vertebra treated within the lumbosacral spine.</t>
  </si>
  <si>
    <t xml:space="preserve">Impairment of the cervix/uterus/vagina is determined according to the following classes:
</t>
  </si>
  <si>
    <t>Chest Disability Determination</t>
  </si>
  <si>
    <t>A worker is entitled to a 5% chronic condition impairment value when a preponderance of medical opinion establishes that, due to a chronic and permanent medical condition, the worker is significantly limited in the repetitive use of the chest.</t>
  </si>
  <si>
    <t>Chest (chronic condition)</t>
  </si>
  <si>
    <t>Chest</t>
  </si>
  <si>
    <t>Right ankle joint instability due laxity in one or more ligaments (even if the ligament itself has not been injured)</t>
  </si>
  <si>
    <t>Left ankle joint instability due laxity in one or more ligaments (even if the ligament itself has not been injured)</t>
  </si>
  <si>
    <t>R. Index finger, PIP</t>
  </si>
  <si>
    <t>R. Index finger, MP</t>
  </si>
  <si>
    <t>Distal interphalangeal joint</t>
  </si>
  <si>
    <t>Proximal interphalangeal joint</t>
  </si>
  <si>
    <t>Right lower extremity</t>
  </si>
  <si>
    <t>Left Upper Extremity Disability Determination
Permanent Partial Disability - Date of injury on or after 1/1/2005</t>
  </si>
  <si>
    <t>Total impairment, third toe - left:</t>
  </si>
  <si>
    <t>Fourth Toe - Left</t>
  </si>
  <si>
    <t>Fourth toe amputation</t>
  </si>
  <si>
    <t>4th toe 
amputation</t>
  </si>
  <si>
    <t>Retained degrees of motion and percentage of impairment, fourth toe - left</t>
  </si>
  <si>
    <t>Little finger, DIP joint, radial side only, protective sensation</t>
  </si>
  <si>
    <t>Total impairment, left index finger:</t>
  </si>
  <si>
    <t>Left middle finger</t>
  </si>
  <si>
    <t>Overall impairment due to strength loss: Foot</t>
  </si>
  <si>
    <t>A worker is entitled to a 5% chronic condition impairment value when a preponderance of medical opinion establishes that, due to a chronic and permanent medical condition, the worker is significantly limited in the repetitive use of the upper leg (knee and above).</t>
  </si>
  <si>
    <t>Green-shaded fields in this workbook are "unlocked" for data entry. If you unlock an entire worksheet, please be careful not to overwrite formulas.</t>
  </si>
  <si>
    <t>Record level of amputation or shortening of the middle finger. Impairment value of 5% or more for loss of opposition will carry over to the thumb.</t>
  </si>
  <si>
    <t>R. Middle finger ROM impairment total:</t>
  </si>
  <si>
    <t>Proximal to the distal epiphysis (head) of the proximal phalanx</t>
  </si>
  <si>
    <t>Internal rotation
ankylosis</t>
  </si>
  <si>
    <t>External rotation</t>
  </si>
  <si>
    <t>External rotation
ankylosis</t>
  </si>
  <si>
    <t>Total hip replacement?</t>
  </si>
  <si>
    <t>Repeat total hip replacement?</t>
  </si>
  <si>
    <t>Chronic condition</t>
  </si>
  <si>
    <t>Prosthetic ankle replacement - left:</t>
  </si>
  <si>
    <t>Subtalar inversion</t>
  </si>
  <si>
    <t>SAWW</t>
  </si>
  <si>
    <t>Monaural calculation results in the greater impairment award.</t>
  </si>
  <si>
    <t>Binaural calculation results in the greater impairment award:</t>
  </si>
  <si>
    <t>Impairment award</t>
  </si>
  <si>
    <t>X 100 =</t>
  </si>
  <si>
    <t>Little finger, 1/2 digit, protective sensation</t>
  </si>
  <si>
    <t>Binocular total</t>
  </si>
  <si>
    <r>
      <t xml:space="preserve">(a) </t>
    </r>
    <r>
      <rPr>
        <b/>
        <sz val="10"/>
        <rFont val="Times New Roman"/>
        <family val="1"/>
      </rPr>
      <t xml:space="preserve">Class 1: </t>
    </r>
    <r>
      <rPr>
        <sz val="10"/>
        <rFont val="Times New Roman"/>
        <family val="1"/>
      </rPr>
      <t xml:space="preserve">3% for the affected body part if the worker experiences only transient edema; and on </t>
    </r>
  </si>
  <si>
    <t>A worker is entitled to a 5% chronic condition impairment value when a preponderance of medical opinion establishes that, due to a chronic and permanent medical condition, the worker is significantly limited in the repetitive use of the shoulder.</t>
  </si>
  <si>
    <t>Loss of length due to flexion/extension deformities are excluded. The rating is the same whether the length change is a result of an injury to the foot or to the upper leg.</t>
  </si>
  <si>
    <t>1/4 to 1/2 inch</t>
  </si>
  <si>
    <t>More than 1/2 inch up to and including 1 inch</t>
  </si>
  <si>
    <t>Total impairment, integument and lacrimal systems:</t>
  </si>
  <si>
    <t>Enter values in any order; the program will combine in descending order.</t>
  </si>
  <si>
    <t>Zeros added due to field loss + 1/2 the sum of normal values of boundary meridians.</t>
  </si>
  <si>
    <t>Right forearm/hand surgery</t>
  </si>
  <si>
    <t>Right hand</t>
  </si>
  <si>
    <t>A worker is entitled to a 5% chronic condition impairment value when a preponderance of medical opinion establishes that, due to a chronic and permanent medical condition, the worker is significantly limited in the repetitive use of the hip.</t>
  </si>
  <si>
    <t>The Oregon Workers' Compensation Division assumes no liability for output errors.</t>
  </si>
  <si>
    <t>Users are encouraged to report input or output problems to the Oregon Workers' Compensation Dvision:</t>
  </si>
  <si>
    <t>Calculator
terms of use</t>
  </si>
  <si>
    <t>a) + b) = (subject to maximum of 100%)</t>
  </si>
  <si>
    <t>Middle finger loss to hand loss</t>
  </si>
  <si>
    <t>Liver transplant:</t>
  </si>
  <si>
    <t>Successful liver transplant</t>
  </si>
  <si>
    <t>Surgery: IP joint</t>
  </si>
  <si>
    <t>Interphalangeal joint arthroplasty or resection</t>
  </si>
  <si>
    <t>Surgery: MP joint</t>
  </si>
  <si>
    <t>Metatarsophalangeal joint arthroplasty or resection</t>
  </si>
  <si>
    <t>Amputation</t>
  </si>
  <si>
    <t>Internal rotation, hip</t>
  </si>
  <si>
    <t>External rotation, hip</t>
  </si>
  <si>
    <t>Length discrepancy of the injured left leg</t>
  </si>
  <si>
    <t>Carpal bone fusion(s)</t>
  </si>
  <si>
    <t>If either too little or too much tearing results in a worker’s being restricted from regular work, and the condition is not an immunological reaction, a value is assigned as follows:</t>
  </si>
  <si>
    <t>Rhomboidus major</t>
  </si>
  <si>
    <t>Rhomboidus minor</t>
  </si>
  <si>
    <t>Levator scapulae</t>
  </si>
  <si>
    <t>Serratus anterior</t>
  </si>
  <si>
    <t>Subscapularis</t>
  </si>
  <si>
    <t>Teres major</t>
  </si>
  <si>
    <t>Flexion, PIP joint</t>
  </si>
  <si>
    <t>Contralateral PIP joint</t>
  </si>
  <si>
    <t>MP joint, ankylosis</t>
  </si>
  <si>
    <t>MS</t>
  </si>
  <si>
    <t>MS/L</t>
  </si>
  <si>
    <t>ML</t>
  </si>
  <si>
    <t>MM/L</t>
  </si>
  <si>
    <t>MM</t>
  </si>
  <si>
    <t>MM/H</t>
  </si>
  <si>
    <t>MH</t>
  </si>
  <si>
    <t>MV/H</t>
  </si>
  <si>
    <t>HRS</t>
  </si>
  <si>
    <t>HS</t>
  </si>
  <si>
    <t>HS/L</t>
  </si>
  <si>
    <t>HL</t>
  </si>
  <si>
    <t>HM/L</t>
  </si>
  <si>
    <t>HM</t>
  </si>
  <si>
    <t>HM/H</t>
  </si>
  <si>
    <t>HH</t>
  </si>
  <si>
    <t>HV/H</t>
  </si>
  <si>
    <t>V/HRS</t>
  </si>
  <si>
    <t>V/HS</t>
  </si>
  <si>
    <t>Proximal to the head of the proximal phalanx</t>
  </si>
  <si>
    <t xml:space="preserve">Record level of amputation or shortening of the thumb. Impairment values of 5% or more for loss of opposition will be carried over to the worksheets for the fingers. </t>
  </si>
  <si>
    <t>All or part of the fifth metatarsal</t>
  </si>
  <si>
    <t>Retained degrees of motion and percentage of impairment, foot &amp; ankle - left</t>
  </si>
  <si>
    <t>Ankylosis of the first tarsometatarsal joint</t>
  </si>
  <si>
    <t>Ankylosis of the second tarsometatarsal joint</t>
  </si>
  <si>
    <t>Tarsometatarsals</t>
  </si>
  <si>
    <t>Valgus ankle deformity of 20 degrees or less</t>
  </si>
  <si>
    <t>Foot</t>
  </si>
  <si>
    <t>Leg</t>
  </si>
  <si>
    <t>Finger amputated 3/4 distance from the DIP level, between DIP and PIP levels</t>
  </si>
  <si>
    <t>Finger amputated at the PIP level</t>
  </si>
  <si>
    <t>Finger amputated 1/4 distance from the PIP level, between the PIP and MP levels</t>
  </si>
  <si>
    <t>Finger amputated 1/2 distance between the PIP and MP levels</t>
  </si>
  <si>
    <t>Finger amputated 3/4 distance from the PIP level, between PIP and MP levels</t>
  </si>
  <si>
    <t>Finger amputated at the MP level</t>
  </si>
  <si>
    <t>Opposition
loss for thumb</t>
  </si>
  <si>
    <t>Opposition loss due to amputation or shortening of thumb</t>
  </si>
  <si>
    <t>DIP joint, flexion</t>
  </si>
  <si>
    <t>DIP joint, extension</t>
  </si>
  <si>
    <t>DIP joint, ankylosis</t>
  </si>
  <si>
    <t>PIP joint, flexion</t>
  </si>
  <si>
    <t>PIP joint, extension</t>
  </si>
  <si>
    <t>PIP joint, ankylosis</t>
  </si>
  <si>
    <t>R. Index finger ROM impairment total:</t>
  </si>
  <si>
    <t>Total scheduled and unscheduled permanent disability award</t>
  </si>
  <si>
    <t xml:space="preserve">or there are signs of vascular damage such as a healed stump of an amputated digit, with evidence of </t>
  </si>
  <si>
    <t>Backward extension ankylosis</t>
  </si>
  <si>
    <t>Abduction</t>
  </si>
  <si>
    <t>1 =  ROM measures present</t>
  </si>
  <si>
    <t>1 =  ankylosed joints present</t>
  </si>
  <si>
    <t>Abduction ankylosis</t>
  </si>
  <si>
    <t>Adduction</t>
  </si>
  <si>
    <t>ERROR</t>
  </si>
  <si>
    <t>Adduction ankylosis</t>
  </si>
  <si>
    <t>flag</t>
  </si>
  <si>
    <t>Internal rotation</t>
  </si>
  <si>
    <t>Additional left leg impairment</t>
  </si>
  <si>
    <t>4/5:        The worker retains range of motion against gravity with some resistance applied.</t>
  </si>
  <si>
    <t>3/5:        The worker retains range of motion against gravity without resistance applied.</t>
  </si>
  <si>
    <t xml:space="preserve">When a job is most accurately described by a combination of DOT codes, use all applicable DOT codes. </t>
  </si>
  <si>
    <t xml:space="preserve">1/5 distance from tip; between tip and interphalangeal joint </t>
  </si>
  <si>
    <t>3/10 distance from tip; between tip and interphalangeal joint</t>
  </si>
  <si>
    <t>2/5 distance from tip; between tip and interphalangeal joint</t>
  </si>
  <si>
    <t>1/2 distance from tip; between tip and interphalangeal joint</t>
  </si>
  <si>
    <t>Fifth Toe - Left</t>
  </si>
  <si>
    <t>Fifth toe amputation</t>
  </si>
  <si>
    <t>5th toe 
amputation</t>
  </si>
  <si>
    <t>Surgery: All of patella</t>
  </si>
  <si>
    <t>Leg - Right
Leg strength loss is rated in the foot/lower leg section. Click link at right to rate strength.</t>
  </si>
  <si>
    <t>Leg strength</t>
  </si>
  <si>
    <t>Foot/ankle</t>
  </si>
  <si>
    <t>All or part of the first metacarpal</t>
  </si>
  <si>
    <t>Proximal to/including mid-shaft of middle phalanx to/including distal epiphysis of the proximal phalanx</t>
  </si>
  <si>
    <t>R. Arm ROM impairment total:</t>
  </si>
  <si>
    <t>Arm length discrepancy</t>
  </si>
  <si>
    <t>Less than 1 inch</t>
  </si>
  <si>
    <t>1 inch or more but less than 2 inches</t>
  </si>
  <si>
    <t>2 inches or more but less than 3 inches</t>
  </si>
  <si>
    <t>3 inches or more but less than 4 inches</t>
  </si>
  <si>
    <t>4 inches or more</t>
  </si>
  <si>
    <t>Increased lateral deviation at or above the elbow</t>
  </si>
  <si>
    <t>Mild: Less than 20°</t>
  </si>
  <si>
    <t>Moderate: 20° - 30°</t>
  </si>
  <si>
    <t>Severe: Greater than 30°</t>
  </si>
  <si>
    <t>Left lower extremity</t>
  </si>
  <si>
    <t>Right hand - thumb</t>
  </si>
  <si>
    <t>Right hand/thumb ROM impairment total:</t>
  </si>
  <si>
    <t>Right wrist</t>
  </si>
  <si>
    <t>Right wrist ROM impairment total:</t>
  </si>
  <si>
    <t>Hypersensitivity, right palm</t>
  </si>
  <si>
    <t>Right hand, CMC</t>
  </si>
  <si>
    <t>Hearing loss that existed before the injury or exposure will be offset against hearing loss in the claim, if adequately documented by a baseline audiogram obtained within 180 days of assignment to a high noise environment. The offset will be done at the monaural percentage of impairment level. Subtract the baseline audiogram impairment from the current audiogram impairment to obtain the impairment value due to this injury. Hearing loss is based on audiogram findings for air conduction frequencies at 500, 1,000, 2,000, 3,000, 4,000 and 6,000 Hz.</t>
  </si>
  <si>
    <t>Messages</t>
  </si>
  <si>
    <t>Do not convert: There is no hand or arm impairment, and only a single digit is impaired.</t>
  </si>
  <si>
    <t>Vascular dysfunction of the left leg:</t>
  </si>
  <si>
    <t>Motor loss to any part of the left leg due to brain or spinal cord damage</t>
  </si>
  <si>
    <t xml:space="preserve">A worker meets the SVP for a job after successfully completing an authorized training program, on-the-job training, vocational training or apprentice training for that job classification. </t>
  </si>
  <si>
    <t>db</t>
  </si>
  <si>
    <t>%Loss</t>
  </si>
  <si>
    <t>Baseline loss (db):</t>
  </si>
  <si>
    <t>Percentage:</t>
  </si>
  <si>
    <t>Current loss (db):</t>
  </si>
  <si>
    <t>14/60</t>
  </si>
  <si>
    <t>14/70</t>
  </si>
  <si>
    <t>Multiply the percent of loss in the better eye by three:</t>
  </si>
  <si>
    <t>Add to that result the percent of loss in the other eye:</t>
  </si>
  <si>
    <t>Divide the sum by four. This is the total binocular loss.</t>
  </si>
  <si>
    <t>20/25</t>
  </si>
  <si>
    <t>20/40</t>
  </si>
  <si>
    <t>20/50</t>
  </si>
  <si>
    <t>20/60</t>
  </si>
  <si>
    <t>20/70</t>
  </si>
  <si>
    <t>20/80</t>
  </si>
  <si>
    <t>20/100</t>
  </si>
  <si>
    <t>20/125</t>
  </si>
  <si>
    <t>20/150</t>
  </si>
  <si>
    <t>20/200</t>
  </si>
  <si>
    <t>20/300</t>
  </si>
  <si>
    <t>20/400</t>
  </si>
  <si>
    <t>Able to count fingers at 4 feet</t>
  </si>
  <si>
    <t>Not able to count fingers at 4 feet</t>
  </si>
  <si>
    <t>The program shows a rating, if any, for each injured digit. In the absence of hand/forearm or arm losses, if two or more digits have losses (other than loss of opposition), the losses are converted to a hand/forearm value if that will result in a higher disability award. If the worker has impairment in the hand/forearm or arm, digit or hand/forearm values must be converted to determine disability for the most proximal injured part.</t>
  </si>
  <si>
    <t>Subsequent surgical procedures: Add 1% for each disc or vertebra treated within the lumbosacral spine. Select the number of additional procedures for each vertebra and disc.</t>
  </si>
  <si>
    <t>Lumbosacral spine: Total impairment for surgical procedures:</t>
  </si>
  <si>
    <t>Additional left foot impairment</t>
  </si>
  <si>
    <t>Adaptability value under OAR 436-035-0012(13)</t>
  </si>
  <si>
    <t>Adaptability value under OAR 436-035-0012(11)</t>
  </si>
  <si>
    <t>Retained degrees of motion and percentage of impairment, third toe - right</t>
  </si>
  <si>
    <t>A worker is entitled to a 5% chronic condition impairment value when a preponderance of medical opinion establishes that, due to a chronic and permanent medical condition, the worker is significantly limited in the repetitive use of the forearm (below elbow/hand/wrist).</t>
  </si>
  <si>
    <t>Cervical spine: Surgical procedures</t>
  </si>
  <si>
    <t>disc</t>
  </si>
  <si>
    <t>Vertebrae</t>
  </si>
  <si>
    <t>Discs</t>
  </si>
  <si>
    <t>Subtotal</t>
  </si>
  <si>
    <t>Far right</t>
  </si>
  <si>
    <t>Far left</t>
  </si>
  <si>
    <t>Metric 6</t>
  </si>
  <si>
    <t>Near acuity:</t>
  </si>
  <si>
    <t>(Enter one measurement.)</t>
  </si>
  <si>
    <t>Near Snellen Inches</t>
  </si>
  <si>
    <t>Revised Jaeger Standard</t>
  </si>
  <si>
    <t>American Point-type</t>
  </si>
  <si>
    <t>Interphalangeal joint</t>
  </si>
  <si>
    <t>Metacarpophalangeal joint</t>
  </si>
  <si>
    <t>Dermatological conditions of the thumb, including burns</t>
  </si>
  <si>
    <t>Return to top of sheet</t>
  </si>
  <si>
    <t>Fracture resulting in angulation or malalignment:</t>
  </si>
  <si>
    <t>Radius</t>
  </si>
  <si>
    <t>Ulna</t>
  </si>
  <si>
    <t>Angulation or malalignment, radius</t>
  </si>
  <si>
    <t>Angulation or malalignment, ulna</t>
  </si>
  <si>
    <t>Angulation or malalignment, humerus</t>
  </si>
  <si>
    <t>Conversion from hand/forearm</t>
  </si>
  <si>
    <t>Record level of amputation or shortening of the Little finger. Impairment value of 5% or more for loss of opposition will carry over to the thumb.</t>
  </si>
  <si>
    <t>Loss of opposition due to amputation or shortening of the thumb</t>
  </si>
  <si>
    <t>Combined disability, thumb - left</t>
  </si>
  <si>
    <t>Counts</t>
  </si>
  <si>
    <t>Loss of opposition, index</t>
  </si>
  <si>
    <t>Loss of opposition, middle</t>
  </si>
  <si>
    <t>Loss of opposition, ring</t>
  </si>
  <si>
    <t>Loss of opposition, little</t>
  </si>
  <si>
    <t>Joint replacement, IP</t>
  </si>
  <si>
    <t>Joint replacement, MP</t>
  </si>
  <si>
    <t>Integument, lacrimal</t>
  </si>
  <si>
    <t>Retained degrees of motion and percentage of impairment, fifth toe - left</t>
  </si>
  <si>
    <t>Sciatic: Option button output</t>
  </si>
  <si>
    <t>Peroneal: Option button output</t>
  </si>
  <si>
    <t xml:space="preserve">Dermatological conditions, </t>
  </si>
  <si>
    <t>Strength grade descriptions</t>
  </si>
  <si>
    <t xml:space="preserve">Nerves to: 
(10% leg)
</t>
  </si>
  <si>
    <t>Combined disability, right foot, 
ankle, and lower leg</t>
  </si>
  <si>
    <t>Combined disability, third toe - left</t>
  </si>
  <si>
    <t>Combined disability, fourth toe - left</t>
  </si>
  <si>
    <t>Combined disability, left foot, 
ankle, and lower leg</t>
  </si>
  <si>
    <t>Right shoulder ROM impairment total:</t>
  </si>
  <si>
    <t>4/5 distance from the distal interphalangeal joint; between the DIP joint and the proximal interphalangeal joint</t>
  </si>
  <si>
    <t>Amputation at the proximal interphalangeal joint</t>
  </si>
  <si>
    <t>1/5 distance from the proximal interphalangeal joint; between the PIP joint and the metatarsophalangeal joint</t>
  </si>
  <si>
    <t>2/5 distance from the proximal interphalangeal joint; between the PIP joint and the metatarsophalangeal joint</t>
  </si>
  <si>
    <t>To the extent that stereopsis (depth perception), glare disturbances or monocular diplopia causes visual impairment that is not reflected in visual acuity, visual field, or ocular motility impairment, combine an additional 5% when in the opinion of the physician the impairment is moderate, 10% if the impairment is severe.</t>
  </si>
  <si>
    <t>Strength loss in the left foot and leg</t>
  </si>
  <si>
    <t>5/5=0%</t>
  </si>
  <si>
    <t>5-/5=5%</t>
  </si>
  <si>
    <t>4+/5=10%</t>
  </si>
  <si>
    <t>4/5=20%</t>
  </si>
  <si>
    <t>4-/5=30%</t>
  </si>
  <si>
    <t>3+/5=40%</t>
  </si>
  <si>
    <t>3/5=50%</t>
  </si>
  <si>
    <t>3-/5=60%</t>
  </si>
  <si>
    <t>2+/5=70%</t>
  </si>
  <si>
    <t>2/5=75%</t>
  </si>
  <si>
    <t>Impairment of the bladder is determined according to the following classes:</t>
  </si>
  <si>
    <t>S1</t>
  </si>
  <si>
    <t>Ring finger, PIP joiint, ulnar side only, total loss</t>
  </si>
  <si>
    <t>Ring finger, 1/2 digit, total loss</t>
  </si>
  <si>
    <t>Ring finger, 1/2 digit, radial side only, total loss</t>
  </si>
  <si>
    <t>Ring finger, 1/2 digit, ulnar side only, total loss</t>
  </si>
  <si>
    <t>Ring finger, DIP joint, total loss</t>
  </si>
  <si>
    <t>Combined disability: Lumbosacral spine</t>
  </si>
  <si>
    <t>Combined disability: Spine</t>
  </si>
  <si>
    <t>Cervical spine</t>
  </si>
  <si>
    <t>Thoracic spine</t>
  </si>
  <si>
    <t>Lumbosacral spine</t>
  </si>
  <si>
    <t>Cervical 
Spine</t>
  </si>
  <si>
    <t>Thoracic
Spine</t>
  </si>
  <si>
    <t>Lumbosacral
Spine</t>
  </si>
  <si>
    <t>Flexion</t>
  </si>
  <si>
    <t>Extension</t>
  </si>
  <si>
    <t>Right or left lateral flexion</t>
  </si>
  <si>
    <t>Right or left rotation</t>
  </si>
  <si>
    <t>Little finger, whole digit, ulnar side only, protective sensation</t>
  </si>
  <si>
    <t>Little finger, 1/2 proximal phalanx, protective sensation</t>
  </si>
  <si>
    <t>Little finger, 1/2 proximal phalanx, radial side only, protective sensation</t>
  </si>
  <si>
    <t>Overall impairment due to strength loss: Leg</t>
  </si>
  <si>
    <t>ROM</t>
  </si>
  <si>
    <t>Amputation, foot</t>
  </si>
  <si>
    <t>1=foot involvement</t>
  </si>
  <si>
    <t>Second toe</t>
  </si>
  <si>
    <t>1=leg involvement</t>
  </si>
  <si>
    <t>Third toe</t>
  </si>
  <si>
    <t>Fourth toe</t>
  </si>
  <si>
    <t>Fifth toe</t>
  </si>
  <si>
    <t>Converted values are added; total left foot value:</t>
  </si>
  <si>
    <t>Retained degrees of motion and percentage of impairment, fourth toe - right</t>
  </si>
  <si>
    <t>Fifth Toe - Right</t>
  </si>
  <si>
    <t>Retained degrees of motion and percentage of impairment, fifth toe - right</t>
  </si>
  <si>
    <t>and the worker has many limitations in the performance of activities of daily living.</t>
  </si>
  <si>
    <r>
      <t xml:space="preserve">(e) </t>
    </r>
    <r>
      <rPr>
        <b/>
        <sz val="10"/>
        <rFont val="Times New Roman"/>
        <family val="1"/>
      </rPr>
      <t>Class 5:</t>
    </r>
    <r>
      <rPr>
        <sz val="10"/>
        <rFont val="Times New Roman"/>
        <family val="1"/>
      </rPr>
      <t xml:space="preserve"> 90% for the affected body part if continuous prescribed treatment is required. The treatment</t>
    </r>
  </si>
  <si>
    <t>necessitates having the worker stay home or being permanently admitted to a care facility, and the worker</t>
  </si>
  <si>
    <t>has severe limitations in the performance of activities of daily living.</t>
  </si>
  <si>
    <t>Second toe - right</t>
  </si>
  <si>
    <t>Effects on hearing are rated under OAR 436-035-0250.</t>
  </si>
  <si>
    <t>No disequilibrium</t>
  </si>
  <si>
    <t>Permanent partial disability calculation for dates of injury prior to 1/1/2005: 
Use the calculation method (monocular or binocular) that results in the greater impairment.</t>
  </si>
  <si>
    <t>Binocular impairment</t>
  </si>
  <si>
    <t>Ring finger loss to hand loss</t>
  </si>
  <si>
    <t>Little finger loss to hand loss</t>
  </si>
  <si>
    <t>Flexion Carpometacarpal joint of the thumb</t>
  </si>
  <si>
    <t>Extension Carpometacarpal joint of the thumb</t>
  </si>
  <si>
    <t>Ankylosis Carpometacarpal joint of the thumb in flexion</t>
  </si>
  <si>
    <t>The worker has ratable unscheduled impairment under OAR 436-035-0019 and 0330 through 0450. Determine adaptability using the higher of the values from the residual functional capacity chart in OAR 436-035-0012(11) or the chart in 0012(13).</t>
  </si>
  <si>
    <t xml:space="preserve">Select tabs below to rate an injured body part or system. </t>
  </si>
  <si>
    <t>Conversion from digit values to right hand values</t>
  </si>
  <si>
    <t>Right arm</t>
  </si>
  <si>
    <t>Chronic condition, right arm</t>
  </si>
  <si>
    <t>Slight protrusion at the site of the defect with increased abdominal pressure that is readily reducible; or occasional mild discomfort at the site of the defect, which limits the worker in one or more activities of daily living (ADL).</t>
  </si>
  <si>
    <t>Frequent or persistent protrusion at the site of the defect with increased pressure that is manually reducible; or frequent discomfort, which limits the worker from heavy lifting, but does not hamper some ADL.</t>
  </si>
  <si>
    <t>Persistent, irreducible, or irreparable protrusion at the site of the
defect and there is a limitation in the worker’s ADL.</t>
  </si>
  <si>
    <t>All or part of the fifth metacarpal</t>
  </si>
  <si>
    <t>Sum of ROM measures</t>
  </si>
  <si>
    <t>1= partial ROM data only</t>
  </si>
  <si>
    <t>Left hand - thumb</t>
  </si>
  <si>
    <t>Contralateral 
(adjusted %)</t>
  </si>
  <si>
    <t>CMC joint, flexion</t>
  </si>
  <si>
    <t>CMC joint, extension</t>
  </si>
  <si>
    <t>CMC flexion ankylosis</t>
  </si>
  <si>
    <t>Total disability percentage for hand</t>
  </si>
  <si>
    <t>CMC extension ankylosis</t>
  </si>
  <si>
    <t>Left hand/thumb ROM impairment total:</t>
  </si>
  <si>
    <t>Left wrist</t>
  </si>
  <si>
    <t>Extension (dorsiflexion)</t>
  </si>
  <si>
    <t>Total disability percentage for wrist</t>
  </si>
  <si>
    <t>Flexion (palmar)</t>
  </si>
  <si>
    <t>Radial deviation</t>
  </si>
  <si>
    <t>Radial deviation ankylosis</t>
  </si>
  <si>
    <t>Ulnar deviation</t>
  </si>
  <si>
    <t>Ulnar deviation ankylosis</t>
  </si>
  <si>
    <t>Supination</t>
  </si>
  <si>
    <t>Pronation</t>
  </si>
  <si>
    <t>Mild</t>
  </si>
  <si>
    <t>Severe (complete disruption of two/three ligaments)</t>
  </si>
  <si>
    <t>Due to medial collateral ligament damage:</t>
  </si>
  <si>
    <t>Monocular total (added):</t>
  </si>
  <si>
    <t>Combined disability, fifth toe - left</t>
  </si>
  <si>
    <t>Total impairment, fifth toe - left:</t>
  </si>
  <si>
    <t>Foot, Ankle, &amp; Lower Leg - Left</t>
  </si>
  <si>
    <t>Amputation of the left foot</t>
  </si>
  <si>
    <t>At or above the tibio-talar joint but below the knee joint</t>
  </si>
  <si>
    <t>At the tarsometatarsal joints</t>
  </si>
  <si>
    <t>Vascular dysfunction</t>
  </si>
  <si>
    <t>Motor loss</t>
  </si>
  <si>
    <t>Conversion from foot value</t>
  </si>
  <si>
    <t>Ring finger ROM impairment total:</t>
  </si>
  <si>
    <t>Permanent Partial Disability Calculator</t>
  </si>
  <si>
    <t>Sum of ankylosed joints</t>
  </si>
  <si>
    <t>Supination ankylosis</t>
  </si>
  <si>
    <t>Pronation ankylosis</t>
  </si>
  <si>
    <t>Little finger, 1/2 proximal phalanx, ulnar side only, total loss</t>
  </si>
  <si>
    <t>Little finger, PIP joiint, total loss</t>
  </si>
  <si>
    <t>Little finger, PIP joiint, radial side only, total loss</t>
  </si>
  <si>
    <t>Little finger, PIP joiint, ulnar side only, total loss</t>
  </si>
  <si>
    <t>Little finger, 1/2 digit, total loss</t>
  </si>
  <si>
    <t>Little finger, 1/2 digit, radial side only, total loss</t>
  </si>
  <si>
    <t>Little finger, 1/2 digit, ulnar side only, total loss</t>
  </si>
  <si>
    <t>Little finger, DIP joint, total loss</t>
  </si>
  <si>
    <t>Impairment of the pancreas
Hypoglycemia</t>
  </si>
  <si>
    <t>Left thumb</t>
  </si>
  <si>
    <t>Thumb amputation or resection without reattachment (or shortening of digit)</t>
  </si>
  <si>
    <t>Psychotic disorders</t>
  </si>
  <si>
    <t>Class 4</t>
  </si>
  <si>
    <t>Total impairment, mental illness</t>
  </si>
  <si>
    <t>Select tab below to rate an additional part. 
When rating has been completed, go to "PPD" worksheet.</t>
  </si>
  <si>
    <t>Does the worker meet the conditions described above?</t>
  </si>
  <si>
    <t>Abdomen Disability Determination</t>
  </si>
  <si>
    <t>Right knee angulation or malalignment</t>
  </si>
  <si>
    <t>Right wrist/forearm</t>
  </si>
  <si>
    <t>Strength loss in the right hand/forearm or arm</t>
  </si>
  <si>
    <t>Right arm impairment</t>
  </si>
  <si>
    <t>Right arm impairment:</t>
  </si>
  <si>
    <t>Right forearm impairment:</t>
  </si>
  <si>
    <t>Overall impairment due to strength loss: Right forearm</t>
  </si>
  <si>
    <t>Because the worker has returned or been released to regular work, age, education, and adaptability are not considered in calculating the award</t>
  </si>
  <si>
    <t>LS/L</t>
  </si>
  <si>
    <t>LL</t>
  </si>
  <si>
    <t>LM/L</t>
  </si>
  <si>
    <t>LM</t>
  </si>
  <si>
    <t>LM/H</t>
  </si>
  <si>
    <t>LH</t>
  </si>
  <si>
    <t>LV/H</t>
  </si>
  <si>
    <t>MRS</t>
  </si>
  <si>
    <t xml:space="preserve">Loss of opposition due to finger amputation or shortening of the digit.
</t>
  </si>
  <si>
    <t xml:space="preserve">Deformity of movement,
index finger
</t>
  </si>
  <si>
    <t xml:space="preserve">Prosthetic joint 
replacement
</t>
  </si>
  <si>
    <t xml:space="preserve">Deformity of movement,
middle finger
</t>
  </si>
  <si>
    <t xml:space="preserve">Deformity of movement,
ring finger
</t>
  </si>
  <si>
    <t xml:space="preserve">Deformity of movement,
little finger
</t>
  </si>
  <si>
    <t xml:space="preserve">Right arm surgery
</t>
  </si>
  <si>
    <t xml:space="preserve">Deformity of movement, thumb
</t>
  </si>
  <si>
    <t xml:space="preserve">A value of 5% of the foot is granted if there is a diagnosis of Grade IV chondromalacia, extensive arthritis, or extensive degenerative joint disease, and one or more of the following: secondary strength loss; chronic effusion; varus deformity of the ankle of 15 degrees or less; valgus deformity of the ankle of 20 degrees or less.
</t>
  </si>
  <si>
    <t>Grade IV chondromalacia</t>
  </si>
  <si>
    <t>Extensive arthritis</t>
  </si>
  <si>
    <t>Extensive degenerative joint disease</t>
  </si>
  <si>
    <t>Secondary strength loss</t>
  </si>
  <si>
    <t>Chronic effusion</t>
  </si>
  <si>
    <t>Varus ankle deformity of 15 degrees or less</t>
  </si>
  <si>
    <r>
      <t xml:space="preserve">Common peroneal
</t>
    </r>
    <r>
      <rPr>
        <sz val="8"/>
        <rFont val="Times New Roman"/>
        <family val="1"/>
      </rPr>
      <t xml:space="preserve">
</t>
    </r>
    <r>
      <rPr>
        <sz val="6"/>
        <rFont val="Times New Roman"/>
        <family val="1"/>
      </rPr>
      <t xml:space="preserve">
</t>
    </r>
    <r>
      <rPr>
        <sz val="8"/>
        <rFont val="Times New Roman"/>
        <family val="1"/>
      </rPr>
      <t xml:space="preserve">
</t>
    </r>
    <r>
      <rPr>
        <sz val="10"/>
        <rFont val="Times New Roman"/>
        <family val="1"/>
      </rPr>
      <t xml:space="preserve">
</t>
    </r>
    <r>
      <rPr>
        <b/>
        <sz val="10"/>
        <rFont val="Times New Roman"/>
        <family val="1"/>
      </rPr>
      <t xml:space="preserve">Deep
Deep
</t>
    </r>
  </si>
  <si>
    <t>Carpometacarpal arthroplasty</t>
  </si>
  <si>
    <t xml:space="preserve">extremity usage; or there is marked edema that cannot be controlled by elastic supports; or there are </t>
  </si>
  <si>
    <t xml:space="preserve">signs of vascular damage such as an amputation at or above the wrist, with evidence of persistent </t>
  </si>
  <si>
    <t>Overall loss; no averaging</t>
  </si>
  <si>
    <t>Nerves to:
(10% leg)</t>
  </si>
  <si>
    <t>Sum of
irreversible
findings</t>
  </si>
  <si>
    <t>6/22</t>
  </si>
  <si>
    <t>6/24</t>
  </si>
  <si>
    <t>6/30</t>
  </si>
  <si>
    <t>6/38</t>
  </si>
  <si>
    <t>6/50</t>
  </si>
  <si>
    <t>6/60</t>
  </si>
  <si>
    <t>C1</t>
  </si>
  <si>
    <t>C2</t>
  </si>
  <si>
    <t>C3</t>
  </si>
  <si>
    <t>C4</t>
  </si>
  <si>
    <t>C5</t>
  </si>
  <si>
    <t>C6</t>
  </si>
  <si>
    <t>C7</t>
  </si>
  <si>
    <t>Overall</t>
  </si>
  <si>
    <t>Teres minor</t>
  </si>
  <si>
    <t>Posterior deltoid</t>
  </si>
  <si>
    <t>Plantar flexion
IP Joint</t>
  </si>
  <si>
    <t>Plantarflexion ankylosis 
IP Joint</t>
  </si>
  <si>
    <t>Dorsiflexion (extension) 
MP joint</t>
  </si>
  <si>
    <t>Dorsiflexion (extension) ankylosis MP joint</t>
  </si>
  <si>
    <t>Plantar flexion
MP Joint</t>
  </si>
  <si>
    <t>Plantar flexion ankylosis
MP Joint</t>
  </si>
  <si>
    <t>Great toe loss to foot loss</t>
  </si>
  <si>
    <t>2nd - 5th toe loss to foot loss</t>
  </si>
  <si>
    <t>Subtalar inversion (varus) ankylosis</t>
  </si>
  <si>
    <t>Subtalar eversion (valgus) ankylosis</t>
  </si>
  <si>
    <t>Dorsiflexion (extension) ankylosis</t>
  </si>
  <si>
    <t>Plantar flexion</t>
  </si>
  <si>
    <t>Plantar flexion ankylosis</t>
  </si>
  <si>
    <t>Foot value to leg value</t>
  </si>
  <si>
    <t>Maximum carries over to PPD calculation worksheet.</t>
  </si>
  <si>
    <t>Backward extension, hip</t>
  </si>
  <si>
    <t>Abduction, hip</t>
  </si>
  <si>
    <t>Adduction, hip</t>
  </si>
  <si>
    <t>Sum</t>
  </si>
  <si>
    <t>Tibial: Option button output</t>
  </si>
  <si>
    <t>Apportionment (if applicable)</t>
  </si>
  <si>
    <t xml:space="preserve">Apportionment (if applicable)  </t>
  </si>
  <si>
    <t>Due to lateral collateral ligament damage:</t>
  </si>
  <si>
    <t>Foot/ankle ROM impairment total:</t>
  </si>
  <si>
    <t>Dermatological condition</t>
  </si>
  <si>
    <t>Total impairment, left arm:</t>
  </si>
  <si>
    <t>Little finger, DIP joint, radial side only, less than normal</t>
  </si>
  <si>
    <t>Little finger, DIP joint, ulnar side only, less than normal</t>
  </si>
  <si>
    <t>Little finger, 1/2 distal phalanx, less than normal</t>
  </si>
  <si>
    <t>Little finger, 1/2 distal phalanx, radial side only, less than normal</t>
  </si>
  <si>
    <t>Little finger, 1/2 distal phalanx, ulnar side only, less than normal</t>
  </si>
  <si>
    <t>Little finger, whole digit, protective sensation</t>
  </si>
  <si>
    <t>Little finger, whole digit, radial side only, protective sensation</t>
  </si>
  <si>
    <t>Pelvis Disability Determination</t>
  </si>
  <si>
    <t>In the symphysis pubis</t>
  </si>
  <si>
    <t>Axillary 
averaging?</t>
  </si>
  <si>
    <t>Dorsal scapular averaging?</t>
  </si>
  <si>
    <t>Subscapular averaging?</t>
  </si>
  <si>
    <t>Suprascapular averaging?</t>
  </si>
  <si>
    <t>Pectoralis major</t>
  </si>
  <si>
    <t>3/10 distance from the interphalangeal joint; between the IP joint and the metatarsophalangeal joint</t>
  </si>
  <si>
    <t>2/5 distance from the interphalangeal joint; between the IP joint and the metatarsophalangeal joint</t>
  </si>
  <si>
    <t>Pericardial disease</t>
  </si>
  <si>
    <t>Arrythmias</t>
  </si>
  <si>
    <t>Heart transplant</t>
  </si>
  <si>
    <t>Total impairment, cardiovascular system</t>
  </si>
  <si>
    <t>Left Lower Extremity Disability Determination
Permanent Partial Disability - Date of injury prior to 1/1/2005</t>
  </si>
  <si>
    <t>Great toe - left</t>
  </si>
  <si>
    <t>Second toe - left</t>
  </si>
  <si>
    <t>Third toe - left</t>
  </si>
  <si>
    <t>Fourth toe - left</t>
  </si>
  <si>
    <t>Fifth toe - left</t>
  </si>
  <si>
    <t>Foot - left</t>
  </si>
  <si>
    <t>Leg - left</t>
  </si>
  <si>
    <t>Maximum degrees</t>
  </si>
  <si>
    <t>Integument and Lacrimal Systems</t>
  </si>
  <si>
    <t>Deformity of movement, lateral</t>
  </si>
  <si>
    <t>Left 2nd toe</t>
  </si>
  <si>
    <t>Gastrointestinal and genitourinary</t>
  </si>
  <si>
    <t>V/HS/L</t>
  </si>
  <si>
    <t>Arm strength</t>
  </si>
  <si>
    <t>Loss or alteration of the sense of taste; one or both facial nerves</t>
  </si>
  <si>
    <t>No motor loss in the face</t>
  </si>
  <si>
    <t>Partial motor loss on one side of the face</t>
  </si>
  <si>
    <t>Affected</t>
  </si>
  <si>
    <t>Mental illness</t>
  </si>
  <si>
    <t>Valvular heart disease</t>
  </si>
  <si>
    <t>Coronary heart disease</t>
  </si>
  <si>
    <t>Hypertensive cardiovascular disease</t>
  </si>
  <si>
    <t>Cardiomyopathy</t>
  </si>
  <si>
    <t>1/10 distance from tip; between tip and distal interphalangeal joint</t>
  </si>
  <si>
    <t xml:space="preserve">1/5 distance from tip; between tip and distal interphalangeal joint </t>
  </si>
  <si>
    <t xml:space="preserve">Proximal to/including mid-shaft of distal phalanx to distal epiphysis of the middle phalanx </t>
  </si>
  <si>
    <t>Transfer R</t>
  </si>
  <si>
    <t>Transfer L</t>
  </si>
  <si>
    <t>Proximal to the distal epiphysis (head) of the middle phalanx to the mid-shaft of the middle phalanx</t>
  </si>
  <si>
    <t>Contralateral
(adjusted %)</t>
  </si>
  <si>
    <t>IP joint:</t>
  </si>
  <si>
    <t>Contralateral adjustment</t>
  </si>
  <si>
    <t>Monocular impairment</t>
  </si>
  <si>
    <t>Binocular loss times 94% = percent of whole-person disability:</t>
  </si>
  <si>
    <t>Maximum 
whole-person percentage</t>
  </si>
  <si>
    <t>Impairment 
award</t>
  </si>
  <si>
    <t>Permanent partial disability calculation for dates of injury on or after 1/1/2005: 
Use the calculation method (monocular or binocular) that results in the greater impairment.</t>
  </si>
  <si>
    <t>Percent of whole-person disability times the state average weekly wage times 100 = binaural impairment award:</t>
  </si>
  <si>
    <t>+</t>
  </si>
  <si>
    <t>Total impairment, 
right eye:</t>
  </si>
  <si>
    <t>Total impairment, 
left eye:</t>
  </si>
  <si>
    <t>Monocular calculation results in the greater impairment award:</t>
  </si>
  <si>
    <t>Binocular calculation results in the greater impairment award:</t>
  </si>
  <si>
    <t>Respiratory system</t>
  </si>
  <si>
    <t>Cardiovascular system</t>
  </si>
  <si>
    <t>Ring finger, 1/2 distal phalanx, ulnar side only, total loss</t>
  </si>
  <si>
    <t>Little finger, whole digit, less than normal</t>
  </si>
  <si>
    <t>Little finger, whole digit, radial side only, less than normal</t>
  </si>
  <si>
    <t>Little finger, whole digit, ulnar side only, less than normal</t>
  </si>
  <si>
    <t>Little finger, 1/2 proximal phalanx, less than normal</t>
  </si>
  <si>
    <t>Little finger, 1/2 proximal phalanx, radial side only, less than normal</t>
  </si>
  <si>
    <t>9/10 distance from tip; between tip and interphalangeal joint</t>
  </si>
  <si>
    <t>Amputation at the interphalangeal joint</t>
  </si>
  <si>
    <t>1/10 distance from the interphalangeal joint; between the IP joint and the metatarsophalangeal joint</t>
  </si>
  <si>
    <t>Foot/ankle ROM</t>
  </si>
  <si>
    <t>14/88</t>
  </si>
  <si>
    <t>14/112</t>
  </si>
  <si>
    <t>14/140</t>
  </si>
  <si>
    <t>Lens not removed</t>
  </si>
  <si>
    <t>Lens removed; replaced with prosthetic lens</t>
  </si>
  <si>
    <t>Motor loss in any part of the left arm due to brain or spinal cord damage</t>
  </si>
  <si>
    <r>
      <t xml:space="preserve">Percent of whole-person disability times the state average weekly wage times 100 = </t>
    </r>
    <r>
      <rPr>
        <b/>
        <sz val="10"/>
        <rFont val="Times New Roman"/>
        <family val="1"/>
      </rPr>
      <t>binocular impairment award:</t>
    </r>
  </si>
  <si>
    <t>Right eye:</t>
  </si>
  <si>
    <t>Left eye:</t>
  </si>
  <si>
    <t>Binocular impairment award:</t>
  </si>
  <si>
    <t>English measure</t>
  </si>
  <si>
    <t>Left arm
Arm strength loss is rated in the hand/forearm section. Click link at right to rate strength.</t>
  </si>
  <si>
    <t>Permanent Partial Disability Determination
for dates of injury on or after 1/1/2005</t>
  </si>
  <si>
    <t>Enter perimetric masurements, even if greater than minimal normal levels; the calculator will adjust to minimal normal for rating purposes. If one-quarter or one-half of the visual field has been lost, enter the letters for the three to five meridians involved (including the boundary meridians).</t>
  </si>
  <si>
    <t>Foot conversion?
1=Yes</t>
  </si>
  <si>
    <t xml:space="preserve">persistent vascular disease, or a healed ulcer; or cold intolerance (e.g. Raynaud’s phenomenon) which </t>
  </si>
  <si>
    <r>
      <t xml:space="preserve">(b) </t>
    </r>
    <r>
      <rPr>
        <b/>
        <sz val="10"/>
        <rFont val="Times New Roman"/>
        <family val="1"/>
      </rPr>
      <t xml:space="preserve">Class 2: </t>
    </r>
    <r>
      <rPr>
        <sz val="10"/>
        <rFont val="Times New Roman"/>
        <family val="1"/>
      </rPr>
      <t xml:space="preserve">15% for the affected body part if the worker experiences intermittent pain with repetitive </t>
    </r>
  </si>
  <si>
    <t>Total impairment, immune system:</t>
  </si>
  <si>
    <t>Complete motor loss on both sides of the face</t>
  </si>
  <si>
    <t>Surgery, IP joint</t>
  </si>
  <si>
    <t>Surgery, MP joint</t>
  </si>
  <si>
    <t>Second Toe - Left</t>
  </si>
  <si>
    <t>Second toe amputation</t>
  </si>
  <si>
    <t>2nd toe 
amputation</t>
  </si>
  <si>
    <t>Unscheduled permanent partial disability</t>
  </si>
  <si>
    <t>Scheduled permanent partial disability</t>
  </si>
  <si>
    <t>3/5 distance from the proximal interphalangeal joint; between the PIP joint and the metatarsophalangeal joint</t>
  </si>
  <si>
    <t xml:space="preserve"> L. Thumb ROM impairment total:</t>
  </si>
  <si>
    <t>Chewing and swallowing impairment</t>
  </si>
  <si>
    <t>Upper digestive track impairment</t>
  </si>
  <si>
    <t>No HS Diploma/GED</t>
  </si>
  <si>
    <t>Specific vocational preparation</t>
  </si>
  <si>
    <t>Carpometacarpal arthroplasty:</t>
  </si>
  <si>
    <t>Yes</t>
  </si>
  <si>
    <t>No</t>
  </si>
  <si>
    <t>A worker is entitled to a 5% chronic condition impairment value when a preponderance of medical opinion establishes that, due to a chronic and permanent medical condition, the worker is significantly limited in the repetitive use of the cervical spine.</t>
  </si>
  <si>
    <t>Combined disability, fifth toe - right</t>
  </si>
  <si>
    <t>Total impairment, fifth toe - right:</t>
  </si>
  <si>
    <t>Foot, Ankle, &amp; Lower Leg - Right</t>
  </si>
  <si>
    <t>Amputation of the right foot</t>
  </si>
  <si>
    <t>Lumbosacral spine, flexion</t>
  </si>
  <si>
    <t>Lumbosacral spine, extension</t>
  </si>
  <si>
    <t>Lumbosacral spine, right lateral flexion</t>
  </si>
  <si>
    <t>Lumbosacral spine, left lateral flexion</t>
  </si>
  <si>
    <t>Lumbrosacral ROM impairment total:</t>
  </si>
  <si>
    <t>Total impairment, spinal cord</t>
  </si>
  <si>
    <t>Spine Disability Determination</t>
  </si>
  <si>
    <t>Cervical spine: Retained degrees of motion and percentage of impairment</t>
  </si>
  <si>
    <t>Sums</t>
  </si>
  <si>
    <t>Cervical spine, flexion</t>
  </si>
  <si>
    <t>Cervical spine, extension</t>
  </si>
  <si>
    <t>Cervical spine, right lateral flexion</t>
  </si>
  <si>
    <t>Cervical spine, left lateral flexion</t>
  </si>
  <si>
    <t>Chronic condition, left lower leg/foot/ankle</t>
  </si>
  <si>
    <t>Convert toe values to foot value (only if there are impairment findings in the foot or leg)</t>
  </si>
  <si>
    <t>Great toe</t>
  </si>
  <si>
    <t>converts to</t>
  </si>
  <si>
    <t>Percentage of hearing loss</t>
  </si>
  <si>
    <t xml:space="preserve">intolerance (e.g. Raynaud’s phenomenon) which results in a loss of use or function that occurs on </t>
  </si>
  <si>
    <t>Amputation: 2nd metacarpal</t>
  </si>
  <si>
    <t>Amputation: 3rd metacarpal</t>
  </si>
  <si>
    <t>Amputation: 4th metacarpal</t>
  </si>
  <si>
    <t>Amputation: 5th metacarpal</t>
  </si>
  <si>
    <t>Range of motion loss, hand/thumb</t>
  </si>
  <si>
    <t>Range of motion loss, wrist</t>
  </si>
  <si>
    <t>Hypersensitivity, palm</t>
  </si>
  <si>
    <t>Joint instability, hand CMC</t>
  </si>
  <si>
    <t>Medial collateral ligament damage</t>
  </si>
  <si>
    <t>Total disability percentage for arm</t>
  </si>
  <si>
    <t>Extension, elbow</t>
  </si>
  <si>
    <t xml:space="preserve">Users are encouraged to use the calculator for checking the results of manual PPD rating. </t>
  </si>
  <si>
    <t>This calculator may be modified by the user according to the user's needs.</t>
  </si>
  <si>
    <t>Click one of the links below to rate an injured body part or system.</t>
  </si>
  <si>
    <t>Upper extremity - Right</t>
  </si>
  <si>
    <t>Because the worker cannot return to regular work, age, education, and adaptability must be considered in calculating the award.</t>
  </si>
  <si>
    <t>Record level of amputation or shortening of the index finger. Impairment value of 5% or more for loss of opposition will carry over to the thumb.</t>
  </si>
  <si>
    <t xml:space="preserve">Finger amputated 1/4 distance from tip, between tip and DIP level </t>
  </si>
  <si>
    <t xml:space="preserve">Finger amputated 1/2 distance between tip and DIP level </t>
  </si>
  <si>
    <t xml:space="preserve">Finger amputated 3/4 distance from tip, between tip and DIP level </t>
  </si>
  <si>
    <t>Finger amputated at the DIP level</t>
  </si>
  <si>
    <t>Date of injury (required)</t>
  </si>
  <si>
    <t>Max.
degrees</t>
  </si>
  <si>
    <t>$ per
Degree</t>
  </si>
  <si>
    <t>Award</t>
  </si>
  <si>
    <t>Retained degrees of motion and percentage of impairment, great toe</t>
  </si>
  <si>
    <t>Date of issuance (required for calculation of age)</t>
  </si>
  <si>
    <t>Ankylosis in flexion or extension</t>
  </si>
  <si>
    <t>Plantarflexion, IP joint</t>
  </si>
  <si>
    <t>Contralateral IP joint</t>
  </si>
  <si>
    <t>Plantarflexion ankylosis, IP joint</t>
  </si>
  <si>
    <t>Total impairment, left foot:</t>
  </si>
  <si>
    <t>Amputation:</t>
  </si>
  <si>
    <t>Flexion, knee</t>
  </si>
  <si>
    <t>Error flag</t>
  </si>
  <si>
    <t>Complements</t>
  </si>
  <si>
    <t>Flexion ankylosis</t>
  </si>
  <si>
    <t>Extension, knee</t>
  </si>
  <si>
    <t>Extension ankylosis</t>
  </si>
  <si>
    <t>Maximum ankylosis value:</t>
  </si>
  <si>
    <t>Left knee ROM impairment total:</t>
  </si>
  <si>
    <t>C-8</t>
  </si>
  <si>
    <t>T-1</t>
  </si>
  <si>
    <t>Musculocutaneous nerve</t>
  </si>
  <si>
    <t>Hemipelvectomy</t>
  </si>
  <si>
    <t>Combined disability: Pelvis</t>
  </si>
  <si>
    <t>Total impairment:</t>
  </si>
  <si>
    <t xml:space="preserve">
Impairments of the integumentary system are rated according to the following classes:</t>
  </si>
  <si>
    <t xml:space="preserve">
Lacrimal system</t>
  </si>
  <si>
    <t>ERROR: Date of issuance cannot precede date of injury.</t>
  </si>
  <si>
    <t>Motor loss to any part of the right leg due to brain or spinal cord damage</t>
  </si>
  <si>
    <t>Additional right leg impairment</t>
  </si>
  <si>
    <t>Contralateral flexion</t>
  </si>
  <si>
    <t>Contralateral radial deviation</t>
  </si>
  <si>
    <t>Contralateral ulnar deviation</t>
  </si>
  <si>
    <t>Flexion elbow joint</t>
  </si>
  <si>
    <t>Extension elbow joint</t>
  </si>
  <si>
    <t>Contralateral supination</t>
  </si>
  <si>
    <t>Contralateral pronation</t>
  </si>
  <si>
    <t>Hypersensitivity</t>
  </si>
  <si>
    <t>Deformity of movement, thumb</t>
  </si>
  <si>
    <t>Rotational</t>
  </si>
  <si>
    <t>Dorsal</t>
  </si>
  <si>
    <t>Lateral</t>
  </si>
  <si>
    <t>Palmar</t>
  </si>
  <si>
    <t>Joint instability</t>
  </si>
  <si>
    <t>Contralateral (adjusted %)</t>
  </si>
  <si>
    <t>Thumb, IP</t>
  </si>
  <si>
    <t>Thumb, MP</t>
  </si>
  <si>
    <t>Mild: Less than 10°</t>
  </si>
  <si>
    <t>Moderate: 10° to 20°</t>
  </si>
  <si>
    <t>Severe: More than 20°</t>
  </si>
  <si>
    <t>Prosthetic joint 
replacement</t>
  </si>
  <si>
    <t>Chronic condition, upper left leg</t>
  </si>
  <si>
    <t>Does the worker meet the chronic condition criteria described?</t>
  </si>
  <si>
    <t>Convert foot value to leg value (only if there are impairment findings in the leg)</t>
  </si>
  <si>
    <t>Left leg</t>
  </si>
  <si>
    <t>Combined disability, left leg</t>
  </si>
  <si>
    <t>Little finger, DIP</t>
  </si>
  <si>
    <t>Little finger, PIP</t>
  </si>
  <si>
    <t>Little finger, MP</t>
  </si>
  <si>
    <t>Dermatological conditions of the little finger, including burns</t>
  </si>
  <si>
    <t>Combined disability, left little finger</t>
  </si>
  <si>
    <t>Total impairment, left little finger:</t>
  </si>
  <si>
    <t>Left Hand &amp; Forearm</t>
  </si>
  <si>
    <t>Dermatological conditions of the ring finger, including burns</t>
  </si>
  <si>
    <t>Vascular/neurological dysfunction</t>
  </si>
  <si>
    <t>Vascular dysfunction; or neurological dysfunction resulting in cold intolerance:</t>
  </si>
  <si>
    <t>Plantarflexion</t>
  </si>
  <si>
    <t>ROM adjusted
to minimum or maximum normal</t>
  </si>
  <si>
    <t>All or part of the second metacarpal</t>
  </si>
  <si>
    <t>Metacarpals</t>
  </si>
  <si>
    <t>All or part of the third metacarpal</t>
  </si>
  <si>
    <t>Affected; 1=Yes</t>
  </si>
  <si>
    <t>All or part of the fourth metacarpal</t>
  </si>
  <si>
    <t>3/10 distance from tip; between tip and distal interphalangeal joint</t>
  </si>
  <si>
    <t>2/5 distance from tip; between tip and distal interphalangeal joint</t>
  </si>
  <si>
    <t>All or part of the fourth metatarsal</t>
  </si>
  <si>
    <t>Check the box next to any of the following statements that are true:</t>
  </si>
  <si>
    <t>Fourth Toe - Right</t>
  </si>
  <si>
    <t xml:space="preserve">Monocular total (combined) </t>
  </si>
  <si>
    <t>Left Lower Extremity Disability Determination</t>
  </si>
  <si>
    <t>Great Toe - Left</t>
  </si>
  <si>
    <t>Great toe amputation</t>
  </si>
  <si>
    <t>Great toe 
amputation</t>
  </si>
  <si>
    <t>Motor loss in any part of the right arm due to brain or spinal cord damage</t>
  </si>
  <si>
    <t>Combined disability, right arm (with hand/forearm conversion, if applicable)</t>
  </si>
  <si>
    <t>Total impairment, right arm:</t>
  </si>
  <si>
    <t>Max.
percent</t>
  </si>
  <si>
    <t>Apply the worker’s extent of total impairment to the adaptability scale in OAR 436-035-0012(13), compare the value from the residual functional capacity scale in OAR 436-035-0012(11), and use the higher of the two values for adaptability.</t>
  </si>
  <si>
    <t>Double-click:</t>
  </si>
  <si>
    <t>Overall impairment due to strength loss: Right arm</t>
  </si>
  <si>
    <t>Chronic condition, right forearm/wrist/hand</t>
  </si>
  <si>
    <t>No impairment</t>
  </si>
  <si>
    <t>Total impairment, cranial nerves/brain</t>
  </si>
  <si>
    <t>Cardiovascular System Disability Determination</t>
  </si>
  <si>
    <t>96.1 - 192 degrees
(prior to 1/1/96)</t>
  </si>
  <si>
    <t>192.1 - 320 degrees
(prior to 1/1/96)</t>
  </si>
  <si>
    <t>0-64 degrees
(on or after 1/1/96)</t>
  </si>
  <si>
    <t>L. Ring finger, DIP</t>
  </si>
  <si>
    <t>L. Ring finger, PIP</t>
  </si>
  <si>
    <t>L. Ring finger, MP</t>
  </si>
  <si>
    <t>Up left</t>
  </si>
  <si>
    <t>Sort R</t>
  </si>
  <si>
    <t>Combine R</t>
  </si>
  <si>
    <t>Sort L</t>
  </si>
  <si>
    <t>Combine L</t>
  </si>
  <si>
    <t>Lens involvement</t>
  </si>
  <si>
    <t>Combine acuity loss with lens value, if any. Total central vision loss, right eye:</t>
  </si>
  <si>
    <t>Combine acuity loss with lens value, if any. Total central vision loss, left eye:</t>
  </si>
  <si>
    <t xml:space="preserve">The spinal cord is concerned with sensory, motor, and visceral functions. Permanent impairment can result from various disorders affecting these functions. </t>
  </si>
  <si>
    <t>Complete motor loss on one side of the face</t>
  </si>
  <si>
    <t>Partial motor loss on both sides of the face</t>
  </si>
  <si>
    <t>Tinnitus which by a perponderance of medical opinion requires job modification; no additional value is allowed for "bilateral" tinnitus</t>
  </si>
  <si>
    <t>Impairment of swallowing is determined under OAR 436-035-0420.</t>
  </si>
  <si>
    <t>Impairment</t>
  </si>
  <si>
    <t>Sort</t>
  </si>
  <si>
    <t>Combine</t>
  </si>
  <si>
    <t>Round</t>
  </si>
  <si>
    <t>Grade 3 or 3+; Severe; &gt;10mm</t>
  </si>
  <si>
    <t>Ligament</t>
  </si>
  <si>
    <t>Severity of joint opening</t>
  </si>
  <si>
    <t>Anterior cruciate</t>
  </si>
  <si>
    <t>Posterior cruciate</t>
  </si>
  <si>
    <t>Collateral (medial)</t>
  </si>
  <si>
    <t>Collateral (lateral)</t>
  </si>
  <si>
    <t>Total knee joint instability:</t>
  </si>
  <si>
    <t>Left knee angulation or malalignment</t>
  </si>
  <si>
    <t>Deformity:</t>
  </si>
  <si>
    <t>No loss of the tip</t>
  </si>
  <si>
    <t>Date of birth</t>
  </si>
  <si>
    <t>Date of issuance</t>
  </si>
  <si>
    <t>Right ear baseline exam: Enter audiogram findings for all frequencies.</t>
  </si>
  <si>
    <t>For spinal cord damage that has resulted in the loss of use or function of any upper or lower extremities, a value is given for the affected body part(s). Refer to the appropriate section of these standards for that determination.</t>
  </si>
  <si>
    <t>Episodic neurological disorders are determined under OAR 436-035-0390(10).</t>
  </si>
  <si>
    <t>Index finger, amputation or resection without reattachment (or shortening of digit)</t>
  </si>
  <si>
    <t>Finger 
amputation</t>
  </si>
  <si>
    <t>Significant flesh or tissue loss only (no bone)</t>
  </si>
  <si>
    <t>Add near &amp; distance losses and divide by 2:</t>
  </si>
  <si>
    <t>Hematopoietic System</t>
  </si>
  <si>
    <t>Field adjustment, left eye</t>
  </si>
  <si>
    <t>Field counts</t>
  </si>
  <si>
    <t>A. Temporally</t>
  </si>
  <si>
    <t>Dorsiflexion (extension)</t>
  </si>
  <si>
    <t>Dorsiflexion ankylosis</t>
  </si>
  <si>
    <t>Severe: 27 degrees</t>
  </si>
  <si>
    <t>Subsequent surgical procedures: Add 1% for each disc or vertebra treated within the cervical spine. Select the number of additional procedures for each vertebra and disc.</t>
  </si>
  <si>
    <t>Cervical spine: Total impairment for surgical procedures:</t>
  </si>
  <si>
    <t>Combined disability: Cervical spine</t>
  </si>
  <si>
    <t>Compression fractures</t>
  </si>
  <si>
    <t>Fractures of posterior elements</t>
  </si>
  <si>
    <t>Surgical procedures</t>
  </si>
  <si>
    <t>Retained degrees of motion and percentage of impairment, foot &amp; ankle - right</t>
  </si>
  <si>
    <t>Right foot</t>
  </si>
  <si>
    <t>Right ankle</t>
  </si>
  <si>
    <t>Thoracic</t>
  </si>
  <si>
    <t>Lumbar</t>
  </si>
  <si>
    <t>Combined right hip disability</t>
  </si>
  <si>
    <t>Combined left hip disability</t>
  </si>
  <si>
    <t>3/5 distance from the interphalangeal joint; between the IP joint and the metatarsophalangeal joint</t>
  </si>
  <si>
    <t>7/10 distance from the interphalangeal joint; between the IP joint and the metatarsophalangeal joint</t>
  </si>
  <si>
    <t>4/5 distance from the interphalangeal joint; between the IP joint and the metatarsophalangeal joint</t>
  </si>
  <si>
    <t>Right Lower Extremity Disability Determination
Permanent Partial Disability - Date of injury on or after 1/1/2005</t>
  </si>
  <si>
    <t>Right Lower Extremity Disability Determination
Permanent Partial Disability - Date of injury prior to 1/1/2005</t>
  </si>
  <si>
    <t>Max. 
degrees</t>
  </si>
  <si>
    <t>Dollars 
per degree</t>
  </si>
  <si>
    <t>Complete loss of both menisci</t>
  </si>
  <si>
    <t>Right great toe</t>
  </si>
  <si>
    <t>Right second toe</t>
  </si>
  <si>
    <t>Right third toe</t>
  </si>
  <si>
    <t>Right fourth toe</t>
  </si>
  <si>
    <t>Right fifth toe</t>
  </si>
  <si>
    <t>Right leg</t>
  </si>
  <si>
    <t>Left great toe</t>
  </si>
  <si>
    <t>Left second toe</t>
  </si>
  <si>
    <t>Left third toe</t>
  </si>
  <si>
    <t>Left fourth toe</t>
  </si>
  <si>
    <t>Left fifth toe</t>
  </si>
  <si>
    <t>Left great toe ROM impairment total:</t>
  </si>
  <si>
    <t>Severity</t>
  </si>
  <si>
    <t>Right Upper Extremity Disability Determination
Permanent Partial Disability - Date of injury prior to 1/1/2005</t>
  </si>
  <si>
    <t>Scheduled</t>
  </si>
  <si>
    <t>Dollars Per Degree for Dates of Injury Prior to 1/1/2005</t>
  </si>
  <si>
    <t>Integumentary system</t>
  </si>
  <si>
    <t>Lacrimal system</t>
  </si>
  <si>
    <t xml:space="preserve">   9               1             10+ years</t>
  </si>
  <si>
    <r>
      <t xml:space="preserve">Subscapular </t>
    </r>
    <r>
      <rPr>
        <sz val="10"/>
        <rFont val="Times New Roman"/>
        <family val="1"/>
      </rPr>
      <t xml:space="preserve">- </t>
    </r>
  </si>
  <si>
    <t xml:space="preserve">Overall </t>
  </si>
  <si>
    <r>
      <t>Dorsal scapular</t>
    </r>
    <r>
      <rPr>
        <sz val="10"/>
        <rFont val="Times New Roman"/>
        <family val="1"/>
      </rPr>
      <t xml:space="preserve"> - </t>
    </r>
  </si>
  <si>
    <t>(Spinal Accessory)</t>
  </si>
  <si>
    <t>Accessory -</t>
  </si>
  <si>
    <r>
      <t>Axillary</t>
    </r>
    <r>
      <rPr>
        <sz val="10"/>
        <rFont val="Times New Roman"/>
        <family val="1"/>
      </rPr>
      <t xml:space="preserve"> - </t>
    </r>
  </si>
  <si>
    <r>
      <t>Total for axillary -</t>
    </r>
    <r>
      <rPr>
        <sz val="10"/>
        <rFont val="Times New Roman"/>
        <family val="1"/>
      </rPr>
      <t xml:space="preserve">
(average if applicable)</t>
    </r>
  </si>
  <si>
    <r>
      <t>Suprascapular</t>
    </r>
    <r>
      <rPr>
        <sz val="10"/>
        <rFont val="Times New Roman"/>
        <family val="1"/>
      </rPr>
      <t xml:space="preserve"> - </t>
    </r>
  </si>
  <si>
    <r>
      <t>Thoracodorsal</t>
    </r>
    <r>
      <rPr>
        <sz val="10"/>
        <rFont val="Times New Roman"/>
        <family val="1"/>
      </rPr>
      <t xml:space="preserve"> -</t>
    </r>
  </si>
  <si>
    <r>
      <t>Total for subscapular</t>
    </r>
    <r>
      <rPr>
        <sz val="10"/>
        <rFont val="Times New Roman"/>
        <family val="1"/>
      </rPr>
      <t xml:space="preserve">
(average if applicable)</t>
    </r>
  </si>
  <si>
    <t>Total impairment, right ring finger:</t>
  </si>
  <si>
    <t>Right little finger</t>
  </si>
  <si>
    <t>Combined disability, right little finger</t>
  </si>
  <si>
    <t>Total impairment, right little finger:</t>
  </si>
  <si>
    <t>Right Hand &amp; Forearm</t>
  </si>
  <si>
    <t>If date of birth is not available, enter worker's age on the date of issuance.</t>
  </si>
  <si>
    <t>6/90</t>
  </si>
  <si>
    <t>6/120</t>
  </si>
  <si>
    <t>14/14</t>
  </si>
  <si>
    <t>14/18</t>
  </si>
  <si>
    <t>14/21</t>
  </si>
  <si>
    <t>14/24</t>
  </si>
  <si>
    <t>14/28</t>
  </si>
  <si>
    <t>14/35</t>
  </si>
  <si>
    <t>14/40</t>
  </si>
  <si>
    <t>14/45</t>
  </si>
  <si>
    <t>Monaural loss = current minus baseline.</t>
  </si>
  <si>
    <t>Monaural total:</t>
  </si>
  <si>
    <t>Cervical spine, right rotation</t>
  </si>
  <si>
    <t>Cervical spine, left rotation</t>
  </si>
  <si>
    <t>Cervical ROM impairment total:</t>
  </si>
  <si>
    <t>hand/ forearm</t>
  </si>
  <si>
    <t>Total impairment, left thumb:</t>
  </si>
  <si>
    <t>Left index finger</t>
  </si>
  <si>
    <t>Deformity of movement, rotational</t>
  </si>
  <si>
    <t>Deformity of movement, latreral</t>
  </si>
  <si>
    <t>Deformity of movement, dorsal</t>
  </si>
  <si>
    <t>Deformity of movement, palmar</t>
  </si>
  <si>
    <t>Dorsiflexion (extension), MP joint</t>
  </si>
  <si>
    <t>Contralateral MP joint</t>
  </si>
  <si>
    <t>Dorsiflexion ankylosis, MP joint</t>
  </si>
  <si>
    <t>Plantarflexion, MP joint</t>
  </si>
  <si>
    <t>Plantarflexion ankylosis, MP joint</t>
  </si>
  <si>
    <t>2nd toe</t>
  </si>
  <si>
    <t>3rd toe</t>
  </si>
  <si>
    <t>4th toe</t>
  </si>
  <si>
    <t>5th toe</t>
  </si>
  <si>
    <t>Conversion of toe value to foot value</t>
  </si>
  <si>
    <t>Conversion of foot value to leg value</t>
  </si>
  <si>
    <t>Right Lower Extremity Disability Determination</t>
  </si>
  <si>
    <t>Great Toe - Right</t>
  </si>
  <si>
    <t>Right great toe ROM impairment total:</t>
  </si>
  <si>
    <t>Total impairment, great toe - right:</t>
  </si>
  <si>
    <t>Second Toe - Right</t>
  </si>
  <si>
    <t>Retained degrees of motion and percentage of impairment, second toe - right</t>
  </si>
  <si>
    <t>Total impairment, second toe - right:</t>
  </si>
  <si>
    <t>Third Toe - Right</t>
  </si>
  <si>
    <t>Ankylosis, 2nd tarsometatarsal</t>
  </si>
  <si>
    <t>Ankylosis, 3rd tarsometatarsal</t>
  </si>
  <si>
    <t>The worker has motor loss impairment. No additional impairment value is allowed for reduced range of motion in the same extremity.</t>
  </si>
  <si>
    <t>Ankylosis, 4th tarsometatarsal</t>
  </si>
  <si>
    <t>Additional anterior/posterior instability</t>
  </si>
  <si>
    <t>Ankle angulation</t>
  </si>
  <si>
    <t>Prosthetic ankle replacement</t>
  </si>
  <si>
    <t>Dermatological conditions</t>
  </si>
  <si>
    <t>Full thickness skin loss of heel</t>
  </si>
  <si>
    <t>Chondromalacia et al</t>
  </si>
  <si>
    <t>Walking/standing limitation</t>
  </si>
  <si>
    <t>Conversion from toe values</t>
  </si>
  <si>
    <t>Dermatological conditions of the middle finger, including burns</t>
  </si>
  <si>
    <t>Combined disability, left middle finger</t>
  </si>
  <si>
    <t>Left ring finger</t>
  </si>
  <si>
    <t>Ring finger, amputation or resection without reattachment (or shortening of digit)</t>
  </si>
  <si>
    <t>However, the calculator is likely to include some design errors.</t>
  </si>
  <si>
    <t>This calculator may be downloaded and duplicated at no cost to the user.</t>
  </si>
  <si>
    <t>Index finger loss to hand loss</t>
  </si>
  <si>
    <t>Gastrointestinal and Genitourinary Systems</t>
  </si>
  <si>
    <t>Impairments in mastication (chewing) and deglutition (swallowing) are based on the following criteria:</t>
  </si>
  <si>
    <t>Length discrepancy of the injured right leg</t>
  </si>
  <si>
    <t>Right knee joint instability</t>
  </si>
  <si>
    <t>SL</t>
  </si>
  <si>
    <t>SM/L</t>
  </si>
  <si>
    <t>SM</t>
  </si>
  <si>
    <t>SM/H</t>
  </si>
  <si>
    <t>SH</t>
  </si>
  <si>
    <t>SV/H</t>
  </si>
  <si>
    <t>LRS</t>
  </si>
  <si>
    <t>Left shoulder</t>
  </si>
  <si>
    <t>Right hip</t>
  </si>
  <si>
    <t>Left hip</t>
  </si>
  <si>
    <t>Flexion 
ankylosis</t>
  </si>
  <si>
    <t>Radial 
deviation</t>
  </si>
  <si>
    <t>Radial 
deviation ankylosis</t>
  </si>
  <si>
    <t>Distal ulnar resection</t>
  </si>
  <si>
    <t>Chronic condition impairment</t>
  </si>
  <si>
    <t>Conversion from digits</t>
  </si>
  <si>
    <t xml:space="preserve">the wrist, or amputation of all digits involving more than one extremity with evidence of persistent </t>
  </si>
  <si>
    <t xml:space="preserve">vascular disease, or persistent widespread deep ulceration involving more than one extremity; </t>
  </si>
  <si>
    <t xml:space="preserve">or cold intolerance such as Raynaud’s phenomenon which results in a loss of use or function that </t>
  </si>
  <si>
    <r>
      <t xml:space="preserve">(e) </t>
    </r>
    <r>
      <rPr>
        <b/>
        <sz val="10"/>
        <rFont val="Times New Roman"/>
        <family val="1"/>
      </rPr>
      <t xml:space="preserve">Class 5: </t>
    </r>
    <r>
      <rPr>
        <sz val="10"/>
        <rFont val="Times New Roman"/>
        <family val="1"/>
      </rPr>
      <t xml:space="preserve">88% for the affected body part if the worker experiences constant and severe pain at rest; </t>
    </r>
  </si>
  <si>
    <t>Left hand, wrist, forearm, amputation or resection without reattachment</t>
  </si>
  <si>
    <t>Upper extremity - Left</t>
  </si>
  <si>
    <t>Lower extremity - Right</t>
  </si>
  <si>
    <t>Lower extremity - Left</t>
  </si>
  <si>
    <t>Hearing</t>
  </si>
  <si>
    <t>Vision</t>
  </si>
  <si>
    <t>Shoulder - Right</t>
  </si>
  <si>
    <t>Shoulder - Left</t>
  </si>
  <si>
    <t>Abdomen</t>
  </si>
  <si>
    <t>Spine</t>
  </si>
  <si>
    <t>Pelvis</t>
  </si>
  <si>
    <t xml:space="preserve">   5               2             6+ months - 1 year</t>
  </si>
  <si>
    <t xml:space="preserve">   6               2             1+ year - 2 years</t>
  </si>
  <si>
    <t xml:space="preserve">   7               1             2+ years - 4 years</t>
  </si>
  <si>
    <t xml:space="preserve">Vascular dysfunction; or neurological dysfunction resulting in cold intolerance </t>
  </si>
  <si>
    <t xml:space="preserve">Meniscus/menisci:
</t>
  </si>
  <si>
    <t>Partial loss of both menisci</t>
  </si>
  <si>
    <t xml:space="preserve">SVP is defined as the amount of time required by a typical worker to acquire the knowledge, skills and abilities needed to perform a specific job. </t>
  </si>
  <si>
    <t>Forward elevation
(flexion) ankylosis</t>
  </si>
  <si>
    <t>Backward elevation
(extension)</t>
  </si>
  <si>
    <t>Backward elevation
(extension) ankylosis</t>
  </si>
  <si>
    <t>Strength loss in the left hand/forearm or arm</t>
  </si>
  <si>
    <t>Left arm impairment</t>
  </si>
  <si>
    <t>Forearm combining</t>
  </si>
  <si>
    <t>Arm combining</t>
  </si>
  <si>
    <t>C-5</t>
  </si>
  <si>
    <t>C-6</t>
  </si>
  <si>
    <t>C-7</t>
  </si>
  <si>
    <t>Flexion, elbow</t>
  </si>
  <si>
    <t>Flexion, IP joint</t>
  </si>
  <si>
    <t>Extension, IP joint</t>
  </si>
  <si>
    <t>Ankylosis, IP joint</t>
  </si>
  <si>
    <t>Flexion, MP joint</t>
  </si>
  <si>
    <t>Extension, MP joint</t>
  </si>
  <si>
    <t>Ankylosis, MP joint</t>
  </si>
  <si>
    <t>Flexion, DIP joint</t>
  </si>
  <si>
    <t>Total impairment, gastrointestinal &amp; genitourinary</t>
  </si>
  <si>
    <t>6/5</t>
  </si>
  <si>
    <t>6/6</t>
  </si>
  <si>
    <t>6/7.5</t>
  </si>
  <si>
    <t>Apportionment
(if applicable)</t>
  </si>
  <si>
    <t>Amputation, leg - at or above knee</t>
  </si>
  <si>
    <t>Knee ROM</t>
  </si>
  <si>
    <t>Hip ROM</t>
  </si>
  <si>
    <t>Length discrepancy</t>
  </si>
  <si>
    <t>Knee joint instability</t>
  </si>
  <si>
    <t>Knee angulation or malalignment</t>
  </si>
  <si>
    <t>Malalignment due to tibial shaft fracture</t>
  </si>
  <si>
    <t>Left ear baseline exam: Enter audiogram findings for all frequencies.</t>
  </si>
  <si>
    <t>Resection without replacement</t>
  </si>
  <si>
    <t>Distal ulnar resection:</t>
  </si>
  <si>
    <t>Left hand</t>
  </si>
  <si>
    <t>Left wrist/forearm</t>
  </si>
  <si>
    <t>Total impairment, endocrine system</t>
  </si>
  <si>
    <t>Combined value</t>
  </si>
  <si>
    <t>6/10</t>
  </si>
  <si>
    <t>6/12</t>
  </si>
  <si>
    <t>6/15</t>
  </si>
  <si>
    <t>6/20</t>
  </si>
  <si>
    <t>4/5 distance from the proximal interphalangeal joint; between the PIP joint and the metatarsophalangeal joint</t>
  </si>
  <si>
    <t>Retained degrees of motion and percentage of impairment, second toe - left</t>
  </si>
  <si>
    <t>Ankylosis: DIP joint</t>
  </si>
  <si>
    <t>Ankylosed in dorsiflexion</t>
  </si>
  <si>
    <t>Ankylosed at 0 degrees</t>
  </si>
  <si>
    <t>Ankylosed in plantar flexion</t>
  </si>
  <si>
    <t>Resection with replacement</t>
  </si>
  <si>
    <t>Overall loss at level shown; no averaging</t>
  </si>
  <si>
    <t>Left arm impairment:</t>
  </si>
  <si>
    <t>SUM</t>
  </si>
  <si>
    <r>
      <t>Total for dorsal scapular</t>
    </r>
    <r>
      <rPr>
        <sz val="10"/>
        <rFont val="Times New Roman"/>
        <family val="1"/>
      </rPr>
      <t xml:space="preserve">
(average if applicable)</t>
    </r>
  </si>
  <si>
    <t>Palmar median nerve:</t>
  </si>
  <si>
    <t>Palmar ulnar nerve:</t>
  </si>
  <si>
    <t>Hypersensitivity, left palm</t>
  </si>
  <si>
    <t>Total thoracic spine impairment:</t>
  </si>
  <si>
    <t xml:space="preserve">Thumb amputated 3/4 distance from tip, between tip and IP level </t>
  </si>
  <si>
    <t>Thumb amputated at the IP level</t>
  </si>
  <si>
    <t>Thumb amputated 1/4 distance from the IP level, between the IP and MP levels</t>
  </si>
  <si>
    <t>Thumb amputated 1/2 distance between the IP and MP levels</t>
  </si>
  <si>
    <t>Thumb amputated 3/4 distance from the IP level, between IP and MP levels</t>
  </si>
  <si>
    <t>Thumb amputated at the MP level</t>
  </si>
  <si>
    <t>Middle finger</t>
  </si>
  <si>
    <t>Middle</t>
  </si>
  <si>
    <t>Ring finger</t>
  </si>
  <si>
    <t>Ring</t>
  </si>
  <si>
    <t>Little finger</t>
  </si>
  <si>
    <t>Little</t>
  </si>
  <si>
    <t>Max.</t>
  </si>
  <si>
    <t>Thumb</t>
  </si>
  <si>
    <t>IP joint, flexion</t>
  </si>
  <si>
    <t>IP joint, extension</t>
  </si>
  <si>
    <t>IP joint, ankylosis</t>
  </si>
  <si>
    <t>MP joint, flexion</t>
  </si>
  <si>
    <t>MP joint, extension</t>
  </si>
  <si>
    <t xml:space="preserve">Anal impairment is rated according to the following classes:
</t>
  </si>
  <si>
    <t xml:space="preserve">Liver impairment shall be determined according to the following classes:
</t>
  </si>
  <si>
    <t xml:space="preserve">Impairment of the Upper urinary tract shall be determined according to the following classes:
</t>
  </si>
  <si>
    <t xml:space="preserve">Impairment of the urethra is determined according to the following classes:
</t>
  </si>
  <si>
    <t xml:space="preserve">Impairment due to sexual dysfunction of the penis is determined according to the following classes:
</t>
  </si>
  <si>
    <t xml:space="preserve">Impairment of the hypothalamic-pituitary axis is determined according to the following classes:
</t>
  </si>
  <si>
    <t xml:space="preserve">Impairment of the parathyroid
Hypoparathyroidism
</t>
  </si>
  <si>
    <t xml:space="preserve">Impairment of the Adrenal Medulla
Pheochromocytoma
</t>
  </si>
  <si>
    <t xml:space="preserve">Impairment of the gonads
</t>
  </si>
  <si>
    <t>LS</t>
  </si>
  <si>
    <t>Ring finger, DIP joint, ulnar side only, total loss</t>
  </si>
  <si>
    <t>Ring finger, 1/2 distal phalanx, total loss</t>
  </si>
  <si>
    <t>Many activities must be avoided and constant endocrine therapy is needed, or anticoagulant treatment with a vitamin K antagonist is required. (Hemorrhagic disorders that stem from damage to other organs or body systems shall not be rated under this section but shall be rated according to the impairment of the other organ or body system.)</t>
  </si>
  <si>
    <t>Total cervical spine impairment:</t>
  </si>
  <si>
    <t>Total lumbar spine impairment:</t>
  </si>
  <si>
    <t>Retained degrees of motion and percentage of impairment</t>
  </si>
  <si>
    <t>Injured joint</t>
  </si>
  <si>
    <t>Contralateral</t>
  </si>
  <si>
    <t>Maximums</t>
  </si>
  <si>
    <t>Valgus deformity of the knee of 20 degrees or less</t>
  </si>
  <si>
    <t xml:space="preserve">   Both sides, thumb:</t>
  </si>
  <si>
    <t xml:space="preserve">   Radial side, thumb:</t>
  </si>
  <si>
    <t xml:space="preserve">   Ulnar side, thumb:</t>
  </si>
  <si>
    <t xml:space="preserve">   Both sides, little:</t>
  </si>
  <si>
    <t xml:space="preserve">   Radial side, little:</t>
  </si>
  <si>
    <t xml:space="preserve">   Ulnar side, little:</t>
  </si>
  <si>
    <t xml:space="preserve">   Both sides, index:</t>
  </si>
  <si>
    <t xml:space="preserve">   Both sides, middle:</t>
  </si>
  <si>
    <t xml:space="preserve">   Both sides, ring:</t>
  </si>
  <si>
    <t xml:space="preserve">   Radial side, index:</t>
  </si>
  <si>
    <t xml:space="preserve">   Radial side, middle:</t>
  </si>
  <si>
    <t xml:space="preserve">   Radial side, ring:</t>
  </si>
  <si>
    <t xml:space="preserve">   Ulnar side, index:</t>
  </si>
  <si>
    <t xml:space="preserve">   Ulnar side, middle:</t>
  </si>
  <si>
    <t xml:space="preserve">   Ulnar side, ring:</t>
  </si>
  <si>
    <t>Fifth cranial nerve; right trigeminal - motor loss</t>
  </si>
  <si>
    <t>Fifth cranial nerve; left trigeminal - motor loss</t>
  </si>
  <si>
    <t>1/5 distance from the interphalangeal joint; between the IP joint and the metatarsophalangeal joint</t>
  </si>
  <si>
    <t>External rotation ankylosis</t>
  </si>
  <si>
    <t xml:space="preserve">Contralateral </t>
  </si>
  <si>
    <t>Ring finger, PIP joiint, total loss</t>
  </si>
  <si>
    <t>Ring finger, PIP joiint, radial side only, total loss</t>
  </si>
  <si>
    <t>At the mid-metatarsal area</t>
  </si>
  <si>
    <t>Amputation or resection of:</t>
  </si>
  <si>
    <t>All or part of the first metatarsal</t>
  </si>
  <si>
    <t>L. Index finger ROM impairment total:</t>
  </si>
  <si>
    <t>CLASS 1: Signs and symptoms of colonic or rectal disease are infrequent and of brief duration; and
Limitation of activities, special diet or medication is not required; and
No systemic manifestations are present and weight and nutritional state can be maintained at a desirable level; or
There are no sequelae after surgical procedures.</t>
  </si>
  <si>
    <t>In the sacroiliac joint, with diastasis</t>
  </si>
  <si>
    <t>Sacrum</t>
  </si>
  <si>
    <t>Ischium</t>
  </si>
  <si>
    <t>Coccyx, with nonunion or excision</t>
  </si>
  <si>
    <t>Ilium</t>
  </si>
  <si>
    <t>Left arm surgery</t>
  </si>
  <si>
    <t>Prosthetic elbow joint replacement:</t>
  </si>
  <si>
    <t>Humeral head replacement:</t>
  </si>
  <si>
    <t>Surgery: Acromion</t>
  </si>
  <si>
    <t>Surgery: Arthroplasty</t>
  </si>
  <si>
    <t>Surgery: Repeat arthroplasty</t>
  </si>
  <si>
    <t>Dislocations/diastasis</t>
  </si>
  <si>
    <t>Strength loss</t>
  </si>
  <si>
    <t>Shoulder</t>
  </si>
  <si>
    <t>Forward elevation flexion</t>
  </si>
  <si>
    <t>Forward elevation flexion ankylosis</t>
  </si>
  <si>
    <t>Backward elevation extension</t>
  </si>
  <si>
    <t>Backward elevation extension ankylosis</t>
  </si>
  <si>
    <t>Note: When a value is granted for motor loss, additional impairment values are not allowed for weakness, chronic condition, or reduced range of motion in the same extremity.</t>
  </si>
  <si>
    <t>Hand/forearm loss to arm loss</t>
  </si>
  <si>
    <t>Flexion
elbow joint</t>
  </si>
  <si>
    <t>Extension
elbow joint</t>
  </si>
  <si>
    <t>3/5 distance from tip; between tip and interphalangeal joint</t>
  </si>
  <si>
    <t>7/10 distance from tip; between tip and interphalangeal joint</t>
  </si>
  <si>
    <t>4/5 distance from tip; between tip and interphalangeal joint</t>
  </si>
  <si>
    <t>R. Index finger, DIP</t>
  </si>
  <si>
    <t xml:space="preserve">If both the hand and wrist/forearm are affected, the higher percentage is used to rate the loss. </t>
  </si>
  <si>
    <t>Maximum</t>
  </si>
  <si>
    <t>Hand</t>
  </si>
  <si>
    <t>Wrist/forearm</t>
  </si>
  <si>
    <t xml:space="preserve">   8               1             4+ years - 10 years</t>
  </si>
  <si>
    <t>CLASS 2: Signs of organic anal disease are present or there is anatomic loss or alteration; and
Moderate but partial fecal incontinence is present requiring continual treatment; or
Continual anal symptoms are present and incompletely controlled by treatment.</t>
  </si>
  <si>
    <t xml:space="preserve">exertional activity; or there is persistent moderate edema incompletely controlled by elastic supports; </t>
  </si>
  <si>
    <t>SAWW at injury</t>
  </si>
  <si>
    <t>R. Ring finger, DIP</t>
  </si>
  <si>
    <t>R. Ring finger, PIP</t>
  </si>
  <si>
    <t>R. Ring finger, MP</t>
  </si>
  <si>
    <t>Combined disability, left ring finger</t>
  </si>
  <si>
    <t>Total impairment, left ring finger:</t>
  </si>
  <si>
    <t>Left little finger</t>
  </si>
  <si>
    <t>Little finger, amputation or resection without reattachment (or shortening of digit)</t>
  </si>
  <si>
    <t>1/2 distance from the interphalangeal joint; between the IP joint and the metatarsophalangeal joint</t>
  </si>
  <si>
    <t>R. Little finger ROM impairment total:</t>
  </si>
  <si>
    <t>Stereopsis</t>
  </si>
  <si>
    <t>Severe</t>
  </si>
  <si>
    <t>Ankylosis Carpometacarpal joint of the thumb in extension</t>
  </si>
  <si>
    <t>Extension
 ankylosis</t>
  </si>
  <si>
    <t>SS/L</t>
  </si>
  <si>
    <t>Record level of amputation or shortening of the ring finger. Impairment value of 5% or more for loss of opposition will carry over to the thumb.</t>
  </si>
  <si>
    <t>Little finger, DIP joint, ulnar side only, protective sensation</t>
  </si>
  <si>
    <t>Missing perimetric values</t>
  </si>
  <si>
    <t>Thoracic spine: Retained degrees of motion and percentage of impairment</t>
  </si>
  <si>
    <t>A worker is entitled to a 5% chronic condition impairment value when a preponderance of medical opinion establishes that, due to a chronic and permanent medical condition, the worker is significantly limited in the repetitive use of the arm (elbow and above).</t>
  </si>
  <si>
    <t>2-/5=80%</t>
  </si>
  <si>
    <t>1+/5=85%</t>
  </si>
  <si>
    <t>1/5=90%</t>
  </si>
  <si>
    <t>1-/5=95%</t>
  </si>
  <si>
    <t>0/5=100%</t>
  </si>
  <si>
    <t>Max.
Value</t>
  </si>
  <si>
    <t xml:space="preserve">Strength grade &amp; loss </t>
  </si>
  <si>
    <t>Spinal nerve roots</t>
  </si>
  <si>
    <t>Injured</t>
  </si>
  <si>
    <t>Contralat.</t>
  </si>
  <si>
    <t>Loss</t>
  </si>
  <si>
    <t>Injured loss</t>
  </si>
  <si>
    <t>Contra loss</t>
  </si>
  <si>
    <t>Adjusted</t>
  </si>
  <si>
    <t>Foot combining</t>
  </si>
  <si>
    <t>Leg combining</t>
  </si>
  <si>
    <t>L-2</t>
  </si>
  <si>
    <t>L-3</t>
  </si>
  <si>
    <t>L-4</t>
  </si>
  <si>
    <t>L-5</t>
  </si>
  <si>
    <t>S-1</t>
  </si>
  <si>
    <t>Peripheral nerves</t>
  </si>
  <si>
    <t>Sciatic</t>
  </si>
  <si>
    <t>3/5 distance from tip; between tip and distal interphalangeal joint</t>
  </si>
  <si>
    <t>Little finger, 1/2 proximal phalanx, radial side only, total loss</t>
  </si>
  <si>
    <t>Ankylosis: PIP joint</t>
  </si>
  <si>
    <t>MP joint</t>
  </si>
  <si>
    <t>Left second toe ROM impairment total:</t>
  </si>
  <si>
    <t>Surgery: DIP joint</t>
  </si>
  <si>
    <t>Distal interphalangeal joint arthroplasty or resection</t>
  </si>
  <si>
    <t>Surgery: PIP joint</t>
  </si>
  <si>
    <t>Proximal  interphalangeal joint arthroplasty or resection</t>
  </si>
  <si>
    <t>Surgery, DIP joint</t>
  </si>
  <si>
    <t>Surgery, PIP joint</t>
  </si>
  <si>
    <t>Total impairment, second toe - left:</t>
  </si>
  <si>
    <t>Third Toe - Left</t>
  </si>
  <si>
    <t>Third toe amputation</t>
  </si>
  <si>
    <t>3rd toe 
amputation</t>
  </si>
  <si>
    <t>Chronic dislocations of the shoulder joint or diastasis of a sternal joint are valued at 15% uncheduled impairment when a preponderance of medical opinion places permanent new restrictions on the worker which necessitates a reduction in the strength lifting category under OAR 436-035-0012.</t>
  </si>
  <si>
    <t>SUMS</t>
  </si>
  <si>
    <t>Left Lower Extremity Disability Determination
Permanent Partial Disability</t>
  </si>
  <si>
    <t>Great 
toe</t>
  </si>
  <si>
    <t>2nd - 5th 
toes</t>
  </si>
  <si>
    <t>2nd - 
5th toes</t>
  </si>
  <si>
    <t>Convert</t>
  </si>
  <si>
    <t>Ankle</t>
  </si>
  <si>
    <t>Knee</t>
  </si>
  <si>
    <t>Fusions:</t>
  </si>
  <si>
    <r>
      <t>Total for suprascapular</t>
    </r>
    <r>
      <rPr>
        <sz val="10"/>
        <rFont val="Times New Roman"/>
        <family val="1"/>
      </rPr>
      <t xml:space="preserve">
(average if applicable)</t>
    </r>
  </si>
  <si>
    <t>Worker's name and claim no:</t>
  </si>
  <si>
    <t>Knee ROM impairment total:</t>
  </si>
  <si>
    <t>Hip ROM impairment total:</t>
  </si>
  <si>
    <t>Converted values are added; total right hand value:</t>
  </si>
  <si>
    <t>% x %</t>
  </si>
  <si>
    <t>Notes</t>
  </si>
  <si>
    <t>Prosthetic ankle replacement - right:</t>
  </si>
  <si>
    <t>Dermatological conditions - right foot</t>
  </si>
  <si>
    <t>9/10 distance from tip; between tip and distal interphalangeal joint</t>
  </si>
  <si>
    <t>Amputation at the distal interphalangeal joint</t>
  </si>
  <si>
    <t>1/5 distance from the distal interphalangeal joint; between the DIP joint and the proximal interphalangeal joint</t>
  </si>
  <si>
    <t>There is no hand or arm impairment, but conversion is appropriate because the worker will receive a higher dollar award if digits are converted to hand loss. (See OAR 436-035-0070.)</t>
  </si>
  <si>
    <t>:SUMS:</t>
  </si>
  <si>
    <t>0=No digits impaired&gt;&gt;</t>
  </si>
  <si>
    <t>Combined disability, hand/forearm (including conversion from digits, if applicable)</t>
  </si>
  <si>
    <t>Amputation at/proximal to 
carpal bones</t>
  </si>
  <si>
    <t>Amputation: 1st metacarpal</t>
  </si>
  <si>
    <t>Monocular Esterman Grid</t>
  </si>
  <si>
    <t>OR</t>
  </si>
  <si>
    <t>Field adjustment, right eye</t>
  </si>
  <si>
    <t>Round1-R</t>
  </si>
  <si>
    <t>1/4 or 1/2 field loss:</t>
  </si>
  <si>
    <t>B. Down temporally</t>
  </si>
  <si>
    <t>C. Down</t>
  </si>
  <si>
    <t>HABCD</t>
  </si>
  <si>
    <t>T5</t>
  </si>
  <si>
    <t>T6</t>
  </si>
  <si>
    <t>T7</t>
  </si>
  <si>
    <t>T8</t>
  </si>
  <si>
    <t>T9</t>
  </si>
  <si>
    <t>T10</t>
  </si>
  <si>
    <t>T11</t>
  </si>
  <si>
    <t>T12</t>
  </si>
  <si>
    <t>Thoracic spine: Surgical procedures</t>
  </si>
  <si>
    <t>Severe: 37 degrees or more</t>
  </si>
  <si>
    <t>Severity:</t>
  </si>
  <si>
    <t>Right ear current exam: Enter audiogram findings for all frequencies.</t>
  </si>
  <si>
    <t>Eating requires tube feeding or gastrostomy</t>
  </si>
  <si>
    <t>Do not convert: There is no hand or arm impairment, and only a single digit is impaired (other than loss of opposition).</t>
  </si>
  <si>
    <t>Combined left shoulder disability</t>
  </si>
  <si>
    <t>Right Shoulder Disability Determination</t>
  </si>
  <si>
    <t>Right shoulder surgery</t>
  </si>
  <si>
    <t>Impairment = maximum value for nerve x strength grade percentage, minus contralateral value, if applicable. For peripheral nerves, select "Overall" or select affected muscles if averaging is required under OAR 436-035-0011(8).
Valid loss of strength in the arm, forearm, or hand, substantiated by clinical findings is valued the same as if the nerve supplying the affected muscle(s) was impaired.
Decreased strength due to an amputation receives no rating for weakness in addition to that given for amputation.
Decreased strength due to a loss in range of motion receives no rating for weakness in addition to that given for the loss of range of motion.
Loss of strength due to an injury in a single finger or thumb receives a value of zero, unless the strength loss is due to a compensable condition that is proximal to the digit.</t>
  </si>
  <si>
    <t>(6) Except as otherwise noted in these rules, impairment values to a given body part, area, or system are combined according to the method outlined on pages 254-256 by the AMA Guides to the Evaluation of Permanent Impairment, 3rd Ed. (Revised), 1990, as follows:
(a) The combined value is obtained by inserting the values for A and B into the formula A + B*(1.0 - A). The larger of the two numbers is A and the smaller is B. The whole number percentages of impairment are converted to their decimal equivalents (e.g. 12% converts to .12; 3% converts to .03). The resulting percentage is rounded to a whole number as determined in section (1) of this rule. Upon combining the largest two percentages, the resulting percentage is combined with any lesser percentage(s) in descending order using the same formula until all percentages have been combined prior to performing further computations. After the calculations are completed, the decimal result is then converted back to a percentage equivalent. Example: .12 + .03*(1.0 - .12) =.12 + .03*(.88) =.12 + .0264 =.1464 = 14.6 = 15.</t>
  </si>
  <si>
    <t>436-035-0011  Determining Percent of Impairment</t>
  </si>
  <si>
    <t>Permanent Disability Combiner</t>
  </si>
  <si>
    <t>Combining tool</t>
  </si>
  <si>
    <t>Error report</t>
  </si>
  <si>
    <t>1/10 distance from tip; between tip and interphalangeal joint</t>
  </si>
  <si>
    <t>Binaural total</t>
  </si>
  <si>
    <t>CLASS 2: There is objective evidence of colonic or rectal disease or anatomic loss or alteration; and
There are mild gastrointestinal symptoms with occasional disturbances of bowel function, accompanied by moderate pain; and
Minimal restriction of diet or mild symptomatic therapy may be necessary; and  -- No impairment of nutrition results.</t>
  </si>
  <si>
    <t>Partial loss of sensation</t>
  </si>
  <si>
    <t>Total loss of sensation</t>
  </si>
  <si>
    <t>1+/5</t>
  </si>
  <si>
    <t>1/5</t>
  </si>
  <si>
    <t>1-/5</t>
  </si>
  <si>
    <t>0/5</t>
  </si>
  <si>
    <t>X</t>
  </si>
  <si>
    <t>-</t>
  </si>
  <si>
    <t>=</t>
  </si>
  <si>
    <t>Selected text from OAR 436-035</t>
  </si>
  <si>
    <t>Grade   Description</t>
  </si>
  <si>
    <t>Percent</t>
  </si>
  <si>
    <t>5-/5:</t>
  </si>
  <si>
    <t>4+/5:</t>
  </si>
  <si>
    <t>4-/5:</t>
  </si>
  <si>
    <t>3+/5:</t>
  </si>
  <si>
    <t>Moderate</t>
  </si>
  <si>
    <t>Monocular diplopia</t>
  </si>
  <si>
    <t>Combined disability, right eye</t>
  </si>
  <si>
    <t>Combined disability, left eye</t>
  </si>
  <si>
    <t>Visual field loss</t>
  </si>
  <si>
    <t>Ocular motility impairment</t>
  </si>
  <si>
    <t>20/15</t>
  </si>
  <si>
    <t>20/20</t>
  </si>
  <si>
    <t>Central deltoid</t>
  </si>
  <si>
    <t>Anterior deltoid</t>
  </si>
  <si>
    <t>Maximum 
whole-person
percent</t>
  </si>
  <si>
    <t>Monocular total</t>
  </si>
  <si>
    <t>Conversion to hand value:</t>
  </si>
  <si>
    <t>Middle finger, amputation or resection without reattachment (or shortening of digit)</t>
  </si>
  <si>
    <r>
      <t xml:space="preserve">(a) </t>
    </r>
    <r>
      <rPr>
        <b/>
        <sz val="10"/>
        <rFont val="Times New Roman"/>
        <family val="1"/>
      </rPr>
      <t>Class 1:</t>
    </r>
    <r>
      <rPr>
        <sz val="10"/>
        <rFont val="Times New Roman"/>
        <family val="1"/>
      </rPr>
      <t xml:space="preserve"> 3% for the affected body part if treatment results in no more than minimal limitation in the</t>
    </r>
  </si>
  <si>
    <t>Combined disability</t>
  </si>
  <si>
    <t>Disease classes:</t>
  </si>
  <si>
    <t>Radial nerve - arm</t>
  </si>
  <si>
    <t xml:space="preserve">Radial nerve - </t>
  </si>
  <si>
    <t>forearm/musculospiral</t>
  </si>
  <si>
    <t>Musculocutaneous nerve (25% arm)</t>
  </si>
  <si>
    <t>(50% forearm)</t>
  </si>
  <si>
    <t>Respiratory System Disability Determination</t>
  </si>
  <si>
    <t>Lung impairment</t>
  </si>
  <si>
    <t>Air passage defects</t>
  </si>
  <si>
    <t>Speech impairment</t>
  </si>
  <si>
    <t>Colonic and rectal impairment</t>
  </si>
  <si>
    <t>Anal impairment</t>
  </si>
  <si>
    <t>Liver impairment</t>
  </si>
  <si>
    <t>Biliary tract impairment</t>
  </si>
  <si>
    <t>Upper urinary tract impairment</t>
  </si>
  <si>
    <t>Bladder impairment</t>
  </si>
  <si>
    <t>Urethra impairment</t>
  </si>
  <si>
    <t>Sexual dysfunction, penis</t>
  </si>
  <si>
    <t>Cervix/uterus impairment</t>
  </si>
  <si>
    <t>Urinary tract diversion</t>
  </si>
  <si>
    <t>Check box if all meridians are atleast minimal normal. Enter scotoma value, if applicable.</t>
  </si>
  <si>
    <t>Plantarflexion ankylosis</t>
  </si>
  <si>
    <t>MP joint:</t>
  </si>
  <si>
    <t>Joint total:</t>
  </si>
  <si>
    <t>4-/5</t>
  </si>
  <si>
    <t>3+/5</t>
  </si>
  <si>
    <t>3/5</t>
  </si>
  <si>
    <t>3-/5</t>
  </si>
  <si>
    <t>2+/5</t>
  </si>
  <si>
    <t>2/5</t>
  </si>
  <si>
    <t>2-/5</t>
  </si>
  <si>
    <t>Tibial shaft fracture resulting in malalignment (rotational deformity) - left</t>
  </si>
  <si>
    <t>Mild: 10 to 14 degrees</t>
  </si>
  <si>
    <t>Moderate: 15 to 19 degrees</t>
  </si>
  <si>
    <t>Severe: 20 degrees</t>
  </si>
  <si>
    <t>Severe: 21 degrees</t>
  </si>
  <si>
    <t>Severe: 22 degrees</t>
  </si>
  <si>
    <t>Severe: 23 degrees</t>
  </si>
  <si>
    <t>Severe: 24 degrees</t>
  </si>
  <si>
    <t>Severe: 25 degrees</t>
  </si>
  <si>
    <t>Severe: 26 degrees</t>
  </si>
  <si>
    <t>Total or partial prosthetic knee replacement</t>
  </si>
  <si>
    <t>Prosthetic femoral head replacement</t>
  </si>
  <si>
    <t>Varus deformity of the knee of 15 degrees or less</t>
  </si>
  <si>
    <t>Successful permanent tracheostomy or stoma</t>
  </si>
  <si>
    <t>Forward elevation
(flexion)</t>
  </si>
  <si>
    <t>Transfer</t>
  </si>
  <si>
    <t>1/2 distance from tip; between tip and distal interphalangeal joint</t>
  </si>
  <si>
    <t>Left fifth toe ROM impairment total:</t>
  </si>
  <si>
    <t>The designers of this calculator have endeavored to create a useful and accurate product.</t>
  </si>
  <si>
    <t>Lumbosacral spine: Surgical procedures</t>
  </si>
  <si>
    <t>Rocker bottom deformity of the foot</t>
  </si>
  <si>
    <t>performance of activities of daily living, although exposure to physical or chemical agents may</t>
  </si>
  <si>
    <t>Use the table below for overall strength loss due to nerve injury. If muscles innervated by the same nerve have different levels of strength loss, rate strength under OAR 436-035-0011(8) by averaging strength values for the affected muscles .</t>
  </si>
  <si>
    <t>Biliary tract impairment is determined according to the following classes:</t>
  </si>
  <si>
    <t>A worker is entitled to a 5% chronic condition impairment value when a preponderance of medical opinion establishes that, due to a chronic and permanent medical condition, the worker is significantly limited in the repetitive use of the thoracic spine.</t>
  </si>
  <si>
    <t>A worker is entitled to a 5% chronic condition impairment value when a preponderance of medical opinion establishes that, due to a chronic and permanent medical condition, the worker is significantly limited in the repetitive use of the lower back.</t>
  </si>
  <si>
    <t>Forearm conversion?
1=Yes</t>
  </si>
  <si>
    <t>Total percent unscheduled permanent disability</t>
  </si>
  <si>
    <t>Prior to</t>
  </si>
  <si>
    <t>Award calculation</t>
  </si>
  <si>
    <t>Unscheduled PPD %</t>
  </si>
  <si>
    <t>Maximum
degrees</t>
  </si>
  <si>
    <t>Degrees 
of PPD</t>
  </si>
  <si>
    <t>0-96</t>
  </si>
  <si>
    <t>96.1 - 192</t>
  </si>
  <si>
    <t>192.1 - 320</t>
  </si>
  <si>
    <t>0-64</t>
  </si>
  <si>
    <t>64.1 - 160</t>
  </si>
  <si>
    <t>160.1 - 320</t>
  </si>
  <si>
    <t>Dollars per degree</t>
  </si>
  <si>
    <t>Tier 1</t>
  </si>
  <si>
    <t>Tier 2</t>
  </si>
  <si>
    <t>Tier 3</t>
  </si>
  <si>
    <t>Total unscheduled permanent disability award</t>
  </si>
  <si>
    <t>Amputation or resection, 1st metatarsal</t>
  </si>
  <si>
    <t>Walk/stand limit</t>
  </si>
  <si>
    <t>Amputation or resection, 2nd metatarsal</t>
  </si>
  <si>
    <t>Amputation or resection, 3rd metatarsal</t>
  </si>
  <si>
    <t>Strength</t>
  </si>
  <si>
    <t>Amputation or resection, 4th metatarsal</t>
  </si>
  <si>
    <t>Amputation or resection, 5th metatarsal</t>
  </si>
  <si>
    <t>Added</t>
  </si>
  <si>
    <t>Ankylosis, 1st tarsometatarsal</t>
  </si>
  <si>
    <t>0/5:        The worker has no evidence of muscle contractility.</t>
  </si>
  <si>
    <t>Left Shoulder Disability Determination</t>
  </si>
  <si>
    <t>Left shoulder surgery</t>
  </si>
  <si>
    <t>Left shoulder dislocation or diastasis of a sternal joint</t>
  </si>
  <si>
    <t>Loss of strength in the left shoulder</t>
  </si>
  <si>
    <t xml:space="preserve">Thumb amputated 1/2 distance between tip and IP level </t>
  </si>
  <si>
    <t>Leg - Left
Leg strength loss is rated in the foot/lower leg section. Click link at right to rate strength.</t>
  </si>
  <si>
    <t xml:space="preserve">upper extremity usage; or there is marked edema incompletely controlled by elastic supports; or there </t>
  </si>
  <si>
    <t xml:space="preserve">are signs of vascular damage such as a healed amputation of two or more digits, with evidence of </t>
  </si>
  <si>
    <t xml:space="preserve">persistent vascular disease, or superficial ulceration; or cold intolerance (e.g. Raynaud’s phenomenon) </t>
  </si>
  <si>
    <t xml:space="preserve">When exposure to physical, chemical, or biological agents has resulted in the development of an immunological response, impairment of the immune system is valued as follows:
</t>
  </si>
  <si>
    <t>Surgery: 1/4 of patella</t>
  </si>
  <si>
    <t>Sugery: 1/2 of patella</t>
  </si>
  <si>
    <t>Surgery: 3/4 of patella</t>
  </si>
  <si>
    <t>Little finger, 1/2 digit, radial side only, protective sensation</t>
  </si>
  <si>
    <t>Little finger, 1/2 digit, ulnar side only, protective sensation</t>
  </si>
  <si>
    <t>Little finger, DIP joint, protective sensation</t>
  </si>
  <si>
    <t>Tibial shaft fracture resulting in malalignment (rotational deformity) - right</t>
  </si>
  <si>
    <t>Leg surgery right</t>
  </si>
  <si>
    <t>Finger amputated 1/4 distance from the DIP level, between the DIP and PIP levels</t>
  </si>
  <si>
    <t>Finger amputated 1/2 distance between the DIP and PIP levels</t>
  </si>
  <si>
    <t>Round2-R</t>
  </si>
  <si>
    <t>Round1-L</t>
  </si>
  <si>
    <t>Endocrine System</t>
  </si>
  <si>
    <t>SRS</t>
  </si>
  <si>
    <t>SS</t>
  </si>
  <si>
    <t>Total impairment, left hand/forearm:</t>
  </si>
  <si>
    <t>Left arm</t>
  </si>
  <si>
    <t>Arm, amputation or resection without reattachment</t>
  </si>
  <si>
    <t>Thoracic ROM impairment total:</t>
  </si>
  <si>
    <t>Conversion to arm value:</t>
  </si>
  <si>
    <t>Arm/forearm</t>
  </si>
  <si>
    <t>Right thumb</t>
  </si>
  <si>
    <t>Combined disability, thumb - right</t>
  </si>
  <si>
    <t>Permanent partial disability calculation for dates of injury on or after 1/1/2005: 
Use the calculation method (monaural or binaural) that results in the greater impairment.</t>
  </si>
  <si>
    <t>Forward flexion ankylosis</t>
  </si>
  <si>
    <t>Backward extension</t>
  </si>
  <si>
    <t>NA</t>
  </si>
  <si>
    <t>Maximum ankylosis value</t>
  </si>
  <si>
    <t>AGE:              Under 40                 40 to 65                 Over 65</t>
  </si>
  <si>
    <t>Cranial Nerves/Brain</t>
  </si>
  <si>
    <t>Complete inability to detect odors or alteration of the sense of smell</t>
  </si>
  <si>
    <t>Rate effects on vision under OAR 436-035-0260.</t>
  </si>
  <si>
    <t xml:space="preserve">asymptomatic dilation of arteries or veins (not requiring surgery and not resulting in curtailment of </t>
  </si>
  <si>
    <t>Nephrectomy</t>
  </si>
  <si>
    <t>Urinary tract diversion:</t>
  </si>
  <si>
    <t>Uretero-Intestinal</t>
  </si>
  <si>
    <t>Cutaneous Ureterostomy Without Intubation</t>
  </si>
  <si>
    <t>Nephrostomy or Intubated Ureterostomy</t>
  </si>
  <si>
    <t>Integument and lacrimal system</t>
  </si>
  <si>
    <t>Gastrointestinal and genitourinary systems</t>
  </si>
  <si>
    <t>Hematopoietic system</t>
  </si>
  <si>
    <t>Cranial nerves/brain</t>
  </si>
  <si>
    <t>Ankle angulation:</t>
  </si>
  <si>
    <t>Range of motion loss</t>
  </si>
  <si>
    <t>Total hip replacement</t>
  </si>
  <si>
    <t>Repeat total hip replacement</t>
  </si>
  <si>
    <t>Chronic condition, if applicable</t>
  </si>
  <si>
    <t>Hip</t>
  </si>
  <si>
    <t>Degrees of retained motion</t>
  </si>
  <si>
    <t>Internal rotation ankylosis</t>
  </si>
  <si>
    <t>Unscheduled</t>
  </si>
  <si>
    <t>0-96 degrees
(prior to 1/1/96)</t>
  </si>
  <si>
    <t>Personality disorders</t>
  </si>
  <si>
    <t>Class 1</t>
  </si>
  <si>
    <t>Class 2</t>
  </si>
  <si>
    <t>Affective, anxiety, somatoform, and chronic adjustment disorders</t>
  </si>
  <si>
    <t>Class 3</t>
  </si>
  <si>
    <t>Enucleation (removal) of the eye</t>
  </si>
  <si>
    <t>Enucleation</t>
  </si>
  <si>
    <t>Residual functional capacity (RFC)</t>
  </si>
  <si>
    <t xml:space="preserve">
Base functional capacity (BFC)
(physical demand)</t>
  </si>
  <si>
    <t xml:space="preserve">A value for a worker’s specific vocational preparation (SVP) time is allowed based on the job(s) successfully performed by the worker in the five (5) years prior to the date of issuance. </t>
  </si>
  <si>
    <t>If a preponderance of evidence establishes that the requirements of a specific job differ from the DOT description(s), one of the following may be substituted for the DOT description(s) if it more accurately describes the job: A specific job analysis as described under OAR 436-120-0410, which includes the SVP time requirement; or a job description that the parties agree is an accurate representation of the physical requirements, as well as the tasks and duties, of the worker’s regular job-at-injury.</t>
  </si>
  <si>
    <r>
      <t xml:space="preserve">Dermatological conditions - class descriptions
</t>
    </r>
    <r>
      <rPr>
        <sz val="10"/>
        <rFont val="Times New Roman"/>
        <family val="1"/>
      </rPr>
      <t>Impairments may or may not show signs or symptoms of skin disorder upon examination but are rated 
under the following classes</t>
    </r>
    <r>
      <rPr>
        <b/>
        <sz val="10"/>
        <rFont val="Times New Roman"/>
        <family val="1"/>
      </rPr>
      <t>:</t>
    </r>
  </si>
  <si>
    <t>function that occurs with exposure to temperatures below freezing (0° centigrade).</t>
  </si>
  <si>
    <t>results in a loss of use or function that occurs on exposure to temperatures below 4° centigrade.</t>
  </si>
  <si>
    <t>which results in a loss of use or function that occurs on exposure to temperatures below 10° centigrade.</t>
  </si>
  <si>
    <t>exposure to temperatures below 15° centigrade.</t>
  </si>
  <si>
    <t>occurs on exposure to temperatures below 20° centigrade.</t>
  </si>
  <si>
    <t>Neurological dysfunction resulting in cold intolerance in the upper extremity is valued under the affected body part using the same classifications for cold intolerance due to vascular dysfunction.</t>
  </si>
  <si>
    <t>Loss of sensation</t>
  </si>
  <si>
    <t>Loss of sensation, left palm</t>
  </si>
  <si>
    <t>Loss of sensation, palm</t>
  </si>
  <si>
    <t>Loss of sensation, right palm</t>
  </si>
  <si>
    <t>Joint instability, wrist</t>
  </si>
  <si>
    <t>SUMS:</t>
  </si>
  <si>
    <t>Class 1: 14% when the involved extremity can be used for self care, grasping, and holding but has difficulty with digital dexterity.</t>
  </si>
  <si>
    <t>Class 2: 34% when the involved extremity can be used for self care, grasping and holding objects with difficulty, but has no digital dexterity.</t>
  </si>
  <si>
    <t>Class 3: 55% when the involved extremity can be used but has difficulty with self care activities.</t>
  </si>
  <si>
    <t>Class 4: 100% when the involved extremity cannot be used for self care.</t>
  </si>
  <si>
    <t>Plantar sensation loss or hypersensitivity, right great toe</t>
  </si>
  <si>
    <t>Hypersensitivity, partial</t>
  </si>
  <si>
    <t>Hypersensitivity, total</t>
  </si>
  <si>
    <t>Plantar sensation loss or hypersensitivity, fifth toe - right</t>
  </si>
  <si>
    <t>Plantar sensation loss or hypersensitivity, foot - right</t>
  </si>
  <si>
    <t>Plantar sensation loss or hypersensitivity, second toe - right</t>
  </si>
  <si>
    <t>Plantar sensation loss or hypersensitivity, third toe - right</t>
  </si>
  <si>
    <t>Plantar sensation loss or hypersensitivity, fourth toe - right</t>
  </si>
  <si>
    <t xml:space="preserve">No value is allowed for loss of sensation or hypersensitivity in the toes if a value is given for the foot. </t>
  </si>
  <si>
    <t>Plantar sensation loss or hypersensitivity, left great toe</t>
  </si>
  <si>
    <t>Plantar sensation loss or hypersensitivity, second toe - left</t>
  </si>
  <si>
    <t>Plantar sensation loss or hypersensitivity, third toe - left</t>
  </si>
  <si>
    <t>Plantar sensation loss or hypersensitivity, fourth toe - left</t>
  </si>
  <si>
    <t>Plantar sensation loss or hypersensitivity, fifth toe - left</t>
  </si>
  <si>
    <t>Plantar sensation loss or hypersensitivity, foot - left</t>
  </si>
  <si>
    <t xml:space="preserve">No value is allowed for loss of sensation or hypersensitivy in the toes if a value is given for the foot.  </t>
  </si>
  <si>
    <t>Extent of sensation loss</t>
  </si>
  <si>
    <t>Extent of hypersensitivity</t>
  </si>
  <si>
    <t>Extent of loss</t>
  </si>
  <si>
    <t>Extent of hyersensitivity</t>
  </si>
  <si>
    <t>Dermatological conditions of the toe, including burns:</t>
  </si>
  <si>
    <t>Sensation loss</t>
  </si>
  <si>
    <t>Right Upper Extremity Disability Determination</t>
  </si>
  <si>
    <t>Left Upper Extremity Disability Determination</t>
  </si>
  <si>
    <t>Vascular dysfunction, upper extremity - class descriptions</t>
  </si>
  <si>
    <t>Impairment = maximum value for nerve x strength grade percentage, minus contralateral value, if applicable. For peripheral nerves, select "Overall" or select affected muscles if averaging is required under OAR 436-035-0011(8). When a spinal nerve root or lumbosacral plexus are not injured, valid loss of strength in the leg or foot is valued as if the peripheral nerve supplying (innervating) the muscle(s) demonstrating the decreased strength was impaired, as described in OAR 436-035-0230(9) and as modified under OAR 436-035-0011(7). Decreased strength due to an amputation receives no rating for weakness in addition to that given for amputation. Decreased strengh due to a loss in range of motion receives no rating for weakness in addition to that given for the loss of range of motion. Loss of strength due to an injury in a single toe receives a value of zero, unless the strength loss is due to a compensable condition that is proximal to the digit.</t>
  </si>
  <si>
    <t>Class 1: 23% when the worker can rise to a standing position and can walk but has difficulty with elevations, grades, steps, and distances.</t>
  </si>
  <si>
    <t>Class 2: 48% when the worker can rise to a standing position and can walk with difficulty but is limited to level surfaces. There is variability as to the distance the worker can walk.</t>
  </si>
  <si>
    <t>Class 3: 76% when the worker can rise to a standing position and can maintain it with difficulty but cannot walk without assistance.</t>
  </si>
  <si>
    <t>Class 4: 100% when the worker cannot stand without a prosthesis, the help of others, or mechanical support.</t>
  </si>
  <si>
    <t>Impairment = maximum value for nerve x strength grade percentage, minus contralateral value, if applicable. For peripheral nerves, select "Overall" or select affected muscles if averaging is required under OAR 436-035-0011(8). When a spinal nerve root or lumbosacral plexus are not injured, valid loss of strength in the leg or foot is valued as if the peripheral nerve supplying (innervating) the muscle(s) demonstrating the decreased strength was impaired, as described in OAR 436-035-0230(9) and as modified under OAR 436-035-0011(7). Decreased strength due to an amputation receives no rating for weakness in addition to that given for amputation. Decreased strength due to a loss in range of motion receives no rating for weakness in addition to that given for the loss of range of motion. Loss of strength due to an injury in a single toe receives a value of zero, unless the strength loss is due to a compensable condition that is proximal to the digit.</t>
  </si>
  <si>
    <t>Can the worker not be on his or her feet for more than two hours in an 8-hour period?</t>
  </si>
  <si>
    <t>A compression fracture followed by a corpectomy receives both the surgical value and the maximum compression fracture value.</t>
  </si>
  <si>
    <t>Right inferior ramus</t>
  </si>
  <si>
    <t>Left inferior ramus</t>
  </si>
  <si>
    <t>Right superior ramus</t>
  </si>
  <si>
    <t>Left superior ramus</t>
  </si>
  <si>
    <t>Class 1: 8% when signs of disequilibrium are present with supporting objective findings and the usual activities of daily living (ADL) are performed without assistance</t>
  </si>
  <si>
    <t>Class 2: 23% when signs of disequilibrium are present with supporting objective findings and the usual activities of daily living can be performed without assistance, and the worker is unable to operate a motor vehicle</t>
  </si>
  <si>
    <t>Class 3: 48% when signs of disequilibrium are present with supporting objective findings and the usual ADL cannot be performed without assistance</t>
  </si>
  <si>
    <t>Class 4: 80% when signs of disequilibrium are present with supporting objective findings and the usual ADL cannot be performed without assistance, and confinement to the home or other facility is necessary</t>
  </si>
  <si>
    <t>Ninth (glossopharyngeal),
Tenth (vagus), or
Eleventh cranial nerve 
(cranial accessory)</t>
  </si>
  <si>
    <t>Twelfth cranial nerve (hypoglossal)</t>
  </si>
  <si>
    <t>Sixth cranial nerve (abducens)</t>
  </si>
  <si>
    <t>Fifth cranial nerve (trigeminal)</t>
  </si>
  <si>
    <t>Fourth cranial nerve (trochlear)</t>
  </si>
  <si>
    <t>Third cranial nerve (oculomotor)</t>
  </si>
  <si>
    <t>Second cranial nerve (optic)</t>
  </si>
  <si>
    <t>First cranial nerve
(olfactory)</t>
  </si>
  <si>
    <t>Class 6</t>
  </si>
  <si>
    <t>Headaches</t>
  </si>
  <si>
    <t>Double-click for</t>
  </si>
  <si>
    <t>OAR 436-035-0385:</t>
  </si>
  <si>
    <t>OAR 436-035-0380:</t>
  </si>
  <si>
    <t xml:space="preserve">Impairment due to injuries to the brain or head
Double-click for
OAR 436-035-0390:
</t>
  </si>
  <si>
    <t>Headaches that are not a direct result of a brain or head injury (e.g., cervicogenic, sensory input issues, etc.) are given a value of 10% when they interfere with the activities of daily living, affect the worker’s ability to regularly perform work, and require continued prescription medication or therapy. If a value for headaches is granted under classes 1 through 6 above, a value is not granted because it is included in the impairment value for the episodic neurological disorder.</t>
  </si>
  <si>
    <t xml:space="preserve">Headaches
</t>
  </si>
  <si>
    <t xml:space="preserve">Eighth cranial nerve
(auditory)
</t>
  </si>
  <si>
    <t xml:space="preserve">Seventh cranial nerve
(facial)
</t>
  </si>
  <si>
    <t xml:space="preserve">Spinal cord impairment is determined under the following classes:
</t>
  </si>
  <si>
    <t>Class 1: 15% when the worker has spinal cord damage but is able to carry out the activities of daily living independently</t>
  </si>
  <si>
    <t>Class 2: 35% when the worker is a paraplegic and requires assistive measures or devices for any of the activities of daily living</t>
  </si>
  <si>
    <t>Class 3: 50% when the worker is a quadriplegic and requires assistive measures or devices for any of the activities of daily living</t>
  </si>
  <si>
    <t>Class 4: 75% when the worker is a paraplegic or quadriplegic and requires the assistance of another person for any of the activities of daily living</t>
  </si>
  <si>
    <t>Class 5: 95% when the worker is a paraplegic or quadriplegic and is dependent in all of the activities of daily living</t>
  </si>
  <si>
    <t xml:space="preserve">Double-click for
OAR 436-035-0400:
</t>
  </si>
  <si>
    <t>Class 2: 30% when there are complaints or evidence of disease and the usual activities of daily living can be performed with some difficulty; no blood transfusion is required; and the hemoglobin level is 8-10gm/100ml</t>
  </si>
  <si>
    <t>Class 1: 0% when there are no complaints or evidence of disease and the usual activities of daily living can be performed; no blood transfusion is required; and the hemoglobin level is 10-12gm/100ml</t>
  </si>
  <si>
    <t>Class 4: 85% when there are signs and symptoms of disease and the usual activities of daily living cannot be performed without assistance from others; blood transfusion of 2 to 3 units is required every 2 weeks, implying hemolysis of transfused blood; and the hemoglobin level is 5-8gm/100ml before transfusion</t>
  </si>
  <si>
    <t>Class 3: 70% when there are signs and symptoms of disease and the usual activities of daily living can be performed with difficulty and with varying amounts of assistance from others; blood transfusion of 2 to 3 units is required every 4 to 6 weeks; and the hemoglobin level is 5-8gm/100ml before transfusion</t>
  </si>
  <si>
    <t>Class 1: 5% when there are symptoms or signs of leukocyte abnormality and no or infrequent treatment is needed and all or most of the activities of daily living can be performed</t>
  </si>
  <si>
    <t>Class 2: 20% when there are symptoms and signs of leukocyte abnormality and continuous treatment is needed but most of the activities of daily living can be performed</t>
  </si>
  <si>
    <t>Class 3: 40% when there are symptoms and signs of leukocyte abnormality and continuous treatment is needed and the activities of daily living can be performed with occasional assistance from others</t>
  </si>
  <si>
    <t>Class 4: 73% when there are symptoms and signs of leukocyte abnormality and continuous treatment is needed and continuous care is required for activities of daily living</t>
  </si>
  <si>
    <t>Class 1: Symptoms or signs of upper digestive tract disease are present or there is anatomic loss or alteration; and
Continuous treatment is not required; and
Weight can be maintained at the desirable level; or
There are no sequelae after surgical procedures.</t>
  </si>
  <si>
    <t>Class 4: Symptoms and signs of organic upper digestive tract disease are present or there is anatomic loss or alteration; and
Symptoms are not controlled by treatment; or 
There is greater than a 20% loss of weight below the “desirable weight”* which is ascribable to a disorder of the upper digestive tract.</t>
  </si>
  <si>
    <t>Class 1: There is objective evidence of persistent liver disease even though no symptoms of liver disease are present; and no history of ascites, jaundice, or bleeding esophageal varices within three years; and
Nutrition and strength are good;
Biochemical studies indicate minimal disturbance in liver function; or -- Primary disorders of bilirubin metabolism are present.</t>
  </si>
  <si>
    <t>Class 3: There is objective evidence of progressive chronic liver disease, or history of jaundice, ascites, or bleeding esophageal or gastric varices within the past year; and
Nutrition and strength may be affected; or
There is intermittent hepatic encephalopathy.</t>
  </si>
  <si>
    <t>Class 4: There is objective evidence of progressive chronic liver disease, or persistent ascites or persistent jaundice or bleeding esophageal or gastric varices, with central nervous system manifestations of hepatic insufficiency; and
Nutritional state is poor.</t>
  </si>
  <si>
    <t>Class 1: Diminution of upper urinary tract function is present as evidenced by creatinine clearance of 75 to 90 liters/ 24 hr (52 to 62.5 ml/min), or PSP excretion of 15% to 20% in 15 minutes; or
Intermittent symptoms and signs of upper urinary tract dysfunction are present that do not require continuous treatment or surveillance.</t>
  </si>
  <si>
    <t>Class 2: Diminution of upper urinary tract function is present as evidenced by creatinine clearance of 60 to 75 liters/24 hr (42 to 52 ml/min), or PSP excretion of 10% to 15% in 15 minutes; or
Although creatinine clearance is greater than 75 liters/24 hr (52 ml/min), or PSP excretion is more than 15% in 15 minutes, symptoms and signs of upper urinary tract disease or dysfunction necessitate continuous surveillance and frequent treatment.</t>
  </si>
  <si>
    <t>Class 3: Diminution of upper urinary tract function is present as evidenced by creatinine clearance of 40 to 60 liters/24 hr (28 to 42 ml/min), or PSP excretion of 5% to 10% in 15 minutes; or
Although creatinine clearance is 60 to 75 liters/24 hr (42 to 52 ml/min), or PSP excretion is 10% to 15% in 15 minutes, symptoms and signs of upper urinary tract disease or dysfunction are incompletely controlled by surgical or continuous medical treatment.</t>
  </si>
  <si>
    <t>Class 4: Diminution of upper urinary tract function is present as evidenced by creatinine clearance below 40 liters/24 hr (28 ml/min), or PSP excretion below 5% in 15 minutes; or
Although creatinine clearance is 40 to 60 liters/24 hr (28 to 42 ml/min), or PSP excretion is 5% to 10% in 15 minutes, symptoms and signs of upper urinary tract disease or dysfunction persist despite surgical or continuous medical treatment.</t>
  </si>
  <si>
    <t>Class 1: Sexual function is possible, but with varying degrees of difficulty of erection, ejaculation or sensation.</t>
  </si>
  <si>
    <t>Class 2: Sexual function is possible with sufficient erection, but with impaired ejaculation and sensation.</t>
  </si>
  <si>
    <t>Class 3: No sexual function is possible.</t>
  </si>
  <si>
    <t>Class 1: Symptoms and signs of disease or deformity of the cervix, uterus, or vagina are present that do not require continuous treatment; or 
Cervical stenosis, if present, requires no treatment; or 
There is anatomic loss of the cervix, uterus, or vagina in the postmenopausal years.</t>
  </si>
  <si>
    <t>Class 2: Symptoms and signs of disease or deformity of the cervix, uterus, or vagina are present that require continuous treatment; or 
Cervical stenosis, if present, requires periodic treatment.</t>
  </si>
  <si>
    <t>Class 3: Symptoms and signs of disease or deformity of the cervix, uterus, or vagina are present that are not controlled by treatment; or
Cervical stenosis is complete; or
Anatomic or complete functional loss of the cervix, uterus, or vagina in premenopausal years.</t>
  </si>
  <si>
    <t>CLASS 4: There is objective evidence of colonic and rectal disease or anatomic loss or alteration; and
There are persistent disturbances of bowel function present at rest with severe persistent pain; and
Complete limitation of activity, continued restriction of diet, and medication do not entirely control the symptoms; and
There are constitutional manifestations (fever, weight loss, or anemia) present.</t>
  </si>
  <si>
    <t>Class 1: 5% for an occasional episode of biliary tract dysfunction</t>
  </si>
  <si>
    <t>Class 2: 20% for recurrent biliary tract impairment irrespective of treatment</t>
  </si>
  <si>
    <t>Class 3: 40% for irreparable obstruction of the bile tract with recurrent cholangitis</t>
  </si>
  <si>
    <t>Class 4: 75% for persistent jaundice and progressive liver disease due to obstruction of the common bile duct</t>
  </si>
  <si>
    <t>Class 1: 5% when the patient has symptoms and signs of bladder disorder requiring intermittent treatment with normal function between episodes of malfunction</t>
  </si>
  <si>
    <t>Class 2: 18% when (a) there are symptoms or signs of bladder disorder requiring continuous treatment; OR (b) there is good bladder reflex activity, but no voluntary control</t>
  </si>
  <si>
    <t>Class 3: 30% when the bladder has poor reflex activity, that is, there is intermittent dribbling, and no voluntary control</t>
  </si>
  <si>
    <t>Class 4: 50% when there is no reflex or voluntary control of the bladder, that is, there is continuous dribbling</t>
  </si>
  <si>
    <t>Class 1: 3% when symptoms and signs of urethral disorder are present that require intermittent therapy for control</t>
  </si>
  <si>
    <t>Class 2: 15% when there are symptoms and signs of a urethral disorder that cannot be effectively controlled by treatment</t>
  </si>
  <si>
    <t>Class 1: 5% when controlled effectively with continuous treatment</t>
  </si>
  <si>
    <t>Class 2: 18% when inadequately controlled by treatment</t>
  </si>
  <si>
    <t>Class 3: 38% when there are severe symptoms and signs despite treatment</t>
  </si>
  <si>
    <t>Class 1: 5% when (a) continuous thyroid therapy is required for correction of the thyroid insufficiency or for maintenance of normal thyroid anatomy; AND (b) the replacement therapy appears adequate based on objective physical or laboratory evidence</t>
  </si>
  <si>
    <t>Class 2: 18% when (a) symptoms and signs of thyroid disease are present, or there is anatomic loss or alteration; AND (b) continuous thyroid hormone replacement therapy is required for correction of the confirmed thyroid insufficiency; BUT (c) the presence of a disease process in another body system or systems permits only partial replacement of the thyroid hormone</t>
  </si>
  <si>
    <t>Class 1: 5% when symptoms and signs are controlled with medical therapy</t>
  </si>
  <si>
    <t>Class 2: 18% when there is persistent mild hypercalcemia, with mild nausea and polyuria</t>
  </si>
  <si>
    <t>Class 3: 78% when there is severe hypercalcemia, with nausea and lethargy</t>
  </si>
  <si>
    <t>Class 2: 15% when intermittent hypercalcemia or hypocalcemia, and more frequent symptoms in spite of careful medical attention</t>
  </si>
  <si>
    <t>Class 1: 3% when symptoms and signs controlled with medical therapy</t>
  </si>
  <si>
    <t>Class 2: 33% when symptoms and signs are controlled inadequately, usually during the course of acute illnesses</t>
  </si>
  <si>
    <t>Class 3: 78% when severe symptoms of adrenal crisis during major illness, usually due to severe glucocortocoid deficiency or sodium depletion</t>
  </si>
  <si>
    <t>Class 1: 5% when minimal, as with hyperadrenocorticism that is surgically correctable by removal of a pituitary or adrenal adenoma</t>
  </si>
  <si>
    <t>Class 2: 33% when moderate, as with bilateral hyperplasia that is treated with medical therapy or adrenalectomy</t>
  </si>
  <si>
    <t>Class 3: 78% when severe, as with aggressively metastasizing adrenal carcinoma</t>
  </si>
  <si>
    <t>Class 1: 5% when the duration of hypertension has not led to cardiovascular disease and a benign tumor can be removed surgically</t>
  </si>
  <si>
    <t>Class 2: 33% when there is inoperable malignant pheochromocytomas, if signs and symptoms of catecholoamine excess can be controlled with blocking agents</t>
  </si>
  <si>
    <t>Class 3: 78% when there is wide metastatic malignant pheochromocytomas, in which symptoms of catecholamine excess cannot be controlled</t>
  </si>
  <si>
    <t>Class 1: 3% when non-insulin dependent (Type II) diabetes mellitus can be controlled by diet; there may or may not be evidence of diabetic microangiopathy, as indicated by the presence of retinopathy or albuminuria greater than 30 mg/100 ml</t>
  </si>
  <si>
    <t>Class 2: 8% when non-insulin dependent (Type II) diabetes mellitus; and satisfactory control of the plasma glucose requires both a restricted diet and hypoglycemic medication, either an oral agent or insulin. Evidence of microangiopathy, as indicated by retinopathy or by albuminuria of greater than 30 mg/100 ml, may or may not be present</t>
  </si>
  <si>
    <t>Class 3: 18% when insulin dependent (Type I) diabetes mellitus is present with or without evidence of microangiopathy</t>
  </si>
  <si>
    <t>Class 4: 33% when insulin dependent (Type I) diabetes mellitus, and hyperglycemic or hypoglycemic episodes occur frequently in spite of conscientious efforts of both the patient and the attending physician</t>
  </si>
  <si>
    <t>Class 1: 0% when surgical removal of an islet-cell adenoma results in complete remission of the symptoms and signs of hypoglycemia, and there are no post-operative sequelae</t>
  </si>
  <si>
    <t>Class 2: 28% when signs and symptoms of hypoglycemia are present, with controlled diet and medications and with effects on the performance of activities of daily living</t>
  </si>
  <si>
    <t>Unilateral anatomic loss or alteration of the gonads that results in a loss or alteration in the ability to produce and regulate the gonadal hormones</t>
  </si>
  <si>
    <t>Bilateral anatomic loss or alteration of the gonads that results in a loss or alteration in the ability to produce and regulate the gonadal hormones</t>
  </si>
  <si>
    <t>Class 1: 3% when with treatment, there is no limitation, or minimal limitation, in the performance of work related activities, although exposure to certain physical or chemical agents might increase limitation temporarily</t>
  </si>
  <si>
    <t>Class 2: 15% when intermittent treatment is required and there is mild limitation in the performance of some work related activities</t>
  </si>
  <si>
    <t>Class 3: 38% when continuous treatment is required and there is moderate limitation in the performance of many work related activities</t>
  </si>
  <si>
    <t>Class 4: 68% when continuous treatment is required, which may include periodic confinement at home or other domicile; and there is moderate to severe limitation in the performance of many work related activities</t>
  </si>
  <si>
    <t>Class 5: 90% when continuous treatment is required, which necessitates confinement at home or other domicile; and there is severe limitation in the performance of work related activities</t>
  </si>
  <si>
    <t>Class 1: 3% when the reaction is a nuisance but does not prevent most regular work-related activities</t>
  </si>
  <si>
    <t>Class 2: 8% when the reaction prevents some regular work-related activities</t>
  </si>
  <si>
    <t>Class 3: 13% when the reaction prevents most regular work-related activities</t>
  </si>
  <si>
    <t>Class 1: 3% when the reaction is a nuisance but does not prevent most regular work related activities</t>
  </si>
  <si>
    <t>Class 2: 8% when the reaction prevents some regular work related activities</t>
  </si>
  <si>
    <t>Class 3: 13% when the reaction prevents most regular work related activities</t>
  </si>
  <si>
    <t>Damage to the brain or head</t>
  </si>
  <si>
    <t xml:space="preserve">          Ankle joint instability with additional anterior or posterior instability</t>
  </si>
  <si>
    <t>When reduced ranges of motion of the hip do not involve the pelvis or acetabulum, determine impairment under OAR 436-035-0220.</t>
  </si>
  <si>
    <t>If the reduced ranges of motion are a residual of pelvic or acetabular involvement, determine impairment under 
OAR 436-035-0340 (using this worksheet).</t>
  </si>
  <si>
    <t>If the reduced ranges of motion are a residual of pelvic or acetabular involvement, determine impairment under OAR 436-035-0340 (using this worksheet).</t>
  </si>
  <si>
    <t>Class 2: Symptoms and signs of organic upper digestive tract disease are present or there is anatomic loss or alteration; and
Appropriate dietary restrictions and drugs are required for control of symptoms, signs or nutritional deficiency; and
Loss of weight below the “desirable weight”* does not exceed 10%.</t>
  </si>
  <si>
    <t>Class 3: Symptoms and signs of organic upper digestive tract disease are present or there is anatomic loss or alteration; and
Appropriate dietary restrictions and drugs do not completely control symptoms, signs, or nutritional state; or
There is 10-20% loss of weight below the “desirable weight”* which is ascribable to a disorder of the upper digestive tract.</t>
  </si>
  <si>
    <t>CLASS 1: Signs of organic anal disease are present or there is anatomic loss or alteration; or
There is mild incontinence involving gas or liquid stool; or
Anal symptoms are mild, intermittent, and controlled by treatment.</t>
  </si>
  <si>
    <t>Total impairment, respiratory system</t>
  </si>
  <si>
    <r>
      <t>“</t>
    </r>
    <r>
      <rPr>
        <b/>
        <sz val="10"/>
        <rFont val="Times New Roman"/>
        <family val="1"/>
      </rPr>
      <t>Base functional capacity</t>
    </r>
    <r>
      <rPr>
        <sz val="10"/>
        <rFont val="Times New Roman"/>
        <family val="1"/>
      </rPr>
      <t>” (BFC) is established under OAR 436-035-0012(9) and means an individual’s demonstrated ability to perform work-related activities before the date of injury or disease.</t>
    </r>
  </si>
  <si>
    <r>
      <t>“</t>
    </r>
    <r>
      <rPr>
        <b/>
        <sz val="10"/>
        <rFont val="Times New Roman"/>
        <family val="1"/>
      </rPr>
      <t>Residual functional capacity</t>
    </r>
    <r>
      <rPr>
        <sz val="10"/>
        <rFont val="Times New Roman"/>
        <family val="1"/>
      </rPr>
      <t>” (RFC) is established under OAR 436-035-0012(10) and means an individual’s remaining ability to perform work-related activities at the time the worker is medically stationary.</t>
    </r>
  </si>
  <si>
    <t>Permanent partial disability calculation for dates of injury before 1/1/2005: Use the calculation method (monaural or binaural) that results in the greater impairment.</t>
  </si>
  <si>
    <t>ERROR: Date of birth cannot occur after date of injury.</t>
  </si>
  <si>
    <t>ERROR: Date of issuance cannot precede date of birth.</t>
  </si>
  <si>
    <t>Please enter the following data</t>
  </si>
  <si>
    <t>before proceeding:</t>
  </si>
  <si>
    <t>ERROR: Entries for release and return to work (above) are in conflict.</t>
  </si>
  <si>
    <t>Enter release and return to work information above.</t>
  </si>
  <si>
    <t>No release/return to work data</t>
  </si>
  <si>
    <t>Sensation loss, upper extremity</t>
  </si>
  <si>
    <t>(1) Loss of palmar sensation in the hand, finger(s), or thumb is rated based on the location and quality of the loss, and is measured by the two-point discrimination method.</t>
  </si>
  <si>
    <t>(b) If enough sensitivity remains to distinguish two pin pricks applied at the same time (two point), the following apply:</t>
  </si>
  <si>
    <t>….</t>
  </si>
  <si>
    <t xml:space="preserve"> 11-15 millimeters:                          protective sensation</t>
  </si>
  <si>
    <t xml:space="preserve"> 7-10 millimeters:                              less than normal</t>
  </si>
  <si>
    <t xml:space="preserve">  Finding                                          Grade of sensation</t>
  </si>
  <si>
    <t xml:space="preserve"> Greater than 15 millimeters:                total loss</t>
  </si>
  <si>
    <t xml:space="preserve"> 6 millimeters apart or less:                    normal</t>
  </si>
  <si>
    <t>4° centigrade = 39.2° fahrenheit.</t>
  </si>
  <si>
    <t>10° centigrade = 
50° fahrenheit.</t>
  </si>
  <si>
    <t>15° centigrade = 
59° fahrenheit.</t>
  </si>
  <si>
    <t>20° centigrade = 
68° fahrenheit.</t>
  </si>
  <si>
    <t>0° centigrade = 
32° fahrenheit.</t>
  </si>
  <si>
    <t>Enter date of injury on "Start here" worksheet: The disability award cannot be determined without the date of injury.</t>
  </si>
  <si>
    <t>See OAR 436-035-0009.
The worker returned to regular work at job held at time of injury;
The worker was released to regular work, and: either the job was available, but the worker failed or refused to return to that job; or, the employment was terminated for cause unrelated to the injury.
The worker has not returned and was not released to available, regular work at the job held at the time of injury.</t>
  </si>
  <si>
    <t>*</t>
  </si>
  <si>
    <r>
      <t>*</t>
    </r>
    <r>
      <rPr>
        <b/>
        <i/>
        <sz val="12"/>
        <rFont val="Times New Roman"/>
        <family val="1"/>
      </rPr>
      <t>Extract</t>
    </r>
    <r>
      <rPr>
        <b/>
        <sz val="12"/>
        <rFont val="Times New Roman"/>
        <family val="1"/>
      </rPr>
      <t xml:space="preserve"> Senate Bill 369 (1995) SECTION 66.</t>
    </r>
    <r>
      <rPr>
        <sz val="12"/>
        <rFont val="Times New Roman"/>
        <family val="1"/>
      </rPr>
      <t xml:space="preserve"> (1) Notwithstanding any other provision of law, this Act applies to all claims or causes of action existing or arising on or after the effective date of this Act, regardless of the date of injury or the date a claim is presented, and this Act is intended to be fully retroactive unless a specific exception is stated in this Act.</t>
    </r>
  </si>
  <si>
    <t>**</t>
  </si>
  <si>
    <t>**See Senate Bill 369 (1995) SECTION 18.</t>
  </si>
  <si>
    <t>0 = no impairment in either eye. 1 = impairement in one eye. 2 = impairment in both eyes and monocularl total is greater than binocular total. 3 = impairement in both eyes and binocular total is greater than monocular total.</t>
  </si>
  <si>
    <t>{notes}</t>
  </si>
  <si>
    <t>Programming note: The table to the left is used to populate the "Specific vocational preparation" field above.</t>
  </si>
  <si>
    <t>Programming note: The table below is used to populate the adaptability factor field that represents the comparison of base functional capacity and residual functional capacity.</t>
  </si>
  <si>
    <t>Programming note: The table below is used to populate the adaptability factor field that is based on the percentage of permanent impairment.</t>
  </si>
  <si>
    <t>ERROR: Date of injury is on or after 1/1/2005. Use PPD worksheet "PPD DOI on or after 1/1/2005."</t>
  </si>
  <si>
    <t>Permanent Partial Disability Determination
for dates of injury before 1/1/2005</t>
  </si>
  <si>
    <t>ROM adjusted to min. or max. normal:</t>
  </si>
  <si>
    <t>Hover for programming note</t>
  </si>
  <si>
    <t>Combine &amp; round</t>
  </si>
  <si>
    <t>ROM adjusted to minimum or maximum</t>
  </si>
  <si>
    <t>Counts of ROM and ankylosis</t>
  </si>
  <si>
    <t>Option button output and % value</t>
  </si>
  <si>
    <t>Contralateral values</t>
  </si>
  <si>
    <t>Programming note: The class lists at the right are used for pull-down menus in the chart at the left. The selected class is matched to the associated percentage.</t>
  </si>
  <si>
    <t>List to the right is used for pull-down menus in the chart to the left.</t>
  </si>
  <si>
    <t>Programming note</t>
  </si>
  <si>
    <t>Output for Yes/No option buttons:</t>
  </si>
  <si>
    <t>Output: C-5 through T-1</t>
  </si>
  <si>
    <t>Pre-2005: Values without conversion</t>
  </si>
  <si>
    <t>Pre-2005: Values with conversion</t>
  </si>
  <si>
    <t>Post-2004: Values without conversion</t>
  </si>
  <si>
    <t>Post-2004: Values with conversion</t>
  </si>
  <si>
    <t>&lt;&lt;Combined</t>
  </si>
  <si>
    <t>&lt;&lt;&lt;1=More $ if converted - pre-2005 DOI. 2=More or same $ if not converted - pre-2005 DOI. 3=More $ if converted - post-2004 DOI. 4=More or same $ if not converted - post-2004 DOI.</t>
  </si>
  <si>
    <t>There is hand or arm impairment (or both); conversion of digits to hand values is required.</t>
  </si>
  <si>
    <t>Do not convert: There is no hand or arm impairment, and the worker will not receive a higher dollar award if the digits are converted.</t>
  </si>
  <si>
    <t>Class 2: There is objective evidence of chronic liver disease even though no symptoms of liver disease are present; and no history of ascites, jaundice, or bleeding esophageal varices within three years; and -- Nutrition and strength are good; and
Biochemical studies indicate more severe liver damage than 
Class 1.</t>
  </si>
  <si>
    <t xml:space="preserve">
Impairment of the pancreas
Diabetes mellitus is rated according to the following classes:</t>
  </si>
  <si>
    <t>Impairment of thyroid function is determined according to the following classes:</t>
  </si>
  <si>
    <t>60% and over                                           7</t>
  </si>
  <si>
    <t>The worker returned to regular work;
The worker was released to regular work, the job was available, but the worker failed or refused to return to that job; or
The worker was released to regular work but the worker’s employment was terminated for cause unrelated to the injury.
The worker has not returned to regular work (and above options don't apply).</t>
  </si>
  <si>
    <t>ROM adjusted to min. or max. normal</t>
  </si>
  <si>
    <t>Checkbox output</t>
  </si>
  <si>
    <t>Dermatological classes</t>
  </si>
  <si>
    <t>Vacular / neurological dysfunction</t>
  </si>
  <si>
    <t>&lt;&lt;Hand/forearm</t>
  </si>
  <si>
    <t>&lt;&lt;Arm</t>
  </si>
  <si>
    <t>&lt;&lt; Used for data validation</t>
  </si>
  <si>
    <t>The list below is used for data validation and for pull-down menus for range of motion data entry.</t>
  </si>
  <si>
    <t>Transfer \ Round</t>
  </si>
  <si>
    <t>Max. percent</t>
  </si>
  <si>
    <t>Option output:</t>
  </si>
  <si>
    <t>Output L-2 through S-1</t>
  </si>
  <si>
    <t>Ankylosis present</t>
  </si>
  <si>
    <t>ROM 
present</t>
  </si>
  <si>
    <t>Programming 
note</t>
  </si>
  <si>
    <t>&lt;&lt;Leg</t>
  </si>
  <si>
    <t>&lt;&lt;Foot/ankle</t>
  </si>
  <si>
    <t>Programming note.</t>
  </si>
  <si>
    <t>The following list is used in pull-down menus for ranges of motion.</t>
  </si>
  <si>
    <t>Counts of ROM</t>
  </si>
  <si>
    <t>Counts of ankylosis</t>
  </si>
  <si>
    <t xml:space="preserve">A value of 5% of the foot is granted if there is a diagnosis of Grade IV chondromalacia, extensive arthritis, or extensive degenerative joint disease, AND one or more of the following: secondary strength loss; chronic effusion; varus deformity of the ankle of 15 degrees or less; valgus deformity of the ankle of 20 degrees or less.
</t>
  </si>
  <si>
    <t>Option output</t>
  </si>
  <si>
    <r>
      <t xml:space="preserve">
Common peroneal</t>
    </r>
    <r>
      <rPr>
        <sz val="12"/>
        <rFont val="Times New Roman"/>
        <family val="1"/>
      </rPr>
      <t xml:space="preserve">
</t>
    </r>
    <r>
      <rPr>
        <sz val="10"/>
        <rFont val="Times New Roman"/>
        <family val="1"/>
      </rPr>
      <t xml:space="preserve">
</t>
    </r>
    <r>
      <rPr>
        <b/>
        <sz val="10"/>
        <rFont val="Times New Roman"/>
        <family val="1"/>
      </rPr>
      <t xml:space="preserve">Deep
</t>
    </r>
    <r>
      <rPr>
        <b/>
        <sz val="7"/>
        <rFont val="Times New Roman"/>
        <family val="1"/>
      </rPr>
      <t xml:space="preserve">
</t>
    </r>
    <r>
      <rPr>
        <b/>
        <sz val="8"/>
        <rFont val="Times New Roman"/>
        <family val="1"/>
      </rPr>
      <t xml:space="preserve">
</t>
    </r>
    <r>
      <rPr>
        <b/>
        <sz val="10"/>
        <rFont val="Times New Roman"/>
        <family val="1"/>
      </rPr>
      <t xml:space="preserve">Deep
</t>
    </r>
  </si>
  <si>
    <t xml:space="preserve">A value of 5% of the leg is granted if there is a diagnosis of Grade IV chondromalacia, extensive arthritis, or extensive degenerative joint disease, AND one or more of the following: secondary strength loss; chronic effusion; varus deformity of the knee of 15 degrees or less; valgus deformity of the knee of 20 degrees or less.
</t>
  </si>
  <si>
    <t xml:space="preserve">A value of 5% of the leg is granted if there is a diagnosis of Grade IV chondromalacia, extensive arthritis, or extensive degenerative joint disease, AND one or more of the following: secondary strength loss; chronic effusion; varus deformity of the knee of 15 degrees or less; valgus deformity of the knee of 20 degrees or less.
</t>
  </si>
  <si>
    <t>Added - see note</t>
  </si>
  <si>
    <t>Numbers below are used for data validation, so only values from 1% to 100% can be entered.</t>
  </si>
  <si>
    <t>Adjusted hearing loss</t>
  </si>
  <si>
    <t>Adjust to minimum of 1%</t>
  </si>
  <si>
    <t>Total spine impairment:</t>
  </si>
  <si>
    <t>Total impairment, left hip:</t>
  </si>
  <si>
    <t>Total impairment, right hip:</t>
  </si>
  <si>
    <t>Total impairment, left shoulder:</t>
  </si>
  <si>
    <t>Total impairment, right shoulder:</t>
  </si>
  <si>
    <t>Total impairment, left middle finger:</t>
  </si>
  <si>
    <t>Total impairment, right middle finger:</t>
  </si>
  <si>
    <t>Total impairment, right index finger:</t>
  </si>
  <si>
    <t>Total impairment, right hand/forearm:</t>
  </si>
  <si>
    <t>Can the worker not be on feet for more than two hours in an 8-hour period?</t>
  </si>
  <si>
    <t>Subtotal:</t>
  </si>
  <si>
    <t>See OAR 436-035-0009.
The worker was released to regular work.
The worker returned to regular work at the job held at the time of injury.
The worker was not released to regular work and has not returned to regular work at the job held at the time of injury.</t>
  </si>
  <si>
    <t>NOTE: Data below is used for data validation - pull-down menus and to set lower and upper limits to amounts entered.</t>
  </si>
  <si>
    <t>List below for ROM data validation lists/menus.</t>
  </si>
  <si>
    <t>Values below are used in data validation - minimum/maximum</t>
  </si>
  <si>
    <t>&lt;&lt;&lt;Maximum ankylosis value</t>
  </si>
  <si>
    <t>ROM measures present</t>
  </si>
  <si>
    <t>Ankylosed joints present</t>
  </si>
  <si>
    <t>&lt;&lt;&lt;Total disability percentage for shoulder ROM</t>
  </si>
  <si>
    <t>Programming note: Numbers listed are output from options buttons.</t>
  </si>
  <si>
    <t>Programming note: "TRUE" and "FALSE" below reflect checkboxes.</t>
  </si>
  <si>
    <t>Programming note: Table below is used for strength grade lookup.</t>
  </si>
  <si>
    <t>Transfer and round</t>
  </si>
  <si>
    <t>Programming note: Number below is output from option buttons.</t>
  </si>
  <si>
    <t>&lt;&lt;&lt;Total disability percentage for hip ROM</t>
  </si>
  <si>
    <t>Sum of vertebrae</t>
  </si>
  <si>
    <t>Sum of discs</t>
  </si>
  <si>
    <t>1 disc, 1 or 2 vertabrae</t>
  </si>
  <si>
    <t>Add for vertabrae</t>
  </si>
  <si>
    <t>Add for discs</t>
  </si>
  <si>
    <t>Thoracic spine: 
Fracture of one or more posterior elements of a vertebra - enter "X" or "NA" or leave blank.</t>
  </si>
  <si>
    <t>Cervical spine: 
Fracture of one or more posterior elements of a vertebra - enter "X" or "NA" or leave blank.</t>
  </si>
  <si>
    <t>Lumbosacral spine: Fracture of one or more posterior elements of a vertebra - enter "X" or "NA" or leave blank.</t>
  </si>
  <si>
    <t>Values are used in data validation - surgical procedures and fractures.</t>
  </si>
  <si>
    <t>List below is used for selecting number of additonal surgical procedures - data validation.</t>
  </si>
  <si>
    <t>&lt;&lt;&lt;List is used in data validation for percentage of compression in compression fractures.</t>
  </si>
  <si>
    <t>Formulas in cells return "1" for each vertabra and disc affected.</t>
  </si>
  <si>
    <t>Check box output</t>
  </si>
  <si>
    <t>"TRUE" converts to "1"</t>
  </si>
  <si>
    <t>Convert "TRUE" to "1"</t>
  </si>
  <si>
    <t>&lt;&lt;&lt; Option buttons output</t>
  </si>
  <si>
    <t>Apportionment (if any)</t>
  </si>
  <si>
    <t>Checkbox output:</t>
  </si>
  <si>
    <t>Options button output:</t>
  </si>
  <si>
    <t>Apportionment (if any):</t>
  </si>
  <si>
    <r>
      <t xml:space="preserve">Programming note: </t>
    </r>
    <r>
      <rPr>
        <sz val="9"/>
        <rFont val="Times New Roman"/>
        <family val="1"/>
      </rPr>
      <t>Options output converted to % impairment:</t>
    </r>
  </si>
  <si>
    <t>Option buttons output:</t>
  </si>
  <si>
    <t>Option button output:</t>
  </si>
  <si>
    <t>Option  button output:</t>
  </si>
  <si>
    <t>`</t>
  </si>
  <si>
    <t>Hover for programming note.</t>
  </si>
  <si>
    <t>Values carried in from "Upper Extremity-Right."</t>
  </si>
  <si>
    <t>Values carried out to "Upper Extremity-Right."</t>
  </si>
  <si>
    <t>Values carried in from "Upper Extremity-Left."</t>
  </si>
  <si>
    <t>Values carried out to "Upper Extremity-Left."</t>
  </si>
  <si>
    <t>Values carried in from "Lower Extremity-Right."</t>
  </si>
  <si>
    <t>Values carried out to "Lower Extremity-Right."</t>
  </si>
  <si>
    <t>Note: List below, 0 to 100, is used for data validation pull-down menus for hearing losses in decibels.</t>
  </si>
  <si>
    <t>Hearing Loss Table</t>
  </si>
  <si>
    <t>Values carried in from "Shoulder-Right."</t>
  </si>
  <si>
    <t>Values carried out to "Shoulder-Right."</t>
  </si>
  <si>
    <t>Values carried in from "Shoulder-Left."</t>
  </si>
  <si>
    <t>Values carried out to "Shoulder-Left."</t>
  </si>
  <si>
    <t>Values carried in from "Hip-Right."</t>
  </si>
  <si>
    <t>Values carried out to "Hip-Right."</t>
  </si>
  <si>
    <t>Values carried in from "Hip-Left."</t>
  </si>
  <si>
    <t>Values carried out to "Hip-Left."</t>
  </si>
  <si>
    <t>Values carried in from "Spine."</t>
  </si>
  <si>
    <t>Values carried out to "Spine."</t>
  </si>
  <si>
    <t>Date of issuance:</t>
  </si>
  <si>
    <t>Date of birth:</t>
  </si>
  <si>
    <t>Age at issuance:</t>
  </si>
  <si>
    <t>Near right</t>
  </si>
  <si>
    <t>Near left</t>
  </si>
  <si>
    <t>Central vision loss</t>
  </si>
  <si>
    <t>Apportionment - right</t>
  </si>
  <si>
    <t>Apportionment - left</t>
  </si>
  <si>
    <t>Scaphoid</t>
  </si>
  <si>
    <t>Lunate</t>
  </si>
  <si>
    <t>Triquetrum</t>
  </si>
  <si>
    <t>Pisiform</t>
  </si>
  <si>
    <t>Trapezium</t>
  </si>
  <si>
    <t>Trapezoid</t>
  </si>
  <si>
    <t>Capitate</t>
  </si>
  <si>
    <t>Hamate</t>
  </si>
  <si>
    <t>Prosthetic carpal bone replacement 
or 
Carpal bone removal, (any portion) without replacement</t>
  </si>
  <si>
    <t>Scaphoid removal/replacement</t>
  </si>
  <si>
    <t>Lunate removal/replacement</t>
  </si>
  <si>
    <t>Triquetrum removal/replacement</t>
  </si>
  <si>
    <t>Pisiform removal/replacement</t>
  </si>
  <si>
    <t>Trapezium removal/replacement</t>
  </si>
  <si>
    <t>Trapezoid removal/replacement</t>
  </si>
  <si>
    <t>Capitate removal/replacement</t>
  </si>
  <si>
    <t>Hamate removal/replacement</t>
  </si>
  <si>
    <t>Option buttons output &gt;&gt;&gt;</t>
  </si>
  <si>
    <t>Apportionmet</t>
  </si>
  <si>
    <t>Sum of ankylosis findings</t>
  </si>
  <si>
    <t>Multiple ankylosis values; use highest value only.</t>
  </si>
  <si>
    <t>Multiple ankylosis values; use higher value only.</t>
  </si>
  <si>
    <t>Cannot rate ROM and ankylosis in the foot.</t>
  </si>
  <si>
    <t>Cannot rate ROM and ankylosis in the ankle.</t>
  </si>
  <si>
    <t>Multiple ankylosis values. Use highest value only.</t>
  </si>
  <si>
    <t>Multiple ankylosis findings. Use highest value only.</t>
  </si>
  <si>
    <t>For data validation: minimum/maximum %</t>
  </si>
  <si>
    <t>Calculation:</t>
  </si>
  <si>
    <t>Use this calculator only for claim closures occurring on or after Dec. 4, 2022.</t>
  </si>
  <si>
    <t>Date of birth (required if social/vocational factors apply)</t>
  </si>
  <si>
    <t>Missing findings</t>
  </si>
  <si>
    <t>Baseline R</t>
  </si>
  <si>
    <t>Baseline L</t>
  </si>
  <si>
    <t>Current R</t>
  </si>
  <si>
    <t>Current L</t>
  </si>
  <si>
    <t>Baseline findings are present without current findings.</t>
  </si>
  <si>
    <t>For questions, please contact:</t>
  </si>
  <si>
    <t>Steve Passantino, Appellate Review Unit manager</t>
  </si>
  <si>
    <t>503-509-6354</t>
  </si>
  <si>
    <t>steve.s.passantino@dcbs.oregon.gove</t>
  </si>
  <si>
    <t>Click here to describe errors or problems below. Send copy of file to steve.s.passantino@dcbs.oregon.gov. Remove the injured worker's name from this file before sending. Thank you!</t>
  </si>
  <si>
    <t>Christina Scheungrab</t>
  </si>
  <si>
    <t>971-701-5134</t>
  </si>
  <si>
    <t>Christina.Scheungrab@dcbs.oregon.gov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</si>
</sst>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_);[Red]\(&quot;$&quot;#,##0.00\)"/>
    <numFmt numFmtId="44" formatCode="_(&quot;$&quot;* #,##0.00_);_(&quot;$&quot;* \(#,##0.00\);_(&quot;$&quot;* &quot;-&quot;??_);_(@_)"/>
    <numFmt numFmtId="164" formatCode="0.0%"/>
    <numFmt numFmtId="165" formatCode="0.000%"/>
    <numFmt numFmtId="166" formatCode="0.0"/>
    <numFmt numFmtId="167" formatCode="0.0000"/>
    <numFmt numFmtId="168" formatCode="0.0000%"/>
    <numFmt numFmtId="169" formatCode="&quot;$&quot;#,##0.00"/>
    <numFmt numFmtId="170" formatCode="0_);\(0\)"/>
    <numFmt numFmtId="171" formatCode="&quot;$&quot;#,##0"/>
  </numFmts>
  <fonts count="65" x14ac:knownFonts="1">
    <font>
      <sz val="10"/>
      <name val="Arial"/>
    </font>
    <font>
      <sz val="10"/>
      <name val="Arial"/>
      <family val="2"/>
    </font>
    <font>
      <sz val="10"/>
      <name val="Times New Roman"/>
      <family val="1"/>
    </font>
    <font>
      <b/>
      <sz val="10"/>
      <name val="Times New Roman"/>
      <family val="1"/>
    </font>
    <font>
      <u/>
      <sz val="10"/>
      <color indexed="12"/>
      <name val="Arial"/>
      <family val="2"/>
    </font>
    <font>
      <b/>
      <sz val="9"/>
      <name val="Times New Roman"/>
      <family val="1"/>
    </font>
    <font>
      <b/>
      <sz val="11"/>
      <name val="Times New Roman"/>
      <family val="1"/>
    </font>
    <font>
      <b/>
      <sz val="10"/>
      <color indexed="8"/>
      <name val="Times New Roman"/>
      <family val="1"/>
    </font>
    <font>
      <sz val="9"/>
      <name val="Times New Roman"/>
      <family val="1"/>
    </font>
    <font>
      <b/>
      <sz val="10"/>
      <color indexed="10"/>
      <name val="Times New Roman"/>
      <family val="1"/>
    </font>
    <font>
      <i/>
      <sz val="10"/>
      <color indexed="17"/>
      <name val="Times New Roman"/>
      <family val="1"/>
    </font>
    <font>
      <sz val="11"/>
      <color indexed="8"/>
      <name val="Times New Roman"/>
      <family val="1"/>
    </font>
    <font>
      <sz val="10"/>
      <color indexed="8"/>
      <name val="Times New Roman"/>
      <family val="1"/>
    </font>
    <font>
      <sz val="10.5"/>
      <name val="Times New Roman"/>
      <family val="1"/>
    </font>
    <font>
      <sz val="11"/>
      <name val="Times New Roman"/>
      <family val="1"/>
    </font>
    <font>
      <u/>
      <sz val="10"/>
      <color indexed="12"/>
      <name val="Times New Roman"/>
      <family val="1"/>
    </font>
    <font>
      <sz val="14"/>
      <name val="Times New Roman"/>
      <family val="1"/>
    </font>
    <font>
      <sz val="10"/>
      <color indexed="10"/>
      <name val="Times New Roman"/>
      <family val="1"/>
    </font>
    <font>
      <sz val="12"/>
      <name val="Times New Roman"/>
      <family val="1"/>
    </font>
    <font>
      <sz val="8"/>
      <name val="Times New Roman"/>
      <family val="1"/>
    </font>
    <font>
      <i/>
      <sz val="9"/>
      <name val="Times New Roman"/>
      <family val="1"/>
    </font>
    <font>
      <i/>
      <sz val="10"/>
      <name val="Times New Roman"/>
      <family val="1"/>
    </font>
    <font>
      <i/>
      <sz val="10"/>
      <color indexed="60"/>
      <name val="Times New Roman"/>
      <family val="1"/>
    </font>
    <font>
      <sz val="12"/>
      <color indexed="10"/>
      <name val="Times New Roman"/>
      <family val="1"/>
    </font>
    <font>
      <sz val="10"/>
      <color indexed="17"/>
      <name val="Times New Roman"/>
      <family val="1"/>
    </font>
    <font>
      <sz val="11"/>
      <color indexed="10"/>
      <name val="Times New Roman"/>
      <family val="1"/>
    </font>
    <font>
      <i/>
      <sz val="9"/>
      <color indexed="17"/>
      <name val="Times New Roman"/>
      <family val="1"/>
    </font>
    <font>
      <sz val="11"/>
      <color indexed="57"/>
      <name val="Times New Roman"/>
      <family val="1"/>
    </font>
    <font>
      <sz val="9"/>
      <color indexed="10"/>
      <name val="Times New Roman"/>
      <family val="1"/>
    </font>
    <font>
      <sz val="9"/>
      <color indexed="17"/>
      <name val="Times New Roman"/>
      <family val="1"/>
    </font>
    <font>
      <i/>
      <sz val="10"/>
      <color indexed="57"/>
      <name val="Times New Roman"/>
      <family val="1"/>
    </font>
    <font>
      <i/>
      <sz val="10"/>
      <color indexed="10"/>
      <name val="Times New Roman"/>
      <family val="1"/>
    </font>
    <font>
      <sz val="10"/>
      <color indexed="60"/>
      <name val="Times New Roman"/>
      <family val="1"/>
    </font>
    <font>
      <sz val="12"/>
      <color indexed="9"/>
      <name val="Times New Roman"/>
      <family val="1"/>
    </font>
    <font>
      <sz val="14"/>
      <color indexed="8"/>
      <name val="Times New Roman"/>
      <family val="1"/>
    </font>
    <font>
      <sz val="10.5"/>
      <color indexed="8"/>
      <name val="Times New Roman"/>
      <family val="1"/>
    </font>
    <font>
      <i/>
      <sz val="11"/>
      <name val="Times New Roman"/>
      <family val="1"/>
    </font>
    <font>
      <b/>
      <sz val="12"/>
      <color indexed="9"/>
      <name val="Times New Roman"/>
      <family val="1"/>
    </font>
    <font>
      <b/>
      <i/>
      <sz val="10"/>
      <name val="Times New Roman"/>
      <family val="1"/>
    </font>
    <font>
      <b/>
      <sz val="9"/>
      <color indexed="10"/>
      <name val="Times New Roman"/>
      <family val="1"/>
    </font>
    <font>
      <b/>
      <sz val="12"/>
      <name val="Times New Roman"/>
      <family val="1"/>
    </font>
    <font>
      <sz val="6"/>
      <name val="Times New Roman"/>
      <family val="1"/>
    </font>
    <font>
      <b/>
      <sz val="8"/>
      <name val="Times New Roman"/>
      <family val="1"/>
    </font>
    <font>
      <b/>
      <sz val="7"/>
      <name val="Times New Roman"/>
      <family val="1"/>
    </font>
    <font>
      <b/>
      <i/>
      <sz val="14"/>
      <color indexed="10"/>
      <name val="Times New Roman"/>
      <family val="1"/>
    </font>
    <font>
      <i/>
      <sz val="14"/>
      <color indexed="17"/>
      <name val="Times New Roman"/>
      <family val="1"/>
    </font>
    <font>
      <i/>
      <sz val="10"/>
      <color indexed="58"/>
      <name val="Times New Roman"/>
      <family val="1"/>
    </font>
    <font>
      <b/>
      <sz val="10"/>
      <color indexed="9"/>
      <name val="Times New Roman"/>
      <family val="1"/>
    </font>
    <font>
      <u/>
      <sz val="12"/>
      <color indexed="12"/>
      <name val="Times New Roman"/>
      <family val="1"/>
    </font>
    <font>
      <sz val="8"/>
      <color indexed="8"/>
      <name val="Times New Roman"/>
      <family val="1"/>
    </font>
    <font>
      <sz val="10"/>
      <name val="Arial"/>
      <family val="2"/>
    </font>
    <font>
      <sz val="10"/>
      <color indexed="10"/>
      <name val="Arial"/>
      <family val="2"/>
    </font>
    <font>
      <i/>
      <sz val="8"/>
      <color indexed="17"/>
      <name val="Times New Roman"/>
      <family val="1"/>
    </font>
    <font>
      <sz val="10"/>
      <color indexed="53"/>
      <name val="Times New Roman"/>
      <family val="1"/>
    </font>
    <font>
      <b/>
      <sz val="14"/>
      <name val="Times New Roman"/>
      <family val="1"/>
    </font>
    <font>
      <b/>
      <i/>
      <sz val="12"/>
      <name val="Times New Roman"/>
      <family val="1"/>
    </font>
    <font>
      <sz val="9"/>
      <color indexed="81"/>
      <name val="Tahoma"/>
      <family val="2"/>
    </font>
    <font>
      <b/>
      <sz val="9"/>
      <color indexed="81"/>
      <name val="Tahoma"/>
      <family val="2"/>
    </font>
    <font>
      <i/>
      <sz val="10"/>
      <color theme="6" tint="-0.499984740745262"/>
      <name val="Times New Roman"/>
      <family val="1"/>
    </font>
    <font>
      <sz val="8"/>
      <color rgb="FF000000"/>
      <name val="Tahoma"/>
      <family val="2"/>
    </font>
    <font>
      <sz val="8"/>
      <color rgb="FF000000"/>
      <name val="Segoe UI"/>
      <family val="2"/>
    </font>
    <font>
      <u/>
      <sz val="9"/>
      <color indexed="12"/>
      <name val="Arial"/>
      <family val="2"/>
    </font>
    <font>
      <b/>
      <sz val="10"/>
      <color theme="1"/>
      <name val="Times New Roman"/>
      <family val="1"/>
    </font>
    <font>
      <i/>
      <sz val="10"/>
      <color rgb="FF00B050"/>
      <name val="Times New Roman"/>
      <family val="1"/>
    </font>
    <font>
      <sz val="10"/>
      <color rgb="FFFF0000"/>
      <name val="Times New Roman"/>
      <family val="1"/>
    </font>
  </fonts>
  <fills count="8">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12"/>
        <bgColor indexed="64"/>
      </patternFill>
    </fill>
    <fill>
      <patternFill patternType="solid">
        <fgColor rgb="FFFFFF99"/>
        <bgColor indexed="64"/>
      </patternFill>
    </fill>
    <fill>
      <patternFill patternType="solid">
        <fgColor theme="4" tint="0.59999389629810485"/>
        <bgColor indexed="64"/>
      </patternFill>
    </fill>
    <fill>
      <patternFill patternType="solid">
        <fgColor rgb="FFCCFFCC"/>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4">
    <xf numFmtId="0" fontId="0" fillId="0" borderId="0"/>
    <xf numFmtId="44" fontId="1" fillId="0" borderId="0" applyFont="0" applyFill="0" applyBorder="0" applyAlignment="0" applyProtection="0"/>
    <xf numFmtId="0" fontId="4" fillId="0" borderId="0" applyNumberFormat="0" applyFill="0" applyBorder="0" applyAlignment="0" applyProtection="0">
      <alignment vertical="top"/>
      <protection locked="0"/>
    </xf>
    <xf numFmtId="9" fontId="1" fillId="0" borderId="0" applyFont="0" applyFill="0" applyBorder="0" applyAlignment="0" applyProtection="0"/>
  </cellStyleXfs>
  <cellXfs count="1688">
    <xf numFmtId="0" fontId="0" fillId="0" borderId="0" xfId="0"/>
    <xf numFmtId="0" fontId="2" fillId="0" borderId="0" xfId="0" applyFont="1" applyAlignment="1">
      <alignment horizontal="center"/>
    </xf>
    <xf numFmtId="0" fontId="2" fillId="0" borderId="0" xfId="0" applyFont="1"/>
    <xf numFmtId="1" fontId="2" fillId="0" borderId="1" xfId="0" applyNumberFormat="1" applyFont="1" applyBorder="1" applyAlignment="1">
      <alignment horizontal="center"/>
    </xf>
    <xf numFmtId="2" fontId="2" fillId="0" borderId="1" xfId="0" applyNumberFormat="1" applyFont="1" applyBorder="1" applyAlignment="1">
      <alignment horizontal="center"/>
    </xf>
    <xf numFmtId="1" fontId="2" fillId="0" borderId="0" xfId="0" applyNumberFormat="1" applyFont="1" applyAlignment="1">
      <alignment horizontal="right"/>
    </xf>
    <xf numFmtId="0" fontId="2" fillId="0" borderId="0" xfId="0" applyFont="1" applyAlignment="1">
      <alignment horizontal="right"/>
    </xf>
    <xf numFmtId="9" fontId="2" fillId="0" borderId="0" xfId="0" applyNumberFormat="1" applyFont="1"/>
    <xf numFmtId="9" fontId="2" fillId="0" borderId="0" xfId="0" applyNumberFormat="1" applyFont="1" applyAlignment="1">
      <alignment horizontal="center"/>
    </xf>
    <xf numFmtId="1" fontId="2" fillId="0" borderId="0" xfId="0" applyNumberFormat="1" applyFont="1" applyAlignment="1">
      <alignment horizontal="center"/>
    </xf>
    <xf numFmtId="0" fontId="2" fillId="0" borderId="0" xfId="0" applyFont="1" applyAlignment="1">
      <alignment horizontal="left"/>
    </xf>
    <xf numFmtId="9" fontId="2" fillId="0" borderId="0" xfId="3" applyFont="1" applyAlignment="1">
      <alignment horizontal="left"/>
    </xf>
    <xf numFmtId="10" fontId="2" fillId="0" borderId="1" xfId="0" applyNumberFormat="1" applyFont="1" applyBorder="1" applyAlignment="1">
      <alignment horizontal="right"/>
    </xf>
    <xf numFmtId="0" fontId="2" fillId="0" borderId="1" xfId="0" applyFont="1" applyBorder="1" applyAlignment="1">
      <alignment horizontal="right"/>
    </xf>
    <xf numFmtId="9" fontId="2" fillId="0" borderId="0" xfId="3" applyFont="1" applyBorder="1" applyAlignment="1">
      <alignment horizontal="left"/>
    </xf>
    <xf numFmtId="0" fontId="2" fillId="0" borderId="0" xfId="0" applyFont="1" applyProtection="1">
      <protection locked="0"/>
    </xf>
    <xf numFmtId="0" fontId="12" fillId="0" borderId="0" xfId="0" applyFont="1"/>
    <xf numFmtId="9" fontId="2" fillId="0" borderId="0" xfId="3" applyFont="1" applyFill="1" applyBorder="1" applyAlignment="1"/>
    <xf numFmtId="0" fontId="2" fillId="0" borderId="1" xfId="0" applyFont="1" applyBorder="1" applyAlignment="1">
      <alignment horizontal="center"/>
    </xf>
    <xf numFmtId="0" fontId="2" fillId="0" borderId="1" xfId="0" applyFont="1" applyBorder="1" applyAlignment="1">
      <alignment horizontal="center" wrapText="1"/>
    </xf>
    <xf numFmtId="0" fontId="2" fillId="0" borderId="2" xfId="0" applyFont="1" applyBorder="1" applyAlignment="1">
      <alignment horizontal="center"/>
    </xf>
    <xf numFmtId="9" fontId="2" fillId="2" borderId="1" xfId="3" applyFont="1" applyFill="1" applyBorder="1" applyAlignment="1">
      <alignment horizontal="center"/>
    </xf>
    <xf numFmtId="9" fontId="12" fillId="0" borderId="1" xfId="3" applyFont="1" applyFill="1" applyBorder="1" applyAlignment="1">
      <alignment horizontal="center"/>
    </xf>
    <xf numFmtId="9" fontId="2" fillId="0" borderId="3" xfId="3" applyFont="1" applyBorder="1" applyAlignment="1">
      <alignment horizontal="center"/>
    </xf>
    <xf numFmtId="9" fontId="2" fillId="0" borderId="0" xfId="3" applyFont="1" applyBorder="1" applyAlignment="1">
      <alignment horizontal="center"/>
    </xf>
    <xf numFmtId="1" fontId="2" fillId="0" borderId="2" xfId="0" applyNumberFormat="1" applyFont="1" applyBorder="1" applyAlignment="1">
      <alignment horizontal="center"/>
    </xf>
    <xf numFmtId="2" fontId="2" fillId="0" borderId="2" xfId="0" applyNumberFormat="1" applyFont="1" applyBorder="1" applyAlignment="1">
      <alignment horizontal="center"/>
    </xf>
    <xf numFmtId="10" fontId="2" fillId="0" borderId="2" xfId="3" applyNumberFormat="1" applyFont="1" applyBorder="1" applyAlignment="1">
      <alignment horizontal="center"/>
    </xf>
    <xf numFmtId="0" fontId="2" fillId="0" borderId="2" xfId="0" applyFont="1" applyBorder="1" applyAlignment="1">
      <alignment horizontal="center" wrapText="1"/>
    </xf>
    <xf numFmtId="0" fontId="18" fillId="0" borderId="0" xfId="0" applyFont="1" applyAlignment="1">
      <alignment horizontal="center"/>
    </xf>
    <xf numFmtId="9" fontId="2" fillId="0" borderId="0" xfId="3" applyFont="1" applyBorder="1" applyAlignment="1"/>
    <xf numFmtId="0" fontId="2" fillId="0" borderId="0" xfId="3" applyNumberFormat="1" applyFont="1" applyBorder="1" applyAlignment="1"/>
    <xf numFmtId="9" fontId="2" fillId="0" borderId="0" xfId="3" applyFont="1" applyAlignment="1">
      <alignment horizontal="center"/>
    </xf>
    <xf numFmtId="9" fontId="2" fillId="0" borderId="0" xfId="3" applyFont="1" applyAlignment="1">
      <alignment horizontal="right"/>
    </xf>
    <xf numFmtId="9" fontId="2" fillId="0" borderId="0" xfId="3" applyFont="1" applyBorder="1" applyAlignment="1">
      <alignment horizontal="right"/>
    </xf>
    <xf numFmtId="10" fontId="2" fillId="0" borderId="1" xfId="3" applyNumberFormat="1" applyFont="1" applyFill="1" applyBorder="1" applyAlignment="1">
      <alignment horizontal="right"/>
    </xf>
    <xf numFmtId="0" fontId="12" fillId="0" borderId="1" xfId="0" applyFont="1" applyBorder="1" applyAlignment="1">
      <alignment horizontal="center"/>
    </xf>
    <xf numFmtId="0" fontId="12" fillId="0" borderId="2" xfId="0" applyFont="1" applyBorder="1" applyAlignment="1">
      <alignment horizontal="center"/>
    </xf>
    <xf numFmtId="9" fontId="12" fillId="0" borderId="2" xfId="3" applyFont="1" applyBorder="1" applyAlignment="1">
      <alignment horizontal="center"/>
    </xf>
    <xf numFmtId="0" fontId="2" fillId="0" borderId="0" xfId="0" applyFont="1" applyAlignment="1">
      <alignment horizontal="left" wrapText="1"/>
    </xf>
    <xf numFmtId="0" fontId="2" fillId="3" borderId="1" xfId="0" applyFont="1" applyFill="1" applyBorder="1" applyAlignment="1" applyProtection="1">
      <alignment horizontal="center" wrapText="1"/>
      <protection locked="0"/>
    </xf>
    <xf numFmtId="0" fontId="17" fillId="0" borderId="0" xfId="0" applyFont="1" applyAlignment="1">
      <alignment horizontal="center"/>
    </xf>
    <xf numFmtId="9" fontId="2" fillId="0" borderId="0" xfId="0" applyNumberFormat="1" applyFont="1" applyAlignment="1" applyProtection="1">
      <alignment horizontal="center"/>
      <protection locked="0"/>
    </xf>
    <xf numFmtId="9" fontId="17" fillId="0" borderId="1" xfId="3" applyFont="1" applyBorder="1" applyAlignment="1">
      <alignment horizontal="center"/>
    </xf>
    <xf numFmtId="9" fontId="17" fillId="0" borderId="1" xfId="3" applyFont="1" applyFill="1" applyBorder="1" applyAlignment="1">
      <alignment horizontal="center"/>
    </xf>
    <xf numFmtId="10" fontId="2" fillId="0" borderId="1" xfId="3" applyNumberFormat="1" applyFont="1" applyBorder="1" applyAlignment="1">
      <alignment horizontal="center"/>
    </xf>
    <xf numFmtId="9" fontId="17" fillId="0" borderId="4" xfId="3" applyFont="1" applyBorder="1" applyAlignment="1">
      <alignment horizontal="center"/>
    </xf>
    <xf numFmtId="9" fontId="17" fillId="0" borderId="5" xfId="3" applyFont="1" applyBorder="1" applyAlignment="1">
      <alignment horizontal="center"/>
    </xf>
    <xf numFmtId="9" fontId="17" fillId="0" borderId="6" xfId="3" applyFont="1" applyBorder="1" applyAlignment="1">
      <alignment horizontal="center"/>
    </xf>
    <xf numFmtId="9" fontId="2" fillId="2" borderId="7" xfId="3" applyFont="1" applyFill="1" applyBorder="1" applyAlignment="1">
      <alignment horizontal="center"/>
    </xf>
    <xf numFmtId="0" fontId="2" fillId="0" borderId="1" xfId="0" applyFont="1" applyBorder="1" applyAlignment="1">
      <alignment horizontal="left"/>
    </xf>
    <xf numFmtId="0" fontId="2" fillId="3" borderId="1" xfId="0" applyFont="1" applyFill="1" applyBorder="1" applyAlignment="1">
      <alignment horizontal="center"/>
    </xf>
    <xf numFmtId="9" fontId="2" fillId="0" borderId="1" xfId="0" applyNumberFormat="1" applyFont="1" applyBorder="1" applyAlignment="1">
      <alignment horizontal="right"/>
    </xf>
    <xf numFmtId="10" fontId="2" fillId="0" borderId="1" xfId="3" applyNumberFormat="1" applyFont="1" applyBorder="1" applyAlignment="1">
      <alignment horizontal="right"/>
    </xf>
    <xf numFmtId="9" fontId="2" fillId="0" borderId="7" xfId="3" applyFont="1" applyFill="1" applyBorder="1" applyAlignment="1">
      <alignment horizontal="right" wrapText="1"/>
    </xf>
    <xf numFmtId="9" fontId="2" fillId="0" borderId="1" xfId="3" applyFont="1" applyFill="1" applyBorder="1" applyAlignment="1">
      <alignment horizontal="right" wrapText="1"/>
    </xf>
    <xf numFmtId="1" fontId="2" fillId="0" borderId="1" xfId="0" applyNumberFormat="1" applyFont="1" applyBorder="1" applyAlignment="1">
      <alignment horizontal="right"/>
    </xf>
    <xf numFmtId="0" fontId="2" fillId="0" borderId="0" xfId="0" applyFont="1" applyAlignment="1">
      <alignment horizontal="center" wrapText="1"/>
    </xf>
    <xf numFmtId="0" fontId="2" fillId="0" borderId="0" xfId="0" applyFont="1" applyAlignment="1">
      <alignment wrapText="1"/>
    </xf>
    <xf numFmtId="164" fontId="2" fillId="2" borderId="8" xfId="0" applyNumberFormat="1" applyFont="1" applyFill="1" applyBorder="1" applyAlignment="1">
      <alignment horizontal="center" wrapText="1"/>
    </xf>
    <xf numFmtId="0" fontId="25" fillId="0" borderId="1" xfId="0" applyFont="1" applyBorder="1" applyAlignment="1">
      <alignment horizontal="center"/>
    </xf>
    <xf numFmtId="1" fontId="2" fillId="0" borderId="0" xfId="0" applyNumberFormat="1" applyFont="1" applyAlignment="1">
      <alignment horizontal="left"/>
    </xf>
    <xf numFmtId="1" fontId="2" fillId="0" borderId="0" xfId="3" applyNumberFormat="1" applyFont="1" applyBorder="1" applyAlignment="1">
      <alignment horizontal="left"/>
    </xf>
    <xf numFmtId="9" fontId="14" fillId="0" borderId="0" xfId="3" applyFont="1" applyFill="1" applyBorder="1" applyAlignment="1">
      <alignment horizontal="center" wrapText="1"/>
    </xf>
    <xf numFmtId="9" fontId="2" fillId="2" borderId="8" xfId="3" applyFont="1" applyFill="1" applyBorder="1" applyAlignment="1">
      <alignment horizontal="center"/>
    </xf>
    <xf numFmtId="164" fontId="2" fillId="2" borderId="1" xfId="0" applyNumberFormat="1" applyFont="1" applyFill="1" applyBorder="1" applyAlignment="1">
      <alignment horizontal="center" wrapText="1"/>
    </xf>
    <xf numFmtId="0" fontId="17" fillId="0" borderId="8" xfId="0" applyFont="1" applyBorder="1" applyAlignment="1">
      <alignment horizontal="center"/>
    </xf>
    <xf numFmtId="9" fontId="2" fillId="2" borderId="9" xfId="3" applyFont="1" applyFill="1" applyBorder="1" applyAlignment="1">
      <alignment horizontal="center"/>
    </xf>
    <xf numFmtId="0" fontId="25" fillId="0" borderId="9" xfId="0" applyFont="1" applyBorder="1" applyAlignment="1">
      <alignment horizontal="center"/>
    </xf>
    <xf numFmtId="0" fontId="25" fillId="0" borderId="8" xfId="0" applyFont="1" applyBorder="1" applyAlignment="1">
      <alignment horizontal="center"/>
    </xf>
    <xf numFmtId="0" fontId="17" fillId="0" borderId="2" xfId="0" applyFont="1" applyBorder="1" applyAlignment="1">
      <alignment horizontal="center"/>
    </xf>
    <xf numFmtId="0" fontId="17" fillId="0" borderId="1" xfId="0" applyFont="1" applyBorder="1" applyAlignment="1">
      <alignment horizontal="center"/>
    </xf>
    <xf numFmtId="0" fontId="11" fillId="0" borderId="0" xfId="0" applyFont="1" applyAlignment="1">
      <alignment horizontal="center"/>
    </xf>
    <xf numFmtId="9" fontId="2" fillId="0" borderId="0" xfId="3" applyFont="1" applyFill="1" applyBorder="1" applyAlignment="1">
      <alignment horizontal="center" wrapText="1"/>
    </xf>
    <xf numFmtId="9" fontId="14" fillId="0" borderId="0" xfId="3" applyFont="1" applyFill="1" applyBorder="1" applyAlignment="1">
      <alignment horizontal="center"/>
    </xf>
    <xf numFmtId="0" fontId="12" fillId="0" borderId="0" xfId="0" applyFont="1" applyAlignment="1">
      <alignment horizontal="left"/>
    </xf>
    <xf numFmtId="9" fontId="8" fillId="2" borderId="1" xfId="3" applyFont="1" applyFill="1" applyBorder="1" applyAlignment="1">
      <alignment horizontal="center" wrapText="1"/>
    </xf>
    <xf numFmtId="10" fontId="2" fillId="0" borderId="0" xfId="0" applyNumberFormat="1" applyFont="1" applyAlignment="1">
      <alignment horizontal="right"/>
    </xf>
    <xf numFmtId="9" fontId="8" fillId="2" borderId="2" xfId="3" applyFont="1" applyFill="1" applyBorder="1" applyAlignment="1">
      <alignment horizontal="center" wrapText="1"/>
    </xf>
    <xf numFmtId="9" fontId="8" fillId="2" borderId="2" xfId="3" applyFont="1" applyFill="1" applyBorder="1" applyAlignment="1">
      <alignment horizontal="center"/>
    </xf>
    <xf numFmtId="9" fontId="8" fillId="2" borderId="1" xfId="3" applyFont="1" applyFill="1" applyBorder="1" applyAlignment="1">
      <alignment horizontal="center"/>
    </xf>
    <xf numFmtId="9" fontId="18" fillId="0" borderId="0" xfId="0" applyNumberFormat="1" applyFont="1" applyAlignment="1">
      <alignment horizontal="center"/>
    </xf>
    <xf numFmtId="9" fontId="2" fillId="2" borderId="1" xfId="3" applyFont="1" applyFill="1" applyBorder="1" applyAlignment="1">
      <alignment horizontal="center" wrapText="1"/>
    </xf>
    <xf numFmtId="0" fontId="11" fillId="0" borderId="0" xfId="0" applyFont="1" applyAlignment="1">
      <alignment horizontal="left"/>
    </xf>
    <xf numFmtId="9" fontId="2" fillId="0" borderId="1" xfId="3" applyFont="1" applyBorder="1" applyAlignment="1">
      <alignment horizontal="right"/>
    </xf>
    <xf numFmtId="0" fontId="2" fillId="0" borderId="2" xfId="0" applyFont="1" applyBorder="1" applyAlignment="1">
      <alignment horizontal="right"/>
    </xf>
    <xf numFmtId="9" fontId="2" fillId="3" borderId="1" xfId="3" applyFont="1" applyFill="1" applyBorder="1" applyAlignment="1" applyProtection="1">
      <alignment horizontal="center"/>
      <protection locked="0"/>
    </xf>
    <xf numFmtId="1" fontId="2" fillId="0" borderId="0" xfId="3" applyNumberFormat="1" applyFont="1" applyAlignment="1">
      <alignment horizontal="left"/>
    </xf>
    <xf numFmtId="0" fontId="2" fillId="0" borderId="11" xfId="0" applyFont="1" applyBorder="1" applyAlignment="1">
      <alignment horizontal="right"/>
    </xf>
    <xf numFmtId="10" fontId="2" fillId="0" borderId="0" xfId="3" applyNumberFormat="1" applyFont="1" applyFill="1" applyBorder="1" applyAlignment="1">
      <alignment horizontal="center" wrapText="1"/>
    </xf>
    <xf numFmtId="10" fontId="2" fillId="0" borderId="12" xfId="3" applyNumberFormat="1" applyFont="1" applyFill="1" applyBorder="1" applyAlignment="1">
      <alignment horizontal="center" wrapText="1"/>
    </xf>
    <xf numFmtId="9" fontId="2" fillId="2" borderId="2" xfId="3" applyFont="1" applyFill="1" applyBorder="1" applyAlignment="1">
      <alignment horizontal="center" wrapText="1"/>
    </xf>
    <xf numFmtId="0" fontId="2" fillId="0" borderId="7" xfId="0" applyFont="1" applyBorder="1" applyAlignment="1">
      <alignment horizontal="right"/>
    </xf>
    <xf numFmtId="9" fontId="2" fillId="0" borderId="0" xfId="3" applyFont="1" applyBorder="1" applyAlignment="1">
      <alignment horizontal="left" wrapText="1"/>
    </xf>
    <xf numFmtId="10" fontId="2" fillId="0" borderId="0" xfId="3" applyNumberFormat="1" applyFont="1" applyBorder="1" applyAlignment="1">
      <alignment horizontal="left"/>
    </xf>
    <xf numFmtId="164" fontId="2" fillId="0" borderId="0" xfId="3" applyNumberFormat="1" applyFont="1" applyBorder="1" applyAlignment="1">
      <alignment horizontal="left"/>
    </xf>
    <xf numFmtId="10" fontId="2" fillId="0" borderId="0" xfId="0" applyNumberFormat="1" applyFont="1" applyAlignment="1">
      <alignment horizontal="left"/>
    </xf>
    <xf numFmtId="9" fontId="2" fillId="0" borderId="0" xfId="3" applyFont="1" applyFill="1" applyBorder="1" applyAlignment="1">
      <alignment horizontal="left"/>
    </xf>
    <xf numFmtId="0" fontId="2" fillId="0" borderId="0" xfId="3" applyNumberFormat="1" applyFont="1" applyBorder="1" applyAlignment="1">
      <alignment horizontal="left"/>
    </xf>
    <xf numFmtId="10" fontId="2" fillId="0" borderId="0" xfId="3" applyNumberFormat="1" applyFont="1" applyBorder="1" applyAlignment="1">
      <alignment horizontal="left" wrapText="1"/>
    </xf>
    <xf numFmtId="10" fontId="12" fillId="0" borderId="0" xfId="0" applyNumberFormat="1" applyFont="1" applyAlignment="1">
      <alignment horizontal="left" wrapText="1"/>
    </xf>
    <xf numFmtId="14" fontId="2" fillId="0" borderId="0" xfId="0" applyNumberFormat="1" applyFont="1" applyAlignment="1">
      <alignment horizontal="left"/>
    </xf>
    <xf numFmtId="0" fontId="2" fillId="0" borderId="0" xfId="0" applyFont="1" applyAlignment="1">
      <alignment horizontal="right" wrapText="1"/>
    </xf>
    <xf numFmtId="1" fontId="2" fillId="0" borderId="0" xfId="3" applyNumberFormat="1" applyFont="1" applyBorder="1" applyAlignment="1">
      <alignment horizontal="right"/>
    </xf>
    <xf numFmtId="0" fontId="2" fillId="0" borderId="8" xfId="0" applyFont="1" applyBorder="1" applyAlignment="1">
      <alignment horizontal="right"/>
    </xf>
    <xf numFmtId="2" fontId="2" fillId="0" borderId="0" xfId="0" applyNumberFormat="1" applyFont="1" applyAlignment="1">
      <alignment horizontal="right"/>
    </xf>
    <xf numFmtId="10" fontId="2" fillId="0" borderId="0" xfId="3" applyNumberFormat="1" applyFont="1" applyBorder="1" applyAlignment="1">
      <alignment horizontal="right"/>
    </xf>
    <xf numFmtId="164" fontId="2" fillId="0" borderId="0" xfId="0" applyNumberFormat="1" applyFont="1" applyAlignment="1">
      <alignment horizontal="right"/>
    </xf>
    <xf numFmtId="9" fontId="2" fillId="0" borderId="0" xfId="0" applyNumberFormat="1" applyFont="1" applyAlignment="1">
      <alignment horizontal="right"/>
    </xf>
    <xf numFmtId="9" fontId="2" fillId="0" borderId="0" xfId="3" applyFont="1" applyFill="1" applyBorder="1" applyAlignment="1">
      <alignment horizontal="right"/>
    </xf>
    <xf numFmtId="0" fontId="2" fillId="0" borderId="9" xfId="0" applyFont="1" applyBorder="1" applyAlignment="1">
      <alignment horizontal="right"/>
    </xf>
    <xf numFmtId="1" fontId="2" fillId="0" borderId="0" xfId="3" applyNumberFormat="1" applyFont="1" applyAlignment="1">
      <alignment horizontal="right"/>
    </xf>
    <xf numFmtId="2" fontId="2" fillId="0" borderId="8" xfId="0" applyNumberFormat="1" applyFont="1" applyBorder="1" applyAlignment="1">
      <alignment horizontal="right"/>
    </xf>
    <xf numFmtId="2" fontId="2" fillId="0" borderId="1" xfId="0" applyNumberFormat="1" applyFont="1" applyBorder="1" applyAlignment="1">
      <alignment horizontal="right"/>
    </xf>
    <xf numFmtId="164" fontId="2" fillId="0" borderId="1" xfId="0" applyNumberFormat="1" applyFont="1" applyBorder="1" applyAlignment="1">
      <alignment horizontal="right"/>
    </xf>
    <xf numFmtId="0" fontId="2" fillId="0" borderId="13" xfId="0" applyFont="1" applyBorder="1" applyAlignment="1">
      <alignment horizontal="right"/>
    </xf>
    <xf numFmtId="164" fontId="2" fillId="0" borderId="1" xfId="0" applyNumberFormat="1" applyFont="1" applyBorder="1" applyAlignment="1">
      <alignment horizontal="right" wrapText="1"/>
    </xf>
    <xf numFmtId="0" fontId="2" fillId="0" borderId="0" xfId="0" applyFont="1" applyAlignment="1" applyProtection="1">
      <alignment horizontal="right"/>
      <protection locked="0"/>
    </xf>
    <xf numFmtId="1" fontId="2" fillId="0" borderId="0" xfId="3" applyNumberFormat="1" applyFont="1" applyFill="1" applyBorder="1" applyAlignment="1">
      <alignment horizontal="right"/>
    </xf>
    <xf numFmtId="49" fontId="2" fillId="0" borderId="0" xfId="0" applyNumberFormat="1" applyFont="1" applyAlignment="1">
      <alignment horizontal="right"/>
    </xf>
    <xf numFmtId="0" fontId="2" fillId="0" borderId="1" xfId="3" applyNumberFormat="1" applyFont="1" applyBorder="1" applyAlignment="1">
      <alignment horizontal="right"/>
    </xf>
    <xf numFmtId="0" fontId="12" fillId="0" borderId="0" xfId="0" applyFont="1" applyAlignment="1">
      <alignment horizontal="right"/>
    </xf>
    <xf numFmtId="1" fontId="2" fillId="0" borderId="0" xfId="0" applyNumberFormat="1" applyFont="1" applyAlignment="1">
      <alignment horizontal="right" wrapText="1"/>
    </xf>
    <xf numFmtId="1" fontId="2" fillId="0" borderId="8" xfId="0" applyNumberFormat="1" applyFont="1" applyBorder="1" applyAlignment="1">
      <alignment horizontal="right"/>
    </xf>
    <xf numFmtId="10" fontId="2" fillId="0" borderId="0" xfId="3" applyNumberFormat="1" applyFont="1" applyAlignment="1">
      <alignment horizontal="right"/>
    </xf>
    <xf numFmtId="170" fontId="2" fillId="0" borderId="0" xfId="0" applyNumberFormat="1" applyFont="1" applyAlignment="1">
      <alignment horizontal="right"/>
    </xf>
    <xf numFmtId="0" fontId="2" fillId="3" borderId="10" xfId="0" applyFont="1" applyFill="1" applyBorder="1" applyAlignment="1">
      <alignment horizontal="center"/>
    </xf>
    <xf numFmtId="0" fontId="2" fillId="0" borderId="1" xfId="0" applyFont="1" applyBorder="1" applyAlignment="1">
      <alignment wrapText="1"/>
    </xf>
    <xf numFmtId="9" fontId="2" fillId="0" borderId="0" xfId="0" applyNumberFormat="1" applyFont="1" applyAlignment="1">
      <alignment horizontal="left"/>
    </xf>
    <xf numFmtId="49" fontId="2" fillId="0" borderId="0" xfId="0" applyNumberFormat="1" applyFont="1" applyAlignment="1">
      <alignment horizontal="left"/>
    </xf>
    <xf numFmtId="2" fontId="2" fillId="0" borderId="0" xfId="0" applyNumberFormat="1" applyFont="1" applyAlignment="1">
      <alignment horizontal="left"/>
    </xf>
    <xf numFmtId="164" fontId="2" fillId="0" borderId="0" xfId="0" applyNumberFormat="1" applyFont="1" applyAlignment="1">
      <alignment horizontal="left"/>
    </xf>
    <xf numFmtId="9" fontId="2" fillId="0" borderId="0" xfId="3" applyFont="1" applyFill="1" applyBorder="1" applyAlignment="1">
      <alignment horizontal="left" wrapText="1"/>
    </xf>
    <xf numFmtId="164" fontId="2" fillId="0" borderId="0" xfId="3" applyNumberFormat="1" applyFont="1" applyBorder="1" applyAlignment="1" applyProtection="1">
      <alignment horizontal="left"/>
      <protection locked="0"/>
    </xf>
    <xf numFmtId="0" fontId="2" fillId="0" borderId="0" xfId="0" applyFont="1" applyAlignment="1" applyProtection="1">
      <alignment horizontal="left"/>
      <protection locked="0"/>
    </xf>
    <xf numFmtId="1" fontId="2" fillId="0" borderId="0" xfId="3" applyNumberFormat="1" applyFont="1" applyFill="1" applyBorder="1" applyAlignment="1">
      <alignment horizontal="left"/>
    </xf>
    <xf numFmtId="164" fontId="2" fillId="0" borderId="0" xfId="0" applyNumberFormat="1" applyFont="1" applyAlignment="1">
      <alignment horizontal="left" wrapText="1"/>
    </xf>
    <xf numFmtId="9" fontId="2" fillId="0" borderId="0" xfId="0" applyNumberFormat="1" applyFont="1" applyAlignment="1" applyProtection="1">
      <alignment horizontal="left"/>
      <protection locked="0"/>
    </xf>
    <xf numFmtId="10" fontId="2" fillId="0" borderId="0" xfId="3" applyNumberFormat="1" applyFont="1" applyFill="1" applyBorder="1" applyAlignment="1">
      <alignment horizontal="left"/>
    </xf>
    <xf numFmtId="1" fontId="2" fillId="0" borderId="0" xfId="0" applyNumberFormat="1" applyFont="1" applyAlignment="1" applyProtection="1">
      <alignment horizontal="left"/>
      <protection locked="0"/>
    </xf>
    <xf numFmtId="10" fontId="2" fillId="0" borderId="0" xfId="3" applyNumberFormat="1" applyFont="1" applyBorder="1" applyAlignment="1" applyProtection="1">
      <alignment horizontal="left"/>
      <protection locked="0"/>
    </xf>
    <xf numFmtId="0" fontId="32" fillId="0" borderId="0" xfId="0" applyFont="1" applyAlignment="1">
      <alignment horizontal="left"/>
    </xf>
    <xf numFmtId="168" fontId="2" fillId="0" borderId="0" xfId="0" applyNumberFormat="1" applyFont="1" applyAlignment="1">
      <alignment horizontal="left"/>
    </xf>
    <xf numFmtId="167" fontId="2" fillId="0" borderId="0" xfId="3" applyNumberFormat="1" applyFont="1" applyBorder="1" applyAlignment="1">
      <alignment horizontal="left"/>
    </xf>
    <xf numFmtId="164" fontId="2" fillId="0" borderId="0" xfId="3" applyNumberFormat="1" applyFont="1" applyFill="1" applyBorder="1" applyAlignment="1" applyProtection="1">
      <alignment horizontal="left"/>
      <protection locked="0"/>
    </xf>
    <xf numFmtId="0" fontId="14" fillId="0" borderId="0" xfId="0" applyFont="1" applyAlignment="1">
      <alignment horizontal="left"/>
    </xf>
    <xf numFmtId="0" fontId="2" fillId="0" borderId="1" xfId="0" applyFont="1" applyBorder="1"/>
    <xf numFmtId="9" fontId="2" fillId="0" borderId="1" xfId="3" applyFont="1" applyBorder="1" applyAlignment="1">
      <alignment horizontal="left"/>
    </xf>
    <xf numFmtId="9" fontId="3" fillId="0" borderId="0" xfId="0" applyNumberFormat="1" applyFont="1" applyAlignment="1">
      <alignment horizontal="center"/>
    </xf>
    <xf numFmtId="0" fontId="2" fillId="2" borderId="1" xfId="0" applyFont="1" applyFill="1" applyBorder="1" applyAlignment="1">
      <alignment horizontal="center"/>
    </xf>
    <xf numFmtId="0" fontId="15" fillId="0" borderId="1" xfId="2" applyFont="1" applyBorder="1" applyAlignment="1" applyProtection="1">
      <alignment wrapText="1"/>
    </xf>
    <xf numFmtId="9" fontId="2" fillId="0" borderId="0" xfId="3" applyFont="1" applyAlignment="1"/>
    <xf numFmtId="168" fontId="2" fillId="0" borderId="0" xfId="0" applyNumberFormat="1" applyFont="1" applyAlignment="1">
      <alignment horizontal="right"/>
    </xf>
    <xf numFmtId="44" fontId="2" fillId="0" borderId="0" xfId="1" applyFont="1" applyBorder="1" applyAlignment="1">
      <alignment horizontal="center"/>
    </xf>
    <xf numFmtId="44" fontId="2" fillId="0" borderId="0" xfId="1" applyFont="1" applyFill="1" applyBorder="1" applyAlignment="1" applyProtection="1">
      <alignment horizontal="center"/>
      <protection hidden="1"/>
    </xf>
    <xf numFmtId="14" fontId="2" fillId="0" borderId="1" xfId="0" applyNumberFormat="1" applyFont="1" applyBorder="1" applyAlignment="1">
      <alignment horizontal="left"/>
    </xf>
    <xf numFmtId="44" fontId="2" fillId="2" borderId="1" xfId="1" applyFont="1" applyFill="1" applyBorder="1" applyAlignment="1">
      <alignment horizontal="center"/>
    </xf>
    <xf numFmtId="0" fontId="2" fillId="0" borderId="5" xfId="0" applyFont="1" applyBorder="1" applyAlignment="1">
      <alignment horizontal="center"/>
    </xf>
    <xf numFmtId="0" fontId="2" fillId="0" borderId="5" xfId="0" applyFont="1" applyBorder="1" applyAlignment="1">
      <alignment horizontal="right"/>
    </xf>
    <xf numFmtId="0" fontId="2" fillId="0" borderId="4" xfId="0" applyFont="1" applyBorder="1" applyAlignment="1">
      <alignment horizontal="center"/>
    </xf>
    <xf numFmtId="9" fontId="2" fillId="0" borderId="1" xfId="3" applyFont="1" applyBorder="1" applyAlignment="1">
      <alignment horizontal="center"/>
    </xf>
    <xf numFmtId="44" fontId="2" fillId="0" borderId="0" xfId="1" applyFont="1" applyFill="1" applyAlignment="1" applyProtection="1">
      <alignment horizontal="center"/>
      <protection hidden="1"/>
    </xf>
    <xf numFmtId="9" fontId="18" fillId="0" borderId="0" xfId="0" applyNumberFormat="1" applyFont="1" applyAlignment="1" applyProtection="1">
      <alignment horizontal="center"/>
      <protection locked="0"/>
    </xf>
    <xf numFmtId="9" fontId="18" fillId="0" borderId="0" xfId="3" applyFont="1" applyFill="1" applyBorder="1" applyAlignment="1">
      <alignment horizontal="left"/>
    </xf>
    <xf numFmtId="9" fontId="18" fillId="0" borderId="0" xfId="3" applyFont="1" applyBorder="1" applyAlignment="1">
      <alignment horizontal="left"/>
    </xf>
    <xf numFmtId="9" fontId="12" fillId="0" borderId="0" xfId="3" applyFont="1" applyFill="1" applyBorder="1" applyAlignment="1">
      <alignment horizontal="center"/>
    </xf>
    <xf numFmtId="9" fontId="38" fillId="0" borderId="0" xfId="0" applyNumberFormat="1" applyFont="1" applyAlignment="1">
      <alignment horizontal="center"/>
    </xf>
    <xf numFmtId="0" fontId="12" fillId="0" borderId="0" xfId="0" applyFont="1" applyAlignment="1">
      <alignment horizontal="center"/>
    </xf>
    <xf numFmtId="44" fontId="2" fillId="2" borderId="1" xfId="1" applyFont="1" applyFill="1" applyBorder="1" applyAlignment="1">
      <alignment horizontal="right"/>
    </xf>
    <xf numFmtId="10" fontId="3" fillId="0" borderId="0" xfId="0" applyNumberFormat="1" applyFont="1" applyAlignment="1">
      <alignment horizontal="left"/>
    </xf>
    <xf numFmtId="0" fontId="3" fillId="0" borderId="1" xfId="0" applyFont="1" applyBorder="1" applyAlignment="1">
      <alignment horizontal="center"/>
    </xf>
    <xf numFmtId="1" fontId="2" fillId="0" borderId="0" xfId="0" applyNumberFormat="1" applyFont="1"/>
    <xf numFmtId="9" fontId="2" fillId="0" borderId="0" xfId="3" applyFont="1" applyFill="1" applyBorder="1" applyAlignment="1" applyProtection="1">
      <alignment horizontal="center" wrapText="1"/>
      <protection locked="0"/>
    </xf>
    <xf numFmtId="0" fontId="40" fillId="0" borderId="0" xfId="0" applyFont="1" applyAlignment="1">
      <alignment horizontal="center"/>
    </xf>
    <xf numFmtId="0" fontId="3" fillId="0" borderId="0" xfId="0" applyFont="1" applyAlignment="1">
      <alignment horizontal="center"/>
    </xf>
    <xf numFmtId="0" fontId="3" fillId="0" borderId="0" xfId="0" applyFont="1" applyAlignment="1">
      <alignment horizontal="right"/>
    </xf>
    <xf numFmtId="0" fontId="31" fillId="0" borderId="0" xfId="0" applyFont="1" applyAlignment="1">
      <alignment horizontal="center"/>
    </xf>
    <xf numFmtId="0" fontId="21" fillId="0" borderId="0" xfId="0" applyFont="1" applyAlignment="1">
      <alignment horizontal="center"/>
    </xf>
    <xf numFmtId="0" fontId="12" fillId="3" borderId="7" xfId="2" applyFont="1" applyFill="1" applyBorder="1" applyAlignment="1" applyProtection="1">
      <alignment wrapText="1"/>
      <protection locked="0"/>
    </xf>
    <xf numFmtId="0" fontId="3" fillId="0" borderId="0" xfId="0" applyFont="1" applyAlignment="1">
      <alignment horizontal="center" wrapText="1"/>
    </xf>
    <xf numFmtId="0" fontId="2" fillId="0" borderId="2" xfId="0" applyFont="1" applyBorder="1" applyAlignment="1">
      <alignment horizontal="left" wrapText="1"/>
    </xf>
    <xf numFmtId="0" fontId="2" fillId="3" borderId="8" xfId="0" applyFont="1" applyFill="1" applyBorder="1" applyAlignment="1" applyProtection="1">
      <alignment horizontal="center" wrapText="1"/>
      <protection locked="0"/>
    </xf>
    <xf numFmtId="0" fontId="2" fillId="0" borderId="12" xfId="0" applyFont="1" applyBorder="1" applyAlignment="1">
      <alignment horizontal="left" wrapText="1"/>
    </xf>
    <xf numFmtId="0" fontId="12" fillId="0" borderId="8" xfId="0" applyFont="1" applyBorder="1" applyAlignment="1">
      <alignment horizontal="center"/>
    </xf>
    <xf numFmtId="9" fontId="12" fillId="0" borderId="13" xfId="3" applyFont="1" applyFill="1" applyBorder="1" applyAlignment="1">
      <alignment horizontal="center"/>
    </xf>
    <xf numFmtId="9" fontId="12" fillId="0" borderId="9" xfId="3" applyFont="1" applyFill="1" applyBorder="1" applyAlignment="1">
      <alignment horizontal="center"/>
    </xf>
    <xf numFmtId="9" fontId="17" fillId="0" borderId="6" xfId="3" applyFont="1" applyFill="1" applyBorder="1" applyAlignment="1">
      <alignment horizontal="center"/>
    </xf>
    <xf numFmtId="9" fontId="12" fillId="0" borderId="11" xfId="3" applyFont="1" applyFill="1" applyBorder="1" applyAlignment="1">
      <alignment horizontal="center"/>
    </xf>
    <xf numFmtId="0" fontId="2" fillId="3" borderId="1" xfId="0" applyFont="1" applyFill="1" applyBorder="1" applyAlignment="1" applyProtection="1">
      <alignment horizontal="left" wrapText="1"/>
      <protection locked="0"/>
    </xf>
    <xf numFmtId="0" fontId="2" fillId="0" borderId="5" xfId="0" applyFont="1" applyBorder="1" applyAlignment="1">
      <alignment horizontal="left"/>
    </xf>
    <xf numFmtId="10" fontId="2" fillId="2" borderId="1" xfId="3" applyNumberFormat="1" applyFont="1" applyFill="1" applyBorder="1" applyAlignment="1">
      <alignment horizontal="center"/>
    </xf>
    <xf numFmtId="10" fontId="2" fillId="0" borderId="1" xfId="3" applyNumberFormat="1" applyFont="1" applyFill="1" applyBorder="1" applyAlignment="1">
      <alignment horizontal="center"/>
    </xf>
    <xf numFmtId="164" fontId="2" fillId="0" borderId="1" xfId="0" applyNumberFormat="1" applyFont="1" applyBorder="1" applyAlignment="1">
      <alignment horizontal="left"/>
    </xf>
    <xf numFmtId="164" fontId="2" fillId="0" borderId="1" xfId="3" applyNumberFormat="1" applyFont="1" applyBorder="1" applyAlignment="1">
      <alignment horizontal="left"/>
    </xf>
    <xf numFmtId="0" fontId="2" fillId="0" borderId="6" xfId="0" applyFont="1" applyBorder="1"/>
    <xf numFmtId="9" fontId="2" fillId="0" borderId="2" xfId="0" applyNumberFormat="1" applyFont="1" applyBorder="1" applyAlignment="1">
      <alignment horizontal="center"/>
    </xf>
    <xf numFmtId="9" fontId="2" fillId="0" borderId="1" xfId="3" applyFont="1" applyFill="1" applyBorder="1" applyAlignment="1">
      <alignment horizontal="center"/>
    </xf>
    <xf numFmtId="0" fontId="44" fillId="0" borderId="0" xfId="0" applyFont="1" applyAlignment="1">
      <alignment horizontal="left"/>
    </xf>
    <xf numFmtId="0" fontId="2" fillId="0" borderId="9" xfId="0" applyFont="1" applyBorder="1" applyAlignment="1">
      <alignment horizontal="center"/>
    </xf>
    <xf numFmtId="0" fontId="2" fillId="0" borderId="7" xfId="0" applyFont="1" applyBorder="1" applyAlignment="1">
      <alignment horizontal="center"/>
    </xf>
    <xf numFmtId="0" fontId="45" fillId="0" borderId="0" xfId="0" applyFont="1" applyAlignment="1">
      <alignment horizontal="left"/>
    </xf>
    <xf numFmtId="0" fontId="2" fillId="0" borderId="14" xfId="0" applyFont="1" applyBorder="1" applyAlignment="1">
      <alignment horizontal="center"/>
    </xf>
    <xf numFmtId="9" fontId="8" fillId="3" borderId="1" xfId="3" applyFont="1" applyFill="1" applyBorder="1" applyAlignment="1" applyProtection="1">
      <alignment horizontal="center"/>
      <protection locked="0"/>
    </xf>
    <xf numFmtId="0" fontId="38" fillId="0" borderId="0" xfId="0" applyFont="1" applyAlignment="1">
      <alignment horizontal="left"/>
    </xf>
    <xf numFmtId="9" fontId="2" fillId="2" borderId="1" xfId="3" applyFont="1" applyFill="1" applyBorder="1" applyAlignment="1"/>
    <xf numFmtId="9" fontId="2" fillId="0" borderId="1" xfId="3" applyFont="1" applyFill="1" applyBorder="1" applyAlignment="1"/>
    <xf numFmtId="10" fontId="2" fillId="2" borderId="8" xfId="0" applyNumberFormat="1" applyFont="1" applyFill="1" applyBorder="1" applyAlignment="1">
      <alignment horizontal="right"/>
    </xf>
    <xf numFmtId="10" fontId="12" fillId="3" borderId="1" xfId="3" applyNumberFormat="1" applyFont="1" applyFill="1" applyBorder="1" applyAlignment="1" applyProtection="1">
      <alignment horizontal="center"/>
      <protection locked="0"/>
    </xf>
    <xf numFmtId="10" fontId="12" fillId="3" borderId="8" xfId="3" applyNumberFormat="1" applyFont="1" applyFill="1" applyBorder="1" applyAlignment="1" applyProtection="1">
      <alignment horizontal="center"/>
      <protection locked="0"/>
    </xf>
    <xf numFmtId="10" fontId="12" fillId="3" borderId="9" xfId="3" applyNumberFormat="1" applyFont="1" applyFill="1" applyBorder="1" applyAlignment="1" applyProtection="1">
      <alignment horizontal="center"/>
      <protection locked="0"/>
    </xf>
    <xf numFmtId="10" fontId="2" fillId="0" borderId="0" xfId="3" applyNumberFormat="1" applyFont="1" applyBorder="1" applyAlignment="1">
      <alignment horizontal="center"/>
    </xf>
    <xf numFmtId="10" fontId="2" fillId="0" borderId="1" xfId="1" applyNumberFormat="1" applyFont="1" applyBorder="1" applyAlignment="1">
      <alignment horizontal="left"/>
    </xf>
    <xf numFmtId="0" fontId="3" fillId="0" borderId="16" xfId="0" applyFont="1" applyBorder="1" applyAlignment="1">
      <alignment horizontal="right" wrapText="1"/>
    </xf>
    <xf numFmtId="9" fontId="12" fillId="3" borderId="8" xfId="3" applyFont="1" applyFill="1" applyBorder="1" applyAlignment="1" applyProtection="1">
      <alignment horizontal="center"/>
      <protection locked="0"/>
    </xf>
    <xf numFmtId="44" fontId="2" fillId="0" borderId="0" xfId="1" applyFont="1" applyAlignment="1">
      <alignment horizontal="right"/>
    </xf>
    <xf numFmtId="0" fontId="2" fillId="0" borderId="8" xfId="0" applyFont="1" applyBorder="1" applyAlignment="1">
      <alignment horizontal="center" wrapText="1"/>
    </xf>
    <xf numFmtId="10" fontId="2" fillId="0" borderId="1" xfId="0" applyNumberFormat="1" applyFont="1" applyBorder="1" applyAlignment="1">
      <alignment horizontal="center" wrapText="1"/>
    </xf>
    <xf numFmtId="9" fontId="2" fillId="0" borderId="0" xfId="3" applyFont="1" applyFill="1" applyBorder="1" applyAlignment="1">
      <alignment horizontal="center"/>
    </xf>
    <xf numFmtId="0" fontId="3" fillId="0" borderId="12" xfId="0" applyFont="1" applyBorder="1" applyAlignment="1">
      <alignment horizontal="center"/>
    </xf>
    <xf numFmtId="0" fontId="3" fillId="0" borderId="6" xfId="0" applyFont="1" applyBorder="1" applyAlignment="1">
      <alignment horizontal="center"/>
    </xf>
    <xf numFmtId="0" fontId="12" fillId="0" borderId="16" xfId="0" applyFont="1" applyBorder="1" applyAlignment="1">
      <alignment horizontal="left"/>
    </xf>
    <xf numFmtId="171" fontId="2" fillId="0" borderId="0" xfId="0" applyNumberFormat="1" applyFont="1" applyAlignment="1">
      <alignment horizontal="right"/>
    </xf>
    <xf numFmtId="9" fontId="2" fillId="0" borderId="7" xfId="3" applyFont="1" applyBorder="1" applyAlignment="1">
      <alignment horizontal="center"/>
    </xf>
    <xf numFmtId="0" fontId="7" fillId="0" borderId="1" xfId="2" applyFont="1" applyBorder="1" applyAlignment="1" applyProtection="1">
      <alignment wrapText="1"/>
    </xf>
    <xf numFmtId="44" fontId="3" fillId="2" borderId="1" xfId="0" applyNumberFormat="1" applyFont="1" applyFill="1" applyBorder="1"/>
    <xf numFmtId="1" fontId="2" fillId="0" borderId="0" xfId="3" applyNumberFormat="1" applyFont="1" applyBorder="1" applyAlignment="1">
      <alignment horizontal="center"/>
    </xf>
    <xf numFmtId="10" fontId="2" fillId="0" borderId="0" xfId="0" applyNumberFormat="1" applyFont="1" applyAlignment="1">
      <alignment horizontal="center"/>
    </xf>
    <xf numFmtId="0" fontId="2" fillId="2" borderId="2" xfId="0" applyFont="1" applyFill="1" applyBorder="1" applyAlignment="1">
      <alignment horizontal="center"/>
    </xf>
    <xf numFmtId="0" fontId="33" fillId="0" borderId="0" xfId="0" applyFont="1" applyAlignment="1">
      <alignment horizontal="center" wrapText="1"/>
    </xf>
    <xf numFmtId="44" fontId="2" fillId="2" borderId="2" xfId="1" applyFont="1" applyFill="1" applyBorder="1" applyAlignment="1">
      <alignment horizontal="center"/>
    </xf>
    <xf numFmtId="0" fontId="2" fillId="0" borderId="2" xfId="0" applyFont="1" applyBorder="1"/>
    <xf numFmtId="0" fontId="2" fillId="0" borderId="7" xfId="0" applyFont="1" applyBorder="1"/>
    <xf numFmtId="44" fontId="2" fillId="2" borderId="14" xfId="1" applyFont="1" applyFill="1" applyBorder="1" applyAlignment="1">
      <alignment horizontal="center"/>
    </xf>
    <xf numFmtId="10" fontId="2" fillId="2" borderId="7" xfId="0" applyNumberFormat="1" applyFont="1" applyFill="1" applyBorder="1" applyAlignment="1">
      <alignment horizontal="center"/>
    </xf>
    <xf numFmtId="10" fontId="2" fillId="0" borderId="0" xfId="0" applyNumberFormat="1" applyFont="1"/>
    <xf numFmtId="0" fontId="23" fillId="0" borderId="0" xfId="0" applyFont="1" applyAlignment="1">
      <alignment horizontal="center" wrapText="1"/>
    </xf>
    <xf numFmtId="9" fontId="40" fillId="3" borderId="1" xfId="3" applyFont="1" applyFill="1" applyBorder="1" applyAlignment="1" applyProtection="1">
      <alignment horizontal="center"/>
      <protection locked="0"/>
    </xf>
    <xf numFmtId="0" fontId="2" fillId="3" borderId="11" xfId="0" applyFont="1" applyFill="1" applyBorder="1" applyAlignment="1">
      <alignment horizontal="center"/>
    </xf>
    <xf numFmtId="0" fontId="2" fillId="3" borderId="9" xfId="0" applyFont="1" applyFill="1" applyBorder="1" applyAlignment="1">
      <alignment horizontal="center"/>
    </xf>
    <xf numFmtId="10" fontId="2" fillId="2" borderId="1" xfId="0" applyNumberFormat="1" applyFont="1" applyFill="1" applyBorder="1" applyAlignment="1">
      <alignment horizontal="right"/>
    </xf>
    <xf numFmtId="10" fontId="2" fillId="2" borderId="1" xfId="0" applyNumberFormat="1" applyFont="1" applyFill="1" applyBorder="1"/>
    <xf numFmtId="10" fontId="2" fillId="2" borderId="7" xfId="0" applyNumberFormat="1" applyFont="1" applyFill="1" applyBorder="1" applyAlignment="1">
      <alignment horizontal="right"/>
    </xf>
    <xf numFmtId="14" fontId="2" fillId="0" borderId="1" xfId="0" applyNumberFormat="1" applyFont="1" applyBorder="1" applyAlignment="1">
      <alignment horizontal="right"/>
    </xf>
    <xf numFmtId="0" fontId="4" fillId="0" borderId="0" xfId="2" applyAlignment="1" applyProtection="1"/>
    <xf numFmtId="0" fontId="4" fillId="0" borderId="0" xfId="2" applyFill="1" applyBorder="1" applyAlignment="1" applyProtection="1">
      <alignment horizontal="left"/>
    </xf>
    <xf numFmtId="9" fontId="2" fillId="2" borderId="1" xfId="0" applyNumberFormat="1" applyFont="1" applyFill="1" applyBorder="1" applyAlignment="1">
      <alignment horizontal="center"/>
    </xf>
    <xf numFmtId="0" fontId="3" fillId="0" borderId="12" xfId="0" applyFont="1" applyBorder="1" applyAlignment="1">
      <alignment horizontal="left"/>
    </xf>
    <xf numFmtId="9" fontId="3" fillId="2" borderId="1" xfId="0" applyNumberFormat="1" applyFont="1" applyFill="1" applyBorder="1" applyAlignment="1">
      <alignment horizontal="center"/>
    </xf>
    <xf numFmtId="9" fontId="3" fillId="2" borderId="2" xfId="3" applyFont="1" applyFill="1" applyBorder="1" applyAlignment="1">
      <alignment horizontal="center" wrapText="1"/>
    </xf>
    <xf numFmtId="0" fontId="17" fillId="0" borderId="11" xfId="0" applyFont="1" applyBorder="1" applyAlignment="1">
      <alignment horizontal="center"/>
    </xf>
    <xf numFmtId="0" fontId="17" fillId="0" borderId="5" xfId="0" applyFont="1" applyBorder="1" applyAlignment="1">
      <alignment horizontal="center"/>
    </xf>
    <xf numFmtId="0" fontId="17" fillId="0" borderId="9" xfId="0" applyFont="1" applyBorder="1" applyAlignment="1">
      <alignment horizontal="center"/>
    </xf>
    <xf numFmtId="0" fontId="17" fillId="0" borderId="6" xfId="0" applyFont="1" applyBorder="1" applyAlignment="1">
      <alignment horizontal="center"/>
    </xf>
    <xf numFmtId="0" fontId="2" fillId="3" borderId="9" xfId="0" applyFont="1" applyFill="1" applyBorder="1" applyAlignment="1">
      <alignment horizontal="center" wrapText="1"/>
    </xf>
    <xf numFmtId="0" fontId="2" fillId="3" borderId="12" xfId="0" applyFont="1" applyFill="1" applyBorder="1" applyAlignment="1">
      <alignment horizontal="center" wrapText="1"/>
    </xf>
    <xf numFmtId="0" fontId="2" fillId="0" borderId="17" xfId="0" applyFont="1" applyBorder="1" applyAlignment="1">
      <alignment horizontal="center" wrapText="1"/>
    </xf>
    <xf numFmtId="0" fontId="2" fillId="0" borderId="1" xfId="0" applyFont="1" applyBorder="1" applyAlignment="1">
      <alignment horizontal="left" wrapText="1"/>
    </xf>
    <xf numFmtId="9" fontId="3" fillId="2" borderId="14" xfId="3" applyFont="1" applyFill="1" applyBorder="1" applyAlignment="1">
      <alignment horizontal="center"/>
    </xf>
    <xf numFmtId="9" fontId="12" fillId="3" borderId="1" xfId="3" applyFont="1" applyFill="1" applyBorder="1" applyAlignment="1" applyProtection="1">
      <alignment horizontal="center"/>
      <protection locked="0"/>
    </xf>
    <xf numFmtId="9" fontId="3" fillId="2" borderId="1" xfId="3" applyFont="1" applyFill="1" applyBorder="1" applyAlignment="1">
      <alignment horizontal="center"/>
    </xf>
    <xf numFmtId="0" fontId="2" fillId="0" borderId="18" xfId="0" applyFont="1" applyBorder="1" applyAlignment="1">
      <alignment horizontal="center" wrapText="1"/>
    </xf>
    <xf numFmtId="0" fontId="2" fillId="3" borderId="8" xfId="0" applyFont="1" applyFill="1" applyBorder="1" applyAlignment="1">
      <alignment horizontal="center" wrapText="1"/>
    </xf>
    <xf numFmtId="0" fontId="2" fillId="3" borderId="16" xfId="0" applyFont="1" applyFill="1" applyBorder="1" applyAlignment="1">
      <alignment horizontal="center" wrapText="1"/>
    </xf>
    <xf numFmtId="0" fontId="2" fillId="3" borderId="10" xfId="0" applyFont="1" applyFill="1" applyBorder="1" applyAlignment="1">
      <alignment horizontal="center" wrapText="1"/>
    </xf>
    <xf numFmtId="0" fontId="2" fillId="0" borderId="16" xfId="0" applyFont="1" applyBorder="1" applyAlignment="1">
      <alignment horizontal="center" wrapText="1"/>
    </xf>
    <xf numFmtId="0" fontId="2" fillId="0" borderId="10" xfId="0" applyFont="1" applyBorder="1" applyAlignment="1">
      <alignment horizontal="center" wrapText="1"/>
    </xf>
    <xf numFmtId="0" fontId="2" fillId="0" borderId="15" xfId="0" applyFont="1" applyBorder="1" applyAlignment="1">
      <alignment horizontal="center" wrapText="1"/>
    </xf>
    <xf numFmtId="0" fontId="3" fillId="0" borderId="1" xfId="0" applyFont="1" applyBorder="1" applyAlignment="1">
      <alignment horizontal="left" wrapText="1"/>
    </xf>
    <xf numFmtId="0" fontId="2" fillId="0" borderId="13" xfId="0" applyFont="1" applyBorder="1" applyAlignment="1">
      <alignment horizontal="center" wrapText="1"/>
    </xf>
    <xf numFmtId="0" fontId="2" fillId="0" borderId="4" xfId="0" applyFont="1" applyBorder="1" applyAlignment="1">
      <alignment horizontal="center" wrapText="1"/>
    </xf>
    <xf numFmtId="9" fontId="3" fillId="0" borderId="16" xfId="0" applyNumberFormat="1" applyFont="1" applyBorder="1" applyAlignment="1">
      <alignment horizontal="center"/>
    </xf>
    <xf numFmtId="9" fontId="3" fillId="2" borderId="1" xfId="0" applyNumberFormat="1" applyFont="1" applyFill="1" applyBorder="1" applyAlignment="1">
      <alignment horizontal="center" wrapText="1"/>
    </xf>
    <xf numFmtId="9" fontId="2" fillId="0" borderId="1" xfId="3" applyFont="1" applyBorder="1" applyAlignment="1">
      <alignment horizontal="left" wrapText="1"/>
    </xf>
    <xf numFmtId="0" fontId="14" fillId="0" borderId="1" xfId="0" applyFont="1" applyBorder="1" applyAlignment="1">
      <alignment horizontal="center"/>
    </xf>
    <xf numFmtId="0" fontId="2" fillId="0" borderId="8" xfId="0" applyFont="1" applyBorder="1" applyAlignment="1">
      <alignment horizontal="left" wrapText="1"/>
    </xf>
    <xf numFmtId="9" fontId="2" fillId="2" borderId="2" xfId="0" applyNumberFormat="1" applyFont="1" applyFill="1" applyBorder="1" applyAlignment="1">
      <alignment horizontal="center"/>
    </xf>
    <xf numFmtId="44" fontId="3" fillId="2" borderId="1" xfId="1" applyFont="1" applyFill="1" applyBorder="1" applyAlignment="1">
      <alignment horizontal="center"/>
    </xf>
    <xf numFmtId="0" fontId="2" fillId="0" borderId="8" xfId="0" applyFont="1" applyBorder="1" applyAlignment="1">
      <alignment horizontal="left"/>
    </xf>
    <xf numFmtId="9" fontId="12" fillId="2" borderId="1" xfId="3" applyFont="1" applyFill="1" applyBorder="1" applyAlignment="1">
      <alignment horizontal="center"/>
    </xf>
    <xf numFmtId="9" fontId="2" fillId="0" borderId="2" xfId="3" applyFont="1" applyBorder="1" applyAlignment="1">
      <alignment horizontal="center"/>
    </xf>
    <xf numFmtId="10" fontId="2" fillId="2" borderId="2" xfId="0" applyNumberFormat="1" applyFont="1" applyFill="1" applyBorder="1" applyAlignment="1">
      <alignment horizontal="right"/>
    </xf>
    <xf numFmtId="10" fontId="2" fillId="2" borderId="1" xfId="0" applyNumberFormat="1" applyFont="1" applyFill="1" applyBorder="1" applyAlignment="1">
      <alignment horizontal="center"/>
    </xf>
    <xf numFmtId="0" fontId="2" fillId="0" borderId="9" xfId="0" applyFont="1" applyBorder="1" applyAlignment="1">
      <alignment horizontal="left" wrapText="1"/>
    </xf>
    <xf numFmtId="9" fontId="14" fillId="2" borderId="1" xfId="0" applyNumberFormat="1" applyFont="1" applyFill="1" applyBorder="1" applyAlignment="1">
      <alignment horizontal="center"/>
    </xf>
    <xf numFmtId="9" fontId="11" fillId="2" borderId="1" xfId="3" applyFont="1" applyFill="1" applyBorder="1" applyAlignment="1">
      <alignment horizontal="center"/>
    </xf>
    <xf numFmtId="0" fontId="12" fillId="0" borderId="8" xfId="0" applyFont="1" applyBorder="1" applyAlignment="1">
      <alignment horizontal="left"/>
    </xf>
    <xf numFmtId="10" fontId="2" fillId="0" borderId="5" xfId="3" applyNumberFormat="1" applyFont="1" applyBorder="1" applyAlignment="1">
      <alignment horizontal="center"/>
    </xf>
    <xf numFmtId="0" fontId="3" fillId="0" borderId="1" xfId="0" applyFont="1" applyBorder="1" applyAlignment="1">
      <alignment horizontal="right" wrapText="1"/>
    </xf>
    <xf numFmtId="44" fontId="3" fillId="2" borderId="1" xfId="1" applyFont="1" applyFill="1" applyBorder="1" applyAlignment="1" applyProtection="1">
      <alignment horizontal="center"/>
    </xf>
    <xf numFmtId="0" fontId="12" fillId="0" borderId="1" xfId="0" applyFont="1" applyBorder="1" applyAlignment="1">
      <alignment horizontal="left"/>
    </xf>
    <xf numFmtId="9" fontId="2" fillId="0" borderId="2" xfId="3" applyFont="1" applyBorder="1" applyAlignment="1">
      <alignment horizontal="left" wrapText="1"/>
    </xf>
    <xf numFmtId="10" fontId="2" fillId="2" borderId="1" xfId="3" applyNumberFormat="1" applyFont="1" applyFill="1" applyBorder="1" applyAlignment="1">
      <alignment horizontal="center" wrapText="1"/>
    </xf>
    <xf numFmtId="9" fontId="2" fillId="2" borderId="2" xfId="3" applyFont="1" applyFill="1" applyBorder="1" applyAlignment="1">
      <alignment horizontal="center"/>
    </xf>
    <xf numFmtId="0" fontId="2" fillId="0" borderId="2" xfId="0" applyFont="1" applyBorder="1" applyAlignment="1">
      <alignment wrapText="1"/>
    </xf>
    <xf numFmtId="0" fontId="2" fillId="0" borderId="7" xfId="0" applyFont="1" applyBorder="1" applyAlignment="1">
      <alignment wrapText="1"/>
    </xf>
    <xf numFmtId="0" fontId="14" fillId="0" borderId="9" xfId="0" applyFont="1" applyBorder="1" applyAlignment="1">
      <alignment horizontal="center"/>
    </xf>
    <xf numFmtId="9" fontId="2" fillId="2" borderId="6" xfId="0" applyNumberFormat="1" applyFont="1" applyFill="1" applyBorder="1" applyAlignment="1">
      <alignment horizontal="center"/>
    </xf>
    <xf numFmtId="9" fontId="14" fillId="0" borderId="1" xfId="3" applyFont="1" applyFill="1" applyBorder="1" applyAlignment="1">
      <alignment horizontal="center" wrapText="1"/>
    </xf>
    <xf numFmtId="10" fontId="2" fillId="2" borderId="2" xfId="3" applyNumberFormat="1" applyFont="1" applyFill="1" applyBorder="1" applyAlignment="1">
      <alignment horizontal="center" wrapText="1"/>
    </xf>
    <xf numFmtId="0" fontId="12" fillId="0" borderId="11" xfId="0" applyFont="1" applyBorder="1" applyAlignment="1">
      <alignment horizontal="left"/>
    </xf>
    <xf numFmtId="9" fontId="14" fillId="0" borderId="7" xfId="3" applyFont="1" applyFill="1" applyBorder="1" applyAlignment="1">
      <alignment horizontal="center" wrapText="1"/>
    </xf>
    <xf numFmtId="0" fontId="12" fillId="0" borderId="1" xfId="0" applyFont="1" applyBorder="1" applyAlignment="1">
      <alignment wrapText="1"/>
    </xf>
    <xf numFmtId="0" fontId="15" fillId="0" borderId="19" xfId="2" applyFont="1" applyBorder="1" applyAlignment="1" applyProtection="1">
      <alignment horizontal="center" wrapText="1"/>
    </xf>
    <xf numFmtId="166" fontId="2" fillId="0" borderId="1" xfId="0" applyNumberFormat="1" applyFont="1" applyBorder="1" applyAlignment="1">
      <alignment horizontal="center"/>
    </xf>
    <xf numFmtId="0" fontId="2" fillId="0" borderId="8" xfId="0" applyFont="1" applyBorder="1"/>
    <xf numFmtId="0" fontId="2" fillId="0" borderId="16" xfId="0" applyFont="1" applyBorder="1"/>
    <xf numFmtId="0" fontId="2" fillId="0" borderId="10" xfId="0" applyFont="1" applyBorder="1"/>
    <xf numFmtId="9" fontId="3" fillId="2" borderId="2" xfId="0" applyNumberFormat="1" applyFont="1" applyFill="1" applyBorder="1" applyAlignment="1">
      <alignment horizontal="center"/>
    </xf>
    <xf numFmtId="0" fontId="2" fillId="0" borderId="0" xfId="0" applyFont="1" applyAlignment="1" applyProtection="1">
      <alignment horizontal="center"/>
      <protection locked="0"/>
    </xf>
    <xf numFmtId="0" fontId="3" fillId="0" borderId="16" xfId="0" applyFont="1" applyBorder="1" applyAlignment="1">
      <alignment horizontal="center"/>
    </xf>
    <xf numFmtId="0" fontId="3" fillId="0" borderId="10" xfId="0" applyFont="1" applyBorder="1" applyAlignment="1">
      <alignment horizontal="center"/>
    </xf>
    <xf numFmtId="0" fontId="3" fillId="0" borderId="16" xfId="0" applyFont="1" applyBorder="1" applyAlignment="1">
      <alignment horizontal="center" wrapText="1"/>
    </xf>
    <xf numFmtId="0" fontId="2" fillId="3" borderId="1" xfId="0" applyFont="1" applyFill="1" applyBorder="1" applyAlignment="1" applyProtection="1">
      <alignment horizontal="center"/>
      <protection locked="0"/>
    </xf>
    <xf numFmtId="0" fontId="16" fillId="0" borderId="1" xfId="0" applyFont="1" applyBorder="1" applyAlignment="1">
      <alignment horizontal="center"/>
    </xf>
    <xf numFmtId="9" fontId="2" fillId="0" borderId="1" xfId="0" applyNumberFormat="1" applyFont="1" applyBorder="1" applyAlignment="1">
      <alignment horizontal="center"/>
    </xf>
    <xf numFmtId="0" fontId="3" fillId="0" borderId="1" xfId="0" applyFont="1" applyBorder="1" applyAlignment="1">
      <alignment horizontal="center" wrapText="1"/>
    </xf>
    <xf numFmtId="0" fontId="2" fillId="0" borderId="5" xfId="0" applyFont="1" applyBorder="1"/>
    <xf numFmtId="0" fontId="2" fillId="0" borderId="12" xfId="0" applyFont="1" applyBorder="1"/>
    <xf numFmtId="0" fontId="2" fillId="0" borderId="1" xfId="0" applyFont="1" applyBorder="1" applyAlignment="1">
      <alignment horizontal="right" wrapText="1"/>
    </xf>
    <xf numFmtId="0" fontId="3" fillId="0" borderId="16" xfId="0" applyFont="1" applyBorder="1" applyAlignment="1">
      <alignment horizontal="left" wrapText="1"/>
    </xf>
    <xf numFmtId="0" fontId="2" fillId="0" borderId="12" xfId="0" applyFont="1" applyBorder="1" applyAlignment="1">
      <alignment horizontal="center" wrapText="1"/>
    </xf>
    <xf numFmtId="10" fontId="2" fillId="0" borderId="0" xfId="3" applyNumberFormat="1" applyFont="1" applyBorder="1" applyAlignment="1">
      <alignment horizontal="left" textRotation="90" wrapText="1"/>
    </xf>
    <xf numFmtId="9" fontId="2" fillId="0" borderId="0" xfId="3" applyFont="1" applyBorder="1" applyAlignment="1">
      <alignment horizontal="left" textRotation="90" wrapText="1"/>
    </xf>
    <xf numFmtId="1" fontId="2" fillId="0" borderId="0" xfId="3" applyNumberFormat="1" applyFont="1" applyBorder="1" applyAlignment="1">
      <alignment horizontal="left" textRotation="90" wrapText="1"/>
    </xf>
    <xf numFmtId="0" fontId="2" fillId="0" borderId="0" xfId="0" applyFont="1" applyAlignment="1">
      <alignment horizontal="left" textRotation="90" wrapText="1"/>
    </xf>
    <xf numFmtId="9" fontId="12" fillId="0" borderId="0" xfId="0" applyNumberFormat="1" applyFont="1" applyAlignment="1">
      <alignment horizontal="left" wrapText="1"/>
    </xf>
    <xf numFmtId="0" fontId="2" fillId="0" borderId="0" xfId="3" applyNumberFormat="1" applyFont="1" applyBorder="1" applyAlignment="1">
      <alignment horizontal="left" textRotation="90" wrapText="1"/>
    </xf>
    <xf numFmtId="0" fontId="12" fillId="0" borderId="0" xfId="0" applyFont="1" applyAlignment="1">
      <alignment horizontal="left" wrapText="1"/>
    </xf>
    <xf numFmtId="164" fontId="12" fillId="0" borderId="0" xfId="0" applyNumberFormat="1" applyFont="1" applyAlignment="1">
      <alignment horizontal="left" wrapText="1"/>
    </xf>
    <xf numFmtId="14" fontId="2" fillId="0" borderId="1" xfId="0" applyNumberFormat="1" applyFont="1" applyBorder="1"/>
    <xf numFmtId="44" fontId="2" fillId="0" borderId="1" xfId="1" applyFont="1" applyBorder="1" applyAlignment="1"/>
    <xf numFmtId="8" fontId="2" fillId="0" borderId="1" xfId="0" applyNumberFormat="1" applyFont="1" applyBorder="1"/>
    <xf numFmtId="44" fontId="2" fillId="0" borderId="1" xfId="1" applyFont="1" applyFill="1" applyBorder="1" applyAlignment="1"/>
    <xf numFmtId="9" fontId="3" fillId="0" borderId="0" xfId="3" applyFont="1" applyBorder="1" applyAlignment="1">
      <alignment horizontal="center" textRotation="90" wrapText="1"/>
    </xf>
    <xf numFmtId="0" fontId="3" fillId="0" borderId="0" xfId="0" applyFont="1" applyAlignment="1">
      <alignment horizontal="center" textRotation="90" wrapText="1"/>
    </xf>
    <xf numFmtId="0" fontId="9" fillId="0" borderId="0" xfId="0" applyFont="1" applyAlignment="1">
      <alignment horizontal="center"/>
    </xf>
    <xf numFmtId="9" fontId="3" fillId="0" borderId="1" xfId="3" applyFont="1" applyFill="1" applyBorder="1" applyAlignment="1">
      <alignment horizontal="left"/>
    </xf>
    <xf numFmtId="9" fontId="12" fillId="0" borderId="1" xfId="3" applyFont="1" applyFill="1" applyBorder="1" applyAlignment="1">
      <alignment horizontal="left"/>
    </xf>
    <xf numFmtId="10" fontId="0" fillId="0" borderId="0" xfId="0" applyNumberFormat="1"/>
    <xf numFmtId="9" fontId="3" fillId="0" borderId="0" xfId="0" applyNumberFormat="1" applyFont="1"/>
    <xf numFmtId="9" fontId="3" fillId="0" borderId="3" xfId="0" applyNumberFormat="1" applyFont="1" applyBorder="1"/>
    <xf numFmtId="14" fontId="2" fillId="0" borderId="0" xfId="0" applyNumberFormat="1" applyFont="1"/>
    <xf numFmtId="0" fontId="18" fillId="0" borderId="0" xfId="0" applyFont="1"/>
    <xf numFmtId="0" fontId="3" fillId="0" borderId="0" xfId="0" applyFont="1" applyAlignment="1">
      <alignment horizontal="left" wrapText="1"/>
    </xf>
    <xf numFmtId="0" fontId="3" fillId="0" borderId="0" xfId="0" applyFont="1" applyAlignment="1">
      <alignment horizontal="left"/>
    </xf>
    <xf numFmtId="0" fontId="15" fillId="0" borderId="0" xfId="2" applyFont="1" applyFill="1" applyBorder="1" applyAlignment="1" applyProtection="1">
      <alignment horizontal="left"/>
    </xf>
    <xf numFmtId="0" fontId="40" fillId="0" borderId="0" xfId="0" applyFont="1"/>
    <xf numFmtId="0" fontId="17" fillId="0" borderId="14" xfId="0" applyFont="1" applyBorder="1" applyAlignment="1">
      <alignment horizontal="center"/>
    </xf>
    <xf numFmtId="0" fontId="15" fillId="0" borderId="7" xfId="2" applyFont="1" applyBorder="1" applyAlignment="1" applyProtection="1">
      <alignment wrapText="1"/>
    </xf>
    <xf numFmtId="0" fontId="3" fillId="0" borderId="5" xfId="0" applyFont="1" applyBorder="1" applyAlignment="1">
      <alignment horizontal="center"/>
    </xf>
    <xf numFmtId="0" fontId="2" fillId="0" borderId="13" xfId="0" applyFont="1" applyBorder="1"/>
    <xf numFmtId="0" fontId="2" fillId="0" borderId="15" xfId="0" applyFont="1" applyBorder="1"/>
    <xf numFmtId="0" fontId="2" fillId="0" borderId="4" xfId="0" applyFont="1" applyBorder="1"/>
    <xf numFmtId="0" fontId="2" fillId="0" borderId="9" xfId="0" applyFont="1" applyBorder="1"/>
    <xf numFmtId="0" fontId="6" fillId="0" borderId="7" xfId="0" applyFont="1" applyBorder="1"/>
    <xf numFmtId="0" fontId="3" fillId="0" borderId="2" xfId="0" applyFont="1" applyBorder="1" applyAlignment="1">
      <alignment horizontal="left"/>
    </xf>
    <xf numFmtId="0" fontId="2" fillId="0" borderId="14" xfId="0" applyFont="1" applyBorder="1"/>
    <xf numFmtId="0" fontId="6" fillId="0" borderId="2" xfId="0" applyFont="1" applyBorder="1" applyAlignment="1">
      <alignment horizontal="center"/>
    </xf>
    <xf numFmtId="0" fontId="6" fillId="0" borderId="1" xfId="0" applyFont="1" applyBorder="1" applyAlignment="1">
      <alignment horizontal="center"/>
    </xf>
    <xf numFmtId="44" fontId="3" fillId="2" borderId="1" xfId="0" applyNumberFormat="1" applyFont="1" applyFill="1" applyBorder="1" applyAlignment="1">
      <alignment horizontal="center"/>
    </xf>
    <xf numFmtId="44" fontId="2" fillId="3" borderId="1" xfId="1" applyFont="1" applyFill="1" applyBorder="1" applyAlignment="1" applyProtection="1"/>
    <xf numFmtId="44" fontId="2" fillId="3" borderId="1" xfId="1" applyFont="1" applyFill="1" applyBorder="1" applyAlignment="1" applyProtection="1">
      <protection locked="0"/>
    </xf>
    <xf numFmtId="44" fontId="2" fillId="0" borderId="7" xfId="1" applyFont="1" applyBorder="1" applyAlignment="1"/>
    <xf numFmtId="0" fontId="15" fillId="0" borderId="0" xfId="2" applyFont="1" applyFill="1" applyBorder="1" applyAlignment="1" applyProtection="1">
      <alignment horizontal="center"/>
    </xf>
    <xf numFmtId="0" fontId="15" fillId="0" borderId="0" xfId="2" applyFont="1" applyFill="1" applyBorder="1" applyAlignment="1" applyProtection="1">
      <alignment horizontal="center" wrapText="1"/>
    </xf>
    <xf numFmtId="9" fontId="2" fillId="0" borderId="1" xfId="3" applyFont="1" applyBorder="1" applyAlignment="1"/>
    <xf numFmtId="0" fontId="2" fillId="3" borderId="1" xfId="0" applyFont="1" applyFill="1" applyBorder="1" applyAlignment="1">
      <alignment horizontal="center" wrapText="1"/>
    </xf>
    <xf numFmtId="9" fontId="2" fillId="3" borderId="1" xfId="0" applyNumberFormat="1" applyFont="1" applyFill="1" applyBorder="1"/>
    <xf numFmtId="9" fontId="2" fillId="3" borderId="2" xfId="0" applyNumberFormat="1" applyFont="1" applyFill="1" applyBorder="1"/>
    <xf numFmtId="0" fontId="2" fillId="3" borderId="1" xfId="0" applyFont="1" applyFill="1" applyBorder="1"/>
    <xf numFmtId="0" fontId="15" fillId="0" borderId="10" xfId="2" applyFont="1" applyBorder="1" applyAlignment="1" applyProtection="1">
      <alignment horizontal="center" wrapText="1"/>
    </xf>
    <xf numFmtId="0" fontId="2" fillId="2" borderId="14" xfId="0" applyFont="1" applyFill="1" applyBorder="1"/>
    <xf numFmtId="0" fontId="3" fillId="0" borderId="8" xfId="0" applyFont="1" applyBorder="1" applyAlignment="1">
      <alignment horizontal="left" wrapText="1"/>
    </xf>
    <xf numFmtId="1" fontId="2" fillId="0" borderId="0" xfId="3" applyNumberFormat="1" applyFont="1" applyAlignment="1"/>
    <xf numFmtId="0" fontId="2" fillId="2" borderId="20" xfId="0" applyFont="1" applyFill="1" applyBorder="1"/>
    <xf numFmtId="9" fontId="2" fillId="0" borderId="0" xfId="3" applyFont="1" applyAlignment="1" applyProtection="1"/>
    <xf numFmtId="0" fontId="8" fillId="0" borderId="0" xfId="0" applyFont="1"/>
    <xf numFmtId="0" fontId="8" fillId="0" borderId="0" xfId="0" applyFont="1" applyAlignment="1">
      <alignment horizontal="left"/>
    </xf>
    <xf numFmtId="0" fontId="18" fillId="0" borderId="9" xfId="0" applyFont="1" applyBorder="1" applyAlignment="1">
      <alignment horizontal="center"/>
    </xf>
    <xf numFmtId="0" fontId="14" fillId="0" borderId="0" xfId="0" applyFont="1"/>
    <xf numFmtId="0" fontId="14" fillId="0" borderId="1" xfId="0" applyFont="1" applyBorder="1"/>
    <xf numFmtId="0" fontId="2" fillId="0" borderId="2" xfId="0" applyFont="1" applyBorder="1" applyAlignment="1">
      <alignment horizontal="left"/>
    </xf>
    <xf numFmtId="0" fontId="16" fillId="0" borderId="0" xfId="0" applyFont="1" applyAlignment="1">
      <alignment horizontal="center"/>
    </xf>
    <xf numFmtId="0" fontId="14" fillId="0" borderId="10" xfId="0" applyFont="1" applyBorder="1" applyAlignment="1">
      <alignment horizontal="center"/>
    </xf>
    <xf numFmtId="9" fontId="2" fillId="0" borderId="14" xfId="3" applyFont="1" applyBorder="1" applyAlignment="1">
      <alignment horizontal="center" wrapText="1"/>
    </xf>
    <xf numFmtId="0" fontId="8" fillId="0" borderId="1" xfId="0" applyFont="1" applyBorder="1" applyAlignment="1">
      <alignment horizontal="center" wrapText="1"/>
    </xf>
    <xf numFmtId="0" fontId="8" fillId="3" borderId="1" xfId="0" applyFont="1" applyFill="1" applyBorder="1" applyAlignment="1">
      <alignment horizontal="center" wrapText="1"/>
    </xf>
    <xf numFmtId="0" fontId="13" fillId="0" borderId="1" xfId="0" applyFont="1" applyBorder="1" applyAlignment="1">
      <alignment horizontal="left" wrapText="1"/>
    </xf>
    <xf numFmtId="0" fontId="13" fillId="0" borderId="1" xfId="0" applyFont="1" applyBorder="1" applyAlignment="1">
      <alignment horizontal="center" wrapText="1"/>
    </xf>
    <xf numFmtId="9" fontId="2" fillId="0" borderId="1" xfId="0" applyNumberFormat="1" applyFont="1" applyBorder="1"/>
    <xf numFmtId="0" fontId="15" fillId="0" borderId="10" xfId="2" applyFont="1" applyFill="1" applyBorder="1" applyAlignment="1" applyProtection="1">
      <alignment horizontal="center" wrapText="1"/>
    </xf>
    <xf numFmtId="0" fontId="29" fillId="0" borderId="14" xfId="0" applyFont="1" applyBorder="1" applyAlignment="1">
      <alignment horizontal="left" wrapText="1"/>
    </xf>
    <xf numFmtId="0" fontId="29" fillId="0" borderId="2" xfId="0" applyFont="1" applyBorder="1" applyAlignment="1">
      <alignment horizontal="left" wrapText="1"/>
    </xf>
    <xf numFmtId="0" fontId="16" fillId="0" borderId="21" xfId="0" applyFont="1" applyBorder="1" applyAlignment="1">
      <alignment horizontal="center"/>
    </xf>
    <xf numFmtId="9" fontId="8" fillId="3" borderId="2" xfId="3" applyFont="1" applyFill="1" applyBorder="1" applyAlignment="1" applyProtection="1">
      <alignment horizontal="center"/>
      <protection locked="0"/>
    </xf>
    <xf numFmtId="0" fontId="2" fillId="3" borderId="2" xfId="0" applyFont="1" applyFill="1" applyBorder="1"/>
    <xf numFmtId="0" fontId="17" fillId="0" borderId="7" xfId="0" applyFont="1" applyBorder="1" applyAlignment="1">
      <alignment horizontal="center" wrapText="1"/>
    </xf>
    <xf numFmtId="3" fontId="2" fillId="0" borderId="1" xfId="0" applyNumberFormat="1" applyFont="1" applyBorder="1" applyAlignment="1">
      <alignment horizontal="right" wrapText="1"/>
    </xf>
    <xf numFmtId="0" fontId="3" fillId="0" borderId="11" xfId="0" applyFont="1" applyBorder="1" applyAlignment="1">
      <alignment horizontal="right" wrapText="1"/>
    </xf>
    <xf numFmtId="0" fontId="3" fillId="0" borderId="0" xfId="0" applyFont="1" applyAlignment="1">
      <alignment horizontal="right" wrapText="1"/>
    </xf>
    <xf numFmtId="10" fontId="2" fillId="0" borderId="5" xfId="1" applyNumberFormat="1" applyFont="1" applyFill="1" applyBorder="1" applyAlignment="1">
      <alignment horizontal="center"/>
    </xf>
    <xf numFmtId="0" fontId="3" fillId="0" borderId="1" xfId="0" applyFont="1" applyBorder="1"/>
    <xf numFmtId="10" fontId="2" fillId="0" borderId="1" xfId="0" applyNumberFormat="1" applyFont="1" applyBorder="1"/>
    <xf numFmtId="0" fontId="3" fillId="0" borderId="15" xfId="0" applyFont="1" applyBorder="1" applyAlignment="1">
      <alignment horizontal="center" wrapText="1"/>
    </xf>
    <xf numFmtId="0" fontId="2" fillId="0" borderId="11" xfId="0" applyFont="1" applyBorder="1"/>
    <xf numFmtId="0" fontId="3" fillId="0" borderId="15" xfId="0" applyFont="1" applyBorder="1" applyAlignment="1">
      <alignment horizontal="left" wrapText="1"/>
    </xf>
    <xf numFmtId="49" fontId="2" fillId="0" borderId="0" xfId="0" applyNumberFormat="1" applyFont="1"/>
    <xf numFmtId="170" fontId="2" fillId="0" borderId="0" xfId="0" applyNumberFormat="1" applyFont="1"/>
    <xf numFmtId="2" fontId="2" fillId="0" borderId="0" xfId="0" applyNumberFormat="1" applyFont="1"/>
    <xf numFmtId="169" fontId="2" fillId="0" borderId="0" xfId="0" applyNumberFormat="1" applyFont="1"/>
    <xf numFmtId="0" fontId="2" fillId="0" borderId="0" xfId="0" quotePrefix="1" applyFont="1"/>
    <xf numFmtId="0" fontId="3" fillId="0" borderId="7" xfId="0" applyFont="1" applyBorder="1" applyAlignment="1">
      <alignment horizontal="left" wrapText="1"/>
    </xf>
    <xf numFmtId="0" fontId="2" fillId="0" borderId="14" xfId="0" applyFont="1" applyBorder="1" applyAlignment="1">
      <alignment horizontal="right" wrapText="1"/>
    </xf>
    <xf numFmtId="9" fontId="2" fillId="0" borderId="2" xfId="3" applyFont="1" applyBorder="1" applyAlignment="1"/>
    <xf numFmtId="0" fontId="2" fillId="0" borderId="2" xfId="0" applyFont="1" applyBorder="1" applyAlignment="1">
      <alignment horizontal="right" wrapText="1"/>
    </xf>
    <xf numFmtId="0" fontId="3" fillId="0" borderId="14" xfId="0" applyFont="1" applyBorder="1" applyAlignment="1">
      <alignment horizontal="left" wrapText="1"/>
    </xf>
    <xf numFmtId="0" fontId="3" fillId="0" borderId="11" xfId="0" applyFont="1" applyBorder="1" applyAlignment="1">
      <alignment horizontal="left" wrapText="1"/>
    </xf>
    <xf numFmtId="0" fontId="2" fillId="0" borderId="9" xfId="0" applyFont="1" applyBorder="1" applyAlignment="1">
      <alignment horizontal="right" wrapText="1"/>
    </xf>
    <xf numFmtId="9" fontId="36" fillId="0" borderId="0" xfId="3" applyFont="1" applyFill="1" applyBorder="1" applyAlignment="1">
      <alignment horizontal="center"/>
    </xf>
    <xf numFmtId="0" fontId="33" fillId="0" borderId="0" xfId="0" applyFont="1" applyAlignment="1">
      <alignment horizontal="center"/>
    </xf>
    <xf numFmtId="0" fontId="3" fillId="0" borderId="13" xfId="0" applyFont="1" applyBorder="1" applyAlignment="1">
      <alignment horizontal="left" wrapText="1"/>
    </xf>
    <xf numFmtId="9" fontId="2" fillId="0" borderId="3" xfId="3" applyFont="1" applyBorder="1" applyAlignment="1"/>
    <xf numFmtId="9" fontId="2" fillId="0" borderId="3" xfId="0" applyNumberFormat="1" applyFont="1" applyBorder="1"/>
    <xf numFmtId="10" fontId="2" fillId="0" borderId="0" xfId="3" applyNumberFormat="1" applyFont="1" applyAlignment="1"/>
    <xf numFmtId="0" fontId="16" fillId="0" borderId="2" xfId="0" applyFont="1" applyBorder="1" applyAlignment="1">
      <alignment horizontal="center"/>
    </xf>
    <xf numFmtId="0" fontId="3" fillId="0" borderId="2" xfId="0" applyFont="1" applyBorder="1" applyAlignment="1">
      <alignment horizontal="left" wrapText="1"/>
    </xf>
    <xf numFmtId="0" fontId="3" fillId="0" borderId="12" xfId="0" applyFont="1" applyBorder="1" applyAlignment="1">
      <alignment horizontal="left" wrapText="1"/>
    </xf>
    <xf numFmtId="0" fontId="2" fillId="2" borderId="7" xfId="0" applyFont="1" applyFill="1" applyBorder="1"/>
    <xf numFmtId="0" fontId="3" fillId="0" borderId="6" xfId="0" applyFont="1" applyBorder="1" applyAlignment="1">
      <alignment horizontal="left" wrapText="1"/>
    </xf>
    <xf numFmtId="0" fontId="14" fillId="3" borderId="8" xfId="0" applyFont="1" applyFill="1" applyBorder="1" applyAlignment="1">
      <alignment horizontal="center" wrapText="1"/>
    </xf>
    <xf numFmtId="0" fontId="14" fillId="3" borderId="16" xfId="0" applyFont="1" applyFill="1" applyBorder="1" applyAlignment="1">
      <alignment horizontal="center" wrapText="1"/>
    </xf>
    <xf numFmtId="0" fontId="14" fillId="3" borderId="10" xfId="0" applyFont="1" applyFill="1" applyBorder="1" applyAlignment="1">
      <alignment horizontal="center" wrapText="1"/>
    </xf>
    <xf numFmtId="0" fontId="14" fillId="0" borderId="8" xfId="0" applyFont="1" applyBorder="1" applyAlignment="1">
      <alignment horizontal="center" wrapText="1"/>
    </xf>
    <xf numFmtId="0" fontId="14" fillId="0" borderId="16" xfId="0" applyFont="1" applyBorder="1" applyAlignment="1">
      <alignment horizontal="center" wrapText="1"/>
    </xf>
    <xf numFmtId="0" fontId="14" fillId="0" borderId="10" xfId="0" applyFont="1" applyBorder="1" applyAlignment="1">
      <alignment horizontal="center" wrapText="1"/>
    </xf>
    <xf numFmtId="0" fontId="3" fillId="0" borderId="5" xfId="0" applyFont="1" applyBorder="1" applyAlignment="1">
      <alignment horizontal="left" wrapText="1"/>
    </xf>
    <xf numFmtId="0" fontId="17" fillId="0" borderId="14" xfId="0" applyFont="1" applyBorder="1" applyAlignment="1">
      <alignment horizontal="left" wrapText="1"/>
    </xf>
    <xf numFmtId="0" fontId="17" fillId="0" borderId="2" xfId="0" applyFont="1" applyBorder="1" applyAlignment="1">
      <alignment horizontal="left" wrapText="1"/>
    </xf>
    <xf numFmtId="0" fontId="7" fillId="0" borderId="14" xfId="0" applyFont="1" applyBorder="1" applyAlignment="1">
      <alignment horizontal="left" wrapText="1"/>
    </xf>
    <xf numFmtId="0" fontId="7" fillId="0" borderId="2" xfId="0" applyFont="1" applyBorder="1" applyAlignment="1">
      <alignment horizontal="left" wrapText="1"/>
    </xf>
    <xf numFmtId="0" fontId="6" fillId="0" borderId="14" xfId="0" applyFont="1" applyBorder="1" applyAlignment="1">
      <alignment horizontal="left" wrapText="1"/>
    </xf>
    <xf numFmtId="0" fontId="6" fillId="0" borderId="2" xfId="0" applyFont="1" applyBorder="1" applyAlignment="1">
      <alignment horizontal="left" wrapText="1"/>
    </xf>
    <xf numFmtId="0" fontId="2" fillId="0" borderId="14" xfId="0" applyFont="1" applyBorder="1" applyAlignment="1">
      <alignment horizontal="left" wrapText="1"/>
    </xf>
    <xf numFmtId="0" fontId="15" fillId="0" borderId="13" xfId="2" applyFont="1" applyBorder="1" applyAlignment="1" applyProtection="1">
      <alignment horizontal="left" wrapText="1"/>
    </xf>
    <xf numFmtId="0" fontId="15" fillId="0" borderId="9" xfId="2" applyFont="1" applyBorder="1" applyAlignment="1" applyProtection="1">
      <alignment horizontal="left" wrapText="1"/>
    </xf>
    <xf numFmtId="0" fontId="15" fillId="0" borderId="12" xfId="2" applyFont="1" applyBorder="1" applyAlignment="1" applyProtection="1">
      <alignment horizontal="left" wrapText="1"/>
    </xf>
    <xf numFmtId="0" fontId="2" fillId="0" borderId="7" xfId="0" applyFont="1" applyBorder="1" applyAlignment="1">
      <alignment horizontal="left" wrapText="1"/>
    </xf>
    <xf numFmtId="0" fontId="2" fillId="0" borderId="13" xfId="0" applyFont="1" applyBorder="1" applyAlignment="1">
      <alignment horizontal="left" wrapText="1"/>
    </xf>
    <xf numFmtId="0" fontId="2" fillId="0" borderId="4" xfId="0" applyFont="1" applyBorder="1" applyAlignment="1">
      <alignment horizontal="left" wrapText="1"/>
    </xf>
    <xf numFmtId="0" fontId="2" fillId="0" borderId="6" xfId="0" applyFont="1" applyBorder="1" applyAlignment="1">
      <alignment horizontal="left" wrapText="1"/>
    </xf>
    <xf numFmtId="0" fontId="15" fillId="0" borderId="6" xfId="2" applyFont="1" applyBorder="1" applyAlignment="1" applyProtection="1">
      <alignment horizontal="left" wrapText="1"/>
    </xf>
    <xf numFmtId="0" fontId="2" fillId="3" borderId="13" xfId="0" applyFont="1" applyFill="1" applyBorder="1" applyAlignment="1">
      <alignment horizontal="left" wrapText="1"/>
    </xf>
    <xf numFmtId="0" fontId="2" fillId="3" borderId="15" xfId="0" applyFont="1" applyFill="1" applyBorder="1" applyAlignment="1">
      <alignment horizontal="left" wrapText="1"/>
    </xf>
    <xf numFmtId="0" fontId="2" fillId="3" borderId="4" xfId="0" applyFont="1" applyFill="1" applyBorder="1" applyAlignment="1">
      <alignment horizontal="left" wrapText="1"/>
    </xf>
    <xf numFmtId="0" fontId="2" fillId="3" borderId="11" xfId="0" applyFont="1" applyFill="1" applyBorder="1" applyAlignment="1">
      <alignment horizontal="left" wrapText="1"/>
    </xf>
    <xf numFmtId="0" fontId="2" fillId="3" borderId="0" xfId="0" applyFont="1" applyFill="1" applyAlignment="1">
      <alignment horizontal="left" wrapText="1"/>
    </xf>
    <xf numFmtId="0" fontId="2" fillId="3" borderId="5" xfId="0" applyFont="1" applyFill="1" applyBorder="1" applyAlignment="1">
      <alignment horizontal="left" wrapText="1"/>
    </xf>
    <xf numFmtId="0" fontId="2" fillId="3" borderId="9" xfId="0" applyFont="1" applyFill="1" applyBorder="1" applyAlignment="1">
      <alignment horizontal="left" wrapText="1"/>
    </xf>
    <xf numFmtId="0" fontId="2" fillId="3" borderId="12" xfId="0" applyFont="1" applyFill="1" applyBorder="1" applyAlignment="1">
      <alignment horizontal="left" wrapText="1"/>
    </xf>
    <xf numFmtId="0" fontId="2" fillId="3" borderId="6" xfId="0" applyFont="1" applyFill="1" applyBorder="1" applyAlignment="1">
      <alignment horizontal="left" wrapText="1"/>
    </xf>
    <xf numFmtId="0" fontId="2" fillId="3" borderId="10" xfId="0" applyFont="1" applyFill="1" applyBorder="1"/>
    <xf numFmtId="0" fontId="2" fillId="0" borderId="11" xfId="0" applyFont="1" applyBorder="1" applyAlignment="1">
      <alignment horizontal="left" wrapText="1"/>
    </xf>
    <xf numFmtId="9" fontId="2" fillId="3" borderId="10" xfId="0" applyNumberFormat="1" applyFont="1" applyFill="1" applyBorder="1"/>
    <xf numFmtId="0" fontId="2" fillId="0" borderId="15" xfId="0" applyFont="1" applyBorder="1" applyAlignment="1">
      <alignment horizontal="left" wrapText="1"/>
    </xf>
    <xf numFmtId="0" fontId="2" fillId="0" borderId="5" xfId="0" applyFont="1" applyBorder="1" applyAlignment="1">
      <alignment horizontal="left" wrapText="1"/>
    </xf>
    <xf numFmtId="0" fontId="2" fillId="3" borderId="10" xfId="0" applyFont="1" applyFill="1" applyBorder="1" applyAlignment="1">
      <alignment horizontal="right"/>
    </xf>
    <xf numFmtId="0" fontId="2" fillId="0" borderId="14" xfId="0" applyFont="1" applyBorder="1" applyAlignment="1">
      <alignment horizontal="left"/>
    </xf>
    <xf numFmtId="9" fontId="2" fillId="0" borderId="10" xfId="0" applyNumberFormat="1" applyFont="1" applyBorder="1"/>
    <xf numFmtId="0" fontId="2" fillId="3" borderId="7" xfId="0" applyFont="1" applyFill="1" applyBorder="1" applyAlignment="1">
      <alignment horizontal="left"/>
    </xf>
    <xf numFmtId="0" fontId="2" fillId="3" borderId="14" xfId="0" applyFont="1" applyFill="1" applyBorder="1" applyAlignment="1">
      <alignment horizontal="left"/>
    </xf>
    <xf numFmtId="0" fontId="2" fillId="3" borderId="2" xfId="0" applyFont="1" applyFill="1" applyBorder="1" applyAlignment="1">
      <alignment horizontal="left"/>
    </xf>
    <xf numFmtId="0" fontId="2" fillId="3" borderId="6" xfId="0" applyFont="1" applyFill="1" applyBorder="1"/>
    <xf numFmtId="0" fontId="12" fillId="0" borderId="13" xfId="0" applyFont="1" applyBorder="1" applyAlignment="1">
      <alignment horizontal="center" wrapText="1"/>
    </xf>
    <xf numFmtId="9" fontId="2" fillId="2" borderId="7" xfId="0" applyNumberFormat="1" applyFont="1" applyFill="1" applyBorder="1" applyAlignment="1">
      <alignment horizontal="center"/>
    </xf>
    <xf numFmtId="0" fontId="17" fillId="0" borderId="16" xfId="0" applyFont="1" applyBorder="1" applyAlignment="1">
      <alignment horizontal="left"/>
    </xf>
    <xf numFmtId="0" fontId="12" fillId="0" borderId="0" xfId="0" applyFont="1" applyAlignment="1">
      <alignment wrapText="1"/>
    </xf>
    <xf numFmtId="0" fontId="12" fillId="0" borderId="0" xfId="0" applyFont="1" applyAlignment="1">
      <alignment horizontal="center" wrapText="1"/>
    </xf>
    <xf numFmtId="16" fontId="12" fillId="0" borderId="0" xfId="0" applyNumberFormat="1" applyFont="1" applyAlignment="1">
      <alignment horizontal="left" wrapText="1"/>
    </xf>
    <xf numFmtId="9" fontId="2" fillId="0" borderId="1" xfId="3" applyFont="1" applyBorder="1" applyAlignment="1">
      <alignment wrapText="1"/>
    </xf>
    <xf numFmtId="9" fontId="2" fillId="0" borderId="0" xfId="3" applyFont="1" applyAlignment="1">
      <alignment wrapText="1"/>
    </xf>
    <xf numFmtId="0" fontId="12" fillId="0" borderId="13" xfId="0" applyFont="1" applyBorder="1" applyAlignment="1">
      <alignment wrapText="1"/>
    </xf>
    <xf numFmtId="0" fontId="12" fillId="0" borderId="11" xfId="0" applyFont="1" applyBorder="1" applyAlignment="1">
      <alignment wrapText="1"/>
    </xf>
    <xf numFmtId="0" fontId="12" fillId="0" borderId="7" xfId="0" applyFont="1" applyBorder="1" applyAlignment="1">
      <alignment wrapText="1"/>
    </xf>
    <xf numFmtId="0" fontId="0" fillId="0" borderId="1" xfId="0" applyBorder="1"/>
    <xf numFmtId="9" fontId="2" fillId="0" borderId="1" xfId="3" applyFont="1" applyFill="1" applyBorder="1" applyAlignment="1">
      <alignment wrapText="1"/>
    </xf>
    <xf numFmtId="9" fontId="0" fillId="0" borderId="1" xfId="3" applyFont="1" applyBorder="1" applyAlignment="1"/>
    <xf numFmtId="9" fontId="0" fillId="0" borderId="1" xfId="0" applyNumberFormat="1" applyBorder="1"/>
    <xf numFmtId="9" fontId="2" fillId="0" borderId="4" xfId="3" applyFont="1" applyFill="1" applyBorder="1" applyAlignment="1">
      <alignment horizontal="center" wrapText="1"/>
    </xf>
    <xf numFmtId="9" fontId="2" fillId="0" borderId="5" xfId="3" applyFont="1" applyFill="1" applyBorder="1" applyAlignment="1">
      <alignment horizontal="center" wrapText="1"/>
    </xf>
    <xf numFmtId="0" fontId="0" fillId="0" borderId="5" xfId="0" applyBorder="1"/>
    <xf numFmtId="0" fontId="0" fillId="0" borderId="15" xfId="0" applyBorder="1"/>
    <xf numFmtId="0" fontId="17" fillId="0" borderId="15" xfId="0" applyFont="1" applyBorder="1" applyAlignment="1">
      <alignment horizontal="left"/>
    </xf>
    <xf numFmtId="9" fontId="2" fillId="0" borderId="4" xfId="0" applyNumberFormat="1" applyFont="1" applyBorder="1" applyAlignment="1">
      <alignment horizontal="center"/>
    </xf>
    <xf numFmtId="0" fontId="50" fillId="0" borderId="4" xfId="0" applyFont="1" applyBorder="1"/>
    <xf numFmtId="0" fontId="50" fillId="0" borderId="5" xfId="0" applyFont="1" applyBorder="1"/>
    <xf numFmtId="0" fontId="1" fillId="0" borderId="5" xfId="0" applyFont="1" applyBorder="1"/>
    <xf numFmtId="9" fontId="3" fillId="0" borderId="15" xfId="0" applyNumberFormat="1" applyFont="1" applyBorder="1" applyAlignment="1">
      <alignment horizontal="center"/>
    </xf>
    <xf numFmtId="0" fontId="12" fillId="0" borderId="15" xfId="0" applyFont="1" applyBorder="1" applyAlignment="1">
      <alignment wrapText="1"/>
    </xf>
    <xf numFmtId="0" fontId="2" fillId="0" borderId="10" xfId="0" applyFont="1" applyBorder="1" applyAlignment="1">
      <alignment horizontal="left" wrapText="1"/>
    </xf>
    <xf numFmtId="0" fontId="3" fillId="0" borderId="8" xfId="0" applyFont="1" applyBorder="1" applyAlignment="1">
      <alignment horizontal="left"/>
    </xf>
    <xf numFmtId="0" fontId="2" fillId="0" borderId="16" xfId="0" applyFont="1" applyBorder="1" applyAlignment="1">
      <alignment horizontal="right"/>
    </xf>
    <xf numFmtId="10" fontId="3" fillId="2" borderId="1" xfId="3" applyNumberFormat="1" applyFont="1" applyFill="1" applyBorder="1" applyAlignment="1">
      <alignment horizontal="center"/>
    </xf>
    <xf numFmtId="0" fontId="9" fillId="0" borderId="2" xfId="0" applyFont="1" applyBorder="1" applyAlignment="1">
      <alignment horizontal="center" wrapText="1"/>
    </xf>
    <xf numFmtId="9" fontId="2" fillId="0" borderId="7" xfId="0" applyNumberFormat="1" applyFont="1" applyBorder="1" applyAlignment="1">
      <alignment horizontal="center"/>
    </xf>
    <xf numFmtId="9" fontId="2" fillId="0" borderId="14" xfId="0" applyNumberFormat="1" applyFont="1" applyBorder="1" applyAlignment="1">
      <alignment horizontal="center"/>
    </xf>
    <xf numFmtId="0" fontId="10" fillId="0" borderId="11" xfId="0" applyFont="1" applyBorder="1" applyAlignment="1">
      <alignment horizontal="center" wrapText="1"/>
    </xf>
    <xf numFmtId="0" fontId="10" fillId="0" borderId="0" xfId="0" applyFont="1" applyAlignment="1">
      <alignment horizontal="center" wrapText="1"/>
    </xf>
    <xf numFmtId="0" fontId="10" fillId="0" borderId="5" xfId="0" applyFont="1" applyBorder="1" applyAlignment="1">
      <alignment horizontal="center" wrapText="1"/>
    </xf>
    <xf numFmtId="0" fontId="2" fillId="3" borderId="8" xfId="0" applyFont="1" applyFill="1" applyBorder="1" applyAlignment="1" applyProtection="1">
      <alignment horizontal="center"/>
      <protection locked="0"/>
    </xf>
    <xf numFmtId="0" fontId="12" fillId="0" borderId="1" xfId="0" applyFont="1" applyBorder="1" applyAlignment="1">
      <alignment horizontal="center" wrapText="1"/>
    </xf>
    <xf numFmtId="9" fontId="3" fillId="0" borderId="0" xfId="3" applyFont="1" applyFill="1" applyBorder="1" applyAlignment="1">
      <alignment horizontal="left"/>
    </xf>
    <xf numFmtId="0" fontId="2" fillId="0" borderId="12" xfId="0" applyFont="1" applyBorder="1" applyAlignment="1">
      <alignment horizontal="center" vertical="center" wrapText="1"/>
    </xf>
    <xf numFmtId="9" fontId="3" fillId="0" borderId="0" xfId="3" applyFont="1" applyFill="1" applyBorder="1" applyAlignment="1">
      <alignment horizontal="center" textRotation="90" wrapText="1"/>
    </xf>
    <xf numFmtId="0" fontId="3" fillId="0" borderId="0" xfId="3" applyNumberFormat="1" applyFont="1" applyFill="1" applyBorder="1" applyAlignment="1">
      <alignment horizontal="center" textRotation="90" wrapText="1"/>
    </xf>
    <xf numFmtId="9" fontId="2" fillId="0" borderId="1" xfId="3" applyFont="1" applyFill="1" applyBorder="1" applyAlignment="1">
      <alignment horizontal="left"/>
    </xf>
    <xf numFmtId="0" fontId="2" fillId="0" borderId="0" xfId="3" applyNumberFormat="1" applyFont="1" applyFill="1" applyBorder="1" applyAlignment="1"/>
    <xf numFmtId="9" fontId="3" fillId="0" borderId="0" xfId="3" applyFont="1" applyFill="1" applyBorder="1" applyAlignment="1"/>
    <xf numFmtId="9" fontId="2" fillId="0" borderId="0" xfId="3" applyFont="1" applyFill="1" applyBorder="1" applyAlignment="1">
      <alignment wrapText="1"/>
    </xf>
    <xf numFmtId="0" fontId="7" fillId="0" borderId="0" xfId="0" applyFont="1" applyAlignment="1">
      <alignment horizontal="left" wrapText="1"/>
    </xf>
    <xf numFmtId="9" fontId="12" fillId="0" borderId="0" xfId="3" applyFont="1" applyFill="1" applyBorder="1" applyAlignment="1">
      <alignment horizontal="right" wrapText="1"/>
    </xf>
    <xf numFmtId="9" fontId="3" fillId="0" borderId="0" xfId="3" applyFont="1" applyFill="1" applyBorder="1" applyAlignment="1">
      <alignment horizontal="left" wrapText="1"/>
    </xf>
    <xf numFmtId="0" fontId="25" fillId="0" borderId="0" xfId="0" applyFont="1" applyAlignment="1">
      <alignment horizontal="center"/>
    </xf>
    <xf numFmtId="9" fontId="2" fillId="2" borderId="14" xfId="3" applyFont="1" applyFill="1" applyBorder="1" applyAlignment="1">
      <alignment horizontal="center"/>
    </xf>
    <xf numFmtId="9" fontId="2" fillId="0" borderId="2" xfId="3" applyFont="1" applyFill="1" applyBorder="1" applyAlignment="1">
      <alignment horizontal="center"/>
    </xf>
    <xf numFmtId="9" fontId="58" fillId="0" borderId="14" xfId="0" applyNumberFormat="1" applyFont="1" applyBorder="1" applyAlignment="1">
      <alignment horizontal="left" wrapText="1"/>
    </xf>
    <xf numFmtId="9" fontId="58" fillId="0" borderId="2" xfId="0" applyNumberFormat="1" applyFont="1" applyBorder="1" applyAlignment="1">
      <alignment horizontal="left" wrapText="1"/>
    </xf>
    <xf numFmtId="0" fontId="3" fillId="0" borderId="16" xfId="0" applyFont="1" applyBorder="1" applyAlignment="1">
      <alignment horizontal="right"/>
    </xf>
    <xf numFmtId="0" fontId="3" fillId="0" borderId="1" xfId="0" applyFont="1" applyBorder="1" applyAlignment="1">
      <alignment wrapText="1"/>
    </xf>
    <xf numFmtId="9" fontId="2" fillId="5" borderId="1" xfId="0" applyNumberFormat="1" applyFont="1" applyFill="1" applyBorder="1" applyAlignment="1">
      <alignment horizontal="center"/>
    </xf>
    <xf numFmtId="0" fontId="3" fillId="0" borderId="2" xfId="0" applyFont="1" applyBorder="1" applyAlignment="1">
      <alignment horizontal="center" vertical="center" wrapText="1"/>
    </xf>
    <xf numFmtId="14" fontId="38" fillId="0" borderId="0" xfId="0" applyNumberFormat="1" applyFont="1" applyAlignment="1">
      <alignment wrapText="1"/>
    </xf>
    <xf numFmtId="0" fontId="38" fillId="0" borderId="0" xfId="0" applyFont="1"/>
    <xf numFmtId="0" fontId="21" fillId="0" borderId="0" xfId="0" applyFont="1" applyAlignment="1">
      <alignment horizontal="right"/>
    </xf>
    <xf numFmtId="0" fontId="18" fillId="0" borderId="0" xfId="0" applyFont="1" applyAlignment="1">
      <alignment vertical="center"/>
    </xf>
    <xf numFmtId="9" fontId="3" fillId="0" borderId="7" xfId="3" applyFont="1" applyFill="1" applyBorder="1" applyAlignment="1"/>
    <xf numFmtId="9" fontId="2" fillId="0" borderId="14" xfId="3" applyFont="1" applyFill="1" applyBorder="1" applyAlignment="1">
      <alignment wrapText="1"/>
    </xf>
    <xf numFmtId="9" fontId="3" fillId="0" borderId="14" xfId="3" applyFont="1" applyFill="1" applyBorder="1" applyAlignment="1"/>
    <xf numFmtId="9" fontId="2" fillId="0" borderId="14" xfId="3" applyFont="1" applyFill="1" applyBorder="1" applyAlignment="1"/>
    <xf numFmtId="9" fontId="2" fillId="0" borderId="2" xfId="3" applyFont="1" applyFill="1" applyBorder="1" applyAlignment="1"/>
    <xf numFmtId="0" fontId="15" fillId="0" borderId="13" xfId="2" applyFont="1" applyBorder="1" applyAlignment="1" applyProtection="1">
      <alignment wrapText="1"/>
    </xf>
    <xf numFmtId="0" fontId="2" fillId="6" borderId="0" xfId="0" applyFont="1" applyFill="1" applyAlignment="1">
      <alignment horizontal="left"/>
    </xf>
    <xf numFmtId="0" fontId="2" fillId="6" borderId="0" xfId="0" applyFont="1" applyFill="1" applyAlignment="1">
      <alignment horizontal="center"/>
    </xf>
    <xf numFmtId="0" fontId="2" fillId="6" borderId="0" xfId="0" applyFont="1" applyFill="1"/>
    <xf numFmtId="14" fontId="2" fillId="0" borderId="1" xfId="0" applyNumberFormat="1" applyFont="1" applyBorder="1" applyAlignment="1">
      <alignment horizontal="center" wrapText="1"/>
    </xf>
    <xf numFmtId="10" fontId="2" fillId="0" borderId="1" xfId="0" applyNumberFormat="1" applyFont="1" applyBorder="1" applyAlignment="1">
      <alignment horizontal="left"/>
    </xf>
    <xf numFmtId="165" fontId="2" fillId="0" borderId="1" xfId="0" applyNumberFormat="1" applyFont="1" applyBorder="1" applyAlignment="1">
      <alignment horizontal="left"/>
    </xf>
    <xf numFmtId="0" fontId="2" fillId="0" borderId="1" xfId="0" applyFont="1" applyBorder="1" applyAlignment="1" applyProtection="1">
      <alignment horizontal="left"/>
      <protection locked="0"/>
    </xf>
    <xf numFmtId="0" fontId="2" fillId="0" borderId="1" xfId="0" applyFont="1" applyBorder="1" applyProtection="1">
      <protection locked="0"/>
    </xf>
    <xf numFmtId="9" fontId="2" fillId="0" borderId="1" xfId="0" applyNumberFormat="1" applyFont="1" applyBorder="1" applyAlignment="1">
      <alignment horizontal="left"/>
    </xf>
    <xf numFmtId="1" fontId="2" fillId="0" borderId="1" xfId="0" applyNumberFormat="1" applyFont="1" applyBorder="1"/>
    <xf numFmtId="165" fontId="2" fillId="0" borderId="1" xfId="0" applyNumberFormat="1" applyFont="1" applyBorder="1"/>
    <xf numFmtId="0" fontId="21" fillId="0" borderId="0" xfId="0" applyFont="1" applyAlignment="1">
      <alignment horizontal="left"/>
    </xf>
    <xf numFmtId="49" fontId="2" fillId="0" borderId="1" xfId="0" applyNumberFormat="1" applyFont="1" applyBorder="1" applyAlignment="1">
      <alignment horizontal="left"/>
    </xf>
    <xf numFmtId="1" fontId="2" fillId="0" borderId="1" xfId="0" applyNumberFormat="1" applyFont="1" applyBorder="1" applyAlignment="1">
      <alignment horizontal="left"/>
    </xf>
    <xf numFmtId="2" fontId="2" fillId="0" borderId="1" xfId="0" applyNumberFormat="1" applyFont="1" applyBorder="1" applyAlignment="1">
      <alignment horizontal="left"/>
    </xf>
    <xf numFmtId="0" fontId="12" fillId="0" borderId="2" xfId="0" applyFont="1" applyBorder="1" applyAlignment="1">
      <alignment wrapText="1"/>
    </xf>
    <xf numFmtId="0" fontId="12" fillId="0" borderId="12" xfId="0" applyFont="1" applyBorder="1" applyAlignment="1">
      <alignment wrapText="1"/>
    </xf>
    <xf numFmtId="9" fontId="2" fillId="0" borderId="2" xfId="3" applyFont="1" applyBorder="1" applyAlignment="1">
      <alignment wrapText="1"/>
    </xf>
    <xf numFmtId="9" fontId="2" fillId="0" borderId="2" xfId="3" applyFont="1" applyFill="1" applyBorder="1" applyAlignment="1">
      <alignment horizontal="left"/>
    </xf>
    <xf numFmtId="0" fontId="3" fillId="0" borderId="1" xfId="0" applyFont="1" applyBorder="1" applyAlignment="1">
      <alignment horizontal="left"/>
    </xf>
    <xf numFmtId="0" fontId="3" fillId="0" borderId="7" xfId="0" applyFont="1" applyBorder="1" applyAlignment="1">
      <alignment horizontal="left"/>
    </xf>
    <xf numFmtId="164" fontId="2" fillId="0" borderId="1" xfId="3" applyNumberFormat="1" applyFont="1" applyBorder="1" applyAlignment="1" applyProtection="1">
      <alignment horizontal="left"/>
      <protection locked="0"/>
    </xf>
    <xf numFmtId="168" fontId="2" fillId="0" borderId="1" xfId="0" applyNumberFormat="1" applyFont="1" applyBorder="1" applyAlignment="1">
      <alignment horizontal="left"/>
    </xf>
    <xf numFmtId="9" fontId="2" fillId="0" borderId="10" xfId="3" applyFont="1" applyBorder="1" applyAlignment="1">
      <alignment horizontal="left"/>
    </xf>
    <xf numFmtId="9" fontId="2" fillId="0" borderId="8" xfId="3" applyFont="1" applyFill="1" applyBorder="1" applyAlignment="1">
      <alignment horizontal="left"/>
    </xf>
    <xf numFmtId="0" fontId="2" fillId="0" borderId="16" xfId="0" applyFont="1" applyBorder="1" applyAlignment="1">
      <alignment horizontal="left"/>
    </xf>
    <xf numFmtId="0" fontId="2" fillId="0" borderId="10" xfId="0" applyFont="1" applyBorder="1" applyAlignment="1">
      <alignment horizontal="left"/>
    </xf>
    <xf numFmtId="0" fontId="2" fillId="0" borderId="10" xfId="0" applyFont="1" applyBorder="1" applyAlignment="1">
      <alignment horizontal="center"/>
    </xf>
    <xf numFmtId="0" fontId="2" fillId="0" borderId="12" xfId="0" applyFont="1" applyBorder="1" applyAlignment="1">
      <alignment horizontal="left"/>
    </xf>
    <xf numFmtId="0" fontId="2" fillId="0" borderId="11" xfId="0" applyFont="1" applyBorder="1" applyAlignment="1">
      <alignment horizontal="left"/>
    </xf>
    <xf numFmtId="0" fontId="2" fillId="0" borderId="7" xfId="3" applyNumberFormat="1" applyFont="1" applyBorder="1" applyAlignment="1" applyProtection="1">
      <alignment horizontal="left"/>
      <protection locked="0"/>
    </xf>
    <xf numFmtId="0" fontId="2" fillId="0" borderId="1" xfId="3" applyNumberFormat="1" applyFont="1" applyBorder="1" applyAlignment="1">
      <alignment horizontal="left"/>
    </xf>
    <xf numFmtId="1" fontId="2" fillId="0" borderId="7" xfId="0" applyNumberFormat="1" applyFont="1" applyBorder="1" applyAlignment="1">
      <alignment horizontal="left"/>
    </xf>
    <xf numFmtId="2" fontId="2" fillId="0" borderId="7" xfId="0" applyNumberFormat="1" applyFont="1" applyBorder="1" applyAlignment="1">
      <alignment horizontal="left"/>
    </xf>
    <xf numFmtId="0" fontId="2" fillId="0" borderId="1" xfId="3" applyNumberFormat="1" applyFont="1" applyFill="1" applyBorder="1" applyAlignment="1" applyProtection="1">
      <alignment horizontal="left"/>
      <protection locked="0"/>
    </xf>
    <xf numFmtId="9" fontId="2" fillId="0" borderId="2" xfId="3" applyFont="1" applyBorder="1" applyAlignment="1">
      <alignment horizontal="left"/>
    </xf>
    <xf numFmtId="9" fontId="2" fillId="0" borderId="11" xfId="0" applyNumberFormat="1" applyFont="1" applyBorder="1" applyAlignment="1">
      <alignment horizontal="left"/>
    </xf>
    <xf numFmtId="2" fontId="2" fillId="0" borderId="5" xfId="0" applyNumberFormat="1" applyFont="1" applyBorder="1" applyAlignment="1">
      <alignment horizontal="left"/>
    </xf>
    <xf numFmtId="1" fontId="2" fillId="0" borderId="1" xfId="3" applyNumberFormat="1" applyFont="1" applyBorder="1" applyAlignment="1">
      <alignment horizontal="left"/>
    </xf>
    <xf numFmtId="9" fontId="2" fillId="0" borderId="1" xfId="0" applyNumberFormat="1" applyFont="1" applyBorder="1" applyAlignment="1" applyProtection="1">
      <alignment horizontal="left"/>
      <protection locked="0"/>
    </xf>
    <xf numFmtId="0" fontId="2" fillId="0" borderId="8" xfId="3" applyNumberFormat="1" applyFont="1" applyBorder="1" applyAlignment="1">
      <alignment horizontal="left"/>
    </xf>
    <xf numFmtId="10" fontId="2" fillId="0" borderId="1" xfId="3" applyNumberFormat="1" applyFont="1" applyBorder="1" applyAlignment="1">
      <alignment horizontal="left"/>
    </xf>
    <xf numFmtId="10" fontId="2" fillId="0" borderId="8" xfId="3" applyNumberFormat="1" applyFont="1" applyBorder="1" applyAlignment="1">
      <alignment horizontal="left"/>
    </xf>
    <xf numFmtId="10" fontId="2" fillId="0" borderId="1" xfId="3" applyNumberFormat="1" applyFont="1" applyFill="1" applyBorder="1" applyAlignment="1">
      <alignment horizontal="left"/>
    </xf>
    <xf numFmtId="0" fontId="2" fillId="0" borderId="8" xfId="0" applyFont="1" applyBorder="1" applyAlignment="1" applyProtection="1">
      <alignment horizontal="left"/>
      <protection locked="0"/>
    </xf>
    <xf numFmtId="9" fontId="2" fillId="0" borderId="16" xfId="0" applyNumberFormat="1" applyFont="1" applyBorder="1" applyAlignment="1">
      <alignment horizontal="left"/>
    </xf>
    <xf numFmtId="9" fontId="2" fillId="0" borderId="7" xfId="3" applyFont="1" applyBorder="1" applyAlignment="1">
      <alignment horizontal="left"/>
    </xf>
    <xf numFmtId="0" fontId="61" fillId="0" borderId="0" xfId="2" applyFont="1" applyFill="1" applyBorder="1" applyAlignment="1" applyProtection="1">
      <alignment horizontal="left"/>
    </xf>
    <xf numFmtId="0" fontId="2" fillId="0" borderId="7" xfId="0" applyFont="1" applyBorder="1" applyAlignment="1">
      <alignment horizontal="left"/>
    </xf>
    <xf numFmtId="0" fontId="2" fillId="0" borderId="9" xfId="0" applyFont="1" applyBorder="1" applyAlignment="1">
      <alignment horizontal="left"/>
    </xf>
    <xf numFmtId="10" fontId="2" fillId="0" borderId="8" xfId="0" applyNumberFormat="1" applyFont="1" applyBorder="1" applyAlignment="1">
      <alignment horizontal="left"/>
    </xf>
    <xf numFmtId="0" fontId="2" fillId="0" borderId="1" xfId="3" applyNumberFormat="1" applyFont="1" applyBorder="1" applyAlignment="1" applyProtection="1">
      <alignment horizontal="left"/>
      <protection locked="0"/>
    </xf>
    <xf numFmtId="9" fontId="2" fillId="0" borderId="1" xfId="3" applyFont="1" applyBorder="1" applyAlignment="1" applyProtection="1">
      <alignment horizontal="left"/>
      <protection locked="0"/>
    </xf>
    <xf numFmtId="0" fontId="2" fillId="0" borderId="4" xfId="0" applyFont="1" applyBorder="1" applyAlignment="1">
      <alignment horizontal="left"/>
    </xf>
    <xf numFmtId="1" fontId="2" fillId="0" borderId="10" xfId="3" applyNumberFormat="1" applyFont="1" applyBorder="1" applyAlignment="1">
      <alignment horizontal="left"/>
    </xf>
    <xf numFmtId="0" fontId="2" fillId="0" borderId="15" xfId="0" applyFont="1" applyBorder="1" applyAlignment="1">
      <alignment wrapText="1"/>
    </xf>
    <xf numFmtId="9" fontId="2" fillId="2" borderId="10" xfId="3" applyFont="1" applyFill="1" applyBorder="1" applyAlignment="1">
      <alignment horizontal="center"/>
    </xf>
    <xf numFmtId="9" fontId="2" fillId="0" borderId="11" xfId="3" applyFont="1" applyFill="1" applyBorder="1" applyAlignment="1">
      <alignment vertical="top" wrapText="1"/>
    </xf>
    <xf numFmtId="0" fontId="2" fillId="0" borderId="15" xfId="0" applyFont="1" applyBorder="1" applyAlignment="1">
      <alignment horizontal="left"/>
    </xf>
    <xf numFmtId="0" fontId="2" fillId="0" borderId="7" xfId="0" applyFont="1" applyBorder="1" applyAlignment="1" applyProtection="1">
      <alignment horizontal="left"/>
      <protection locked="0"/>
    </xf>
    <xf numFmtId="49" fontId="2" fillId="0" borderId="8" xfId="0" applyNumberFormat="1" applyFont="1" applyBorder="1" applyAlignment="1">
      <alignment horizontal="left"/>
    </xf>
    <xf numFmtId="9" fontId="2" fillId="0" borderId="7" xfId="3" applyFont="1" applyBorder="1" applyAlignment="1"/>
    <xf numFmtId="1" fontId="2" fillId="0" borderId="1" xfId="0" applyNumberFormat="1" applyFont="1" applyBorder="1" applyAlignment="1" applyProtection="1">
      <alignment horizontal="left"/>
      <protection locked="0"/>
    </xf>
    <xf numFmtId="10" fontId="2" fillId="0" borderId="7" xfId="3" applyNumberFormat="1" applyFont="1" applyBorder="1" applyAlignment="1">
      <alignment horizontal="left"/>
    </xf>
    <xf numFmtId="10" fontId="2" fillId="0" borderId="1" xfId="0" applyNumberFormat="1" applyFont="1" applyBorder="1" applyAlignment="1">
      <alignment horizontal="left" wrapText="1"/>
    </xf>
    <xf numFmtId="0" fontId="3" fillId="0" borderId="1" xfId="0" applyFont="1" applyBorder="1" applyAlignment="1">
      <alignment horizontal="right"/>
    </xf>
    <xf numFmtId="0" fontId="3" fillId="0" borderId="7" xfId="0" applyFont="1" applyBorder="1"/>
    <xf numFmtId="0" fontId="2" fillId="0" borderId="13" xfId="0" applyFont="1" applyBorder="1" applyAlignment="1">
      <alignment horizontal="left"/>
    </xf>
    <xf numFmtId="0" fontId="2" fillId="0" borderId="6" xfId="0" applyFont="1" applyBorder="1" applyAlignment="1">
      <alignment horizontal="left"/>
    </xf>
    <xf numFmtId="2" fontId="2" fillId="0" borderId="8" xfId="0" applyNumberFormat="1" applyFont="1" applyBorder="1" applyAlignment="1">
      <alignment horizontal="left"/>
    </xf>
    <xf numFmtId="9" fontId="2" fillId="0" borderId="8" xfId="0" applyNumberFormat="1" applyFont="1" applyBorder="1" applyAlignment="1">
      <alignment horizontal="left"/>
    </xf>
    <xf numFmtId="9" fontId="11" fillId="0" borderId="2" xfId="3" applyFont="1" applyFill="1" applyBorder="1" applyAlignment="1">
      <alignment horizontal="center"/>
    </xf>
    <xf numFmtId="0" fontId="2" fillId="0" borderId="1" xfId="0" applyFont="1" applyBorder="1" applyAlignment="1" applyProtection="1">
      <alignment horizontal="center"/>
      <protection locked="0"/>
    </xf>
    <xf numFmtId="0" fontId="2" fillId="0" borderId="1" xfId="0" applyFont="1" applyBorder="1" applyAlignment="1" applyProtection="1">
      <alignment horizontal="right"/>
      <protection locked="0"/>
    </xf>
    <xf numFmtId="9" fontId="2" fillId="0" borderId="16" xfId="3" applyFont="1" applyBorder="1" applyAlignment="1">
      <alignment wrapText="1"/>
    </xf>
    <xf numFmtId="9" fontId="9" fillId="0" borderId="11" xfId="3" applyFont="1" applyBorder="1" applyAlignment="1">
      <alignment wrapText="1"/>
    </xf>
    <xf numFmtId="9" fontId="9" fillId="0" borderId="0" xfId="3" applyFont="1" applyBorder="1" applyAlignment="1">
      <alignment wrapText="1"/>
    </xf>
    <xf numFmtId="9" fontId="9" fillId="0" borderId="5" xfId="3" applyFont="1" applyBorder="1" applyAlignment="1">
      <alignment wrapText="1"/>
    </xf>
    <xf numFmtId="9" fontId="10" fillId="0" borderId="8" xfId="3" applyFont="1" applyFill="1" applyBorder="1" applyAlignment="1">
      <alignment wrapText="1"/>
    </xf>
    <xf numFmtId="9" fontId="10" fillId="0" borderId="16" xfId="3" applyFont="1" applyFill="1" applyBorder="1" applyAlignment="1">
      <alignment wrapText="1"/>
    </xf>
    <xf numFmtId="0" fontId="9" fillId="0" borderId="11" xfId="0" applyFont="1" applyBorder="1" applyAlignment="1">
      <alignment wrapText="1"/>
    </xf>
    <xf numFmtId="0" fontId="9" fillId="0" borderId="0" xfId="0" applyFont="1" applyAlignment="1">
      <alignment wrapText="1"/>
    </xf>
    <xf numFmtId="0" fontId="9" fillId="0" borderId="5" xfId="0" applyFont="1" applyBorder="1" applyAlignment="1">
      <alignment wrapText="1"/>
    </xf>
    <xf numFmtId="0" fontId="10" fillId="0" borderId="11" xfId="0" applyFont="1" applyBorder="1" applyAlignment="1">
      <alignment wrapText="1"/>
    </xf>
    <xf numFmtId="0" fontId="10" fillId="0" borderId="0" xfId="0" applyFont="1" applyAlignment="1">
      <alignment wrapText="1"/>
    </xf>
    <xf numFmtId="0" fontId="10" fillId="0" borderId="5" xfId="0" applyFont="1" applyBorder="1" applyAlignment="1">
      <alignment wrapText="1"/>
    </xf>
    <xf numFmtId="164" fontId="2" fillId="0" borderId="0" xfId="0" applyNumberFormat="1" applyFont="1"/>
    <xf numFmtId="164" fontId="2" fillId="0" borderId="1" xfId="0" applyNumberFormat="1" applyFont="1" applyBorder="1" applyAlignment="1">
      <alignment horizontal="center"/>
    </xf>
    <xf numFmtId="0" fontId="10" fillId="0" borderId="15" xfId="0" applyFont="1" applyBorder="1" applyAlignment="1">
      <alignment wrapText="1"/>
    </xf>
    <xf numFmtId="0" fontId="10" fillId="0" borderId="4" xfId="0" applyFont="1" applyBorder="1" applyAlignment="1">
      <alignment wrapText="1"/>
    </xf>
    <xf numFmtId="10" fontId="2" fillId="2" borderId="8" xfId="0" applyNumberFormat="1" applyFont="1" applyFill="1" applyBorder="1" applyAlignment="1">
      <alignment horizontal="center"/>
    </xf>
    <xf numFmtId="9" fontId="2" fillId="0" borderId="8" xfId="3" applyFont="1" applyBorder="1" applyAlignment="1"/>
    <xf numFmtId="9" fontId="2" fillId="0" borderId="16" xfId="3" applyFont="1" applyBorder="1" applyAlignment="1"/>
    <xf numFmtId="9" fontId="2" fillId="0" borderId="10" xfId="3" applyFont="1" applyBorder="1" applyAlignment="1"/>
    <xf numFmtId="0" fontId="10" fillId="0" borderId="13" xfId="0" applyFont="1" applyBorder="1" applyAlignment="1">
      <alignment wrapText="1"/>
    </xf>
    <xf numFmtId="9" fontId="2" fillId="0" borderId="1" xfId="3" applyFont="1" applyBorder="1" applyAlignment="1">
      <alignment horizontal="center" wrapText="1"/>
    </xf>
    <xf numFmtId="9" fontId="14" fillId="0" borderId="14" xfId="3" applyFont="1" applyFill="1" applyBorder="1" applyAlignment="1">
      <alignment wrapText="1"/>
    </xf>
    <xf numFmtId="10" fontId="2" fillId="2" borderId="8" xfId="3" applyNumberFormat="1" applyFont="1" applyFill="1" applyBorder="1" applyAlignment="1">
      <alignment horizontal="center"/>
    </xf>
    <xf numFmtId="0" fontId="2" fillId="0" borderId="9" xfId="0" applyFont="1" applyBorder="1" applyAlignment="1">
      <alignment horizontal="center" wrapText="1"/>
    </xf>
    <xf numFmtId="10" fontId="2" fillId="0" borderId="1" xfId="3" applyNumberFormat="1" applyFont="1" applyBorder="1" applyAlignment="1"/>
    <xf numFmtId="0" fontId="2" fillId="0" borderId="30" xfId="0" applyFont="1" applyBorder="1" applyAlignment="1">
      <alignment horizontal="right"/>
    </xf>
    <xf numFmtId="0" fontId="2" fillId="0" borderId="31" xfId="0" applyFont="1" applyBorder="1" applyAlignment="1">
      <alignment horizontal="right"/>
    </xf>
    <xf numFmtId="0" fontId="2" fillId="0" borderId="32" xfId="0" applyFont="1" applyBorder="1" applyAlignment="1">
      <alignment horizontal="right"/>
    </xf>
    <xf numFmtId="0" fontId="2" fillId="0" borderId="33" xfId="0" applyFont="1" applyBorder="1" applyAlignment="1">
      <alignment horizontal="right"/>
    </xf>
    <xf numFmtId="0" fontId="2" fillId="0" borderId="34" xfId="0" applyFont="1" applyBorder="1" applyAlignment="1">
      <alignment horizontal="right"/>
    </xf>
    <xf numFmtId="0" fontId="2" fillId="0" borderId="35" xfId="0" applyFont="1" applyBorder="1" applyAlignment="1">
      <alignment horizontal="right"/>
    </xf>
    <xf numFmtId="0" fontId="2" fillId="0" borderId="8" xfId="0" applyFont="1" applyBorder="1" applyAlignment="1" applyProtection="1">
      <alignment horizontal="right"/>
      <protection locked="0"/>
    </xf>
    <xf numFmtId="0" fontId="2" fillId="0" borderId="21" xfId="0" applyFont="1" applyBorder="1" applyAlignment="1">
      <alignment horizontal="right"/>
    </xf>
    <xf numFmtId="10" fontId="2" fillId="0" borderId="32" xfId="3" applyNumberFormat="1" applyFont="1" applyBorder="1" applyAlignment="1">
      <alignment horizontal="right"/>
    </xf>
    <xf numFmtId="164" fontId="2" fillId="0" borderId="33" xfId="0" applyNumberFormat="1" applyFont="1" applyBorder="1" applyAlignment="1">
      <alignment horizontal="right"/>
    </xf>
    <xf numFmtId="10" fontId="2" fillId="0" borderId="34" xfId="3" applyNumberFormat="1" applyFont="1" applyBorder="1" applyAlignment="1">
      <alignment horizontal="right"/>
    </xf>
    <xf numFmtId="10" fontId="2" fillId="0" borderId="36" xfId="0" applyNumberFormat="1" applyFont="1" applyBorder="1"/>
    <xf numFmtId="0" fontId="2" fillId="0" borderId="35" xfId="0" applyFont="1" applyBorder="1"/>
    <xf numFmtId="0" fontId="2" fillId="0" borderId="37" xfId="0" applyFont="1" applyBorder="1" applyAlignment="1">
      <alignment horizontal="right"/>
    </xf>
    <xf numFmtId="10" fontId="2" fillId="0" borderId="1" xfId="1" applyNumberFormat="1" applyFont="1" applyBorder="1" applyAlignment="1">
      <alignment horizontal="right"/>
    </xf>
    <xf numFmtId="0" fontId="12" fillId="0" borderId="1" xfId="0" applyFont="1" applyBorder="1" applyAlignment="1">
      <alignment horizontal="right"/>
    </xf>
    <xf numFmtId="1" fontId="2" fillId="0" borderId="1" xfId="3" applyNumberFormat="1" applyFont="1" applyFill="1" applyBorder="1" applyAlignment="1" applyProtection="1">
      <alignment horizontal="right"/>
      <protection locked="0"/>
    </xf>
    <xf numFmtId="1" fontId="2" fillId="0" borderId="1" xfId="0" applyNumberFormat="1" applyFont="1" applyBorder="1" applyAlignment="1" applyProtection="1">
      <alignment horizontal="right"/>
      <protection locked="0"/>
    </xf>
    <xf numFmtId="49" fontId="2" fillId="0" borderId="1" xfId="0" applyNumberFormat="1" applyFont="1" applyBorder="1" applyAlignment="1">
      <alignment horizontal="right"/>
    </xf>
    <xf numFmtId="9" fontId="12" fillId="0" borderId="1" xfId="0" applyNumberFormat="1" applyFont="1" applyBorder="1" applyAlignment="1">
      <alignment horizontal="right"/>
    </xf>
    <xf numFmtId="0" fontId="14" fillId="0" borderId="0" xfId="0" applyFont="1" applyAlignment="1">
      <alignment wrapText="1"/>
    </xf>
    <xf numFmtId="9" fontId="3" fillId="0" borderId="1" xfId="0" applyNumberFormat="1" applyFont="1" applyBorder="1" applyAlignment="1">
      <alignment horizontal="left" wrapText="1"/>
    </xf>
    <xf numFmtId="0" fontId="2" fillId="0" borderId="10" xfId="0" applyFont="1" applyBorder="1" applyAlignment="1">
      <alignment horizontal="right"/>
    </xf>
    <xf numFmtId="1" fontId="2" fillId="0" borderId="0" xfId="0" applyNumberFormat="1" applyFont="1" applyAlignment="1">
      <alignment wrapText="1"/>
    </xf>
    <xf numFmtId="0" fontId="2" fillId="0" borderId="0" xfId="0" applyFont="1" applyAlignment="1">
      <alignment vertical="top" wrapText="1"/>
    </xf>
    <xf numFmtId="9" fontId="2" fillId="0" borderId="8" xfId="3" applyFont="1" applyBorder="1" applyAlignment="1">
      <alignment horizontal="left"/>
    </xf>
    <xf numFmtId="10" fontId="2" fillId="0" borderId="1" xfId="3" applyNumberFormat="1" applyFont="1" applyBorder="1" applyAlignment="1">
      <alignment horizontal="left" wrapText="1"/>
    </xf>
    <xf numFmtId="1" fontId="2" fillId="0" borderId="1" xfId="3" applyNumberFormat="1" applyFont="1" applyBorder="1" applyAlignment="1">
      <alignment horizontal="left" textRotation="90" wrapText="1"/>
    </xf>
    <xf numFmtId="9" fontId="2" fillId="0" borderId="1" xfId="3" applyFont="1" applyBorder="1" applyAlignment="1">
      <alignment horizontal="left" textRotation="90" wrapText="1"/>
    </xf>
    <xf numFmtId="10" fontId="2" fillId="0" borderId="1" xfId="3" applyNumberFormat="1" applyFont="1" applyBorder="1" applyAlignment="1">
      <alignment horizontal="left" textRotation="90" wrapText="1"/>
    </xf>
    <xf numFmtId="10" fontId="12" fillId="0" borderId="1" xfId="0" applyNumberFormat="1" applyFont="1" applyBorder="1" applyAlignment="1">
      <alignment horizontal="left" wrapText="1"/>
    </xf>
    <xf numFmtId="9" fontId="12" fillId="0" borderId="1" xfId="0" applyNumberFormat="1" applyFont="1" applyBorder="1" applyAlignment="1">
      <alignment horizontal="left" wrapText="1"/>
    </xf>
    <xf numFmtId="9" fontId="12" fillId="0" borderId="1" xfId="3" applyFont="1" applyBorder="1" applyAlignment="1">
      <alignment horizontal="left" wrapText="1"/>
    </xf>
    <xf numFmtId="10" fontId="12" fillId="0" borderId="1" xfId="3" applyNumberFormat="1" applyFont="1" applyBorder="1" applyAlignment="1">
      <alignment horizontal="left" wrapText="1"/>
    </xf>
    <xf numFmtId="1" fontId="2" fillId="0" borderId="10" xfId="3" applyNumberFormat="1" applyFont="1" applyBorder="1" applyAlignment="1">
      <alignment horizontal="left" textRotation="90" wrapText="1"/>
    </xf>
    <xf numFmtId="1" fontId="2" fillId="0" borderId="7" xfId="3" applyNumberFormat="1" applyFont="1" applyBorder="1" applyAlignment="1">
      <alignment horizontal="left"/>
    </xf>
    <xf numFmtId="0" fontId="2" fillId="0" borderId="1" xfId="0" applyFont="1" applyBorder="1" applyAlignment="1">
      <alignment horizontal="left" textRotation="90" wrapText="1"/>
    </xf>
    <xf numFmtId="0" fontId="2" fillId="0" borderId="10" xfId="3" applyNumberFormat="1" applyFont="1" applyBorder="1" applyAlignment="1">
      <alignment horizontal="left"/>
    </xf>
    <xf numFmtId="1" fontId="2" fillId="0" borderId="7" xfId="3" applyNumberFormat="1" applyFont="1" applyBorder="1" applyAlignment="1">
      <alignment horizontal="left" textRotation="90" wrapText="1"/>
    </xf>
    <xf numFmtId="3" fontId="2" fillId="0" borderId="1" xfId="0" applyNumberFormat="1" applyFont="1" applyBorder="1" applyAlignment="1">
      <alignment horizontal="left"/>
    </xf>
    <xf numFmtId="9" fontId="2" fillId="0" borderId="1" xfId="3" applyFont="1" applyBorder="1" applyAlignment="1" applyProtection="1">
      <alignment horizontal="left"/>
    </xf>
    <xf numFmtId="0" fontId="12" fillId="0" borderId="1" xfId="0" applyFont="1" applyBorder="1" applyAlignment="1">
      <alignment horizontal="left" wrapText="1"/>
    </xf>
    <xf numFmtId="164" fontId="12" fillId="0" borderId="1" xfId="0" applyNumberFormat="1" applyFont="1" applyBorder="1" applyAlignment="1">
      <alignment horizontal="left" wrapText="1"/>
    </xf>
    <xf numFmtId="0" fontId="4" fillId="0" borderId="1" xfId="2" applyBorder="1" applyAlignment="1" applyProtection="1">
      <alignment wrapText="1"/>
    </xf>
    <xf numFmtId="0" fontId="17" fillId="0" borderId="11" xfId="0" applyFont="1" applyBorder="1" applyAlignment="1">
      <alignment vertical="center" wrapText="1"/>
    </xf>
    <xf numFmtId="0" fontId="17" fillId="0" borderId="5" xfId="0" applyFont="1" applyBorder="1" applyAlignment="1">
      <alignment vertical="center" wrapText="1"/>
    </xf>
    <xf numFmtId="0" fontId="17" fillId="0" borderId="9" xfId="0" applyFont="1" applyBorder="1" applyAlignment="1">
      <alignment vertical="center" wrapText="1"/>
    </xf>
    <xf numFmtId="0" fontId="17" fillId="0" borderId="6" xfId="0" applyFont="1" applyBorder="1" applyAlignment="1">
      <alignment vertical="center" wrapText="1"/>
    </xf>
    <xf numFmtId="10" fontId="2" fillId="0" borderId="1" xfId="0" applyNumberFormat="1" applyFont="1" applyBorder="1" applyAlignment="1">
      <alignment horizontal="right" indent="1"/>
    </xf>
    <xf numFmtId="0" fontId="15" fillId="0" borderId="12" xfId="2" applyFont="1" applyBorder="1" applyAlignment="1" applyProtection="1">
      <alignment horizontal="center" wrapText="1"/>
    </xf>
    <xf numFmtId="9" fontId="2" fillId="3" borderId="1" xfId="3" applyFont="1" applyFill="1" applyBorder="1" applyAlignment="1" applyProtection="1">
      <alignment horizontal="center" wrapText="1"/>
      <protection locked="0"/>
    </xf>
    <xf numFmtId="1" fontId="2" fillId="0" borderId="1" xfId="3" applyNumberFormat="1" applyFont="1" applyBorder="1" applyAlignment="1" applyProtection="1">
      <alignment horizontal="left"/>
      <protection locked="0"/>
    </xf>
    <xf numFmtId="0" fontId="2" fillId="5" borderId="1" xfId="0" applyFont="1" applyFill="1" applyBorder="1" applyAlignment="1">
      <alignment horizontal="left"/>
    </xf>
    <xf numFmtId="8" fontId="2" fillId="3" borderId="1" xfId="1" applyNumberFormat="1" applyFont="1" applyFill="1" applyBorder="1" applyAlignment="1" applyProtection="1">
      <protection locked="0"/>
    </xf>
    <xf numFmtId="0" fontId="2" fillId="3" borderId="1" xfId="0" applyFont="1" applyFill="1" applyBorder="1" applyAlignment="1" applyProtection="1">
      <alignment horizontal="center"/>
      <protection locked="0"/>
    </xf>
    <xf numFmtId="14" fontId="2" fillId="3" borderId="1" xfId="0" applyNumberFormat="1" applyFont="1" applyFill="1" applyBorder="1" applyAlignment="1" applyProtection="1">
      <alignment horizontal="center"/>
      <protection locked="0"/>
    </xf>
    <xf numFmtId="0" fontId="15" fillId="0" borderId="0" xfId="2" applyFont="1" applyAlignment="1" applyProtection="1">
      <alignment horizontal="left"/>
    </xf>
    <xf numFmtId="0" fontId="2" fillId="0" borderId="0" xfId="0" applyFont="1" applyAlignment="1">
      <alignment horizontal="center" wrapText="1"/>
    </xf>
    <xf numFmtId="0" fontId="2" fillId="0" borderId="0" xfId="0" applyFont="1" applyAlignment="1">
      <alignment horizontal="left" wrapText="1"/>
    </xf>
    <xf numFmtId="0" fontId="0" fillId="0" borderId="0" xfId="0" applyAlignment="1">
      <alignment wrapText="1"/>
    </xf>
    <xf numFmtId="0" fontId="0" fillId="0" borderId="0" xfId="0" applyAlignment="1">
      <alignment horizontal="left" wrapText="1"/>
    </xf>
    <xf numFmtId="0" fontId="2" fillId="3" borderId="13" xfId="0" applyFont="1" applyFill="1" applyBorder="1" applyAlignment="1" applyProtection="1">
      <alignment horizontal="left" vertical="top" wrapText="1"/>
      <protection locked="0"/>
    </xf>
    <xf numFmtId="0" fontId="2" fillId="3" borderId="15" xfId="0" applyFont="1" applyFill="1" applyBorder="1" applyAlignment="1" applyProtection="1">
      <alignment horizontal="left" vertical="top" wrapText="1"/>
      <protection locked="0"/>
    </xf>
    <xf numFmtId="0" fontId="2" fillId="3" borderId="4" xfId="0" applyFont="1" applyFill="1" applyBorder="1" applyAlignment="1" applyProtection="1">
      <alignment horizontal="left" vertical="top" wrapText="1"/>
      <protection locked="0"/>
    </xf>
    <xf numFmtId="0" fontId="2" fillId="3" borderId="11" xfId="0" applyFont="1" applyFill="1" applyBorder="1" applyAlignment="1" applyProtection="1">
      <alignment horizontal="left" vertical="top" wrapText="1"/>
      <protection locked="0"/>
    </xf>
    <xf numFmtId="0" fontId="2" fillId="3" borderId="0" xfId="0" applyFont="1" applyFill="1" applyAlignment="1" applyProtection="1">
      <alignment horizontal="left" vertical="top" wrapText="1"/>
      <protection locked="0"/>
    </xf>
    <xf numFmtId="0" fontId="2" fillId="3" borderId="5" xfId="0" applyFont="1" applyFill="1" applyBorder="1" applyAlignment="1" applyProtection="1">
      <alignment horizontal="left" vertical="top" wrapText="1"/>
      <protection locked="0"/>
    </xf>
    <xf numFmtId="0" fontId="2" fillId="3" borderId="9" xfId="0" applyFont="1" applyFill="1" applyBorder="1" applyAlignment="1" applyProtection="1">
      <alignment horizontal="left" vertical="top" wrapText="1"/>
      <protection locked="0"/>
    </xf>
    <xf numFmtId="0" fontId="2" fillId="3" borderId="12" xfId="0" applyFont="1" applyFill="1" applyBorder="1" applyAlignment="1" applyProtection="1">
      <alignment horizontal="left" vertical="top" wrapText="1"/>
      <protection locked="0"/>
    </xf>
    <xf numFmtId="0" fontId="2" fillId="3" borderId="6" xfId="0" applyFont="1" applyFill="1" applyBorder="1" applyAlignment="1" applyProtection="1">
      <alignment horizontal="left" vertical="top" wrapText="1"/>
      <protection locked="0"/>
    </xf>
    <xf numFmtId="0" fontId="16" fillId="0" borderId="0" xfId="0" applyFont="1" applyAlignment="1">
      <alignment horizontal="center"/>
    </xf>
    <xf numFmtId="0" fontId="18" fillId="0" borderId="0" xfId="0" applyFont="1" applyAlignment="1">
      <alignment horizontal="center"/>
    </xf>
    <xf numFmtId="0" fontId="40" fillId="0" borderId="0" xfId="0" applyFont="1" applyAlignment="1">
      <alignment horizontal="center" wrapText="1"/>
    </xf>
    <xf numFmtId="0" fontId="40" fillId="0" borderId="0" xfId="0" applyFont="1" applyAlignment="1">
      <alignment horizontal="center"/>
    </xf>
    <xf numFmtId="1" fontId="2" fillId="3" borderId="1" xfId="0" applyNumberFormat="1" applyFont="1" applyFill="1" applyBorder="1" applyAlignment="1" applyProtection="1">
      <alignment horizontal="center"/>
      <protection locked="0"/>
    </xf>
    <xf numFmtId="0" fontId="21" fillId="0" borderId="13"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21" fillId="0" borderId="11" xfId="0" applyFont="1" applyBorder="1" applyAlignment="1">
      <alignment horizontal="left" vertical="center" wrapText="1"/>
    </xf>
    <xf numFmtId="0" fontId="21" fillId="0" borderId="0" xfId="0" applyFont="1" applyAlignment="1">
      <alignment horizontal="left" vertical="center" wrapText="1"/>
    </xf>
    <xf numFmtId="0" fontId="21" fillId="0" borderId="5" xfId="0" applyFont="1" applyBorder="1" applyAlignment="1">
      <alignment horizontal="left" vertical="center" wrapText="1"/>
    </xf>
    <xf numFmtId="0" fontId="21" fillId="0" borderId="9" xfId="0" applyFont="1" applyBorder="1" applyAlignment="1">
      <alignment horizontal="left" vertical="center" wrapText="1"/>
    </xf>
    <xf numFmtId="0" fontId="21" fillId="0" borderId="12" xfId="0" applyFont="1" applyBorder="1" applyAlignment="1">
      <alignment horizontal="left" vertical="center" wrapText="1"/>
    </xf>
    <xf numFmtId="0" fontId="21" fillId="0" borderId="6" xfId="0" applyFont="1" applyBorder="1" applyAlignment="1">
      <alignment horizontal="left" vertical="center" wrapText="1"/>
    </xf>
    <xf numFmtId="0" fontId="2" fillId="0" borderId="0" xfId="0" applyFont="1" applyAlignment="1">
      <alignment horizontal="left"/>
    </xf>
    <xf numFmtId="0" fontId="19" fillId="3" borderId="8" xfId="0" applyFont="1" applyFill="1" applyBorder="1" applyAlignment="1" applyProtection="1">
      <alignment horizontal="center" wrapText="1"/>
      <protection locked="0"/>
    </xf>
    <xf numFmtId="0" fontId="19" fillId="3" borderId="10" xfId="0" applyFont="1" applyFill="1" applyBorder="1" applyAlignment="1" applyProtection="1">
      <alignment horizontal="center" wrapText="1"/>
      <protection locked="0"/>
    </xf>
    <xf numFmtId="9" fontId="2" fillId="2" borderId="8" xfId="0" applyNumberFormat="1" applyFont="1" applyFill="1" applyBorder="1" applyAlignment="1">
      <alignment horizontal="center"/>
    </xf>
    <xf numFmtId="9" fontId="2" fillId="2" borderId="16" xfId="0" applyNumberFormat="1" applyFont="1" applyFill="1" applyBorder="1" applyAlignment="1">
      <alignment horizontal="center"/>
    </xf>
    <xf numFmtId="9" fontId="2" fillId="2" borderId="10" xfId="0" applyNumberFormat="1" applyFont="1" applyFill="1" applyBorder="1" applyAlignment="1">
      <alignment horizontal="center"/>
    </xf>
    <xf numFmtId="0" fontId="2" fillId="3" borderId="8" xfId="0" applyFont="1" applyFill="1" applyBorder="1" applyAlignment="1" applyProtection="1">
      <alignment horizontal="center"/>
      <protection locked="0"/>
    </xf>
    <xf numFmtId="0" fontId="2" fillId="2" borderId="1" xfId="0" applyFont="1" applyFill="1" applyBorder="1" applyAlignment="1">
      <alignment horizontal="center"/>
    </xf>
    <xf numFmtId="0" fontId="2" fillId="2" borderId="8" xfId="0" applyFont="1" applyFill="1" applyBorder="1" applyAlignment="1">
      <alignment horizontal="center"/>
    </xf>
    <xf numFmtId="0" fontId="15" fillId="0" borderId="8" xfId="2" applyFont="1" applyBorder="1" applyAlignment="1" applyProtection="1">
      <alignment horizontal="left"/>
    </xf>
    <xf numFmtId="0" fontId="15" fillId="0" borderId="16" xfId="2" applyFont="1" applyBorder="1" applyAlignment="1" applyProtection="1">
      <alignment horizontal="left"/>
    </xf>
    <xf numFmtId="0" fontId="15" fillId="0" borderId="10" xfId="2" applyFont="1" applyBorder="1" applyAlignment="1" applyProtection="1">
      <alignment horizontal="left"/>
    </xf>
    <xf numFmtId="0" fontId="2" fillId="2" borderId="16" xfId="0" applyFont="1" applyFill="1" applyBorder="1" applyAlignment="1">
      <alignment horizontal="center"/>
    </xf>
    <xf numFmtId="0" fontId="2" fillId="2" borderId="10" xfId="0" applyFont="1" applyFill="1" applyBorder="1" applyAlignment="1">
      <alignment horizontal="center"/>
    </xf>
    <xf numFmtId="9" fontId="2" fillId="2" borderId="8" xfId="3" applyFont="1" applyFill="1" applyBorder="1" applyAlignment="1">
      <alignment horizontal="center"/>
    </xf>
    <xf numFmtId="9" fontId="2" fillId="2" borderId="16" xfId="3" applyFont="1" applyFill="1" applyBorder="1" applyAlignment="1">
      <alignment horizontal="center"/>
    </xf>
    <xf numFmtId="9" fontId="2" fillId="2" borderId="10" xfId="3" applyFont="1" applyFill="1" applyBorder="1" applyAlignment="1">
      <alignment horizontal="center"/>
    </xf>
    <xf numFmtId="0" fontId="3" fillId="0" borderId="1" xfId="0" applyFont="1" applyBorder="1" applyAlignment="1">
      <alignment horizontal="left"/>
    </xf>
    <xf numFmtId="0" fontId="2" fillId="0" borderId="8" xfId="0" applyFont="1" applyBorder="1" applyAlignment="1">
      <alignment horizontal="left"/>
    </xf>
    <xf numFmtId="0" fontId="2" fillId="0" borderId="16" xfId="0" applyFont="1" applyBorder="1" applyAlignment="1">
      <alignment horizontal="left"/>
    </xf>
    <xf numFmtId="0" fontId="2" fillId="0" borderId="10" xfId="0" applyFont="1" applyBorder="1" applyAlignment="1">
      <alignment horizontal="left"/>
    </xf>
    <xf numFmtId="44" fontId="2" fillId="2" borderId="8" xfId="0" applyNumberFormat="1" applyFont="1" applyFill="1" applyBorder="1" applyAlignment="1">
      <alignment horizontal="center"/>
    </xf>
    <xf numFmtId="44" fontId="2" fillId="2" borderId="16" xfId="0" applyNumberFormat="1" applyFont="1" applyFill="1" applyBorder="1" applyAlignment="1">
      <alignment horizontal="center"/>
    </xf>
    <xf numFmtId="10" fontId="2" fillId="2" borderId="1" xfId="3" applyNumberFormat="1" applyFont="1" applyFill="1" applyBorder="1" applyAlignment="1">
      <alignment horizontal="center"/>
    </xf>
    <xf numFmtId="10" fontId="2" fillId="2" borderId="8" xfId="3" applyNumberFormat="1" applyFont="1" applyFill="1" applyBorder="1" applyAlignment="1">
      <alignment horizontal="center"/>
    </xf>
    <xf numFmtId="0" fontId="2" fillId="0" borderId="13" xfId="0" applyFont="1" applyBorder="1" applyAlignment="1">
      <alignment horizontal="left" wrapText="1"/>
    </xf>
    <xf numFmtId="0" fontId="2" fillId="0" borderId="15" xfId="0" applyFont="1" applyBorder="1" applyAlignment="1">
      <alignment horizontal="left" wrapText="1"/>
    </xf>
    <xf numFmtId="0" fontId="2" fillId="0" borderId="4" xfId="0" applyFont="1" applyBorder="1" applyAlignment="1">
      <alignment horizontal="left" wrapText="1"/>
    </xf>
    <xf numFmtId="0" fontId="2" fillId="0" borderId="9" xfId="0" applyFont="1" applyBorder="1" applyAlignment="1">
      <alignment horizontal="left" wrapText="1"/>
    </xf>
    <xf numFmtId="0" fontId="2" fillId="0" borderId="12" xfId="0" applyFont="1" applyBorder="1" applyAlignment="1">
      <alignment horizontal="left" wrapText="1"/>
    </xf>
    <xf numFmtId="0" fontId="2" fillId="0" borderId="6" xfId="0" applyFont="1" applyBorder="1" applyAlignment="1">
      <alignment horizontal="left" wrapText="1"/>
    </xf>
    <xf numFmtId="9" fontId="2" fillId="5" borderId="1" xfId="0" applyNumberFormat="1" applyFont="1" applyFill="1" applyBorder="1" applyAlignment="1">
      <alignment horizontal="center"/>
    </xf>
    <xf numFmtId="0" fontId="2" fillId="0" borderId="8" xfId="0" applyFont="1" applyBorder="1" applyAlignment="1">
      <alignment horizontal="left" wrapText="1"/>
    </xf>
    <xf numFmtId="0" fontId="2" fillId="0" borderId="16" xfId="0" applyFont="1" applyBorder="1" applyAlignment="1">
      <alignment horizontal="left" wrapText="1"/>
    </xf>
    <xf numFmtId="0" fontId="2" fillId="0" borderId="10" xfId="0" applyFont="1" applyBorder="1" applyAlignment="1">
      <alignment horizontal="left" wrapText="1"/>
    </xf>
    <xf numFmtId="14" fontId="2" fillId="2" borderId="1" xfId="0" applyNumberFormat="1" applyFont="1" applyFill="1" applyBorder="1" applyAlignment="1">
      <alignment horizontal="center"/>
    </xf>
    <xf numFmtId="14" fontId="2" fillId="2" borderId="8" xfId="0" applyNumberFormat="1" applyFont="1" applyFill="1" applyBorder="1" applyAlignment="1">
      <alignment horizontal="center"/>
    </xf>
    <xf numFmtId="0" fontId="2" fillId="0" borderId="1" xfId="0" applyFont="1" applyBorder="1" applyAlignment="1">
      <alignment horizontal="left" wrapText="1"/>
    </xf>
    <xf numFmtId="1" fontId="2" fillId="2" borderId="1" xfId="0" applyNumberFormat="1" applyFont="1" applyFill="1" applyBorder="1" applyAlignment="1">
      <alignment horizontal="center" wrapText="1"/>
    </xf>
    <xf numFmtId="10" fontId="3" fillId="2" borderId="1" xfId="0" applyNumberFormat="1" applyFont="1" applyFill="1" applyBorder="1" applyAlignment="1">
      <alignment horizontal="center"/>
    </xf>
    <xf numFmtId="0" fontId="33" fillId="4" borderId="2" xfId="0" applyFont="1" applyFill="1" applyBorder="1" applyAlignment="1">
      <alignment horizontal="center" wrapText="1"/>
    </xf>
    <xf numFmtId="9" fontId="2" fillId="2" borderId="9" xfId="0" applyNumberFormat="1" applyFont="1" applyFill="1" applyBorder="1" applyAlignment="1">
      <alignment horizontal="center"/>
    </xf>
    <xf numFmtId="0" fontId="2" fillId="2" borderId="12" xfId="0" applyFont="1" applyFill="1" applyBorder="1" applyAlignment="1">
      <alignment horizontal="center"/>
    </xf>
    <xf numFmtId="0" fontId="2" fillId="2" borderId="6" xfId="0" applyFont="1" applyFill="1" applyBorder="1" applyAlignment="1">
      <alignment horizontal="center"/>
    </xf>
    <xf numFmtId="9" fontId="12" fillId="3" borderId="1" xfId="0" applyNumberFormat="1" applyFont="1" applyFill="1" applyBorder="1" applyAlignment="1" applyProtection="1">
      <alignment horizontal="center"/>
      <protection locked="0"/>
    </xf>
    <xf numFmtId="10" fontId="2" fillId="2" borderId="16" xfId="3" applyNumberFormat="1" applyFont="1" applyFill="1" applyBorder="1" applyAlignment="1">
      <alignment horizontal="center"/>
    </xf>
    <xf numFmtId="10" fontId="2" fillId="2" borderId="10" xfId="3" applyNumberFormat="1" applyFont="1" applyFill="1" applyBorder="1" applyAlignment="1">
      <alignment horizontal="center"/>
    </xf>
    <xf numFmtId="0" fontId="2" fillId="0" borderId="5" xfId="0" applyFont="1" applyBorder="1" applyAlignment="1">
      <alignment horizontal="left"/>
    </xf>
    <xf numFmtId="0" fontId="2" fillId="0" borderId="1" xfId="0" applyFont="1" applyBorder="1" applyAlignment="1">
      <alignment horizontal="left" vertical="center" wrapText="1"/>
    </xf>
    <xf numFmtId="0" fontId="2" fillId="0" borderId="7" xfId="0" applyFont="1" applyBorder="1" applyAlignment="1">
      <alignment horizontal="left" vertical="center" wrapText="1"/>
    </xf>
    <xf numFmtId="14" fontId="2" fillId="2" borderId="2" xfId="0" applyNumberFormat="1" applyFont="1" applyFill="1" applyBorder="1" applyAlignment="1">
      <alignment horizontal="center"/>
    </xf>
    <xf numFmtId="14" fontId="2" fillId="2" borderId="9" xfId="0" applyNumberFormat="1" applyFont="1" applyFill="1" applyBorder="1" applyAlignment="1">
      <alignment horizontal="center"/>
    </xf>
    <xf numFmtId="0" fontId="2" fillId="0" borderId="2" xfId="0" applyFont="1" applyBorder="1" applyAlignment="1">
      <alignment horizontal="left"/>
    </xf>
    <xf numFmtId="0" fontId="2" fillId="0" borderId="0" xfId="0" applyFont="1" applyAlignment="1">
      <alignment horizontal="center"/>
    </xf>
    <xf numFmtId="0" fontId="16" fillId="0" borderId="8" xfId="0" applyFont="1" applyBorder="1" applyAlignment="1">
      <alignment horizontal="center" wrapText="1"/>
    </xf>
    <xf numFmtId="0" fontId="16" fillId="0" borderId="16" xfId="0" applyFont="1" applyBorder="1" applyAlignment="1">
      <alignment horizontal="center"/>
    </xf>
    <xf numFmtId="0" fontId="16" fillId="0" borderId="15" xfId="0" applyFont="1" applyBorder="1" applyAlignment="1">
      <alignment horizontal="center"/>
    </xf>
    <xf numFmtId="0" fontId="16" fillId="0" borderId="4" xfId="0" applyFont="1" applyBorder="1" applyAlignment="1">
      <alignment horizontal="center"/>
    </xf>
    <xf numFmtId="0" fontId="2" fillId="0" borderId="13" xfId="0" applyFont="1" applyBorder="1" applyAlignment="1">
      <alignment horizontal="left"/>
    </xf>
    <xf numFmtId="0" fontId="2" fillId="0" borderId="15" xfId="0" applyFont="1" applyBorder="1" applyAlignment="1">
      <alignment horizontal="left"/>
    </xf>
    <xf numFmtId="0" fontId="2" fillId="0" borderId="4" xfId="0" applyFont="1" applyBorder="1" applyAlignment="1">
      <alignment horizontal="left"/>
    </xf>
    <xf numFmtId="0" fontId="2" fillId="0" borderId="0" xfId="0" applyFont="1"/>
    <xf numFmtId="0" fontId="2" fillId="0" borderId="5" xfId="0" applyFont="1" applyBorder="1"/>
    <xf numFmtId="0" fontId="2" fillId="0" borderId="12" xfId="0" applyFont="1" applyBorder="1"/>
    <xf numFmtId="0" fontId="2" fillId="0" borderId="6" xfId="0" applyFont="1" applyBorder="1"/>
    <xf numFmtId="0" fontId="2" fillId="0" borderId="7" xfId="0" applyFont="1" applyBorder="1" applyAlignment="1">
      <alignment horizontal="left"/>
    </xf>
    <xf numFmtId="0" fontId="2" fillId="0" borderId="14" xfId="0" applyFont="1" applyBorder="1" applyAlignment="1">
      <alignment horizontal="left"/>
    </xf>
    <xf numFmtId="0" fontId="2" fillId="0" borderId="1" xfId="0" applyFont="1" applyBorder="1" applyAlignment="1">
      <alignment horizontal="left"/>
    </xf>
    <xf numFmtId="0" fontId="12" fillId="3" borderId="13" xfId="2" applyFont="1" applyFill="1" applyBorder="1" applyAlignment="1" applyProtection="1">
      <alignment horizontal="left" vertical="top" wrapText="1"/>
      <protection locked="0"/>
    </xf>
    <xf numFmtId="0" fontId="12" fillId="3" borderId="15" xfId="2" applyFont="1" applyFill="1" applyBorder="1" applyAlignment="1" applyProtection="1">
      <alignment horizontal="left" vertical="top" wrapText="1"/>
      <protection locked="0"/>
    </xf>
    <xf numFmtId="0" fontId="12" fillId="3" borderId="4" xfId="2" applyFont="1" applyFill="1" applyBorder="1" applyAlignment="1" applyProtection="1">
      <alignment horizontal="left" vertical="top" wrapText="1"/>
      <protection locked="0"/>
    </xf>
    <xf numFmtId="0" fontId="12" fillId="3" borderId="11" xfId="2" applyFont="1" applyFill="1" applyBorder="1" applyAlignment="1" applyProtection="1">
      <alignment horizontal="left" vertical="top" wrapText="1"/>
      <protection locked="0"/>
    </xf>
    <xf numFmtId="0" fontId="12" fillId="3" borderId="0" xfId="2" applyFont="1" applyFill="1" applyBorder="1" applyAlignment="1" applyProtection="1">
      <alignment horizontal="left" vertical="top" wrapText="1"/>
      <protection locked="0"/>
    </xf>
    <xf numFmtId="0" fontId="12" fillId="3" borderId="5" xfId="2" applyFont="1" applyFill="1" applyBorder="1" applyAlignment="1" applyProtection="1">
      <alignment horizontal="left" vertical="top" wrapText="1"/>
      <protection locked="0"/>
    </xf>
    <xf numFmtId="44" fontId="2" fillId="2" borderId="1" xfId="0" applyNumberFormat="1" applyFont="1" applyFill="1" applyBorder="1" applyAlignment="1">
      <alignment horizontal="center" wrapText="1"/>
    </xf>
    <xf numFmtId="44" fontId="2" fillId="2" borderId="8" xfId="0" applyNumberFormat="1" applyFont="1" applyFill="1" applyBorder="1" applyAlignment="1">
      <alignment horizontal="center" wrapText="1"/>
    </xf>
    <xf numFmtId="44" fontId="2" fillId="3" borderId="8" xfId="1" applyFont="1" applyFill="1" applyBorder="1" applyAlignment="1" applyProtection="1">
      <alignment horizontal="center"/>
      <protection locked="0"/>
    </xf>
    <xf numFmtId="44" fontId="2" fillId="3" borderId="16" xfId="1" applyFont="1" applyFill="1" applyBorder="1" applyAlignment="1" applyProtection="1">
      <alignment horizontal="center"/>
      <protection locked="0"/>
    </xf>
    <xf numFmtId="10" fontId="2" fillId="2" borderId="8" xfId="0" applyNumberFormat="1" applyFont="1" applyFill="1" applyBorder="1" applyAlignment="1">
      <alignment horizontal="center"/>
    </xf>
    <xf numFmtId="0" fontId="17" fillId="0" borderId="7" xfId="0" applyFont="1" applyBorder="1" applyAlignment="1">
      <alignment horizontal="center" vertical="center" wrapText="1"/>
    </xf>
    <xf numFmtId="0" fontId="51" fillId="0" borderId="14" xfId="0" applyFont="1" applyBorder="1" applyAlignment="1">
      <alignment vertical="center" wrapText="1"/>
    </xf>
    <xf numFmtId="0" fontId="51" fillId="0" borderId="2" xfId="0" applyFont="1" applyBorder="1" applyAlignment="1">
      <alignment vertical="center" wrapText="1"/>
    </xf>
    <xf numFmtId="0" fontId="8" fillId="0" borderId="7" xfId="0" applyFont="1" applyBorder="1" applyAlignment="1">
      <alignment horizontal="center" wrapText="1"/>
    </xf>
    <xf numFmtId="0" fontId="8" fillId="0" borderId="14" xfId="0" applyFont="1" applyBorder="1" applyAlignment="1">
      <alignment horizontal="center" wrapText="1"/>
    </xf>
    <xf numFmtId="0" fontId="8" fillId="0" borderId="2" xfId="0" applyFont="1" applyBorder="1" applyAlignment="1">
      <alignment horizontal="center" wrapText="1"/>
    </xf>
    <xf numFmtId="0" fontId="17" fillId="0" borderId="13" xfId="0" applyFont="1" applyBorder="1" applyAlignment="1">
      <alignment horizontal="center" wrapText="1"/>
    </xf>
    <xf numFmtId="0" fontId="17" fillId="0" borderId="15" xfId="0" applyFont="1" applyBorder="1" applyAlignment="1">
      <alignment horizontal="center" wrapText="1"/>
    </xf>
    <xf numFmtId="0" fontId="17" fillId="0" borderId="4" xfId="0" applyFont="1" applyBorder="1" applyAlignment="1">
      <alignment horizontal="center" wrapText="1"/>
    </xf>
    <xf numFmtId="0" fontId="17" fillId="0" borderId="11" xfId="0" applyFont="1" applyBorder="1" applyAlignment="1">
      <alignment horizontal="center" wrapText="1"/>
    </xf>
    <xf numFmtId="0" fontId="17" fillId="0" borderId="0" xfId="0" applyFont="1" applyAlignment="1">
      <alignment horizontal="center" wrapText="1"/>
    </xf>
    <xf numFmtId="0" fontId="17" fillId="0" borderId="5" xfId="0" applyFont="1" applyBorder="1" applyAlignment="1">
      <alignment horizontal="center" wrapText="1"/>
    </xf>
    <xf numFmtId="0" fontId="17" fillId="0" borderId="9" xfId="0" applyFont="1" applyBorder="1" applyAlignment="1">
      <alignment horizontal="center" wrapText="1"/>
    </xf>
    <xf numFmtId="0" fontId="17" fillId="0" borderId="12" xfId="0" applyFont="1" applyBorder="1" applyAlignment="1">
      <alignment horizontal="center" wrapText="1"/>
    </xf>
    <xf numFmtId="0" fontId="17" fillId="0" borderId="6" xfId="0" applyFont="1" applyBorder="1" applyAlignment="1">
      <alignment horizontal="center" wrapText="1"/>
    </xf>
    <xf numFmtId="0" fontId="2" fillId="0" borderId="11" xfId="0" applyFont="1" applyBorder="1" applyAlignment="1">
      <alignment horizontal="left" wrapText="1"/>
    </xf>
    <xf numFmtId="0" fontId="2" fillId="0" borderId="5" xfId="0" applyFont="1" applyBorder="1" applyAlignment="1">
      <alignment horizontal="left" wrapText="1"/>
    </xf>
    <xf numFmtId="0" fontId="2" fillId="3" borderId="10" xfId="0" applyFont="1" applyFill="1" applyBorder="1" applyAlignment="1" applyProtection="1">
      <alignment horizontal="center"/>
      <protection locked="0"/>
    </xf>
    <xf numFmtId="0" fontId="15" fillId="0" borderId="9" xfId="2" applyFont="1" applyBorder="1" applyAlignment="1" applyProtection="1">
      <alignment horizontal="left"/>
    </xf>
    <xf numFmtId="0" fontId="15" fillId="0" borderId="12" xfId="2" applyFont="1" applyBorder="1" applyAlignment="1" applyProtection="1">
      <alignment horizontal="left"/>
    </xf>
    <xf numFmtId="0" fontId="15" fillId="0" borderId="6" xfId="2" applyFont="1" applyBorder="1" applyAlignment="1" applyProtection="1">
      <alignment horizontal="left"/>
    </xf>
    <xf numFmtId="0" fontId="8" fillId="0" borderId="13" xfId="0" applyFont="1" applyBorder="1" applyAlignment="1">
      <alignment horizontal="left" wrapText="1"/>
    </xf>
    <xf numFmtId="0" fontId="8" fillId="0" borderId="15" xfId="0" applyFont="1" applyBorder="1" applyAlignment="1">
      <alignment horizontal="left" wrapText="1"/>
    </xf>
    <xf numFmtId="0" fontId="8" fillId="0" borderId="4" xfId="0" applyFont="1" applyBorder="1" applyAlignment="1">
      <alignment horizontal="left" wrapText="1"/>
    </xf>
    <xf numFmtId="0" fontId="8" fillId="0" borderId="9" xfId="0" applyFont="1" applyBorder="1" applyAlignment="1">
      <alignment horizontal="left" wrapText="1"/>
    </xf>
    <xf numFmtId="0" fontId="8" fillId="0" borderId="12" xfId="0" applyFont="1" applyBorder="1" applyAlignment="1">
      <alignment horizontal="left" wrapText="1"/>
    </xf>
    <xf numFmtId="0" fontId="8" fillId="0" borderId="6" xfId="0" applyFont="1" applyBorder="1" applyAlignment="1">
      <alignment horizontal="left" wrapText="1"/>
    </xf>
    <xf numFmtId="0" fontId="2" fillId="0" borderId="7" xfId="0" applyFont="1" applyBorder="1" applyAlignment="1">
      <alignment horizontal="center"/>
    </xf>
    <xf numFmtId="0" fontId="2" fillId="0" borderId="14" xfId="0" applyFont="1" applyBorder="1" applyAlignment="1">
      <alignment horizontal="center"/>
    </xf>
    <xf numFmtId="0" fontId="2" fillId="0" borderId="2" xfId="0" applyFont="1" applyBorder="1" applyAlignment="1">
      <alignment horizontal="center"/>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4" xfId="0" applyFont="1" applyBorder="1" applyAlignment="1">
      <alignment horizontal="left" vertical="center" wrapText="1"/>
    </xf>
    <xf numFmtId="0" fontId="8" fillId="0" borderId="11" xfId="0" applyFont="1" applyBorder="1" applyAlignment="1">
      <alignment horizontal="left" vertical="center" wrapText="1"/>
    </xf>
    <xf numFmtId="0" fontId="8" fillId="0" borderId="0" xfId="0" applyFont="1" applyAlignment="1">
      <alignment horizontal="left" vertical="center" wrapText="1"/>
    </xf>
    <xf numFmtId="0" fontId="8" fillId="0" borderId="5" xfId="0" applyFont="1" applyBorder="1" applyAlignment="1">
      <alignment horizontal="left" vertical="center" wrapText="1"/>
    </xf>
    <xf numFmtId="0" fontId="8" fillId="0" borderId="9" xfId="0" applyFont="1" applyBorder="1" applyAlignment="1">
      <alignment horizontal="left" vertical="center" wrapText="1"/>
    </xf>
    <xf numFmtId="0" fontId="8" fillId="0" borderId="12" xfId="0" applyFont="1" applyBorder="1" applyAlignment="1">
      <alignment horizontal="left" vertical="center" wrapText="1"/>
    </xf>
    <xf numFmtId="0" fontId="8" fillId="0" borderId="6" xfId="0" applyFont="1" applyBorder="1" applyAlignment="1">
      <alignment horizontal="left" vertical="center" wrapText="1"/>
    </xf>
    <xf numFmtId="0" fontId="39" fillId="0" borderId="7" xfId="0" applyFont="1" applyBorder="1" applyAlignment="1">
      <alignment horizontal="center" wrapText="1"/>
    </xf>
    <xf numFmtId="0" fontId="39" fillId="0" borderId="14" xfId="0" applyFont="1" applyBorder="1" applyAlignment="1">
      <alignment horizontal="center" wrapText="1"/>
    </xf>
    <xf numFmtId="0" fontId="39" fillId="0" borderId="2" xfId="0" applyFont="1" applyBorder="1" applyAlignment="1">
      <alignment horizontal="center" wrapText="1"/>
    </xf>
    <xf numFmtId="2" fontId="2" fillId="2" borderId="1" xfId="0" applyNumberFormat="1" applyFont="1" applyFill="1" applyBorder="1" applyAlignment="1">
      <alignment horizontal="center"/>
    </xf>
    <xf numFmtId="44" fontId="2" fillId="2" borderId="10" xfId="0" applyNumberFormat="1" applyFont="1" applyFill="1" applyBorder="1" applyAlignment="1">
      <alignment horizontal="center"/>
    </xf>
    <xf numFmtId="9" fontId="3" fillId="2" borderId="8" xfId="0" applyNumberFormat="1" applyFont="1" applyFill="1" applyBorder="1" applyAlignment="1">
      <alignment horizontal="center"/>
    </xf>
    <xf numFmtId="9" fontId="3" fillId="2" borderId="16" xfId="0" applyNumberFormat="1" applyFont="1" applyFill="1" applyBorder="1" applyAlignment="1">
      <alignment horizontal="center"/>
    </xf>
    <xf numFmtId="9" fontId="3" fillId="2" borderId="10" xfId="0" applyNumberFormat="1" applyFont="1" applyFill="1" applyBorder="1" applyAlignment="1">
      <alignment horizontal="center"/>
    </xf>
    <xf numFmtId="0" fontId="2" fillId="0" borderId="13" xfId="0" applyFont="1" applyBorder="1" applyAlignment="1">
      <alignment horizontal="left" vertical="center"/>
    </xf>
    <xf numFmtId="0" fontId="2" fillId="0" borderId="15" xfId="0" applyFont="1" applyBorder="1" applyAlignment="1">
      <alignment horizontal="left" vertical="center"/>
    </xf>
    <xf numFmtId="0" fontId="2" fillId="0" borderId="4" xfId="0" applyFont="1" applyBorder="1" applyAlignment="1">
      <alignment horizontal="left" vertical="center"/>
    </xf>
    <xf numFmtId="0" fontId="8" fillId="0" borderId="1" xfId="0" applyFont="1" applyBorder="1" applyAlignment="1">
      <alignment horizontal="left" vertical="center" wrapText="1"/>
    </xf>
    <xf numFmtId="0" fontId="2" fillId="3" borderId="13" xfId="0" applyFont="1" applyFill="1" applyBorder="1" applyAlignment="1" applyProtection="1">
      <alignment horizontal="center"/>
      <protection locked="0"/>
    </xf>
    <xf numFmtId="0" fontId="2" fillId="3" borderId="11" xfId="0" applyFont="1" applyFill="1" applyBorder="1" applyAlignment="1" applyProtection="1">
      <alignment horizontal="center"/>
      <protection locked="0"/>
    </xf>
    <xf numFmtId="0" fontId="2" fillId="3" borderId="9" xfId="0" applyFont="1" applyFill="1" applyBorder="1" applyAlignment="1" applyProtection="1">
      <alignment horizontal="center"/>
      <protection locked="0"/>
    </xf>
    <xf numFmtId="9" fontId="2" fillId="2" borderId="7" xfId="0" applyNumberFormat="1" applyFont="1" applyFill="1" applyBorder="1" applyAlignment="1">
      <alignment horizontal="center"/>
    </xf>
    <xf numFmtId="0" fontId="2" fillId="2" borderId="7" xfId="0" applyFont="1" applyFill="1" applyBorder="1" applyAlignment="1">
      <alignment horizontal="center"/>
    </xf>
    <xf numFmtId="9" fontId="12" fillId="3" borderId="8" xfId="3" applyFont="1" applyFill="1" applyBorder="1" applyAlignment="1" applyProtection="1">
      <alignment horizontal="center"/>
      <protection locked="0"/>
    </xf>
    <xf numFmtId="9" fontId="12" fillId="3" borderId="16" xfId="3" applyFont="1" applyFill="1" applyBorder="1" applyAlignment="1" applyProtection="1">
      <alignment horizontal="center"/>
      <protection locked="0"/>
    </xf>
    <xf numFmtId="9" fontId="12" fillId="3" borderId="10" xfId="3" applyFont="1" applyFill="1" applyBorder="1" applyAlignment="1" applyProtection="1">
      <alignment horizontal="center"/>
      <protection locked="0"/>
    </xf>
    <xf numFmtId="0" fontId="2" fillId="2" borderId="9" xfId="0" applyFont="1" applyFill="1" applyBorder="1" applyAlignment="1">
      <alignment horizontal="center"/>
    </xf>
    <xf numFmtId="0" fontId="3" fillId="0" borderId="1" xfId="0" applyFont="1" applyBorder="1" applyAlignment="1">
      <alignment horizontal="center"/>
    </xf>
    <xf numFmtId="0" fontId="3" fillId="0" borderId="8" xfId="0" applyFont="1" applyBorder="1" applyAlignment="1">
      <alignment horizontal="left"/>
    </xf>
    <xf numFmtId="0" fontId="3" fillId="0" borderId="16" xfId="0" applyFont="1" applyBorder="1" applyAlignment="1">
      <alignment horizontal="left"/>
    </xf>
    <xf numFmtId="0" fontId="3" fillId="0" borderId="10" xfId="0" applyFont="1" applyBorder="1" applyAlignment="1">
      <alignment horizontal="left"/>
    </xf>
    <xf numFmtId="10" fontId="2" fillId="2" borderId="1" xfId="0" applyNumberFormat="1" applyFont="1" applyFill="1" applyBorder="1" applyAlignment="1">
      <alignment horizontal="center"/>
    </xf>
    <xf numFmtId="0" fontId="9" fillId="0" borderId="13" xfId="0" applyFont="1" applyBorder="1" applyAlignment="1">
      <alignment horizontal="center"/>
    </xf>
    <xf numFmtId="0" fontId="9" fillId="0" borderId="15" xfId="0" applyFont="1" applyBorder="1" applyAlignment="1">
      <alignment horizontal="center"/>
    </xf>
    <xf numFmtId="0" fontId="9" fillId="0" borderId="4" xfId="0" applyFont="1" applyBorder="1" applyAlignment="1">
      <alignment horizontal="center"/>
    </xf>
    <xf numFmtId="0" fontId="9" fillId="0" borderId="11" xfId="0" applyFont="1" applyBorder="1" applyAlignment="1">
      <alignment horizontal="center"/>
    </xf>
    <xf numFmtId="0" fontId="9" fillId="0" borderId="0" xfId="0" applyFont="1" applyAlignment="1">
      <alignment horizontal="center"/>
    </xf>
    <xf numFmtId="0" fontId="9" fillId="0" borderId="5" xfId="0" applyFont="1" applyBorder="1" applyAlignment="1">
      <alignment horizontal="center"/>
    </xf>
    <xf numFmtId="0" fontId="9" fillId="0" borderId="9" xfId="0" applyFont="1" applyBorder="1" applyAlignment="1">
      <alignment horizontal="center"/>
    </xf>
    <xf numFmtId="0" fontId="9" fillId="0" borderId="12" xfId="0" applyFont="1" applyBorder="1" applyAlignment="1">
      <alignment horizontal="center"/>
    </xf>
    <xf numFmtId="0" fontId="9" fillId="0" borderId="6" xfId="0" applyFont="1" applyBorder="1" applyAlignment="1">
      <alignment horizontal="center"/>
    </xf>
    <xf numFmtId="0" fontId="2" fillId="3" borderId="16" xfId="0" applyFont="1" applyFill="1" applyBorder="1" applyAlignment="1" applyProtection="1">
      <alignment horizontal="center"/>
      <protection locked="0"/>
    </xf>
    <xf numFmtId="1" fontId="2" fillId="2" borderId="8" xfId="0" applyNumberFormat="1" applyFont="1" applyFill="1" applyBorder="1" applyAlignment="1">
      <alignment horizontal="center" wrapText="1"/>
    </xf>
    <xf numFmtId="1" fontId="2" fillId="2" borderId="16" xfId="0" applyNumberFormat="1" applyFont="1" applyFill="1" applyBorder="1" applyAlignment="1">
      <alignment horizontal="center" wrapText="1"/>
    </xf>
    <xf numFmtId="1" fontId="2" fillId="2" borderId="10" xfId="0" applyNumberFormat="1" applyFont="1" applyFill="1" applyBorder="1" applyAlignment="1">
      <alignment horizontal="center" wrapText="1"/>
    </xf>
    <xf numFmtId="0" fontId="19" fillId="3" borderId="16" xfId="0" applyFont="1" applyFill="1" applyBorder="1" applyAlignment="1" applyProtection="1">
      <alignment horizontal="center" wrapText="1"/>
      <protection locked="0"/>
    </xf>
    <xf numFmtId="2" fontId="2" fillId="2" borderId="8" xfId="0" applyNumberFormat="1" applyFont="1" applyFill="1" applyBorder="1" applyAlignment="1">
      <alignment horizontal="center"/>
    </xf>
    <xf numFmtId="2" fontId="2" fillId="2" borderId="10" xfId="0" applyNumberFormat="1" applyFont="1" applyFill="1" applyBorder="1" applyAlignment="1">
      <alignment horizontal="center"/>
    </xf>
    <xf numFmtId="10" fontId="2" fillId="2" borderId="16" xfId="0" applyNumberFormat="1" applyFont="1" applyFill="1" applyBorder="1" applyAlignment="1">
      <alignment horizontal="center"/>
    </xf>
    <xf numFmtId="10" fontId="2" fillId="2" borderId="10" xfId="0" applyNumberFormat="1" applyFont="1" applyFill="1" applyBorder="1" applyAlignment="1">
      <alignment horizontal="center"/>
    </xf>
    <xf numFmtId="0" fontId="37" fillId="4" borderId="1" xfId="0" applyFont="1" applyFill="1" applyBorder="1" applyAlignment="1">
      <alignment horizontal="center" wrapText="1"/>
    </xf>
    <xf numFmtId="9" fontId="21" fillId="0" borderId="7" xfId="0" applyNumberFormat="1" applyFont="1" applyBorder="1" applyAlignment="1">
      <alignment horizontal="center" vertical="center" wrapText="1"/>
    </xf>
    <xf numFmtId="9" fontId="21" fillId="0" borderId="14" xfId="0" applyNumberFormat="1" applyFont="1" applyBorder="1" applyAlignment="1">
      <alignment horizontal="center" vertical="center" wrapText="1"/>
    </xf>
    <xf numFmtId="9" fontId="21" fillId="0" borderId="2" xfId="0" applyNumberFormat="1" applyFont="1" applyBorder="1" applyAlignment="1">
      <alignment horizontal="center" vertical="center" wrapText="1"/>
    </xf>
    <xf numFmtId="44" fontId="2" fillId="2" borderId="8" xfId="1" applyFont="1" applyFill="1" applyBorder="1" applyAlignment="1">
      <alignment horizontal="center"/>
    </xf>
    <xf numFmtId="44" fontId="2" fillId="2" borderId="10" xfId="1" applyFont="1" applyFill="1" applyBorder="1" applyAlignment="1">
      <alignment horizontal="center"/>
    </xf>
    <xf numFmtId="0" fontId="3" fillId="0" borderId="8" xfId="0" applyFont="1" applyBorder="1" applyAlignment="1">
      <alignment horizontal="center"/>
    </xf>
    <xf numFmtId="0" fontId="3" fillId="0" borderId="16"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wrapText="1"/>
    </xf>
    <xf numFmtId="0" fontId="3" fillId="0" borderId="16" xfId="0" applyFont="1" applyBorder="1" applyAlignment="1">
      <alignment horizontal="center" wrapText="1"/>
    </xf>
    <xf numFmtId="0" fontId="3" fillId="0" borderId="10" xfId="0" applyFont="1" applyBorder="1" applyAlignment="1">
      <alignment horizontal="center" wrapText="1"/>
    </xf>
    <xf numFmtId="44" fontId="2" fillId="2" borderId="1" xfId="0" applyNumberFormat="1" applyFont="1" applyFill="1" applyBorder="1" applyAlignment="1">
      <alignment horizontal="center"/>
    </xf>
    <xf numFmtId="0" fontId="3" fillId="0" borderId="2" xfId="0" applyFont="1" applyBorder="1" applyAlignment="1">
      <alignment horizontal="center" wrapText="1"/>
    </xf>
    <xf numFmtId="0" fontId="3" fillId="0" borderId="2" xfId="0" applyFont="1" applyBorder="1" applyAlignment="1">
      <alignment horizontal="center"/>
    </xf>
    <xf numFmtId="0" fontId="6" fillId="0" borderId="8" xfId="0" applyFont="1" applyBorder="1" applyAlignment="1">
      <alignment horizontal="center"/>
    </xf>
    <xf numFmtId="0" fontId="6" fillId="0" borderId="16" xfId="0" applyFont="1" applyBorder="1" applyAlignment="1">
      <alignment horizontal="center"/>
    </xf>
    <xf numFmtId="0" fontId="6" fillId="0" borderId="10" xfId="0" applyFont="1" applyBorder="1" applyAlignment="1">
      <alignment horizontal="center"/>
    </xf>
    <xf numFmtId="0" fontId="16" fillId="0" borderId="1" xfId="0" applyFont="1" applyBorder="1" applyAlignment="1">
      <alignment horizontal="center" wrapText="1"/>
    </xf>
    <xf numFmtId="0" fontId="16" fillId="0" borderId="1" xfId="0" applyFont="1" applyBorder="1" applyAlignment="1">
      <alignment horizontal="center"/>
    </xf>
    <xf numFmtId="0" fontId="16" fillId="0" borderId="7" xfId="0" applyFont="1" applyBorder="1" applyAlignment="1">
      <alignment horizontal="center"/>
    </xf>
    <xf numFmtId="0" fontId="2" fillId="0" borderId="8" xfId="0" applyFont="1" applyBorder="1" applyAlignment="1">
      <alignment horizontal="center" wrapText="1"/>
    </xf>
    <xf numFmtId="0" fontId="2" fillId="0" borderId="10" xfId="0" applyFont="1" applyBorder="1" applyAlignment="1">
      <alignment horizontal="center" wrapText="1"/>
    </xf>
    <xf numFmtId="0" fontId="18" fillId="0" borderId="1" xfId="0" applyFont="1" applyBorder="1" applyAlignment="1">
      <alignment horizontal="center" wrapText="1"/>
    </xf>
    <xf numFmtId="0" fontId="2" fillId="0" borderId="1" xfId="0" applyFont="1" applyBorder="1" applyAlignment="1">
      <alignment horizontal="center"/>
    </xf>
    <xf numFmtId="0" fontId="2" fillId="0" borderId="16" xfId="0" applyFont="1" applyBorder="1" applyAlignment="1">
      <alignment horizontal="center" wrapText="1"/>
    </xf>
    <xf numFmtId="0" fontId="2" fillId="0" borderId="1" xfId="0" applyFont="1" applyBorder="1" applyAlignment="1">
      <alignment horizontal="center" wrapText="1"/>
    </xf>
    <xf numFmtId="0" fontId="18" fillId="0" borderId="0" xfId="0" applyFont="1" applyAlignment="1">
      <alignment horizontal="center" vertical="center"/>
    </xf>
    <xf numFmtId="9" fontId="2" fillId="2" borderId="1" xfId="3" applyFont="1" applyFill="1" applyBorder="1" applyAlignment="1">
      <alignment horizontal="center"/>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5"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6" xfId="0" applyFont="1" applyBorder="1" applyAlignment="1">
      <alignment horizontal="center" vertical="center" wrapText="1"/>
    </xf>
    <xf numFmtId="164" fontId="2" fillId="2" borderId="1" xfId="3" applyNumberFormat="1" applyFont="1" applyFill="1" applyBorder="1" applyAlignment="1">
      <alignment horizontal="center"/>
    </xf>
    <xf numFmtId="0" fontId="2" fillId="3" borderId="1" xfId="0" applyFont="1" applyFill="1" applyBorder="1" applyAlignment="1" applyProtection="1">
      <alignment horizontal="left"/>
      <protection locked="0"/>
    </xf>
    <xf numFmtId="10" fontId="2" fillId="3" borderId="7" xfId="3" applyNumberFormat="1" applyFont="1" applyFill="1" applyBorder="1" applyAlignment="1" applyProtection="1">
      <alignment horizontal="center"/>
      <protection locked="0"/>
    </xf>
    <xf numFmtId="0" fontId="12" fillId="0" borderId="1" xfId="0" applyFont="1" applyBorder="1" applyAlignment="1">
      <alignment horizontal="left"/>
    </xf>
    <xf numFmtId="0" fontId="12" fillId="3" borderId="1" xfId="0" applyFont="1" applyFill="1" applyBorder="1" applyAlignment="1" applyProtection="1">
      <alignment horizontal="center" wrapText="1"/>
      <protection locked="0"/>
    </xf>
    <xf numFmtId="0" fontId="17" fillId="0" borderId="8" xfId="0" applyFont="1" applyBorder="1" applyAlignment="1">
      <alignment horizontal="left"/>
    </xf>
    <xf numFmtId="0" fontId="17" fillId="0" borderId="16" xfId="0" applyFont="1" applyBorder="1" applyAlignment="1">
      <alignment horizontal="left"/>
    </xf>
    <xf numFmtId="0" fontId="17" fillId="0" borderId="10" xfId="0" applyFont="1" applyBorder="1" applyAlignment="1">
      <alignment horizontal="left"/>
    </xf>
    <xf numFmtId="9" fontId="2" fillId="2" borderId="7" xfId="3" applyFont="1" applyFill="1" applyBorder="1" applyAlignment="1">
      <alignment horizontal="center"/>
    </xf>
    <xf numFmtId="9" fontId="17" fillId="0" borderId="1" xfId="3" applyFont="1" applyBorder="1" applyAlignment="1">
      <alignment horizontal="center"/>
    </xf>
    <xf numFmtId="9" fontId="17" fillId="0" borderId="8" xfId="3" applyFont="1" applyBorder="1" applyAlignment="1">
      <alignment horizontal="center"/>
    </xf>
    <xf numFmtId="0" fontId="12" fillId="0" borderId="8" xfId="0" applyFont="1" applyBorder="1" applyAlignment="1">
      <alignment horizontal="center" wrapText="1"/>
    </xf>
    <xf numFmtId="0" fontId="0" fillId="0" borderId="10" xfId="0" applyBorder="1"/>
    <xf numFmtId="0" fontId="12" fillId="0" borderId="9" xfId="0" applyFont="1" applyBorder="1" applyAlignment="1">
      <alignment horizontal="center" wrapText="1"/>
    </xf>
    <xf numFmtId="0" fontId="0" fillId="0" borderId="6" xfId="0" applyBorder="1"/>
    <xf numFmtId="164" fontId="2" fillId="2" borderId="1" xfId="0" applyNumberFormat="1" applyFont="1" applyFill="1" applyBorder="1" applyAlignment="1">
      <alignment horizontal="center"/>
    </xf>
    <xf numFmtId="0" fontId="2" fillId="3" borderId="8" xfId="0" applyFont="1" applyFill="1" applyBorder="1" applyAlignment="1">
      <alignment horizontal="center" wrapText="1"/>
    </xf>
    <xf numFmtId="0" fontId="2" fillId="3" borderId="10" xfId="0" applyFont="1" applyFill="1" applyBorder="1" applyAlignment="1">
      <alignment horizontal="center" wrapText="1"/>
    </xf>
    <xf numFmtId="0" fontId="15" fillId="0" borderId="1" xfId="2" applyFont="1" applyBorder="1" applyAlignment="1" applyProtection="1">
      <alignment horizontal="left" wrapText="1"/>
    </xf>
    <xf numFmtId="9" fontId="2" fillId="3" borderId="1" xfId="3" applyFont="1" applyFill="1" applyBorder="1" applyAlignment="1">
      <alignment horizontal="center"/>
    </xf>
    <xf numFmtId="0" fontId="2" fillId="0" borderId="9" xfId="0" applyFont="1" applyBorder="1" applyAlignment="1">
      <alignment horizontal="left"/>
    </xf>
    <xf numFmtId="0" fontId="2" fillId="0" borderId="12" xfId="0" applyFont="1" applyBorder="1" applyAlignment="1">
      <alignment horizontal="left"/>
    </xf>
    <xf numFmtId="0" fontId="2" fillId="0" borderId="6" xfId="0" applyFont="1" applyBorder="1" applyAlignment="1">
      <alignment horizontal="left"/>
    </xf>
    <xf numFmtId="0" fontId="2" fillId="0" borderId="8" xfId="0" applyFont="1" applyBorder="1" applyAlignment="1">
      <alignment horizontal="center"/>
    </xf>
    <xf numFmtId="0" fontId="2" fillId="0" borderId="16" xfId="0" applyFont="1" applyBorder="1" applyAlignment="1">
      <alignment horizontal="center"/>
    </xf>
    <xf numFmtId="0" fontId="2" fillId="0" borderId="10" xfId="0" applyFont="1" applyBorder="1" applyAlignment="1">
      <alignment horizontal="center"/>
    </xf>
    <xf numFmtId="0" fontId="3" fillId="0" borderId="1" xfId="0" applyFont="1" applyBorder="1" applyAlignment="1">
      <alignment horizontal="center" wrapText="1"/>
    </xf>
    <xf numFmtId="0" fontId="2" fillId="0" borderId="7" xfId="0" applyFont="1" applyBorder="1" applyAlignment="1">
      <alignment horizontal="left" wrapText="1"/>
    </xf>
    <xf numFmtId="0" fontId="3" fillId="0" borderId="1" xfId="0" applyFont="1" applyBorder="1" applyAlignment="1">
      <alignment horizontal="left" wrapText="1"/>
    </xf>
    <xf numFmtId="0" fontId="7" fillId="0" borderId="8" xfId="0" applyFont="1" applyBorder="1" applyAlignment="1">
      <alignment horizontal="center" wrapText="1"/>
    </xf>
    <xf numFmtId="0" fontId="7" fillId="0" borderId="16" xfId="0" applyFont="1" applyBorder="1" applyAlignment="1">
      <alignment horizontal="center" wrapText="1"/>
    </xf>
    <xf numFmtId="0" fontId="7" fillId="0" borderId="10" xfId="0" applyFont="1" applyBorder="1" applyAlignment="1">
      <alignment horizontal="center" wrapText="1"/>
    </xf>
    <xf numFmtId="0" fontId="42" fillId="0" borderId="1" xfId="0" applyFont="1" applyBorder="1" applyAlignment="1">
      <alignment horizontal="center" wrapText="1"/>
    </xf>
    <xf numFmtId="0" fontId="3" fillId="0" borderId="1" xfId="0" applyFont="1" applyBorder="1" applyAlignment="1">
      <alignment horizontal="left" vertical="center" wrapText="1"/>
    </xf>
    <xf numFmtId="0" fontId="3" fillId="0" borderId="7" xfId="0" applyFont="1" applyBorder="1" applyAlignment="1">
      <alignment horizontal="center"/>
    </xf>
    <xf numFmtId="9" fontId="2" fillId="0" borderId="1" xfId="3" applyFont="1" applyBorder="1" applyAlignment="1">
      <alignment horizontal="right"/>
    </xf>
    <xf numFmtId="0" fontId="2" fillId="0" borderId="1" xfId="0" applyFont="1" applyBorder="1" applyAlignment="1">
      <alignment horizontal="right"/>
    </xf>
    <xf numFmtId="9" fontId="17" fillId="0" borderId="0" xfId="3" applyFont="1" applyFill="1" applyBorder="1" applyAlignment="1">
      <alignment horizontal="center"/>
    </xf>
    <xf numFmtId="0" fontId="12" fillId="0" borderId="11" xfId="0" applyFont="1" applyBorder="1" applyAlignment="1">
      <alignment horizontal="center" wrapText="1"/>
    </xf>
    <xf numFmtId="0" fontId="0" fillId="0" borderId="5" xfId="0" applyBorder="1"/>
    <xf numFmtId="9" fontId="2" fillId="2" borderId="14" xfId="0" applyNumberFormat="1" applyFont="1" applyFill="1" applyBorder="1" applyAlignment="1">
      <alignment horizontal="center"/>
    </xf>
    <xf numFmtId="9" fontId="2" fillId="2" borderId="2" xfId="0" applyNumberFormat="1" applyFont="1" applyFill="1" applyBorder="1" applyAlignment="1">
      <alignment horizontal="center"/>
    </xf>
    <xf numFmtId="0" fontId="49" fillId="0" borderId="9" xfId="0" applyFont="1" applyBorder="1" applyAlignment="1">
      <alignment horizontal="center" wrapText="1"/>
    </xf>
    <xf numFmtId="0" fontId="10" fillId="0" borderId="13"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3" xfId="0" applyFont="1" applyBorder="1" applyAlignment="1">
      <alignment horizontal="center" wrapText="1"/>
    </xf>
    <xf numFmtId="0" fontId="10" fillId="0" borderId="15" xfId="0" applyFont="1" applyBorder="1" applyAlignment="1">
      <alignment horizontal="center" wrapText="1"/>
    </xf>
    <xf numFmtId="0" fontId="10" fillId="0" borderId="4" xfId="0" applyFont="1" applyBorder="1" applyAlignment="1">
      <alignment horizontal="center" wrapText="1"/>
    </xf>
    <xf numFmtId="0" fontId="10" fillId="0" borderId="11" xfId="0" applyFont="1" applyBorder="1" applyAlignment="1">
      <alignment horizontal="center" wrapText="1"/>
    </xf>
    <xf numFmtId="0" fontId="10" fillId="0" borderId="0" xfId="0" applyFont="1" applyAlignment="1">
      <alignment horizontal="center" wrapText="1"/>
    </xf>
    <xf numFmtId="0" fontId="10" fillId="0" borderId="5" xfId="0" applyFont="1" applyBorder="1" applyAlignment="1">
      <alignment horizontal="center" wrapText="1"/>
    </xf>
    <xf numFmtId="0" fontId="49" fillId="0" borderId="11" xfId="0" applyFont="1" applyBorder="1" applyAlignment="1">
      <alignment horizontal="center" wrapText="1"/>
    </xf>
    <xf numFmtId="0" fontId="49" fillId="0" borderId="13" xfId="0" applyFont="1" applyBorder="1" applyAlignment="1">
      <alignment horizontal="center" wrapText="1"/>
    </xf>
    <xf numFmtId="0" fontId="0" fillId="0" borderId="4" xfId="0" applyBorder="1"/>
    <xf numFmtId="16" fontId="12" fillId="0" borderId="13" xfId="0" applyNumberFormat="1" applyFont="1" applyBorder="1" applyAlignment="1">
      <alignment horizontal="center" wrapText="1"/>
    </xf>
    <xf numFmtId="10" fontId="2" fillId="3" borderId="1" xfId="3" applyNumberFormat="1" applyFont="1" applyFill="1" applyBorder="1" applyAlignment="1" applyProtection="1">
      <alignment horizontal="center"/>
      <protection locked="0"/>
    </xf>
    <xf numFmtId="0" fontId="12" fillId="0" borderId="13" xfId="0" applyFont="1" applyBorder="1" applyAlignment="1">
      <alignment horizontal="center" wrapText="1"/>
    </xf>
    <xf numFmtId="0" fontId="21" fillId="0" borderId="8" xfId="0" applyFont="1" applyBorder="1" applyAlignment="1">
      <alignment horizontal="right"/>
    </xf>
    <xf numFmtId="0" fontId="21" fillId="0" borderId="16" xfId="0" applyFont="1" applyBorder="1" applyAlignment="1">
      <alignment horizontal="right"/>
    </xf>
    <xf numFmtId="0" fontId="21" fillId="0" borderId="10" xfId="0" applyFont="1" applyBorder="1" applyAlignment="1">
      <alignment horizontal="right"/>
    </xf>
    <xf numFmtId="0" fontId="12" fillId="0" borderId="13" xfId="0" applyFont="1" applyBorder="1" applyAlignment="1">
      <alignment horizontal="left" wrapText="1"/>
    </xf>
    <xf numFmtId="0" fontId="12" fillId="0" borderId="4" xfId="0" applyFont="1" applyBorder="1" applyAlignment="1">
      <alignment horizontal="left" wrapText="1"/>
    </xf>
    <xf numFmtId="0" fontId="12" fillId="0" borderId="11" xfId="0" applyFont="1" applyBorder="1" applyAlignment="1">
      <alignment horizontal="left" wrapText="1"/>
    </xf>
    <xf numFmtId="0" fontId="12" fillId="0" borderId="5"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9" fontId="2" fillId="0" borderId="8" xfId="3" applyFont="1" applyBorder="1" applyAlignment="1">
      <alignment horizontal="left"/>
    </xf>
    <xf numFmtId="9" fontId="2" fillId="0" borderId="16" xfId="3" applyFont="1" applyBorder="1" applyAlignment="1">
      <alignment horizontal="left"/>
    </xf>
    <xf numFmtId="9" fontId="2" fillId="0" borderId="10" xfId="3" applyFont="1" applyBorder="1" applyAlignment="1">
      <alignment horizontal="left"/>
    </xf>
    <xf numFmtId="9" fontId="2" fillId="0" borderId="8" xfId="3" applyFont="1" applyBorder="1" applyAlignment="1">
      <alignment horizontal="left" wrapText="1"/>
    </xf>
    <xf numFmtId="9" fontId="2" fillId="0" borderId="16" xfId="3" applyFont="1" applyBorder="1" applyAlignment="1">
      <alignment horizontal="left" wrapText="1"/>
    </xf>
    <xf numFmtId="9" fontId="2" fillId="0" borderId="10" xfId="3" applyFont="1" applyBorder="1" applyAlignment="1">
      <alignment horizontal="left" wrapText="1"/>
    </xf>
    <xf numFmtId="0" fontId="2" fillId="0" borderId="2" xfId="0" applyFont="1" applyBorder="1" applyAlignment="1">
      <alignment horizontal="right"/>
    </xf>
    <xf numFmtId="0" fontId="2" fillId="3" borderId="8" xfId="0" applyFont="1" applyFill="1" applyBorder="1" applyAlignment="1">
      <alignment horizontal="center"/>
    </xf>
    <xf numFmtId="0" fontId="2" fillId="3" borderId="16" xfId="0" applyFont="1" applyFill="1" applyBorder="1" applyAlignment="1">
      <alignment horizontal="center"/>
    </xf>
    <xf numFmtId="0" fontId="2" fillId="3" borderId="10" xfId="0" applyFont="1" applyFill="1" applyBorder="1" applyAlignment="1">
      <alignment horizontal="center"/>
    </xf>
    <xf numFmtId="0" fontId="2" fillId="0" borderId="7" xfId="0" applyFont="1" applyBorder="1" applyAlignment="1">
      <alignment horizontal="left" vertical="top" wrapText="1"/>
    </xf>
    <xf numFmtId="0" fontId="2" fillId="0" borderId="14" xfId="0" applyFont="1" applyBorder="1" applyAlignment="1">
      <alignment horizontal="left" vertical="top" wrapText="1"/>
    </xf>
    <xf numFmtId="0" fontId="2" fillId="0" borderId="2" xfId="0" applyFont="1" applyBorder="1" applyAlignment="1">
      <alignment horizontal="left" vertical="top" wrapText="1"/>
    </xf>
    <xf numFmtId="0" fontId="12" fillId="3" borderId="7" xfId="0" applyFont="1" applyFill="1" applyBorder="1" applyAlignment="1" applyProtection="1">
      <alignment horizontal="center" wrapText="1"/>
      <protection locked="0"/>
    </xf>
    <xf numFmtId="0" fontId="2" fillId="3" borderId="1" xfId="0" applyFont="1" applyFill="1" applyBorder="1" applyAlignment="1">
      <alignment horizontal="center"/>
    </xf>
    <xf numFmtId="9" fontId="2" fillId="0" borderId="0" xfId="3" applyFont="1" applyBorder="1" applyAlignment="1">
      <alignment horizontal="center"/>
    </xf>
    <xf numFmtId="0" fontId="2" fillId="0" borderId="12" xfId="0" applyFont="1" applyBorder="1" applyAlignment="1">
      <alignment horizontal="center"/>
    </xf>
    <xf numFmtId="9" fontId="2" fillId="3" borderId="1" xfId="3" applyFont="1" applyFill="1" applyBorder="1" applyAlignment="1" applyProtection="1">
      <alignment horizontal="center"/>
      <protection locked="0"/>
    </xf>
    <xf numFmtId="9" fontId="2" fillId="0" borderId="8" xfId="3" applyFont="1" applyBorder="1" applyAlignment="1">
      <alignment horizontal="right"/>
    </xf>
    <xf numFmtId="9" fontId="2" fillId="0" borderId="16" xfId="3" applyFont="1" applyBorder="1" applyAlignment="1">
      <alignment horizontal="right"/>
    </xf>
    <xf numFmtId="9" fontId="2" fillId="0" borderId="10" xfId="3" applyFont="1" applyBorder="1" applyAlignment="1">
      <alignment horizontal="right"/>
    </xf>
    <xf numFmtId="9" fontId="10" fillId="0" borderId="11" xfId="3" applyFont="1" applyBorder="1" applyAlignment="1">
      <alignment horizontal="center" vertical="center" wrapText="1"/>
    </xf>
    <xf numFmtId="9" fontId="10" fillId="0" borderId="0" xfId="3" applyFont="1" applyBorder="1" applyAlignment="1">
      <alignment horizontal="center" vertical="center" wrapText="1"/>
    </xf>
    <xf numFmtId="9" fontId="10" fillId="0" borderId="5" xfId="3" applyFont="1" applyBorder="1" applyAlignment="1">
      <alignment horizontal="center" vertical="center" wrapText="1"/>
    </xf>
    <xf numFmtId="0" fontId="2" fillId="3" borderId="1" xfId="0" applyFont="1" applyFill="1" applyBorder="1" applyAlignment="1" applyProtection="1">
      <alignment horizontal="left" wrapText="1"/>
      <protection locked="0"/>
    </xf>
    <xf numFmtId="9" fontId="2" fillId="0" borderId="8" xfId="3" applyFont="1" applyFill="1" applyBorder="1" applyAlignment="1">
      <alignment horizontal="left" wrapText="1"/>
    </xf>
    <xf numFmtId="9" fontId="2" fillId="0" borderId="16" xfId="3" applyFont="1" applyFill="1" applyBorder="1" applyAlignment="1">
      <alignment horizontal="left" wrapText="1"/>
    </xf>
    <xf numFmtId="9" fontId="2" fillId="0" borderId="10" xfId="3" applyFont="1" applyFill="1" applyBorder="1" applyAlignment="1">
      <alignment horizontal="left" wrapText="1"/>
    </xf>
    <xf numFmtId="44" fontId="2" fillId="2" borderId="1" xfId="1" applyFont="1" applyFill="1" applyBorder="1" applyAlignment="1">
      <alignment horizontal="center"/>
    </xf>
    <xf numFmtId="0" fontId="2" fillId="3" borderId="9" xfId="0" applyFont="1" applyFill="1" applyBorder="1" applyAlignment="1">
      <alignment horizontal="center"/>
    </xf>
    <xf numFmtId="0" fontId="2" fillId="3" borderId="12" xfId="0" applyFont="1" applyFill="1" applyBorder="1" applyAlignment="1">
      <alignment horizontal="center"/>
    </xf>
    <xf numFmtId="0" fontId="3" fillId="0" borderId="8" xfId="0" applyFont="1" applyBorder="1" applyAlignment="1">
      <alignment horizontal="left" wrapText="1"/>
    </xf>
    <xf numFmtId="0" fontId="3" fillId="0" borderId="16" xfId="0" applyFont="1" applyBorder="1" applyAlignment="1">
      <alignment horizontal="left" wrapText="1"/>
    </xf>
    <xf numFmtId="0" fontId="3" fillId="0" borderId="10" xfId="0" applyFont="1" applyBorder="1" applyAlignment="1">
      <alignment horizontal="left" wrapText="1"/>
    </xf>
    <xf numFmtId="9" fontId="2" fillId="5" borderId="7" xfId="0" applyNumberFormat="1" applyFont="1" applyFill="1" applyBorder="1" applyAlignment="1">
      <alignment horizontal="center"/>
    </xf>
    <xf numFmtId="9" fontId="2" fillId="0" borderId="1" xfId="3" applyFont="1" applyFill="1" applyBorder="1" applyAlignment="1">
      <alignment horizontal="center"/>
    </xf>
    <xf numFmtId="9" fontId="2" fillId="0" borderId="1" xfId="3" applyFont="1" applyBorder="1" applyAlignment="1">
      <alignment horizontal="center"/>
    </xf>
    <xf numFmtId="166" fontId="2" fillId="2" borderId="1" xfId="0" applyNumberFormat="1" applyFont="1" applyFill="1" applyBorder="1" applyAlignment="1">
      <alignment horizontal="center"/>
    </xf>
    <xf numFmtId="0" fontId="24" fillId="0" borderId="8" xfId="0" applyFont="1" applyBorder="1" applyAlignment="1">
      <alignment horizontal="center"/>
    </xf>
    <xf numFmtId="0" fontId="24" fillId="0" borderId="16" xfId="0" applyFont="1" applyBorder="1" applyAlignment="1">
      <alignment horizontal="center"/>
    </xf>
    <xf numFmtId="0" fontId="24" fillId="0" borderId="10" xfId="0" applyFont="1" applyBorder="1" applyAlignment="1">
      <alignment horizontal="center"/>
    </xf>
    <xf numFmtId="0" fontId="2" fillId="0" borderId="11" xfId="0" applyFont="1" applyBorder="1" applyAlignment="1">
      <alignment horizontal="left"/>
    </xf>
    <xf numFmtId="0" fontId="12" fillId="3" borderId="1" xfId="0" applyFont="1" applyFill="1" applyBorder="1" applyAlignment="1" applyProtection="1">
      <alignment horizontal="center"/>
      <protection locked="0"/>
    </xf>
    <xf numFmtId="0" fontId="2" fillId="0" borderId="7" xfId="0" applyFont="1" applyBorder="1" applyAlignment="1">
      <alignment wrapText="1"/>
    </xf>
    <xf numFmtId="9" fontId="2" fillId="0" borderId="8" xfId="3" applyFont="1" applyBorder="1" applyAlignment="1">
      <alignment horizontal="center"/>
    </xf>
    <xf numFmtId="9" fontId="2" fillId="0" borderId="16" xfId="3" applyFont="1" applyBorder="1" applyAlignment="1">
      <alignment horizontal="center"/>
    </xf>
    <xf numFmtId="9" fontId="2" fillId="0" borderId="10" xfId="3" applyFont="1" applyBorder="1" applyAlignment="1">
      <alignment horizontal="center"/>
    </xf>
    <xf numFmtId="0" fontId="2" fillId="3" borderId="1" xfId="0" applyFont="1" applyFill="1" applyBorder="1" applyAlignment="1" applyProtection="1">
      <alignment horizontal="center" wrapText="1"/>
      <protection locked="0"/>
    </xf>
    <xf numFmtId="0" fontId="10" fillId="0" borderId="1" xfId="0" applyFont="1" applyBorder="1" applyAlignment="1">
      <alignment horizontal="center" wrapText="1"/>
    </xf>
    <xf numFmtId="0" fontId="33" fillId="4" borderId="1" xfId="0" applyFont="1" applyFill="1" applyBorder="1" applyAlignment="1">
      <alignment horizontal="center" wrapText="1"/>
    </xf>
    <xf numFmtId="14" fontId="2" fillId="2" borderId="16" xfId="0" applyNumberFormat="1" applyFont="1" applyFill="1" applyBorder="1" applyAlignment="1">
      <alignment horizontal="center"/>
    </xf>
    <xf numFmtId="14" fontId="2" fillId="2" borderId="10" xfId="0" applyNumberFormat="1" applyFont="1" applyFill="1" applyBorder="1" applyAlignment="1">
      <alignment horizontal="center"/>
    </xf>
    <xf numFmtId="0" fontId="17" fillId="0" borderId="11" xfId="0" applyFont="1" applyBorder="1" applyAlignment="1">
      <alignment horizontal="center"/>
    </xf>
    <xf numFmtId="0" fontId="17" fillId="0" borderId="0" xfId="0" applyFont="1" applyAlignment="1">
      <alignment horizontal="center"/>
    </xf>
    <xf numFmtId="9" fontId="2" fillId="0" borderId="7" xfId="0" applyNumberFormat="1" applyFont="1" applyBorder="1" applyAlignment="1">
      <alignment horizontal="center"/>
    </xf>
    <xf numFmtId="9" fontId="2" fillId="0" borderId="2" xfId="0" applyNumberFormat="1" applyFont="1" applyBorder="1" applyAlignment="1">
      <alignment horizontal="center"/>
    </xf>
    <xf numFmtId="0" fontId="2" fillId="0" borderId="12" xfId="0" applyFont="1" applyBorder="1" applyAlignment="1">
      <alignment horizontal="center" wrapText="1"/>
    </xf>
    <xf numFmtId="9" fontId="2" fillId="0" borderId="2" xfId="3" applyFont="1" applyBorder="1" applyAlignment="1">
      <alignment horizontal="right"/>
    </xf>
    <xf numFmtId="0" fontId="15" fillId="0" borderId="7" xfId="2" applyFont="1" applyBorder="1" applyAlignment="1" applyProtection="1">
      <alignment horizontal="center"/>
    </xf>
    <xf numFmtId="0" fontId="15" fillId="0" borderId="2" xfId="2" applyFont="1" applyBorder="1" applyAlignment="1" applyProtection="1">
      <alignment horizontal="center"/>
    </xf>
    <xf numFmtId="0" fontId="17" fillId="0" borderId="13" xfId="0" applyFont="1" applyBorder="1" applyAlignment="1">
      <alignment horizontal="left"/>
    </xf>
    <xf numFmtId="0" fontId="17" fillId="0" borderId="15" xfId="0" applyFont="1" applyBorder="1" applyAlignment="1">
      <alignment horizontal="left"/>
    </xf>
    <xf numFmtId="0" fontId="17" fillId="0" borderId="4" xfId="0" applyFont="1" applyBorder="1" applyAlignment="1">
      <alignment horizontal="left"/>
    </xf>
    <xf numFmtId="164" fontId="2" fillId="2" borderId="2" xfId="0" applyNumberFormat="1" applyFont="1" applyFill="1" applyBorder="1" applyAlignment="1">
      <alignment horizontal="center"/>
    </xf>
    <xf numFmtId="9" fontId="17" fillId="0" borderId="2" xfId="3" applyFont="1" applyBorder="1" applyAlignment="1">
      <alignment horizontal="center"/>
    </xf>
    <xf numFmtId="9" fontId="17" fillId="0" borderId="9" xfId="3" applyFont="1" applyBorder="1" applyAlignment="1">
      <alignment horizontal="center"/>
    </xf>
    <xf numFmtId="0" fontId="2" fillId="2" borderId="2" xfId="0" applyFont="1" applyFill="1" applyBorder="1" applyAlignment="1">
      <alignment horizontal="center"/>
    </xf>
    <xf numFmtId="0" fontId="12" fillId="0" borderId="6" xfId="0" applyFont="1" applyBorder="1" applyAlignment="1">
      <alignment horizontal="center" wrapText="1"/>
    </xf>
    <xf numFmtId="0" fontId="49" fillId="0" borderId="4" xfId="0" applyFont="1" applyBorder="1" applyAlignment="1">
      <alignment horizontal="center" wrapText="1"/>
    </xf>
    <xf numFmtId="16" fontId="12" fillId="0" borderId="4" xfId="0" applyNumberFormat="1" applyFont="1" applyBorder="1" applyAlignment="1">
      <alignment horizontal="center" wrapText="1"/>
    </xf>
    <xf numFmtId="0" fontId="12" fillId="0" borderId="4" xfId="0" applyFont="1" applyBorder="1" applyAlignment="1">
      <alignment horizontal="center" wrapText="1"/>
    </xf>
    <xf numFmtId="0" fontId="12" fillId="0" borderId="5" xfId="0" applyFont="1" applyBorder="1" applyAlignment="1">
      <alignment horizontal="center" wrapText="1"/>
    </xf>
    <xf numFmtId="9" fontId="2" fillId="0" borderId="7" xfId="3" applyFont="1" applyFill="1" applyBorder="1" applyAlignment="1">
      <alignment horizontal="center"/>
    </xf>
    <xf numFmtId="9" fontId="2" fillId="0" borderId="2" xfId="3" applyFont="1" applyFill="1" applyBorder="1" applyAlignment="1">
      <alignment horizontal="center"/>
    </xf>
    <xf numFmtId="0" fontId="15" fillId="0" borderId="0" xfId="2" applyFont="1" applyFill="1" applyBorder="1" applyAlignment="1" applyProtection="1">
      <alignment horizontal="center" wrapText="1"/>
    </xf>
    <xf numFmtId="0" fontId="15" fillId="0" borderId="0" xfId="2" applyFont="1" applyFill="1" applyBorder="1" applyAlignment="1" applyProtection="1">
      <alignment horizontal="center"/>
    </xf>
    <xf numFmtId="164" fontId="2" fillId="2" borderId="2" xfId="3" applyNumberFormat="1" applyFont="1" applyFill="1" applyBorder="1" applyAlignment="1">
      <alignment horizontal="center"/>
    </xf>
    <xf numFmtId="0" fontId="2" fillId="0" borderId="9" xfId="0" applyFont="1" applyBorder="1" applyAlignment="1">
      <alignment horizontal="center"/>
    </xf>
    <xf numFmtId="0" fontId="2" fillId="0" borderId="2" xfId="0" applyFont="1" applyBorder="1" applyAlignment="1">
      <alignment horizontal="center" wrapText="1"/>
    </xf>
    <xf numFmtId="9" fontId="2" fillId="2" borderId="13" xfId="0" applyNumberFormat="1" applyFont="1" applyFill="1" applyBorder="1" applyAlignment="1">
      <alignment horizontal="center"/>
    </xf>
    <xf numFmtId="9" fontId="2" fillId="0" borderId="1" xfId="3" applyFont="1" applyFill="1" applyBorder="1" applyAlignment="1">
      <alignment horizontal="left" wrapText="1"/>
    </xf>
    <xf numFmtId="9" fontId="2" fillId="2" borderId="11" xfId="0" applyNumberFormat="1" applyFont="1" applyFill="1" applyBorder="1" applyAlignment="1">
      <alignment horizontal="center"/>
    </xf>
    <xf numFmtId="9" fontId="2" fillId="2" borderId="0" xfId="0" applyNumberFormat="1" applyFont="1" applyFill="1" applyAlignment="1">
      <alignment horizontal="center"/>
    </xf>
    <xf numFmtId="9" fontId="2" fillId="2" borderId="14" xfId="3" applyFont="1" applyFill="1" applyBorder="1" applyAlignment="1">
      <alignment horizontal="center"/>
    </xf>
    <xf numFmtId="9" fontId="2" fillId="2" borderId="2" xfId="3" applyFont="1" applyFill="1" applyBorder="1" applyAlignment="1">
      <alignment horizontal="center"/>
    </xf>
    <xf numFmtId="0" fontId="21" fillId="0" borderId="0" xfId="0" applyFont="1" applyAlignment="1">
      <alignment horizontal="center"/>
    </xf>
    <xf numFmtId="0" fontId="0" fillId="0" borderId="16" xfId="0" applyBorder="1"/>
    <xf numFmtId="0" fontId="15" fillId="0" borderId="13" xfId="2" applyFont="1" applyBorder="1" applyAlignment="1" applyProtection="1">
      <alignment horizontal="left" wrapText="1"/>
    </xf>
    <xf numFmtId="0" fontId="15" fillId="0" borderId="15" xfId="2" applyFont="1" applyBorder="1" applyAlignment="1" applyProtection="1">
      <alignment horizontal="left" wrapText="1"/>
    </xf>
    <xf numFmtId="0" fontId="15" fillId="0" borderId="4" xfId="2" applyFont="1" applyBorder="1" applyAlignment="1" applyProtection="1">
      <alignment horizontal="left" wrapText="1"/>
    </xf>
    <xf numFmtId="0" fontId="15" fillId="0" borderId="9" xfId="2" applyFont="1" applyBorder="1" applyAlignment="1" applyProtection="1">
      <alignment horizontal="left" wrapText="1"/>
    </xf>
    <xf numFmtId="0" fontId="15" fillId="0" borderId="12" xfId="2" applyFont="1" applyBorder="1" applyAlignment="1" applyProtection="1">
      <alignment horizontal="left" wrapText="1"/>
    </xf>
    <xf numFmtId="0" fontId="15" fillId="0" borderId="6" xfId="2" applyFont="1" applyBorder="1" applyAlignment="1" applyProtection="1">
      <alignment horizontal="left" wrapText="1"/>
    </xf>
    <xf numFmtId="0" fontId="15" fillId="0" borderId="1" xfId="2" applyFont="1" applyBorder="1" applyAlignment="1" applyProtection="1">
      <alignment horizontal="center" wrapText="1"/>
    </xf>
    <xf numFmtId="9" fontId="53" fillId="0" borderId="9" xfId="3" applyFont="1" applyBorder="1" applyAlignment="1">
      <alignment horizontal="center"/>
    </xf>
    <xf numFmtId="9" fontId="53" fillId="0" borderId="12" xfId="3" applyFont="1" applyBorder="1" applyAlignment="1">
      <alignment horizontal="center"/>
    </xf>
    <xf numFmtId="9" fontId="53" fillId="0" borderId="6" xfId="3" applyFont="1" applyBorder="1" applyAlignment="1">
      <alignment horizontal="center"/>
    </xf>
    <xf numFmtId="0" fontId="24" fillId="0" borderId="1" xfId="0" applyFont="1" applyBorder="1" applyAlignment="1">
      <alignment horizontal="left" wrapText="1"/>
    </xf>
    <xf numFmtId="0" fontId="17" fillId="0" borderId="1" xfId="0" applyFont="1" applyBorder="1" applyAlignment="1">
      <alignment horizontal="left" wrapText="1"/>
    </xf>
    <xf numFmtId="0" fontId="49" fillId="0" borderId="5" xfId="0" applyFont="1" applyBorder="1" applyAlignment="1">
      <alignment horizontal="center" wrapText="1"/>
    </xf>
    <xf numFmtId="0" fontId="49" fillId="0" borderId="6" xfId="0" applyFont="1" applyBorder="1" applyAlignment="1">
      <alignment horizontal="center" wrapText="1"/>
    </xf>
    <xf numFmtId="0" fontId="21" fillId="0" borderId="1" xfId="0" applyFont="1" applyBorder="1" applyAlignment="1">
      <alignment horizontal="center"/>
    </xf>
    <xf numFmtId="0" fontId="16" fillId="0" borderId="10" xfId="0" applyFont="1" applyBorder="1" applyAlignment="1">
      <alignment horizontal="center"/>
    </xf>
    <xf numFmtId="9" fontId="2" fillId="2" borderId="5" xfId="0" applyNumberFormat="1" applyFont="1" applyFill="1" applyBorder="1" applyAlignment="1">
      <alignment horizontal="center"/>
    </xf>
    <xf numFmtId="0" fontId="4" fillId="0" borderId="0" xfId="2" applyBorder="1" applyAlignment="1" applyProtection="1">
      <alignment horizontal="center"/>
    </xf>
    <xf numFmtId="9" fontId="4" fillId="0" borderId="0" xfId="2" applyNumberFormat="1" applyBorder="1" applyAlignment="1" applyProtection="1">
      <alignment horizontal="center"/>
    </xf>
    <xf numFmtId="0" fontId="26" fillId="0" borderId="11" xfId="0" applyFont="1" applyBorder="1" applyAlignment="1">
      <alignment horizontal="center" wrapText="1"/>
    </xf>
    <xf numFmtId="0" fontId="26" fillId="0" borderId="0" xfId="0" applyFont="1" applyAlignment="1">
      <alignment horizontal="center" wrapText="1"/>
    </xf>
    <xf numFmtId="0" fontId="26" fillId="0" borderId="5" xfId="0" applyFont="1" applyBorder="1" applyAlignment="1">
      <alignment horizontal="center" wrapText="1"/>
    </xf>
    <xf numFmtId="0" fontId="2" fillId="0" borderId="5" xfId="0" applyFont="1" applyBorder="1" applyAlignment="1">
      <alignment horizontal="center"/>
    </xf>
    <xf numFmtId="0" fontId="2" fillId="0" borderId="11" xfId="0" applyFont="1" applyBorder="1" applyAlignment="1">
      <alignment horizontal="center"/>
    </xf>
    <xf numFmtId="0" fontId="10" fillId="0" borderId="9" xfId="0" applyFont="1" applyBorder="1" applyAlignment="1">
      <alignment horizontal="center" wrapText="1"/>
    </xf>
    <xf numFmtId="0" fontId="10" fillId="0" borderId="12" xfId="0" applyFont="1" applyBorder="1" applyAlignment="1">
      <alignment horizontal="center" wrapText="1"/>
    </xf>
    <xf numFmtId="0" fontId="10" fillId="0" borderId="6" xfId="0" applyFont="1" applyBorder="1" applyAlignment="1">
      <alignment horizontal="center" wrapText="1"/>
    </xf>
    <xf numFmtId="0" fontId="2" fillId="0" borderId="1" xfId="0" applyFont="1" applyBorder="1" applyAlignment="1">
      <alignment horizontal="right" wrapText="1" indent="1"/>
    </xf>
    <xf numFmtId="9" fontId="2" fillId="0" borderId="1" xfId="3" applyFont="1" applyBorder="1" applyAlignment="1">
      <alignment horizontal="center" vertical="top" wrapText="1"/>
    </xf>
    <xf numFmtId="0" fontId="2" fillId="0" borderId="1" xfId="0" applyFont="1" applyBorder="1" applyAlignment="1">
      <alignment horizontal="right" wrapText="1"/>
    </xf>
    <xf numFmtId="0" fontId="5" fillId="0" borderId="1" xfId="0" applyFont="1" applyBorder="1" applyAlignment="1">
      <alignment horizontal="center" wrapText="1"/>
    </xf>
    <xf numFmtId="0" fontId="3" fillId="0" borderId="16" xfId="0" applyFont="1" applyBorder="1"/>
    <xf numFmtId="0" fontId="3" fillId="0" borderId="10" xfId="0" applyFont="1" applyBorder="1"/>
    <xf numFmtId="9" fontId="2" fillId="0" borderId="1" xfId="0" applyNumberFormat="1" applyFont="1" applyBorder="1" applyAlignment="1">
      <alignment horizontal="left"/>
    </xf>
    <xf numFmtId="9" fontId="2" fillId="0" borderId="1" xfId="0" applyNumberFormat="1" applyFont="1" applyBorder="1" applyAlignment="1">
      <alignment horizontal="center"/>
    </xf>
    <xf numFmtId="9" fontId="64" fillId="0" borderId="1" xfId="3" applyFont="1" applyBorder="1" applyAlignment="1">
      <alignment horizontal="center"/>
    </xf>
    <xf numFmtId="9" fontId="2" fillId="3" borderId="8" xfId="3" applyFont="1" applyFill="1" applyBorder="1" applyAlignment="1" applyProtection="1">
      <alignment horizontal="center"/>
      <protection locked="0"/>
    </xf>
    <xf numFmtId="9" fontId="2" fillId="3" borderId="10" xfId="3" applyFont="1" applyFill="1" applyBorder="1" applyAlignment="1" applyProtection="1">
      <alignment horizontal="center"/>
      <protection locked="0"/>
    </xf>
    <xf numFmtId="9" fontId="2" fillId="0" borderId="9" xfId="3" applyFont="1" applyBorder="1" applyAlignment="1">
      <alignment horizontal="right" indent="1"/>
    </xf>
    <xf numFmtId="9" fontId="2" fillId="0" borderId="12" xfId="3" applyFont="1" applyBorder="1" applyAlignment="1">
      <alignment horizontal="right" indent="1"/>
    </xf>
    <xf numFmtId="9" fontId="2" fillId="0" borderId="6" xfId="3" applyFont="1" applyBorder="1" applyAlignment="1">
      <alignment horizontal="right" indent="1"/>
    </xf>
    <xf numFmtId="9" fontId="2" fillId="2" borderId="1" xfId="0" applyNumberFormat="1" applyFont="1" applyFill="1" applyBorder="1" applyAlignment="1">
      <alignment horizontal="center"/>
    </xf>
    <xf numFmtId="9" fontId="10" fillId="0" borderId="9" xfId="3" applyFont="1" applyBorder="1" applyAlignment="1">
      <alignment horizontal="center" vertical="center" wrapText="1"/>
    </xf>
    <xf numFmtId="9" fontId="10" fillId="0" borderId="12" xfId="3" applyFont="1" applyBorder="1" applyAlignment="1">
      <alignment horizontal="center" vertical="center" wrapText="1"/>
    </xf>
    <xf numFmtId="9" fontId="10" fillId="0" borderId="6" xfId="3" applyFont="1" applyBorder="1" applyAlignment="1">
      <alignment horizontal="center" vertical="center" wrapText="1"/>
    </xf>
    <xf numFmtId="0" fontId="2" fillId="0" borderId="22" xfId="0" applyFont="1" applyBorder="1" applyAlignment="1">
      <alignment horizontal="left"/>
    </xf>
    <xf numFmtId="0" fontId="2" fillId="0" borderId="21" xfId="0" applyFont="1" applyBorder="1" applyAlignment="1">
      <alignment horizontal="left"/>
    </xf>
    <xf numFmtId="0" fontId="10" fillId="0" borderId="1" xfId="0" applyFont="1" applyBorder="1" applyAlignment="1">
      <alignment horizontal="center" vertical="center" wrapText="1"/>
    </xf>
    <xf numFmtId="0" fontId="2" fillId="0" borderId="7" xfId="0" applyFont="1" applyBorder="1" applyAlignment="1">
      <alignment horizontal="center" wrapText="1"/>
    </xf>
    <xf numFmtId="0" fontId="63" fillId="0" borderId="1" xfId="0" applyFont="1" applyBorder="1" applyAlignment="1">
      <alignment horizontal="center" vertical="center" wrapText="1"/>
    </xf>
    <xf numFmtId="0" fontId="24" fillId="0" borderId="1" xfId="0" applyFont="1" applyBorder="1" applyAlignment="1">
      <alignment horizontal="left"/>
    </xf>
    <xf numFmtId="0" fontId="3" fillId="0" borderId="23" xfId="0" applyFont="1" applyBorder="1" applyAlignment="1">
      <alignment horizontal="center" wrapText="1"/>
    </xf>
    <xf numFmtId="0" fontId="3" fillId="0" borderId="24" xfId="0" applyFont="1" applyBorder="1" applyAlignment="1">
      <alignment horizontal="center" wrapText="1"/>
    </xf>
    <xf numFmtId="0" fontId="10" fillId="0" borderId="7" xfId="0" applyFont="1" applyBorder="1" applyAlignment="1">
      <alignment horizontal="center" wrapText="1"/>
    </xf>
    <xf numFmtId="0" fontId="2" fillId="0" borderId="15" xfId="0" applyFont="1" applyBorder="1" applyAlignment="1">
      <alignment horizontal="center"/>
    </xf>
    <xf numFmtId="0" fontId="3" fillId="0" borderId="9" xfId="0" applyFont="1" applyBorder="1" applyAlignment="1">
      <alignment horizontal="center" wrapText="1"/>
    </xf>
    <xf numFmtId="0" fontId="3" fillId="0" borderId="12" xfId="0" applyFont="1" applyBorder="1" applyAlignment="1">
      <alignment horizontal="center" wrapText="1"/>
    </xf>
    <xf numFmtId="0" fontId="3" fillId="0" borderId="6" xfId="0" applyFont="1" applyBorder="1" applyAlignment="1">
      <alignment horizontal="center" wrapText="1"/>
    </xf>
    <xf numFmtId="0" fontId="2" fillId="0" borderId="0" xfId="0" applyFont="1" applyAlignment="1">
      <alignment horizontal="right"/>
    </xf>
    <xf numFmtId="0" fontId="2" fillId="0" borderId="13" xfId="0" applyFont="1" applyBorder="1" applyAlignment="1">
      <alignment horizontal="center"/>
    </xf>
    <xf numFmtId="0" fontId="2" fillId="0" borderId="4" xfId="0" applyFont="1" applyBorder="1" applyAlignment="1">
      <alignment horizontal="center"/>
    </xf>
    <xf numFmtId="0" fontId="2" fillId="0" borderId="6" xfId="0" applyFont="1" applyBorder="1" applyAlignment="1">
      <alignment horizontal="center"/>
    </xf>
    <xf numFmtId="0" fontId="11" fillId="0" borderId="0" xfId="0" applyFont="1" applyAlignment="1">
      <alignment horizontal="center"/>
    </xf>
    <xf numFmtId="0" fontId="12" fillId="0" borderId="11" xfId="0" applyFont="1" applyBorder="1" applyAlignment="1">
      <alignment horizontal="left"/>
    </xf>
    <xf numFmtId="0" fontId="12" fillId="0" borderId="0" xfId="0" applyFont="1" applyAlignment="1">
      <alignment horizontal="left"/>
    </xf>
    <xf numFmtId="0" fontId="12" fillId="0" borderId="5" xfId="0" applyFont="1" applyBorder="1" applyAlignment="1">
      <alignment horizontal="left"/>
    </xf>
    <xf numFmtId="9" fontId="28" fillId="0" borderId="1" xfId="3" applyFont="1" applyBorder="1" applyAlignment="1">
      <alignment horizontal="center"/>
    </xf>
    <xf numFmtId="9" fontId="12" fillId="2" borderId="1" xfId="0" applyNumberFormat="1" applyFont="1" applyFill="1" applyBorder="1" applyAlignment="1">
      <alignment horizontal="center"/>
    </xf>
    <xf numFmtId="0" fontId="12" fillId="0" borderId="1" xfId="0" applyFont="1" applyBorder="1" applyAlignment="1">
      <alignment horizontal="left" wrapText="1"/>
    </xf>
    <xf numFmtId="9" fontId="11" fillId="0" borderId="1" xfId="3" applyFont="1" applyFill="1" applyBorder="1" applyAlignment="1">
      <alignment horizontal="center"/>
    </xf>
    <xf numFmtId="1" fontId="2" fillId="0" borderId="1" xfId="3" applyNumberFormat="1" applyFont="1" applyBorder="1" applyAlignment="1">
      <alignment horizontal="left"/>
    </xf>
    <xf numFmtId="10" fontId="2" fillId="3" borderId="8" xfId="3" applyNumberFormat="1" applyFont="1" applyFill="1" applyBorder="1" applyAlignment="1" applyProtection="1">
      <alignment horizontal="center"/>
      <protection locked="0"/>
    </xf>
    <xf numFmtId="10" fontId="2" fillId="3" borderId="16" xfId="3" applyNumberFormat="1" applyFont="1" applyFill="1" applyBorder="1" applyAlignment="1" applyProtection="1">
      <alignment horizontal="center"/>
      <protection locked="0"/>
    </xf>
    <xf numFmtId="10" fontId="2" fillId="3" borderId="10" xfId="3" applyNumberFormat="1" applyFont="1" applyFill="1" applyBorder="1" applyAlignment="1" applyProtection="1">
      <alignment horizontal="center"/>
      <protection locked="0"/>
    </xf>
    <xf numFmtId="0" fontId="2" fillId="0" borderId="14" xfId="0" applyFont="1" applyBorder="1" applyAlignment="1">
      <alignment horizontal="center" wrapText="1"/>
    </xf>
    <xf numFmtId="9" fontId="2" fillId="0" borderId="1" xfId="3" applyFont="1" applyBorder="1" applyAlignment="1">
      <alignment horizontal="left" wrapText="1"/>
    </xf>
    <xf numFmtId="9" fontId="2" fillId="2" borderId="1" xfId="3" applyFont="1" applyFill="1" applyBorder="1" applyAlignment="1">
      <alignment horizontal="center" wrapText="1"/>
    </xf>
    <xf numFmtId="0" fontId="12" fillId="0" borderId="7" xfId="0" applyFont="1" applyBorder="1" applyAlignment="1">
      <alignment horizontal="left" wrapText="1"/>
    </xf>
    <xf numFmtId="0" fontId="12" fillId="0" borderId="2" xfId="0" applyFont="1" applyBorder="1" applyAlignment="1">
      <alignment horizontal="left"/>
    </xf>
    <xf numFmtId="0" fontId="2" fillId="0" borderId="8" xfId="0" applyFont="1" applyBorder="1"/>
    <xf numFmtId="0" fontId="2" fillId="0" borderId="16" xfId="0" applyFont="1" applyBorder="1"/>
    <xf numFmtId="0" fontId="2" fillId="0" borderId="10" xfId="0" applyFont="1" applyBorder="1"/>
    <xf numFmtId="9" fontId="2" fillId="2" borderId="4" xfId="0" applyNumberFormat="1" applyFont="1" applyFill="1" applyBorder="1" applyAlignment="1">
      <alignment horizontal="center"/>
    </xf>
    <xf numFmtId="9" fontId="2" fillId="3" borderId="16" xfId="3" applyFont="1" applyFill="1" applyBorder="1" applyAlignment="1" applyProtection="1">
      <alignment horizontal="center"/>
      <protection locked="0"/>
    </xf>
    <xf numFmtId="9" fontId="2" fillId="2" borderId="8" xfId="3" applyFont="1" applyFill="1" applyBorder="1" applyAlignment="1">
      <alignment horizontal="center" wrapText="1"/>
    </xf>
    <xf numFmtId="9" fontId="2" fillId="2" borderId="10" xfId="3" applyFont="1" applyFill="1" applyBorder="1" applyAlignment="1">
      <alignment horizontal="center" wrapText="1"/>
    </xf>
    <xf numFmtId="0" fontId="12" fillId="0" borderId="1" xfId="0" applyFont="1" applyBorder="1" applyAlignment="1">
      <alignment horizontal="center"/>
    </xf>
    <xf numFmtId="0" fontId="12" fillId="2" borderId="1" xfId="0" applyFont="1" applyFill="1" applyBorder="1" applyAlignment="1">
      <alignment horizontal="center"/>
    </xf>
    <xf numFmtId="0" fontId="13" fillId="0" borderId="0" xfId="0" applyFont="1" applyAlignment="1">
      <alignment horizontal="center" wrapText="1"/>
    </xf>
    <xf numFmtId="0" fontId="14" fillId="0" borderId="1" xfId="0" applyFont="1" applyBorder="1" applyAlignment="1">
      <alignment horizontal="right"/>
    </xf>
    <xf numFmtId="0" fontId="2" fillId="0" borderId="14" xfId="0" applyFont="1" applyBorder="1" applyAlignment="1">
      <alignment horizontal="right"/>
    </xf>
    <xf numFmtId="9" fontId="2" fillId="3" borderId="8" xfId="3" applyFont="1" applyFill="1" applyBorder="1" applyAlignment="1">
      <alignment horizontal="center"/>
    </xf>
    <xf numFmtId="9" fontId="2" fillId="3" borderId="10" xfId="3" applyFont="1" applyFill="1" applyBorder="1" applyAlignment="1">
      <alignment horizontal="center"/>
    </xf>
    <xf numFmtId="0" fontId="12" fillId="0" borderId="9" xfId="0" applyFont="1" applyBorder="1" applyAlignment="1">
      <alignment horizontal="left"/>
    </xf>
    <xf numFmtId="0" fontId="12" fillId="0" borderId="12" xfId="0" applyFont="1" applyBorder="1" applyAlignment="1">
      <alignment horizontal="left"/>
    </xf>
    <xf numFmtId="0" fontId="12" fillId="0" borderId="7" xfId="0" applyFont="1" applyBorder="1" applyAlignment="1">
      <alignment horizontal="center"/>
    </xf>
    <xf numFmtId="164" fontId="2" fillId="2" borderId="1" xfId="3" applyNumberFormat="1" applyFont="1" applyFill="1" applyBorder="1" applyAlignment="1">
      <alignment horizontal="center" wrapText="1"/>
    </xf>
    <xf numFmtId="9" fontId="24" fillId="0" borderId="8" xfId="3" applyFont="1" applyBorder="1" applyAlignment="1">
      <alignment horizontal="left" wrapText="1"/>
    </xf>
    <xf numFmtId="9" fontId="24" fillId="0" borderId="16" xfId="3" applyFont="1" applyBorder="1" applyAlignment="1">
      <alignment horizontal="left" wrapText="1"/>
    </xf>
    <xf numFmtId="9" fontId="24" fillId="0" borderId="10" xfId="3" applyFont="1" applyBorder="1" applyAlignment="1">
      <alignment horizontal="left" wrapText="1"/>
    </xf>
    <xf numFmtId="0" fontId="29" fillId="0" borderId="8" xfId="0" applyFont="1" applyBorder="1" applyAlignment="1">
      <alignment horizontal="left" wrapText="1"/>
    </xf>
    <xf numFmtId="0" fontId="29" fillId="0" borderId="16" xfId="0" applyFont="1" applyBorder="1" applyAlignment="1">
      <alignment horizontal="left" wrapText="1"/>
    </xf>
    <xf numFmtId="0" fontId="29" fillId="0" borderId="10" xfId="0" applyFont="1" applyBorder="1" applyAlignment="1">
      <alignment horizontal="left" wrapText="1"/>
    </xf>
    <xf numFmtId="164" fontId="2" fillId="2" borderId="1" xfId="0" applyNumberFormat="1" applyFont="1" applyFill="1" applyBorder="1" applyAlignment="1">
      <alignment horizontal="center" wrapText="1"/>
    </xf>
    <xf numFmtId="0" fontId="14" fillId="0" borderId="12" xfId="0" applyFont="1" applyBorder="1" applyAlignment="1">
      <alignment horizontal="center"/>
    </xf>
    <xf numFmtId="9" fontId="17" fillId="0" borderId="16" xfId="3" applyFont="1" applyBorder="1" applyAlignment="1">
      <alignment horizontal="center"/>
    </xf>
    <xf numFmtId="9" fontId="17" fillId="0" borderId="9" xfId="3" applyFont="1" applyBorder="1" applyAlignment="1">
      <alignment horizontal="center" wrapText="1"/>
    </xf>
    <xf numFmtId="9" fontId="17" fillId="0" borderId="12" xfId="3" applyFont="1" applyBorder="1" applyAlignment="1">
      <alignment horizontal="center" wrapText="1"/>
    </xf>
    <xf numFmtId="0" fontId="14" fillId="0" borderId="0" xfId="0" applyFont="1" applyAlignment="1">
      <alignment horizontal="center"/>
    </xf>
    <xf numFmtId="0" fontId="2" fillId="3" borderId="8" xfId="0" applyFont="1" applyFill="1" applyBorder="1" applyAlignment="1" applyProtection="1">
      <alignment horizontal="left"/>
      <protection locked="0"/>
    </xf>
    <xf numFmtId="0" fontId="2" fillId="3" borderId="16" xfId="0" applyFont="1" applyFill="1" applyBorder="1" applyAlignment="1" applyProtection="1">
      <alignment horizontal="left"/>
      <protection locked="0"/>
    </xf>
    <xf numFmtId="9" fontId="2" fillId="0" borderId="1" xfId="3" applyFont="1" applyBorder="1" applyAlignment="1">
      <alignment horizontal="left"/>
    </xf>
    <xf numFmtId="0" fontId="2" fillId="0" borderId="13" xfId="0" applyFont="1" applyBorder="1"/>
    <xf numFmtId="0" fontId="2" fillId="0" borderId="15" xfId="0" applyFont="1" applyBorder="1"/>
    <xf numFmtId="0" fontId="2" fillId="0" borderId="4" xfId="0" applyFont="1" applyBorder="1"/>
    <xf numFmtId="0" fontId="13" fillId="0" borderId="2" xfId="0" applyFont="1" applyBorder="1" applyAlignment="1">
      <alignment horizontal="center" wrapText="1"/>
    </xf>
    <xf numFmtId="0" fontId="13" fillId="0" borderId="1" xfId="0" applyFont="1" applyBorder="1" applyAlignment="1">
      <alignment horizontal="center" wrapText="1"/>
    </xf>
    <xf numFmtId="0" fontId="14" fillId="0" borderId="8" xfId="0" applyFont="1" applyBorder="1" applyAlignment="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27" fillId="0" borderId="1" xfId="0" applyFont="1" applyBorder="1" applyAlignment="1">
      <alignment horizontal="center"/>
    </xf>
    <xf numFmtId="0" fontId="12" fillId="0" borderId="0" xfId="0" applyFont="1" applyAlignment="1">
      <alignment horizontal="center"/>
    </xf>
    <xf numFmtId="0" fontId="2" fillId="0" borderId="13" xfId="0" applyFont="1" applyBorder="1" applyAlignment="1">
      <alignment horizontal="center" wrapText="1"/>
    </xf>
    <xf numFmtId="0" fontId="2" fillId="0" borderId="1" xfId="0" applyFont="1" applyBorder="1" applyProtection="1">
      <protection locked="0"/>
    </xf>
    <xf numFmtId="9" fontId="14" fillId="0" borderId="1" xfId="3" applyFont="1" applyFill="1" applyBorder="1" applyAlignment="1">
      <alignment horizontal="center" wrapText="1"/>
    </xf>
    <xf numFmtId="0" fontId="12" fillId="0" borderId="6" xfId="0" applyFont="1" applyBorder="1" applyAlignment="1">
      <alignment horizontal="left"/>
    </xf>
    <xf numFmtId="0" fontId="12" fillId="0" borderId="1" xfId="0" applyFont="1" applyBorder="1" applyAlignment="1">
      <alignment horizontal="right"/>
    </xf>
    <xf numFmtId="0" fontId="18" fillId="0" borderId="1" xfId="0" applyFont="1" applyBorder="1" applyAlignment="1">
      <alignment horizontal="center"/>
    </xf>
    <xf numFmtId="9" fontId="17" fillId="0" borderId="8" xfId="3" applyFont="1" applyBorder="1" applyAlignment="1">
      <alignment horizontal="left"/>
    </xf>
    <xf numFmtId="9" fontId="17" fillId="0" borderId="16" xfId="3" applyFont="1" applyBorder="1" applyAlignment="1">
      <alignment horizontal="left"/>
    </xf>
    <xf numFmtId="9" fontId="17" fillId="0" borderId="10" xfId="3" applyFont="1" applyBorder="1" applyAlignment="1">
      <alignment horizontal="left"/>
    </xf>
    <xf numFmtId="0" fontId="2" fillId="3" borderId="1" xfId="0" applyFont="1" applyFill="1" applyBorder="1" applyAlignment="1">
      <alignment horizontal="left" vertical="center" wrapText="1"/>
    </xf>
    <xf numFmtId="0" fontId="8" fillId="0" borderId="1" xfId="0" applyFont="1" applyBorder="1" applyAlignment="1">
      <alignment horizontal="center" wrapText="1"/>
    </xf>
    <xf numFmtId="0" fontId="17" fillId="0" borderId="13" xfId="0" applyFont="1" applyBorder="1" applyAlignment="1">
      <alignment horizontal="left" wrapText="1"/>
    </xf>
    <xf numFmtId="0" fontId="17" fillId="0" borderId="15" xfId="0" applyFont="1" applyBorder="1" applyAlignment="1">
      <alignment horizontal="left" wrapText="1"/>
    </xf>
    <xf numFmtId="0" fontId="17" fillId="0" borderId="4" xfId="0" applyFont="1" applyBorder="1" applyAlignment="1">
      <alignment horizontal="left" wrapText="1"/>
    </xf>
    <xf numFmtId="0" fontId="17" fillId="0" borderId="11" xfId="0" applyFont="1" applyBorder="1" applyAlignment="1">
      <alignment horizontal="left" wrapText="1"/>
    </xf>
    <xf numFmtId="0" fontId="17" fillId="0" borderId="0" xfId="0" applyFont="1" applyAlignment="1">
      <alignment horizontal="left" wrapText="1"/>
    </xf>
    <xf numFmtId="0" fontId="17" fillId="0" borderId="5" xfId="0" applyFont="1" applyBorder="1" applyAlignment="1">
      <alignment horizontal="left" wrapText="1"/>
    </xf>
    <xf numFmtId="0" fontId="17" fillId="0" borderId="9" xfId="0" applyFont="1" applyBorder="1" applyAlignment="1">
      <alignment horizontal="left" wrapText="1"/>
    </xf>
    <xf numFmtId="0" fontId="17" fillId="0" borderId="12" xfId="0" applyFont="1" applyBorder="1" applyAlignment="1">
      <alignment horizontal="left" wrapText="1"/>
    </xf>
    <xf numFmtId="0" fontId="17" fillId="0" borderId="6" xfId="0" applyFont="1" applyBorder="1" applyAlignment="1">
      <alignment horizontal="left" wrapText="1"/>
    </xf>
    <xf numFmtId="0" fontId="26" fillId="0" borderId="13" xfId="0" applyFont="1" applyBorder="1" applyAlignment="1">
      <alignment horizontal="center" wrapText="1"/>
    </xf>
    <xf numFmtId="0" fontId="26" fillId="0" borderId="15" xfId="0" applyFont="1" applyBorder="1" applyAlignment="1">
      <alignment horizontal="center" wrapText="1"/>
    </xf>
    <xf numFmtId="0" fontId="26" fillId="0" borderId="4" xfId="0" applyFont="1" applyBorder="1" applyAlignment="1">
      <alignment horizontal="center" wrapText="1"/>
    </xf>
    <xf numFmtId="9" fontId="23" fillId="0" borderId="0" xfId="3" applyFont="1" applyFill="1" applyBorder="1" applyAlignment="1">
      <alignment horizontal="center"/>
    </xf>
    <xf numFmtId="0" fontId="13" fillId="0" borderId="0" xfId="0" applyFont="1" applyAlignment="1">
      <alignment horizontal="center"/>
    </xf>
    <xf numFmtId="0" fontId="2" fillId="3" borderId="8" xfId="0" applyFont="1" applyFill="1" applyBorder="1" applyAlignment="1" applyProtection="1">
      <alignment horizontal="center" wrapText="1"/>
      <protection locked="0"/>
    </xf>
    <xf numFmtId="0" fontId="2" fillId="3" borderId="10" xfId="0" applyFont="1" applyFill="1" applyBorder="1" applyAlignment="1" applyProtection="1">
      <alignment horizontal="center" wrapText="1"/>
      <protection locked="0"/>
    </xf>
    <xf numFmtId="9" fontId="2" fillId="0" borderId="9" xfId="3" applyFont="1" applyBorder="1" applyAlignment="1">
      <alignment horizontal="center"/>
    </xf>
    <xf numFmtId="9" fontId="2" fillId="0" borderId="12" xfId="3" applyFont="1" applyBorder="1" applyAlignment="1">
      <alignment horizontal="center"/>
    </xf>
    <xf numFmtId="9" fontId="2" fillId="0" borderId="6" xfId="3" applyFont="1" applyBorder="1" applyAlignment="1">
      <alignment horizontal="center"/>
    </xf>
    <xf numFmtId="0" fontId="2" fillId="3" borderId="2" xfId="0" applyFont="1" applyFill="1" applyBorder="1" applyAlignment="1" applyProtection="1">
      <alignment horizontal="center" wrapText="1"/>
      <protection locked="0"/>
    </xf>
    <xf numFmtId="164" fontId="2" fillId="2" borderId="8" xfId="0" applyNumberFormat="1" applyFont="1" applyFill="1" applyBorder="1" applyAlignment="1">
      <alignment horizontal="center" wrapText="1"/>
    </xf>
    <xf numFmtId="164" fontId="2" fillId="2" borderId="10" xfId="0" applyNumberFormat="1" applyFont="1" applyFill="1" applyBorder="1" applyAlignment="1">
      <alignment horizontal="center" wrapText="1"/>
    </xf>
    <xf numFmtId="9" fontId="17" fillId="0" borderId="13" xfId="3" applyFont="1" applyBorder="1" applyAlignment="1">
      <alignment horizontal="center" wrapText="1"/>
    </xf>
    <xf numFmtId="9" fontId="17" fillId="0" borderId="15" xfId="3" applyFont="1" applyBorder="1" applyAlignment="1">
      <alignment horizontal="center" wrapText="1"/>
    </xf>
    <xf numFmtId="9" fontId="17" fillId="0" borderId="1" xfId="3" applyFont="1" applyBorder="1" applyAlignment="1">
      <alignment horizontal="center" wrapText="1"/>
    </xf>
    <xf numFmtId="9" fontId="17" fillId="0" borderId="8" xfId="3" applyFont="1" applyBorder="1" applyAlignment="1">
      <alignment horizontal="center" wrapText="1"/>
    </xf>
    <xf numFmtId="9" fontId="2" fillId="0" borderId="0" xfId="3" applyFont="1" applyFill="1" applyBorder="1" applyAlignment="1">
      <alignment horizontal="left" wrapText="1"/>
    </xf>
    <xf numFmtId="9" fontId="13" fillId="0" borderId="8" xfId="3" applyFont="1" applyBorder="1" applyAlignment="1">
      <alignment horizontal="center"/>
    </xf>
    <xf numFmtId="9" fontId="13" fillId="0" borderId="16" xfId="3" applyFont="1" applyBorder="1" applyAlignment="1">
      <alignment horizontal="center"/>
    </xf>
    <xf numFmtId="9" fontId="13" fillId="0" borderId="10" xfId="3" applyFont="1" applyBorder="1" applyAlignment="1">
      <alignment horizontal="center"/>
    </xf>
    <xf numFmtId="0" fontId="2" fillId="3" borderId="16" xfId="0" applyFont="1" applyFill="1" applyBorder="1" applyAlignment="1" applyProtection="1">
      <alignment horizontal="center" wrapText="1"/>
      <protection locked="0"/>
    </xf>
    <xf numFmtId="0" fontId="2" fillId="3" borderId="10" xfId="0" applyFont="1" applyFill="1" applyBorder="1" applyProtection="1">
      <protection locked="0"/>
    </xf>
    <xf numFmtId="0" fontId="14" fillId="0" borderId="11" xfId="0" applyFont="1" applyBorder="1" applyAlignment="1">
      <alignment horizontal="center"/>
    </xf>
    <xf numFmtId="0" fontId="2" fillId="3" borderId="9" xfId="0" applyFont="1" applyFill="1" applyBorder="1" applyAlignment="1" applyProtection="1">
      <alignment horizontal="center" wrapText="1"/>
      <protection locked="0"/>
    </xf>
    <xf numFmtId="0" fontId="2" fillId="3" borderId="12" xfId="0" applyFont="1" applyFill="1" applyBorder="1" applyAlignment="1" applyProtection="1">
      <alignment horizontal="center" wrapText="1"/>
      <protection locked="0"/>
    </xf>
    <xf numFmtId="0" fontId="2" fillId="0" borderId="1" xfId="0" applyFont="1" applyBorder="1"/>
    <xf numFmtId="0" fontId="2" fillId="3" borderId="10" xfId="0" applyFont="1" applyFill="1" applyBorder="1" applyAlignment="1" applyProtection="1">
      <alignment horizontal="left"/>
      <protection locked="0"/>
    </xf>
    <xf numFmtId="0" fontId="2" fillId="3" borderId="9" xfId="0" applyFont="1" applyFill="1" applyBorder="1" applyAlignment="1" applyProtection="1">
      <alignment horizontal="left"/>
      <protection locked="0"/>
    </xf>
    <xf numFmtId="0" fontId="2" fillId="3" borderId="12" xfId="0" applyFont="1" applyFill="1" applyBorder="1" applyAlignment="1" applyProtection="1">
      <alignment horizontal="left"/>
      <protection locked="0"/>
    </xf>
    <xf numFmtId="0" fontId="2" fillId="3" borderId="6" xfId="0" applyFont="1" applyFill="1" applyBorder="1" applyAlignment="1" applyProtection="1">
      <alignment horizontal="left"/>
      <protection locked="0"/>
    </xf>
    <xf numFmtId="0" fontId="2" fillId="0" borderId="8" xfId="0" applyFont="1" applyBorder="1" applyAlignment="1">
      <alignment horizontal="right"/>
    </xf>
    <xf numFmtId="0" fontId="2" fillId="0" borderId="16" xfId="0" applyFont="1" applyBorder="1" applyAlignment="1">
      <alignment horizontal="right"/>
    </xf>
    <xf numFmtId="0" fontId="2" fillId="0" borderId="10" xfId="0" applyFont="1" applyBorder="1" applyAlignment="1">
      <alignment horizontal="right"/>
    </xf>
    <xf numFmtId="0" fontId="30" fillId="0" borderId="8" xfId="0" applyFont="1" applyBorder="1" applyAlignment="1">
      <alignment horizontal="center"/>
    </xf>
    <xf numFmtId="0" fontId="30" fillId="0" borderId="16" xfId="0" applyFont="1" applyBorder="1" applyAlignment="1">
      <alignment horizontal="center"/>
    </xf>
    <xf numFmtId="0" fontId="18" fillId="0" borderId="0" xfId="0" applyFont="1" applyAlignment="1">
      <alignment horizontal="center" wrapText="1"/>
    </xf>
    <xf numFmtId="0" fontId="12" fillId="3" borderId="9" xfId="0" applyFont="1" applyFill="1" applyBorder="1" applyAlignment="1" applyProtection="1">
      <alignment horizontal="center"/>
      <protection locked="0"/>
    </xf>
    <xf numFmtId="0" fontId="12" fillId="3" borderId="12" xfId="0" applyFont="1" applyFill="1" applyBorder="1" applyAlignment="1" applyProtection="1">
      <alignment horizontal="center"/>
      <protection locked="0"/>
    </xf>
    <xf numFmtId="0" fontId="2" fillId="3" borderId="2" xfId="0" applyFont="1" applyFill="1" applyBorder="1" applyAlignment="1" applyProtection="1">
      <alignment horizontal="left"/>
      <protection locked="0"/>
    </xf>
    <xf numFmtId="0" fontId="12" fillId="0" borderId="8" xfId="0" applyFont="1" applyBorder="1" applyAlignment="1">
      <alignment horizontal="left" wrapText="1"/>
    </xf>
    <xf numFmtId="0" fontId="12" fillId="0" borderId="16" xfId="0" applyFont="1" applyBorder="1" applyAlignment="1">
      <alignment horizontal="left" wrapText="1"/>
    </xf>
    <xf numFmtId="0" fontId="12" fillId="0" borderId="10" xfId="0" applyFont="1" applyBorder="1" applyAlignment="1">
      <alignment horizontal="left" wrapText="1"/>
    </xf>
    <xf numFmtId="0" fontId="2" fillId="3" borderId="2" xfId="0" applyFont="1" applyFill="1" applyBorder="1" applyAlignment="1">
      <alignment horizontal="center"/>
    </xf>
    <xf numFmtId="0" fontId="2" fillId="3" borderId="15" xfId="0" applyFont="1" applyFill="1" applyBorder="1" applyAlignment="1">
      <alignment horizontal="center"/>
    </xf>
    <xf numFmtId="0" fontId="12" fillId="3" borderId="8" xfId="0" applyFont="1" applyFill="1" applyBorder="1" applyAlignment="1" applyProtection="1">
      <alignment horizontal="center"/>
      <protection locked="0"/>
    </xf>
    <xf numFmtId="0" fontId="12" fillId="3" borderId="16" xfId="0" applyFont="1" applyFill="1" applyBorder="1" applyAlignment="1" applyProtection="1">
      <alignment horizontal="center"/>
      <protection locked="0"/>
    </xf>
    <xf numFmtId="0" fontId="12" fillId="3" borderId="10" xfId="0" applyFont="1" applyFill="1" applyBorder="1" applyAlignment="1" applyProtection="1">
      <alignment horizontal="center"/>
      <protection locked="0"/>
    </xf>
    <xf numFmtId="9" fontId="17" fillId="0" borderId="11" xfId="3" applyFont="1" applyBorder="1" applyAlignment="1">
      <alignment horizontal="center"/>
    </xf>
    <xf numFmtId="9" fontId="17" fillId="0" borderId="0" xfId="3" applyFont="1" applyBorder="1" applyAlignment="1">
      <alignment horizontal="center"/>
    </xf>
    <xf numFmtId="0" fontId="13" fillId="0" borderId="13" xfId="0" applyFont="1" applyBorder="1" applyAlignment="1">
      <alignment horizontal="center" wrapText="1"/>
    </xf>
    <xf numFmtId="0" fontId="13" fillId="0" borderId="15" xfId="0" applyFont="1" applyBorder="1" applyAlignment="1">
      <alignment horizontal="center" wrapText="1"/>
    </xf>
    <xf numFmtId="0" fontId="13" fillId="0" borderId="4" xfId="0" applyFont="1" applyBorder="1" applyAlignment="1">
      <alignment horizontal="center" wrapText="1"/>
    </xf>
    <xf numFmtId="0" fontId="14" fillId="0" borderId="7" xfId="0" applyFont="1" applyBorder="1" applyAlignment="1">
      <alignment horizontal="center"/>
    </xf>
    <xf numFmtId="0" fontId="14" fillId="0" borderId="2" xfId="0" applyFont="1" applyBorder="1" applyAlignment="1">
      <alignment horizontal="center"/>
    </xf>
    <xf numFmtId="166" fontId="2" fillId="0" borderId="1" xfId="0" applyNumberFormat="1" applyFont="1" applyBorder="1" applyAlignment="1">
      <alignment horizontal="center"/>
    </xf>
    <xf numFmtId="9" fontId="8" fillId="0" borderId="10" xfId="3" applyFont="1" applyBorder="1" applyAlignment="1">
      <alignment horizontal="left" wrapText="1"/>
    </xf>
    <xf numFmtId="9" fontId="8" fillId="0" borderId="1" xfId="3" applyFont="1" applyBorder="1" applyAlignment="1">
      <alignment horizontal="left" wrapText="1"/>
    </xf>
    <xf numFmtId="9" fontId="8" fillId="0" borderId="8" xfId="3" applyFont="1" applyBorder="1" applyAlignment="1">
      <alignment horizontal="left" wrapText="1"/>
    </xf>
    <xf numFmtId="164" fontId="2" fillId="2" borderId="9" xfId="3" applyNumberFormat="1" applyFont="1" applyFill="1" applyBorder="1" applyAlignment="1">
      <alignment horizontal="center" wrapText="1"/>
    </xf>
    <xf numFmtId="164" fontId="2" fillId="2" borderId="6" xfId="3" applyNumberFormat="1" applyFont="1" applyFill="1" applyBorder="1" applyAlignment="1">
      <alignment horizontal="center" wrapText="1"/>
    </xf>
    <xf numFmtId="0" fontId="8" fillId="0" borderId="10" xfId="0" applyFont="1" applyBorder="1" applyAlignment="1">
      <alignment horizontal="left" wrapText="1"/>
    </xf>
    <xf numFmtId="0" fontId="8" fillId="0" borderId="1" xfId="0" applyFont="1" applyBorder="1" applyAlignment="1">
      <alignment horizontal="left" wrapText="1"/>
    </xf>
    <xf numFmtId="0" fontId="12" fillId="0" borderId="8" xfId="0" applyFont="1" applyBorder="1" applyAlignment="1">
      <alignment horizontal="left"/>
    </xf>
    <xf numFmtId="0" fontId="12" fillId="0" borderId="16" xfId="0" applyFont="1" applyBorder="1" applyAlignment="1">
      <alignment horizontal="left"/>
    </xf>
    <xf numFmtId="0" fontId="12" fillId="0" borderId="10" xfId="0" applyFont="1" applyBorder="1" applyAlignment="1">
      <alignment horizontal="left"/>
    </xf>
    <xf numFmtId="0" fontId="8" fillId="0" borderId="8" xfId="0" applyFont="1" applyBorder="1" applyAlignment="1">
      <alignment horizontal="left" wrapText="1"/>
    </xf>
    <xf numFmtId="0" fontId="29" fillId="0" borderId="7" xfId="0" applyFont="1" applyBorder="1" applyAlignment="1">
      <alignment horizontal="left" wrapText="1"/>
    </xf>
    <xf numFmtId="0" fontId="29" fillId="0" borderId="14" xfId="0" applyFont="1" applyBorder="1" applyAlignment="1">
      <alignment horizontal="left" wrapText="1"/>
    </xf>
    <xf numFmtId="44" fontId="12" fillId="2" borderId="1" xfId="1" applyFont="1" applyFill="1" applyBorder="1" applyAlignment="1">
      <alignment horizontal="center"/>
    </xf>
    <xf numFmtId="0" fontId="12" fillId="0" borderId="13" xfId="0" applyFont="1" applyBorder="1" applyAlignment="1">
      <alignment horizontal="center"/>
    </xf>
    <xf numFmtId="0" fontId="12" fillId="0" borderId="15" xfId="0" applyFont="1" applyBorder="1" applyAlignment="1">
      <alignment horizontal="center"/>
    </xf>
    <xf numFmtId="0" fontId="12" fillId="0" borderId="4" xfId="0" applyFont="1" applyBorder="1" applyAlignment="1">
      <alignment horizontal="center"/>
    </xf>
    <xf numFmtId="10" fontId="2" fillId="2" borderId="1" xfId="1" applyNumberFormat="1" applyFont="1" applyFill="1" applyBorder="1" applyAlignment="1">
      <alignment horizontal="center"/>
    </xf>
    <xf numFmtId="2" fontId="12" fillId="2" borderId="1" xfId="0" applyNumberFormat="1" applyFont="1" applyFill="1" applyBorder="1" applyAlignment="1">
      <alignment horizontal="center"/>
    </xf>
    <xf numFmtId="44" fontId="12" fillId="2" borderId="1" xfId="0" applyNumberFormat="1" applyFont="1" applyFill="1" applyBorder="1" applyAlignment="1">
      <alignment horizontal="center"/>
    </xf>
    <xf numFmtId="0" fontId="17" fillId="0" borderId="5" xfId="0" applyFont="1" applyBorder="1" applyAlignment="1">
      <alignment horizontal="center"/>
    </xf>
    <xf numFmtId="0" fontId="4" fillId="0" borderId="0" xfId="2" applyFill="1" applyBorder="1" applyAlignment="1" applyProtection="1">
      <alignment horizontal="center"/>
    </xf>
    <xf numFmtId="0" fontId="12" fillId="0" borderId="1" xfId="0" applyFont="1" applyBorder="1" applyAlignment="1">
      <alignment horizontal="center" wrapText="1"/>
    </xf>
    <xf numFmtId="0" fontId="12" fillId="0" borderId="13" xfId="0" applyFont="1" applyBorder="1" applyAlignment="1">
      <alignment horizontal="left"/>
    </xf>
    <xf numFmtId="0" fontId="12" fillId="0" borderId="15" xfId="0" applyFont="1" applyBorder="1" applyAlignment="1">
      <alignment horizontal="left"/>
    </xf>
    <xf numFmtId="0" fontId="12" fillId="0" borderId="4" xfId="0" applyFont="1" applyBorder="1" applyAlignment="1">
      <alignment horizontal="left"/>
    </xf>
    <xf numFmtId="0" fontId="12" fillId="0" borderId="1" xfId="0" applyFont="1" applyBorder="1" applyAlignment="1">
      <alignment horizontal="right" wrapText="1"/>
    </xf>
    <xf numFmtId="9" fontId="2" fillId="0" borderId="9" xfId="0" applyNumberFormat="1" applyFont="1" applyBorder="1" applyAlignment="1">
      <alignment horizontal="center"/>
    </xf>
    <xf numFmtId="0" fontId="12" fillId="0" borderId="11" xfId="0" applyFont="1" applyBorder="1" applyAlignment="1">
      <alignment horizontal="center"/>
    </xf>
    <xf numFmtId="0" fontId="12" fillId="0" borderId="5" xfId="0" applyFont="1" applyBorder="1" applyAlignment="1">
      <alignment horizontal="center"/>
    </xf>
    <xf numFmtId="14" fontId="12" fillId="2" borderId="8" xfId="0" applyNumberFormat="1" applyFont="1" applyFill="1" applyBorder="1" applyAlignment="1">
      <alignment horizontal="center"/>
    </xf>
    <xf numFmtId="0" fontId="12" fillId="2" borderId="16" xfId="0" applyFont="1" applyFill="1" applyBorder="1" applyAlignment="1">
      <alignment horizontal="center"/>
    </xf>
    <xf numFmtId="0" fontId="12" fillId="2" borderId="10" xfId="0" applyFont="1" applyFill="1" applyBorder="1" applyAlignment="1">
      <alignment horizontal="center"/>
    </xf>
    <xf numFmtId="0" fontId="12" fillId="0" borderId="12" xfId="0" applyFont="1" applyBorder="1" applyAlignment="1">
      <alignment horizontal="left" wrapText="1"/>
    </xf>
    <xf numFmtId="0" fontId="2" fillId="3" borderId="8" xfId="0" applyFont="1" applyFill="1" applyBorder="1"/>
    <xf numFmtId="0" fontId="2" fillId="3" borderId="16" xfId="0" applyFont="1" applyFill="1" applyBorder="1"/>
    <xf numFmtId="0" fontId="2" fillId="3" borderId="10" xfId="0" applyFont="1" applyFill="1" applyBorder="1"/>
    <xf numFmtId="0" fontId="29" fillId="0" borderId="1" xfId="0" applyFont="1" applyBorder="1" applyAlignment="1">
      <alignment horizontal="left" wrapText="1"/>
    </xf>
    <xf numFmtId="0" fontId="33" fillId="0" borderId="5" xfId="0" applyFont="1" applyBorder="1" applyAlignment="1">
      <alignment horizontal="center" wrapText="1"/>
    </xf>
    <xf numFmtId="0" fontId="33" fillId="0" borderId="14" xfId="0" applyFont="1" applyBorder="1" applyAlignment="1">
      <alignment horizontal="center" wrapText="1"/>
    </xf>
    <xf numFmtId="0" fontId="33" fillId="0" borderId="11" xfId="0" applyFont="1" applyBorder="1" applyAlignment="1">
      <alignment horizontal="center" wrapText="1"/>
    </xf>
    <xf numFmtId="9" fontId="12" fillId="2" borderId="1" xfId="3" applyFont="1" applyFill="1" applyBorder="1" applyAlignment="1">
      <alignment horizontal="center" wrapText="1"/>
    </xf>
    <xf numFmtId="0" fontId="3" fillId="0" borderId="26" xfId="0" applyFont="1" applyBorder="1" applyAlignment="1">
      <alignment horizontal="center" wrapText="1"/>
    </xf>
    <xf numFmtId="0" fontId="3" fillId="0" borderId="27" xfId="0" applyFont="1" applyBorder="1" applyAlignment="1">
      <alignment horizontal="center"/>
    </xf>
    <xf numFmtId="0" fontId="3" fillId="0" borderId="28" xfId="0" applyFont="1" applyBorder="1" applyAlignment="1">
      <alignment horizontal="center"/>
    </xf>
    <xf numFmtId="0" fontId="2" fillId="0" borderId="1" xfId="0" applyFont="1" applyBorder="1" applyAlignment="1">
      <alignment horizontal="left" indent="1"/>
    </xf>
    <xf numFmtId="0" fontId="46" fillId="0" borderId="8" xfId="0" applyFont="1" applyBorder="1" applyAlignment="1">
      <alignment horizontal="left" wrapText="1"/>
    </xf>
    <xf numFmtId="0" fontId="46" fillId="0" borderId="16" xfId="0" applyFont="1" applyBorder="1" applyAlignment="1">
      <alignment horizontal="left" wrapText="1"/>
    </xf>
    <xf numFmtId="0" fontId="46" fillId="0" borderId="10" xfId="0" applyFont="1" applyBorder="1" applyAlignment="1">
      <alignment horizontal="left" wrapText="1"/>
    </xf>
    <xf numFmtId="0" fontId="14" fillId="0" borderId="25" xfId="0" applyFont="1" applyBorder="1" applyAlignment="1">
      <alignment horizontal="center"/>
    </xf>
    <xf numFmtId="0" fontId="13" fillId="0" borderId="11" xfId="0" applyFont="1" applyBorder="1" applyAlignment="1">
      <alignment horizontal="center" wrapText="1"/>
    </xf>
    <xf numFmtId="0" fontId="13" fillId="0" borderId="5" xfId="0" applyFont="1" applyBorder="1" applyAlignment="1">
      <alignment horizontal="center" wrapText="1"/>
    </xf>
    <xf numFmtId="0" fontId="13" fillId="0" borderId="9" xfId="0" applyFont="1" applyBorder="1" applyAlignment="1">
      <alignment horizontal="center" wrapText="1"/>
    </xf>
    <xf numFmtId="0" fontId="13" fillId="0" borderId="12" xfId="0" applyFont="1" applyBorder="1" applyAlignment="1">
      <alignment horizontal="center" wrapText="1"/>
    </xf>
    <xf numFmtId="0" fontId="13" fillId="0" borderId="6" xfId="0" applyFont="1" applyBorder="1" applyAlignment="1">
      <alignment horizontal="center" wrapText="1"/>
    </xf>
    <xf numFmtId="0" fontId="2" fillId="0" borderId="2" xfId="0" applyFont="1" applyBorder="1" applyAlignment="1">
      <alignment horizontal="left" wrapText="1"/>
    </xf>
    <xf numFmtId="0" fontId="18" fillId="0" borderId="21" xfId="0" applyFont="1" applyBorder="1" applyAlignment="1">
      <alignment horizontal="center" wrapText="1"/>
    </xf>
    <xf numFmtId="9" fontId="2" fillId="0" borderId="2" xfId="3" applyFont="1" applyBorder="1" applyAlignment="1">
      <alignment horizontal="left" wrapText="1"/>
    </xf>
    <xf numFmtId="9" fontId="2" fillId="3" borderId="16" xfId="3" applyFont="1" applyFill="1" applyBorder="1" applyAlignment="1">
      <alignment horizontal="center"/>
    </xf>
    <xf numFmtId="9" fontId="2" fillId="0" borderId="13" xfId="0" applyNumberFormat="1" applyFont="1" applyBorder="1" applyAlignment="1">
      <alignment horizontal="center"/>
    </xf>
    <xf numFmtId="0" fontId="47" fillId="4" borderId="8" xfId="0" applyFont="1" applyFill="1" applyBorder="1" applyAlignment="1">
      <alignment horizontal="center" wrapText="1"/>
    </xf>
    <xf numFmtId="0" fontId="47" fillId="4" borderId="16" xfId="0" applyFont="1" applyFill="1" applyBorder="1" applyAlignment="1">
      <alignment horizontal="center"/>
    </xf>
    <xf numFmtId="0" fontId="47" fillId="4" borderId="10" xfId="0" applyFont="1" applyFill="1" applyBorder="1" applyAlignment="1">
      <alignment horizontal="center"/>
    </xf>
    <xf numFmtId="0" fontId="3" fillId="0" borderId="1" xfId="0" applyFont="1" applyBorder="1" applyAlignment="1">
      <alignment horizontal="right" wrapText="1"/>
    </xf>
    <xf numFmtId="0" fontId="2" fillId="0" borderId="1" xfId="0" applyFont="1" applyBorder="1" applyAlignment="1">
      <alignment wrapText="1"/>
    </xf>
    <xf numFmtId="10" fontId="2" fillId="2" borderId="1" xfId="0" applyNumberFormat="1" applyFont="1" applyFill="1" applyBorder="1" applyAlignment="1">
      <alignment horizontal="center" wrapText="1"/>
    </xf>
    <xf numFmtId="0" fontId="2" fillId="2" borderId="1" xfId="0" applyFont="1" applyFill="1" applyBorder="1" applyAlignment="1">
      <alignment horizontal="center" wrapText="1"/>
    </xf>
    <xf numFmtId="44" fontId="2" fillId="2" borderId="1" xfId="3" applyNumberFormat="1" applyFont="1" applyFill="1" applyBorder="1" applyAlignment="1">
      <alignment horizontal="center" wrapText="1"/>
    </xf>
    <xf numFmtId="0" fontId="3" fillId="0" borderId="1" xfId="0" applyFont="1" applyBorder="1" applyAlignment="1">
      <alignment horizontal="right"/>
    </xf>
    <xf numFmtId="0" fontId="16" fillId="0" borderId="8" xfId="0" applyFont="1" applyBorder="1" applyAlignment="1">
      <alignment horizontal="center" vertical="center"/>
    </xf>
    <xf numFmtId="0" fontId="16" fillId="0" borderId="16" xfId="0" applyFont="1" applyBorder="1" applyAlignment="1">
      <alignment horizontal="center" vertical="center"/>
    </xf>
    <xf numFmtId="0" fontId="16" fillId="0" borderId="10" xfId="0" applyFont="1" applyBorder="1" applyAlignment="1">
      <alignment horizontal="center" vertical="center"/>
    </xf>
    <xf numFmtId="10" fontId="2" fillId="2" borderId="8" xfId="0" applyNumberFormat="1" applyFont="1" applyFill="1" applyBorder="1" applyAlignment="1">
      <alignment horizontal="center" wrapText="1"/>
    </xf>
    <xf numFmtId="10" fontId="2" fillId="2" borderId="16" xfId="0" applyNumberFormat="1" applyFont="1" applyFill="1" applyBorder="1" applyAlignment="1">
      <alignment horizontal="center" wrapText="1"/>
    </xf>
    <xf numFmtId="10" fontId="2" fillId="2" borderId="10" xfId="0" applyNumberFormat="1" applyFont="1" applyFill="1" applyBorder="1" applyAlignment="1">
      <alignment horizontal="center" wrapText="1"/>
    </xf>
    <xf numFmtId="0" fontId="2" fillId="2" borderId="8" xfId="0" applyFont="1" applyFill="1" applyBorder="1" applyAlignment="1">
      <alignment horizontal="center" wrapText="1"/>
    </xf>
    <xf numFmtId="0" fontId="2" fillId="2" borderId="16" xfId="0" applyFont="1" applyFill="1" applyBorder="1" applyAlignment="1">
      <alignment horizontal="center" wrapText="1"/>
    </xf>
    <xf numFmtId="0" fontId="2" fillId="2" borderId="10" xfId="0" applyFont="1" applyFill="1" applyBorder="1" applyAlignment="1">
      <alignment horizontal="center" wrapText="1"/>
    </xf>
    <xf numFmtId="10" fontId="3" fillId="2" borderId="1" xfId="3" applyNumberFormat="1" applyFont="1" applyFill="1" applyBorder="1" applyAlignment="1">
      <alignment horizontal="center" wrapText="1"/>
    </xf>
    <xf numFmtId="44" fontId="3" fillId="0" borderId="11" xfId="0" applyNumberFormat="1" applyFont="1" applyBorder="1" applyAlignment="1">
      <alignment horizontal="center" wrapText="1"/>
    </xf>
    <xf numFmtId="44" fontId="3" fillId="0" borderId="0" xfId="0" applyNumberFormat="1" applyFont="1" applyAlignment="1">
      <alignment horizontal="center" wrapText="1"/>
    </xf>
    <xf numFmtId="44" fontId="3" fillId="0" borderId="9" xfId="0" applyNumberFormat="1" applyFont="1" applyBorder="1" applyAlignment="1">
      <alignment horizontal="center" wrapText="1"/>
    </xf>
    <xf numFmtId="44" fontId="3" fillId="0" borderId="12" xfId="0" applyNumberFormat="1" applyFont="1" applyBorder="1" applyAlignment="1">
      <alignment horizontal="center" wrapText="1"/>
    </xf>
    <xf numFmtId="44" fontId="2" fillId="2" borderId="10" xfId="0" applyNumberFormat="1" applyFont="1" applyFill="1" applyBorder="1" applyAlignment="1">
      <alignment horizontal="center" wrapText="1"/>
    </xf>
    <xf numFmtId="9" fontId="2" fillId="2" borderId="1" xfId="0" applyNumberFormat="1" applyFont="1" applyFill="1" applyBorder="1" applyAlignment="1">
      <alignment horizontal="center" wrapText="1"/>
    </xf>
    <xf numFmtId="0" fontId="3" fillId="0" borderId="8" xfId="0" applyFont="1" applyBorder="1" applyAlignment="1">
      <alignment horizontal="right" wrapText="1"/>
    </xf>
    <xf numFmtId="0" fontId="3" fillId="0" borderId="16" xfId="0" applyFont="1" applyBorder="1" applyAlignment="1">
      <alignment horizontal="right" wrapText="1"/>
    </xf>
    <xf numFmtId="0" fontId="3" fillId="0" borderId="10" xfId="0" applyFont="1" applyBorder="1" applyAlignment="1">
      <alignment horizontal="right" wrapText="1"/>
    </xf>
    <xf numFmtId="0" fontId="17" fillId="0" borderId="7" xfId="0" applyFont="1" applyBorder="1" applyAlignment="1">
      <alignment horizontal="center" wrapText="1"/>
    </xf>
    <xf numFmtId="0" fontId="15" fillId="0" borderId="8" xfId="2" applyFont="1" applyBorder="1" applyAlignment="1" applyProtection="1">
      <alignment horizontal="center" wrapText="1"/>
    </xf>
    <xf numFmtId="0" fontId="15" fillId="0" borderId="16" xfId="2" applyFont="1" applyBorder="1" applyAlignment="1" applyProtection="1">
      <alignment horizontal="center" wrapText="1"/>
    </xf>
    <xf numFmtId="14" fontId="2" fillId="2" borderId="8" xfId="0" applyNumberFormat="1" applyFont="1" applyFill="1" applyBorder="1" applyAlignment="1">
      <alignment horizontal="center" wrapText="1"/>
    </xf>
    <xf numFmtId="14" fontId="2" fillId="2" borderId="16" xfId="0" applyNumberFormat="1" applyFont="1" applyFill="1" applyBorder="1" applyAlignment="1">
      <alignment horizontal="center" wrapText="1"/>
    </xf>
    <xf numFmtId="0" fontId="3" fillId="0" borderId="7" xfId="0" applyFont="1" applyBorder="1" applyAlignment="1">
      <alignment horizontal="center" wrapText="1"/>
    </xf>
    <xf numFmtId="0" fontId="40" fillId="0" borderId="0" xfId="0" applyFont="1" applyAlignment="1">
      <alignment horizontal="left"/>
    </xf>
    <xf numFmtId="10" fontId="24" fillId="2" borderId="8" xfId="3" applyNumberFormat="1" applyFont="1" applyFill="1" applyBorder="1" applyAlignment="1">
      <alignment horizontal="center" wrapText="1"/>
    </xf>
    <xf numFmtId="10" fontId="24" fillId="2" borderId="16" xfId="3" applyNumberFormat="1" applyFont="1" applyFill="1" applyBorder="1" applyAlignment="1">
      <alignment horizontal="center" wrapText="1"/>
    </xf>
    <xf numFmtId="10" fontId="24" fillId="2" borderId="10" xfId="3" applyNumberFormat="1" applyFont="1" applyFill="1" applyBorder="1" applyAlignment="1">
      <alignment horizontal="center" wrapText="1"/>
    </xf>
    <xf numFmtId="0" fontId="10" fillId="0" borderId="8" xfId="0" applyFont="1" applyBorder="1" applyAlignment="1">
      <alignment horizontal="left" wrapText="1"/>
    </xf>
    <xf numFmtId="0" fontId="10" fillId="0" borderId="16" xfId="0" applyFont="1" applyBorder="1" applyAlignment="1">
      <alignment horizontal="left" wrapText="1"/>
    </xf>
    <xf numFmtId="0" fontId="10" fillId="0" borderId="10" xfId="0" applyFont="1" applyBorder="1" applyAlignment="1">
      <alignment horizontal="left" wrapText="1"/>
    </xf>
    <xf numFmtId="0" fontId="2" fillId="3" borderId="1" xfId="0" applyFont="1" applyFill="1" applyBorder="1" applyAlignment="1">
      <alignment horizontal="center" wrapText="1"/>
    </xf>
    <xf numFmtId="10" fontId="3" fillId="0" borderId="1" xfId="3" applyNumberFormat="1" applyFont="1" applyFill="1" applyBorder="1" applyAlignment="1">
      <alignment horizontal="right" wrapText="1"/>
    </xf>
    <xf numFmtId="14" fontId="12" fillId="2" borderId="16" xfId="0" applyNumberFormat="1" applyFont="1" applyFill="1" applyBorder="1" applyAlignment="1">
      <alignment horizontal="center"/>
    </xf>
    <xf numFmtId="14" fontId="12" fillId="2" borderId="10" xfId="0" applyNumberFormat="1" applyFont="1" applyFill="1" applyBorder="1" applyAlignment="1">
      <alignment horizontal="center"/>
    </xf>
    <xf numFmtId="0" fontId="3" fillId="0" borderId="12" xfId="0" applyFont="1" applyBorder="1" applyAlignment="1">
      <alignment horizontal="left"/>
    </xf>
    <xf numFmtId="10" fontId="2" fillId="2" borderId="13" xfId="0" applyNumberFormat="1" applyFont="1" applyFill="1" applyBorder="1" applyAlignment="1">
      <alignment horizontal="center"/>
    </xf>
    <xf numFmtId="10" fontId="2" fillId="2" borderId="15" xfId="0" applyNumberFormat="1" applyFont="1" applyFill="1" applyBorder="1" applyAlignment="1">
      <alignment horizontal="center"/>
    </xf>
    <xf numFmtId="10" fontId="2" fillId="2" borderId="4" xfId="0" applyNumberFormat="1" applyFont="1" applyFill="1" applyBorder="1" applyAlignment="1">
      <alignment horizontal="center"/>
    </xf>
    <xf numFmtId="44" fontId="3" fillId="2" borderId="1" xfId="1" applyFont="1" applyFill="1" applyBorder="1" applyAlignment="1">
      <alignment horizontal="center"/>
    </xf>
    <xf numFmtId="44" fontId="3" fillId="2" borderId="8" xfId="1" applyFont="1" applyFill="1" applyBorder="1" applyAlignment="1">
      <alignment horizontal="center"/>
    </xf>
    <xf numFmtId="44" fontId="3" fillId="2" borderId="16" xfId="1" applyFont="1" applyFill="1" applyBorder="1" applyAlignment="1">
      <alignment horizontal="center"/>
    </xf>
    <xf numFmtId="44" fontId="3" fillId="2" borderId="10" xfId="1" applyFont="1" applyFill="1" applyBorder="1" applyAlignment="1">
      <alignment horizontal="center"/>
    </xf>
    <xf numFmtId="44" fontId="2" fillId="2" borderId="16" xfId="0" applyNumberFormat="1" applyFont="1" applyFill="1" applyBorder="1" applyAlignment="1">
      <alignment horizontal="center" wrapText="1"/>
    </xf>
    <xf numFmtId="0" fontId="3" fillId="0" borderId="8" xfId="0" applyFont="1" applyBorder="1" applyAlignment="1">
      <alignment horizontal="right"/>
    </xf>
    <xf numFmtId="0" fontId="3" fillId="0" borderId="16" xfId="0" applyFont="1" applyBorder="1" applyAlignment="1">
      <alignment horizontal="right"/>
    </xf>
    <xf numFmtId="0" fontId="3" fillId="0" borderId="10" xfId="0" applyFont="1" applyBorder="1" applyAlignment="1">
      <alignment horizontal="right"/>
    </xf>
    <xf numFmtId="10" fontId="47" fillId="4" borderId="8" xfId="3" applyNumberFormat="1" applyFont="1" applyFill="1" applyBorder="1" applyAlignment="1">
      <alignment horizontal="center" wrapText="1"/>
    </xf>
    <xf numFmtId="10" fontId="47" fillId="4" borderId="16" xfId="3" applyNumberFormat="1" applyFont="1" applyFill="1" applyBorder="1" applyAlignment="1">
      <alignment horizontal="center" wrapText="1"/>
    </xf>
    <xf numFmtId="10" fontId="47" fillId="4" borderId="10" xfId="3" applyNumberFormat="1" applyFont="1" applyFill="1" applyBorder="1" applyAlignment="1">
      <alignment horizontal="center" wrapText="1"/>
    </xf>
    <xf numFmtId="0" fontId="4" fillId="0" borderId="0" xfId="2" applyAlignment="1" applyProtection="1">
      <alignment horizontal="left"/>
    </xf>
    <xf numFmtId="0" fontId="4" fillId="0" borderId="0" xfId="2" applyAlignment="1" applyProtection="1">
      <alignment horizontal="center"/>
    </xf>
    <xf numFmtId="9" fontId="2" fillId="2" borderId="15" xfId="0" applyNumberFormat="1" applyFont="1" applyFill="1" applyBorder="1" applyAlignment="1">
      <alignment horizontal="center"/>
    </xf>
    <xf numFmtId="10" fontId="3" fillId="0" borderId="1" xfId="3" applyNumberFormat="1" applyFont="1" applyBorder="1" applyAlignment="1">
      <alignment horizontal="right" wrapText="1"/>
    </xf>
    <xf numFmtId="9" fontId="2" fillId="2" borderId="9" xfId="3" applyFont="1" applyFill="1" applyBorder="1" applyAlignment="1">
      <alignment horizontal="center"/>
    </xf>
    <xf numFmtId="9" fontId="2" fillId="2" borderId="12" xfId="3" applyFont="1" applyFill="1" applyBorder="1" applyAlignment="1">
      <alignment horizontal="center"/>
    </xf>
    <xf numFmtId="0" fontId="2" fillId="0" borderId="11" xfId="0" applyFont="1" applyBorder="1" applyAlignment="1">
      <alignment horizontal="center" wrapText="1"/>
    </xf>
    <xf numFmtId="1" fontId="2" fillId="0" borderId="1" xfId="0" applyNumberFormat="1" applyFont="1" applyBorder="1" applyAlignment="1">
      <alignment horizontal="center"/>
    </xf>
    <xf numFmtId="0" fontId="22" fillId="0" borderId="13" xfId="0" applyFont="1" applyBorder="1" applyAlignment="1">
      <alignment horizontal="center" wrapText="1"/>
    </xf>
    <xf numFmtId="0" fontId="22" fillId="0" borderId="15" xfId="0" applyFont="1" applyBorder="1" applyAlignment="1">
      <alignment horizontal="center" wrapText="1"/>
    </xf>
    <xf numFmtId="0" fontId="22" fillId="0" borderId="4" xfId="0" applyFont="1" applyBorder="1" applyAlignment="1">
      <alignment horizontal="center" wrapText="1"/>
    </xf>
    <xf numFmtId="0" fontId="22" fillId="0" borderId="11" xfId="0" applyFont="1" applyBorder="1" applyAlignment="1">
      <alignment horizontal="center" wrapText="1"/>
    </xf>
    <xf numFmtId="0" fontId="22" fillId="0" borderId="0" xfId="0" applyFont="1" applyAlignment="1">
      <alignment horizontal="center" wrapText="1"/>
    </xf>
    <xf numFmtId="0" fontId="22" fillId="0" borderId="5" xfId="0" applyFont="1" applyBorder="1" applyAlignment="1">
      <alignment horizontal="center" wrapText="1"/>
    </xf>
    <xf numFmtId="0" fontId="22" fillId="0" borderId="9" xfId="0" applyFont="1" applyBorder="1" applyAlignment="1">
      <alignment horizontal="center" wrapText="1"/>
    </xf>
    <xf numFmtId="0" fontId="22" fillId="0" borderId="12" xfId="0" applyFont="1" applyBorder="1" applyAlignment="1">
      <alignment horizontal="center" wrapText="1"/>
    </xf>
    <xf numFmtId="0" fontId="22" fillId="0" borderId="6" xfId="0" applyFont="1" applyBorder="1" applyAlignment="1">
      <alignment horizontal="center" wrapText="1"/>
    </xf>
    <xf numFmtId="1" fontId="2" fillId="0" borderId="1" xfId="0" applyNumberFormat="1" applyFont="1" applyBorder="1" applyAlignment="1">
      <alignment horizontal="right" wrapText="1"/>
    </xf>
    <xf numFmtId="10" fontId="2" fillId="2" borderId="1" xfId="3" applyNumberFormat="1" applyFont="1" applyFill="1" applyBorder="1" applyAlignment="1">
      <alignment horizontal="center" wrapText="1"/>
    </xf>
    <xf numFmtId="0" fontId="21" fillId="0" borderId="1" xfId="0" applyFont="1" applyBorder="1" applyAlignment="1">
      <alignment horizontal="center" wrapText="1"/>
    </xf>
    <xf numFmtId="0" fontId="34" fillId="0" borderId="1" xfId="0" applyFont="1" applyBorder="1" applyAlignment="1">
      <alignment horizontal="center"/>
    </xf>
    <xf numFmtId="0" fontId="20" fillId="0" borderId="1" xfId="0" applyFont="1" applyBorder="1" applyAlignment="1">
      <alignment horizontal="center" wrapText="1"/>
    </xf>
    <xf numFmtId="10" fontId="2" fillId="2" borderId="13" xfId="3" applyNumberFormat="1" applyFont="1" applyFill="1" applyBorder="1" applyAlignment="1">
      <alignment horizontal="center" wrapText="1"/>
    </xf>
    <xf numFmtId="10" fontId="2" fillId="2" borderId="15" xfId="3" applyNumberFormat="1" applyFont="1" applyFill="1" applyBorder="1" applyAlignment="1">
      <alignment horizontal="center" wrapText="1"/>
    </xf>
    <xf numFmtId="10" fontId="2" fillId="2" borderId="4" xfId="3" applyNumberFormat="1" applyFont="1" applyFill="1" applyBorder="1" applyAlignment="1">
      <alignment horizontal="center" wrapText="1"/>
    </xf>
    <xf numFmtId="10" fontId="2" fillId="2" borderId="9" xfId="3" applyNumberFormat="1" applyFont="1" applyFill="1" applyBorder="1" applyAlignment="1">
      <alignment horizontal="center" wrapText="1"/>
    </xf>
    <xf numFmtId="10" fontId="2" fillId="2" borderId="12" xfId="3" applyNumberFormat="1" applyFont="1" applyFill="1" applyBorder="1" applyAlignment="1">
      <alignment horizontal="center" wrapText="1"/>
    </xf>
    <xf numFmtId="10" fontId="2" fillId="2" borderId="6" xfId="3" applyNumberFormat="1" applyFont="1" applyFill="1" applyBorder="1" applyAlignment="1">
      <alignment horizontal="center" wrapText="1"/>
    </xf>
    <xf numFmtId="0" fontId="19" fillId="0" borderId="1" xfId="0" applyFont="1" applyBorder="1" applyAlignment="1">
      <alignment horizontal="center" wrapText="1"/>
    </xf>
    <xf numFmtId="10" fontId="2" fillId="2" borderId="8" xfId="3" applyNumberFormat="1" applyFont="1" applyFill="1" applyBorder="1" applyAlignment="1">
      <alignment horizontal="center" wrapText="1"/>
    </xf>
    <xf numFmtId="10" fontId="2" fillId="2" borderId="16" xfId="3" applyNumberFormat="1" applyFont="1" applyFill="1" applyBorder="1" applyAlignment="1">
      <alignment horizontal="center" wrapText="1"/>
    </xf>
    <xf numFmtId="10" fontId="2" fillId="2" borderId="10" xfId="3" applyNumberFormat="1" applyFont="1" applyFill="1" applyBorder="1" applyAlignment="1">
      <alignment horizontal="center" wrapText="1"/>
    </xf>
    <xf numFmtId="0" fontId="2" fillId="0" borderId="15" xfId="0" applyFont="1" applyBorder="1" applyAlignment="1">
      <alignment horizontal="center" wrapText="1"/>
    </xf>
    <xf numFmtId="0" fontId="2" fillId="0" borderId="4" xfId="0" applyFont="1" applyBorder="1" applyAlignment="1">
      <alignment horizontal="center" wrapText="1"/>
    </xf>
    <xf numFmtId="0" fontId="2" fillId="0" borderId="9" xfId="0" applyFont="1" applyBorder="1" applyAlignment="1">
      <alignment horizontal="center" wrapText="1"/>
    </xf>
    <xf numFmtId="0" fontId="2" fillId="0" borderId="6" xfId="0" applyFont="1" applyBorder="1" applyAlignment="1">
      <alignment horizontal="center" wrapText="1"/>
    </xf>
    <xf numFmtId="0" fontId="2" fillId="0" borderId="8" xfId="0" applyFont="1" applyBorder="1" applyAlignment="1">
      <alignment horizontal="right" wrapText="1"/>
    </xf>
    <xf numFmtId="0" fontId="2" fillId="0" borderId="16" xfId="0" applyFont="1" applyBorder="1" applyAlignment="1">
      <alignment horizontal="right" wrapText="1"/>
    </xf>
    <xf numFmtId="0" fontId="2" fillId="0" borderId="10" xfId="0" applyFont="1" applyBorder="1" applyAlignment="1">
      <alignment horizontal="right" wrapText="1"/>
    </xf>
    <xf numFmtId="1" fontId="2" fillId="0" borderId="8" xfId="0" applyNumberFormat="1" applyFont="1" applyBorder="1" applyAlignment="1">
      <alignment horizontal="center"/>
    </xf>
    <xf numFmtId="0" fontId="2" fillId="0" borderId="11" xfId="0" applyFont="1" applyBorder="1" applyAlignment="1">
      <alignment horizontal="right"/>
    </xf>
    <xf numFmtId="10" fontId="2" fillId="2" borderId="7" xfId="0" applyNumberFormat="1" applyFont="1" applyFill="1" applyBorder="1" applyAlignment="1">
      <alignment horizontal="center"/>
    </xf>
    <xf numFmtId="10" fontId="2" fillId="2" borderId="7" xfId="3" applyNumberFormat="1" applyFont="1" applyFill="1" applyBorder="1" applyAlignment="1">
      <alignment horizontal="center"/>
    </xf>
    <xf numFmtId="0" fontId="3" fillId="0" borderId="0" xfId="0" applyFont="1" applyAlignment="1">
      <alignment horizontal="center" wrapText="1"/>
    </xf>
    <xf numFmtId="0" fontId="3" fillId="0" borderId="5" xfId="0" applyFont="1" applyBorder="1" applyAlignment="1">
      <alignment horizontal="center" wrapText="1"/>
    </xf>
    <xf numFmtId="9" fontId="2" fillId="2" borderId="13" xfId="3" applyFont="1" applyFill="1" applyBorder="1" applyAlignment="1">
      <alignment horizontal="center"/>
    </xf>
    <xf numFmtId="9" fontId="2" fillId="2" borderId="15" xfId="3" applyFont="1" applyFill="1" applyBorder="1" applyAlignment="1">
      <alignment horizontal="center"/>
    </xf>
    <xf numFmtId="9" fontId="2" fillId="2" borderId="4" xfId="3" applyFont="1" applyFill="1" applyBorder="1" applyAlignment="1">
      <alignment horizontal="center"/>
    </xf>
    <xf numFmtId="0" fontId="3" fillId="0" borderId="15" xfId="0" applyFont="1" applyBorder="1" applyAlignment="1">
      <alignment horizontal="center" wrapText="1"/>
    </xf>
    <xf numFmtId="0" fontId="3" fillId="0" borderId="4" xfId="0" applyFont="1" applyBorder="1" applyAlignment="1">
      <alignment horizontal="center" wrapText="1"/>
    </xf>
    <xf numFmtId="0" fontId="3" fillId="0" borderId="0" xfId="0" applyFont="1" applyAlignment="1">
      <alignment horizontal="center"/>
    </xf>
    <xf numFmtId="0" fontId="3" fillId="0" borderId="5" xfId="0" applyFont="1" applyBorder="1" applyAlignment="1">
      <alignment horizontal="center"/>
    </xf>
    <xf numFmtId="0" fontId="3" fillId="0" borderId="12" xfId="0" applyFont="1" applyBorder="1" applyAlignment="1">
      <alignment horizontal="center"/>
    </xf>
    <xf numFmtId="0" fontId="3" fillId="0" borderId="6" xfId="0" applyFont="1" applyBorder="1" applyAlignment="1">
      <alignment horizontal="center"/>
    </xf>
    <xf numFmtId="44" fontId="2" fillId="0" borderId="1" xfId="1" applyFont="1" applyBorder="1" applyAlignment="1">
      <alignment horizontal="left"/>
    </xf>
    <xf numFmtId="0" fontId="48" fillId="0" borderId="8" xfId="2" applyFont="1" applyFill="1" applyBorder="1" applyAlignment="1" applyProtection="1">
      <alignment horizontal="center"/>
    </xf>
    <xf numFmtId="0" fontId="48" fillId="0" borderId="16" xfId="2" applyFont="1" applyFill="1" applyBorder="1" applyAlignment="1" applyProtection="1">
      <alignment horizontal="center"/>
    </xf>
    <xf numFmtId="0" fontId="48" fillId="0" borderId="10" xfId="2" applyFont="1" applyFill="1" applyBorder="1" applyAlignment="1" applyProtection="1">
      <alignment horizontal="center"/>
    </xf>
    <xf numFmtId="44" fontId="2" fillId="2" borderId="1" xfId="1" applyFont="1" applyFill="1" applyBorder="1" applyAlignment="1">
      <alignment horizontal="right"/>
    </xf>
    <xf numFmtId="44" fontId="3" fillId="2" borderId="1" xfId="1" applyFont="1" applyFill="1" applyBorder="1" applyAlignment="1">
      <alignment horizontal="right"/>
    </xf>
    <xf numFmtId="0" fontId="14" fillId="0" borderId="13" xfId="0" applyFont="1" applyBorder="1" applyAlignment="1">
      <alignment horizontal="center" wrapText="1"/>
    </xf>
    <xf numFmtId="0" fontId="14" fillId="0" borderId="4" xfId="0" applyFont="1" applyBorder="1" applyAlignment="1">
      <alignment horizontal="center" wrapText="1"/>
    </xf>
    <xf numFmtId="0" fontId="14" fillId="0" borderId="11" xfId="0" applyFont="1" applyBorder="1" applyAlignment="1">
      <alignment horizontal="center" wrapText="1"/>
    </xf>
    <xf numFmtId="0" fontId="14" fillId="0" borderId="5" xfId="0" applyFont="1" applyBorder="1" applyAlignment="1">
      <alignment horizontal="center" wrapText="1"/>
    </xf>
    <xf numFmtId="0" fontId="14" fillId="0" borderId="9" xfId="0" applyFont="1" applyBorder="1" applyAlignment="1">
      <alignment horizontal="center" wrapText="1"/>
    </xf>
    <xf numFmtId="0" fontId="14" fillId="0" borderId="6" xfId="0" applyFont="1" applyBorder="1" applyAlignment="1">
      <alignment horizontal="center" wrapText="1"/>
    </xf>
    <xf numFmtId="0" fontId="62" fillId="0" borderId="8" xfId="0" applyFont="1" applyBorder="1" applyAlignment="1">
      <alignment horizontal="center" wrapText="1"/>
    </xf>
    <xf numFmtId="0" fontId="62" fillId="0" borderId="16" xfId="0" applyFont="1" applyBorder="1" applyAlignment="1">
      <alignment horizontal="center" wrapText="1"/>
    </xf>
    <xf numFmtId="0" fontId="62" fillId="0" borderId="10" xfId="0" applyFont="1" applyBorder="1" applyAlignment="1">
      <alignment horizontal="center" wrapText="1"/>
    </xf>
    <xf numFmtId="0" fontId="12" fillId="0" borderId="16" xfId="0" applyFont="1" applyBorder="1" applyAlignment="1">
      <alignment horizontal="center" wrapText="1"/>
    </xf>
    <xf numFmtId="0" fontId="12" fillId="0" borderId="10" xfId="0" applyFont="1" applyBorder="1" applyAlignment="1">
      <alignment horizontal="center" wrapText="1"/>
    </xf>
    <xf numFmtId="9" fontId="4" fillId="0" borderId="0" xfId="2" applyNumberFormat="1" applyFill="1" applyBorder="1" applyAlignment="1" applyProtection="1">
      <alignment horizontal="center"/>
    </xf>
    <xf numFmtId="0" fontId="2" fillId="0" borderId="7" xfId="0" applyFont="1" applyBorder="1" applyAlignment="1">
      <alignment horizontal="right" wrapText="1"/>
    </xf>
    <xf numFmtId="0" fontId="2" fillId="0" borderId="2" xfId="0" applyFont="1" applyBorder="1" applyAlignment="1">
      <alignment horizontal="right" wrapText="1"/>
    </xf>
    <xf numFmtId="0" fontId="10" fillId="0" borderId="13" xfId="0" applyFont="1" applyBorder="1" applyAlignment="1">
      <alignment horizontal="left" wrapText="1"/>
    </xf>
    <xf numFmtId="0" fontId="10" fillId="0" borderId="15" xfId="0" applyFont="1" applyBorder="1" applyAlignment="1">
      <alignment horizontal="left" wrapText="1"/>
    </xf>
    <xf numFmtId="0" fontId="10" fillId="0" borderId="4" xfId="0" applyFont="1" applyBorder="1" applyAlignment="1">
      <alignment horizontal="left" wrapText="1"/>
    </xf>
    <xf numFmtId="0" fontId="10" fillId="0" borderId="11" xfId="0" applyFont="1" applyBorder="1" applyAlignment="1">
      <alignment horizontal="left" wrapText="1"/>
    </xf>
    <xf numFmtId="0" fontId="10" fillId="0" borderId="0" xfId="0" applyFont="1" applyAlignment="1">
      <alignment horizontal="left" wrapText="1"/>
    </xf>
    <xf numFmtId="0" fontId="10" fillId="0" borderId="5" xfId="0" applyFont="1" applyBorder="1" applyAlignment="1">
      <alignment horizontal="left" wrapText="1"/>
    </xf>
    <xf numFmtId="0" fontId="13" fillId="3" borderId="1" xfId="0" applyFont="1" applyFill="1" applyBorder="1" applyAlignment="1">
      <alignment horizontal="center"/>
    </xf>
    <xf numFmtId="9" fontId="2" fillId="3" borderId="2" xfId="3" applyFont="1" applyFill="1" applyBorder="1" applyAlignment="1" applyProtection="1">
      <alignment horizontal="center"/>
      <protection locked="0"/>
    </xf>
    <xf numFmtId="0" fontId="35" fillId="3" borderId="1" xfId="0" applyFont="1" applyFill="1" applyBorder="1" applyAlignment="1">
      <alignment horizontal="center"/>
    </xf>
    <xf numFmtId="0" fontId="3" fillId="0" borderId="1" xfId="0" applyFont="1" applyBorder="1" applyAlignment="1">
      <alignment horizontal="left" vertical="top" wrapText="1"/>
    </xf>
    <xf numFmtId="9" fontId="3" fillId="0" borderId="1" xfId="0" applyNumberFormat="1" applyFont="1" applyBorder="1" applyAlignment="1">
      <alignment horizontal="center" wrapText="1"/>
    </xf>
    <xf numFmtId="0" fontId="15" fillId="0" borderId="1" xfId="2" applyFont="1" applyFill="1" applyBorder="1" applyAlignment="1" applyProtection="1">
      <alignment horizontal="center" wrapText="1"/>
    </xf>
    <xf numFmtId="0" fontId="15" fillId="0" borderId="8" xfId="2" applyFont="1" applyFill="1" applyBorder="1" applyAlignment="1" applyProtection="1">
      <alignment horizontal="center" wrapText="1"/>
    </xf>
    <xf numFmtId="0" fontId="35" fillId="0" borderId="0" xfId="0" applyFont="1" applyAlignment="1">
      <alignment horizontal="center"/>
    </xf>
    <xf numFmtId="9" fontId="12" fillId="2" borderId="1" xfId="3" applyFont="1" applyFill="1" applyBorder="1" applyAlignment="1">
      <alignment horizontal="center"/>
    </xf>
    <xf numFmtId="9" fontId="2" fillId="0" borderId="0" xfId="0" applyNumberFormat="1" applyFont="1" applyAlignment="1">
      <alignment horizontal="center"/>
    </xf>
    <xf numFmtId="9" fontId="12" fillId="2" borderId="13" xfId="3" applyFont="1" applyFill="1" applyBorder="1" applyAlignment="1">
      <alignment horizontal="center" wrapText="1"/>
    </xf>
    <xf numFmtId="9" fontId="12" fillId="2" borderId="15" xfId="3" applyFont="1" applyFill="1" applyBorder="1" applyAlignment="1">
      <alignment horizontal="center" wrapText="1"/>
    </xf>
    <xf numFmtId="9" fontId="2" fillId="0" borderId="9" xfId="3" applyFont="1" applyBorder="1" applyAlignment="1">
      <alignment horizontal="right"/>
    </xf>
    <xf numFmtId="9" fontId="2" fillId="0" borderId="12" xfId="3" applyFont="1" applyBorder="1" applyAlignment="1">
      <alignment horizontal="right"/>
    </xf>
    <xf numFmtId="9" fontId="17" fillId="0" borderId="1" xfId="3" applyFont="1" applyFill="1" applyBorder="1" applyAlignment="1">
      <alignment horizontal="left" wrapText="1"/>
    </xf>
    <xf numFmtId="9" fontId="3" fillId="2" borderId="7" xfId="0" applyNumberFormat="1" applyFont="1" applyFill="1" applyBorder="1" applyAlignment="1">
      <alignment horizontal="center"/>
    </xf>
    <xf numFmtId="9" fontId="3" fillId="2" borderId="14" xfId="0" applyNumberFormat="1" applyFont="1" applyFill="1" applyBorder="1" applyAlignment="1">
      <alignment horizontal="center"/>
    </xf>
    <xf numFmtId="9" fontId="3" fillId="2" borderId="2" xfId="0" applyNumberFormat="1" applyFont="1" applyFill="1" applyBorder="1" applyAlignment="1">
      <alignment horizontal="center"/>
    </xf>
    <xf numFmtId="1" fontId="2" fillId="0" borderId="8" xfId="0" applyNumberFormat="1" applyFont="1" applyBorder="1" applyAlignment="1">
      <alignment horizontal="left"/>
    </xf>
    <xf numFmtId="1" fontId="2" fillId="0" borderId="16" xfId="0" applyNumberFormat="1" applyFont="1" applyBorder="1" applyAlignment="1">
      <alignment horizontal="left"/>
    </xf>
    <xf numFmtId="1" fontId="2" fillId="0" borderId="10" xfId="0" applyNumberFormat="1" applyFont="1" applyBorder="1" applyAlignment="1">
      <alignment horizontal="left"/>
    </xf>
    <xf numFmtId="9" fontId="17" fillId="0" borderId="2" xfId="3" applyFont="1" applyFill="1" applyBorder="1" applyAlignment="1">
      <alignment horizontal="left" wrapText="1"/>
    </xf>
    <xf numFmtId="0" fontId="14" fillId="0" borderId="1" xfId="0" applyFont="1" applyBorder="1" applyAlignment="1">
      <alignment horizontal="center" wrapText="1"/>
    </xf>
    <xf numFmtId="0" fontId="13" fillId="0" borderId="14" xfId="0" applyFont="1" applyBorder="1" applyAlignment="1">
      <alignment horizontal="center" wrapText="1"/>
    </xf>
    <xf numFmtId="9" fontId="12" fillId="3" borderId="13" xfId="3" applyFont="1" applyFill="1" applyBorder="1" applyAlignment="1" applyProtection="1">
      <alignment horizontal="center"/>
      <protection locked="0"/>
    </xf>
    <xf numFmtId="9" fontId="12" fillId="3" borderId="4" xfId="3" applyFont="1" applyFill="1" applyBorder="1" applyAlignment="1" applyProtection="1">
      <alignment horizontal="center"/>
      <protection locked="0"/>
    </xf>
    <xf numFmtId="9" fontId="3" fillId="2" borderId="6" xfId="0" applyNumberFormat="1" applyFont="1" applyFill="1" applyBorder="1" applyAlignment="1">
      <alignment horizontal="center"/>
    </xf>
    <xf numFmtId="0" fontId="9" fillId="0" borderId="11" xfId="0" applyFont="1" applyBorder="1" applyAlignment="1">
      <alignment horizontal="center" wrapText="1"/>
    </xf>
    <xf numFmtId="0" fontId="9" fillId="0" borderId="0" xfId="0" applyFont="1" applyAlignment="1">
      <alignment horizontal="center" wrapText="1"/>
    </xf>
    <xf numFmtId="0" fontId="9" fillId="0" borderId="5" xfId="0" applyFont="1" applyBorder="1" applyAlignment="1">
      <alignment horizontal="center" wrapText="1"/>
    </xf>
    <xf numFmtId="0" fontId="9" fillId="0" borderId="9" xfId="0" applyFont="1" applyBorder="1" applyAlignment="1">
      <alignment horizontal="center" wrapText="1"/>
    </xf>
    <xf numFmtId="0" fontId="9" fillId="0" borderId="12" xfId="0" applyFont="1" applyBorder="1" applyAlignment="1">
      <alignment horizontal="center" wrapText="1"/>
    </xf>
    <xf numFmtId="0" fontId="9" fillId="0" borderId="6" xfId="0" applyFont="1" applyBorder="1" applyAlignment="1">
      <alignment horizontal="center" wrapText="1"/>
    </xf>
    <xf numFmtId="9" fontId="3" fillId="2" borderId="4" xfId="0" applyNumberFormat="1" applyFont="1" applyFill="1" applyBorder="1" applyAlignment="1">
      <alignment horizontal="center"/>
    </xf>
    <xf numFmtId="9" fontId="3" fillId="2" borderId="5" xfId="0" applyNumberFormat="1" applyFont="1" applyFill="1" applyBorder="1" applyAlignment="1">
      <alignment horizontal="center"/>
    </xf>
    <xf numFmtId="9" fontId="62" fillId="0" borderId="16" xfId="3" applyFont="1" applyBorder="1" applyAlignment="1">
      <alignment horizontal="right" wrapText="1"/>
    </xf>
    <xf numFmtId="9" fontId="62" fillId="0" borderId="10" xfId="3" applyFont="1" applyBorder="1" applyAlignment="1">
      <alignment horizontal="right" wrapText="1"/>
    </xf>
    <xf numFmtId="0" fontId="35" fillId="0" borderId="1" xfId="0" applyFont="1" applyBorder="1" applyAlignment="1">
      <alignment horizontal="center"/>
    </xf>
    <xf numFmtId="0" fontId="16" fillId="0" borderId="7" xfId="0" applyFont="1" applyBorder="1" applyAlignment="1">
      <alignment horizontal="center" wrapText="1"/>
    </xf>
    <xf numFmtId="0" fontId="2" fillId="0" borderId="7" xfId="0" applyFont="1" applyBorder="1"/>
    <xf numFmtId="0" fontId="15" fillId="0" borderId="13" xfId="2" applyFont="1" applyFill="1" applyBorder="1" applyAlignment="1" applyProtection="1">
      <alignment horizontal="left" wrapText="1"/>
    </xf>
    <xf numFmtId="0" fontId="15" fillId="0" borderId="15" xfId="2" applyFont="1" applyFill="1" applyBorder="1" applyAlignment="1" applyProtection="1">
      <alignment horizontal="left" wrapText="1"/>
    </xf>
    <xf numFmtId="0" fontId="15" fillId="0" borderId="4" xfId="2" applyFont="1" applyFill="1" applyBorder="1" applyAlignment="1" applyProtection="1">
      <alignment horizontal="left" wrapText="1"/>
    </xf>
    <xf numFmtId="0" fontId="14" fillId="0" borderId="1" xfId="0" applyFont="1" applyBorder="1" applyAlignment="1">
      <alignment horizontal="center"/>
    </xf>
    <xf numFmtId="9" fontId="62" fillId="0" borderId="9" xfId="3" applyFont="1" applyBorder="1" applyAlignment="1">
      <alignment horizontal="right" wrapText="1"/>
    </xf>
    <xf numFmtId="9" fontId="62" fillId="0" borderId="12" xfId="3" applyFont="1" applyBorder="1" applyAlignment="1">
      <alignment horizontal="right" wrapText="1"/>
    </xf>
    <xf numFmtId="9" fontId="62" fillId="0" borderId="6" xfId="3" applyFont="1" applyBorder="1" applyAlignment="1">
      <alignment horizontal="right" wrapText="1"/>
    </xf>
    <xf numFmtId="9" fontId="10" fillId="0" borderId="16" xfId="3" applyFont="1" applyFill="1" applyBorder="1" applyAlignment="1">
      <alignment horizontal="center" wrapText="1"/>
    </xf>
    <xf numFmtId="9" fontId="10" fillId="0" borderId="10" xfId="3" applyFont="1" applyFill="1" applyBorder="1" applyAlignment="1">
      <alignment horizontal="center" wrapText="1"/>
    </xf>
    <xf numFmtId="10" fontId="12" fillId="3" borderId="8" xfId="3" applyNumberFormat="1" applyFont="1" applyFill="1" applyBorder="1" applyAlignment="1" applyProtection="1">
      <alignment horizontal="center"/>
      <protection locked="0"/>
    </xf>
    <xf numFmtId="10" fontId="12" fillId="3" borderId="10" xfId="3" applyNumberFormat="1" applyFont="1" applyFill="1" applyBorder="1" applyAlignment="1" applyProtection="1">
      <alignment horizontal="center"/>
      <protection locked="0"/>
    </xf>
    <xf numFmtId="9" fontId="3" fillId="2" borderId="1" xfId="0" applyNumberFormat="1" applyFont="1" applyFill="1" applyBorder="1" applyAlignment="1">
      <alignment horizontal="center"/>
    </xf>
    <xf numFmtId="9" fontId="3" fillId="0" borderId="1" xfId="3" applyFont="1" applyBorder="1" applyAlignment="1">
      <alignment horizontal="center"/>
    </xf>
    <xf numFmtId="9" fontId="58" fillId="0" borderId="7" xfId="0" applyNumberFormat="1" applyFont="1" applyBorder="1" applyAlignment="1">
      <alignment horizontal="left" wrapText="1"/>
    </xf>
    <xf numFmtId="9" fontId="58" fillId="0" borderId="14" xfId="0" applyNumberFormat="1" applyFont="1" applyBorder="1" applyAlignment="1">
      <alignment horizontal="left" wrapText="1"/>
    </xf>
    <xf numFmtId="0" fontId="2" fillId="0" borderId="15" xfId="0" applyFont="1" applyBorder="1" applyAlignment="1">
      <alignment horizontal="left" vertical="top" wrapText="1"/>
    </xf>
    <xf numFmtId="0" fontId="2" fillId="0" borderId="4" xfId="0" applyFont="1" applyBorder="1" applyAlignment="1">
      <alignment horizontal="left" vertical="top" wrapText="1"/>
    </xf>
    <xf numFmtId="0" fontId="2" fillId="0" borderId="0" xfId="0" applyFont="1" applyAlignment="1">
      <alignment horizontal="left" vertical="top" wrapText="1"/>
    </xf>
    <xf numFmtId="0" fontId="2" fillId="0" borderId="5" xfId="0" applyFont="1" applyBorder="1" applyAlignment="1">
      <alignment horizontal="left" vertical="top" wrapText="1"/>
    </xf>
    <xf numFmtId="0" fontId="2" fillId="0" borderId="12" xfId="0" applyFont="1" applyBorder="1" applyAlignment="1">
      <alignment horizontal="left" vertical="top" wrapText="1"/>
    </xf>
    <xf numFmtId="0" fontId="2" fillId="0" borderId="6" xfId="0" applyFont="1" applyBorder="1" applyAlignment="1">
      <alignment horizontal="left" vertical="top" wrapText="1"/>
    </xf>
    <xf numFmtId="0" fontId="2" fillId="0" borderId="13" xfId="0" applyFont="1" applyBorder="1" applyAlignment="1">
      <alignment horizontal="left" vertical="top"/>
    </xf>
    <xf numFmtId="0" fontId="2" fillId="0" borderId="15" xfId="0" applyFont="1" applyBorder="1" applyAlignment="1">
      <alignment horizontal="left" vertical="top"/>
    </xf>
    <xf numFmtId="0" fontId="2" fillId="0" borderId="4" xfId="0" applyFont="1" applyBorder="1" applyAlignment="1">
      <alignment horizontal="left" vertical="top"/>
    </xf>
    <xf numFmtId="0" fontId="2" fillId="0" borderId="11" xfId="0" applyFont="1" applyBorder="1" applyAlignment="1">
      <alignment horizontal="left" vertical="top"/>
    </xf>
    <xf numFmtId="0" fontId="2" fillId="0" borderId="0" xfId="0" applyFont="1" applyAlignment="1">
      <alignment horizontal="left" vertical="top"/>
    </xf>
    <xf numFmtId="0" fontId="2" fillId="0" borderId="5" xfId="0" applyFont="1" applyBorder="1" applyAlignment="1">
      <alignment horizontal="left" vertical="top"/>
    </xf>
    <xf numFmtId="0" fontId="2" fillId="0" borderId="9" xfId="0" applyFont="1" applyBorder="1" applyAlignment="1">
      <alignment horizontal="left" vertical="top"/>
    </xf>
    <xf numFmtId="0" fontId="2" fillId="0" borderId="12" xfId="0" applyFont="1" applyBorder="1" applyAlignment="1">
      <alignment horizontal="left" vertical="top"/>
    </xf>
    <xf numFmtId="0" fontId="2" fillId="0" borderId="6" xfId="0" applyFont="1" applyBorder="1" applyAlignment="1">
      <alignment horizontal="left" vertical="top"/>
    </xf>
    <xf numFmtId="10" fontId="2" fillId="0" borderId="1" xfId="3" applyNumberFormat="1" applyFont="1" applyBorder="1" applyAlignment="1">
      <alignment horizontal="left"/>
    </xf>
    <xf numFmtId="0" fontId="4" fillId="0" borderId="0" xfId="2" applyFill="1" applyBorder="1" applyAlignment="1" applyProtection="1">
      <alignment horizontal="left"/>
    </xf>
    <xf numFmtId="9" fontId="3" fillId="0" borderId="16" xfId="3" applyFont="1" applyBorder="1" applyAlignment="1">
      <alignment horizontal="center" wrapText="1"/>
    </xf>
    <xf numFmtId="9" fontId="3" fillId="0" borderId="10" xfId="3" applyFont="1" applyBorder="1" applyAlignment="1">
      <alignment horizontal="center" wrapText="1"/>
    </xf>
    <xf numFmtId="9" fontId="2" fillId="2" borderId="6" xfId="0" applyNumberFormat="1" applyFont="1" applyFill="1" applyBorder="1" applyAlignment="1">
      <alignment horizontal="center"/>
    </xf>
    <xf numFmtId="0" fontId="3" fillId="0" borderId="13" xfId="0" applyFont="1" applyBorder="1" applyAlignment="1">
      <alignment horizontal="left" vertical="top" wrapText="1"/>
    </xf>
    <xf numFmtId="0" fontId="3" fillId="0" borderId="15" xfId="0" applyFont="1" applyBorder="1" applyAlignment="1">
      <alignment horizontal="left" vertical="top" wrapText="1"/>
    </xf>
    <xf numFmtId="0" fontId="3" fillId="0" borderId="4" xfId="0" applyFont="1" applyBorder="1" applyAlignment="1">
      <alignment horizontal="left" vertical="top" wrapText="1"/>
    </xf>
    <xf numFmtId="0" fontId="3" fillId="0" borderId="11" xfId="0" applyFont="1" applyBorder="1" applyAlignment="1">
      <alignment horizontal="left" vertical="top" wrapText="1"/>
    </xf>
    <xf numFmtId="0" fontId="3" fillId="0" borderId="0" xfId="0" applyFont="1" applyAlignment="1">
      <alignment horizontal="left" vertical="top" wrapText="1"/>
    </xf>
    <xf numFmtId="0" fontId="3" fillId="0" borderId="5" xfId="0" applyFont="1" applyBorder="1" applyAlignment="1">
      <alignment horizontal="left" vertical="top" wrapText="1"/>
    </xf>
    <xf numFmtId="0" fontId="3" fillId="0" borderId="9" xfId="0" applyFont="1" applyBorder="1" applyAlignment="1">
      <alignment horizontal="left" vertical="top" wrapText="1"/>
    </xf>
    <xf numFmtId="0" fontId="3" fillId="0" borderId="12" xfId="0" applyFont="1" applyBorder="1" applyAlignment="1">
      <alignment horizontal="left" vertical="top" wrapText="1"/>
    </xf>
    <xf numFmtId="0" fontId="3" fillId="0" borderId="6" xfId="0" applyFont="1" applyBorder="1" applyAlignment="1">
      <alignment horizontal="left" vertical="top" wrapText="1"/>
    </xf>
    <xf numFmtId="0" fontId="2" fillId="0" borderId="13" xfId="0" applyFont="1" applyBorder="1" applyAlignment="1">
      <alignment vertical="top"/>
    </xf>
    <xf numFmtId="0" fontId="2" fillId="0" borderId="15" xfId="0" applyFont="1" applyBorder="1" applyAlignment="1">
      <alignment vertical="top"/>
    </xf>
    <xf numFmtId="0" fontId="2" fillId="0" borderId="4" xfId="0" applyFont="1" applyBorder="1" applyAlignment="1">
      <alignment vertical="top"/>
    </xf>
    <xf numFmtId="0" fontId="2" fillId="0" borderId="11" xfId="0" applyFont="1" applyBorder="1" applyAlignment="1">
      <alignment vertical="top"/>
    </xf>
    <xf numFmtId="0" fontId="2" fillId="0" borderId="0" xfId="0" applyFont="1" applyAlignment="1">
      <alignment vertical="top"/>
    </xf>
    <xf numFmtId="0" fontId="2" fillId="0" borderId="5" xfId="0" applyFont="1" applyBorder="1" applyAlignment="1">
      <alignment vertical="top"/>
    </xf>
    <xf numFmtId="0" fontId="2" fillId="0" borderId="9" xfId="0" applyFont="1" applyBorder="1" applyAlignment="1">
      <alignment vertical="top"/>
    </xf>
    <xf numFmtId="0" fontId="2" fillId="0" borderId="12" xfId="0" applyFont="1" applyBorder="1" applyAlignment="1">
      <alignment vertical="top"/>
    </xf>
    <xf numFmtId="0" fontId="2" fillId="0" borderId="6" xfId="0" applyFont="1" applyBorder="1" applyAlignment="1">
      <alignment vertical="top"/>
    </xf>
    <xf numFmtId="0" fontId="2" fillId="0" borderId="1" xfId="0" applyFont="1" applyBorder="1" applyAlignment="1">
      <alignment horizontal="left" vertical="top"/>
    </xf>
    <xf numFmtId="0" fontId="3" fillId="0" borderId="14" xfId="0" applyFont="1" applyBorder="1" applyAlignment="1">
      <alignment horizontal="center"/>
    </xf>
    <xf numFmtId="9" fontId="3" fillId="0" borderId="8" xfId="3" applyFont="1" applyBorder="1" applyAlignment="1">
      <alignment horizontal="center"/>
    </xf>
    <xf numFmtId="9" fontId="3" fillId="0" borderId="16" xfId="3" applyFont="1" applyBorder="1" applyAlignment="1">
      <alignment horizontal="center"/>
    </xf>
    <xf numFmtId="9" fontId="3" fillId="0" borderId="10" xfId="3" applyFont="1" applyBorder="1" applyAlignment="1">
      <alignment horizontal="center"/>
    </xf>
    <xf numFmtId="0" fontId="3" fillId="0" borderId="13" xfId="0" applyFont="1" applyBorder="1" applyAlignment="1">
      <alignment horizontal="center"/>
    </xf>
    <xf numFmtId="0" fontId="3" fillId="0" borderId="15" xfId="0" applyFont="1" applyBorder="1" applyAlignment="1">
      <alignment horizontal="center"/>
    </xf>
    <xf numFmtId="0" fontId="3" fillId="0" borderId="4" xfId="0" applyFont="1" applyBorder="1" applyAlignment="1">
      <alignment horizontal="center"/>
    </xf>
    <xf numFmtId="0" fontId="3" fillId="0" borderId="11" xfId="0" applyFont="1" applyBorder="1" applyAlignment="1">
      <alignment horizontal="center"/>
    </xf>
    <xf numFmtId="0" fontId="3" fillId="0" borderId="9" xfId="0" applyFont="1" applyBorder="1" applyAlignment="1">
      <alignment horizontal="center"/>
    </xf>
    <xf numFmtId="0" fontId="15" fillId="0" borderId="16" xfId="2" applyFont="1" applyBorder="1" applyAlignment="1" applyProtection="1">
      <alignment horizontal="center"/>
    </xf>
    <xf numFmtId="0" fontId="15" fillId="0" borderId="10" xfId="2" applyFont="1" applyBorder="1" applyAlignment="1" applyProtection="1">
      <alignment horizontal="center"/>
    </xf>
    <xf numFmtId="0" fontId="15" fillId="0" borderId="8" xfId="2" applyFont="1" applyBorder="1" applyAlignment="1" applyProtection="1">
      <alignment horizontal="center"/>
    </xf>
    <xf numFmtId="0" fontId="16" fillId="0" borderId="1" xfId="0" applyFont="1" applyBorder="1"/>
    <xf numFmtId="0" fontId="2" fillId="0" borderId="0" xfId="0" applyFont="1" applyAlignment="1">
      <alignment horizontal="right" wrapText="1"/>
    </xf>
    <xf numFmtId="0" fontId="0" fillId="0" borderId="15" xfId="0" applyBorder="1" applyAlignment="1">
      <alignment horizontal="left" vertical="top" wrapText="1"/>
    </xf>
    <xf numFmtId="0" fontId="0" fillId="0" borderId="4" xfId="0" applyBorder="1" applyAlignment="1">
      <alignment horizontal="left" vertical="top" wrapText="1"/>
    </xf>
    <xf numFmtId="0" fontId="0" fillId="0" borderId="11"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9" xfId="0" applyBorder="1" applyAlignment="1">
      <alignment horizontal="left" vertical="top" wrapText="1"/>
    </xf>
    <xf numFmtId="0" fontId="0" fillId="0" borderId="12" xfId="0" applyBorder="1" applyAlignment="1">
      <alignment horizontal="left" vertical="top" wrapText="1"/>
    </xf>
    <xf numFmtId="0" fontId="0" fillId="0" borderId="6" xfId="0" applyBorder="1" applyAlignment="1">
      <alignment horizontal="left" vertical="top" wrapText="1"/>
    </xf>
    <xf numFmtId="0" fontId="15" fillId="0" borderId="12" xfId="2" applyFont="1" applyBorder="1" applyAlignment="1" applyProtection="1">
      <alignment horizontal="center" wrapText="1"/>
    </xf>
    <xf numFmtId="9" fontId="26" fillId="0" borderId="7" xfId="3" applyFont="1" applyFill="1" applyBorder="1" applyAlignment="1">
      <alignment horizontal="left" vertical="center" wrapText="1"/>
    </xf>
    <xf numFmtId="9" fontId="26" fillId="0" borderId="14" xfId="3" applyFont="1" applyFill="1" applyBorder="1" applyAlignment="1">
      <alignment horizontal="left" vertical="center" wrapText="1"/>
    </xf>
    <xf numFmtId="0" fontId="3" fillId="0" borderId="7" xfId="0" applyFont="1" applyBorder="1" applyAlignment="1">
      <alignment horizontal="left" wrapText="1"/>
    </xf>
    <xf numFmtId="0" fontId="3" fillId="0" borderId="14" xfId="0" applyFont="1" applyBorder="1" applyAlignment="1">
      <alignment horizontal="left" wrapText="1"/>
    </xf>
    <xf numFmtId="0" fontId="4" fillId="0" borderId="0" xfId="2" applyFill="1" applyBorder="1" applyAlignment="1" applyProtection="1">
      <alignment horizontal="center"/>
      <protection locked="0"/>
    </xf>
    <xf numFmtId="0" fontId="2" fillId="3" borderId="7" xfId="0" applyFont="1" applyFill="1" applyBorder="1" applyAlignment="1">
      <alignment horizontal="center" wrapText="1"/>
    </xf>
    <xf numFmtId="0" fontId="2" fillId="3" borderId="14" xfId="0" applyFont="1" applyFill="1" applyBorder="1" applyAlignment="1">
      <alignment horizontal="center" wrapText="1"/>
    </xf>
    <xf numFmtId="0" fontId="2" fillId="3" borderId="2" xfId="0" applyFont="1" applyFill="1" applyBorder="1" applyAlignment="1">
      <alignment horizontal="center" wrapText="1"/>
    </xf>
    <xf numFmtId="10" fontId="3" fillId="2" borderId="1" xfId="3" applyNumberFormat="1" applyFont="1" applyFill="1" applyBorder="1" applyAlignment="1">
      <alignment horizontal="center"/>
    </xf>
    <xf numFmtId="9" fontId="4" fillId="0" borderId="0" xfId="2" applyNumberFormat="1" applyFill="1" applyBorder="1" applyAlignment="1" applyProtection="1">
      <alignment horizontal="left"/>
    </xf>
    <xf numFmtId="0" fontId="2" fillId="3" borderId="8" xfId="0" applyFont="1" applyFill="1" applyBorder="1" applyAlignment="1">
      <alignment horizontal="left" wrapText="1"/>
    </xf>
    <xf numFmtId="0" fontId="2" fillId="3" borderId="16" xfId="0" applyFont="1" applyFill="1" applyBorder="1" applyAlignment="1">
      <alignment horizontal="left" wrapText="1"/>
    </xf>
    <xf numFmtId="0" fontId="2" fillId="3" borderId="10" xfId="0" applyFont="1" applyFill="1" applyBorder="1" applyAlignment="1">
      <alignment horizontal="left" wrapText="1"/>
    </xf>
    <xf numFmtId="0" fontId="2" fillId="0" borderId="0" xfId="0" applyFont="1" applyAlignment="1" applyProtection="1">
      <alignment horizontal="center"/>
      <protection locked="0"/>
    </xf>
    <xf numFmtId="0" fontId="2" fillId="0" borderId="0" xfId="0" applyFont="1" applyProtection="1">
      <protection locked="0"/>
    </xf>
    <xf numFmtId="0" fontId="2" fillId="3" borderId="16" xfId="0" applyFont="1" applyFill="1" applyBorder="1" applyAlignment="1">
      <alignment horizontal="center" wrapText="1"/>
    </xf>
    <xf numFmtId="0" fontId="2" fillId="3" borderId="13" xfId="0" applyFont="1" applyFill="1" applyBorder="1" applyAlignment="1">
      <alignment horizontal="center"/>
    </xf>
    <xf numFmtId="0" fontId="2" fillId="3" borderId="4" xfId="0" applyFont="1" applyFill="1" applyBorder="1" applyAlignment="1">
      <alignment horizontal="center"/>
    </xf>
    <xf numFmtId="0" fontId="2" fillId="3" borderId="11" xfId="0" applyFont="1" applyFill="1" applyBorder="1" applyAlignment="1">
      <alignment horizontal="center"/>
    </xf>
    <xf numFmtId="0" fontId="2" fillId="3" borderId="5" xfId="0" applyFont="1" applyFill="1" applyBorder="1" applyAlignment="1">
      <alignment horizontal="center"/>
    </xf>
    <xf numFmtId="0" fontId="2" fillId="3" borderId="6" xfId="0" applyFont="1" applyFill="1" applyBorder="1" applyAlignment="1">
      <alignment horizontal="center"/>
    </xf>
    <xf numFmtId="0" fontId="3" fillId="0" borderId="2" xfId="0" applyFont="1" applyBorder="1" applyAlignment="1">
      <alignment horizontal="left" wrapText="1"/>
    </xf>
    <xf numFmtId="0" fontId="15" fillId="0" borderId="8" xfId="2" applyFont="1" applyBorder="1" applyAlignment="1" applyProtection="1">
      <alignment horizontal="left" wrapText="1"/>
    </xf>
    <xf numFmtId="0" fontId="15" fillId="0" borderId="16" xfId="2" applyFont="1" applyBorder="1" applyAlignment="1" applyProtection="1">
      <alignment horizontal="left" wrapText="1"/>
    </xf>
    <xf numFmtId="0" fontId="15" fillId="0" borderId="10" xfId="2" applyFont="1" applyBorder="1" applyAlignment="1" applyProtection="1">
      <alignment horizontal="left" wrapText="1"/>
    </xf>
    <xf numFmtId="0" fontId="2" fillId="3" borderId="7" xfId="0" applyFont="1" applyFill="1" applyBorder="1" applyAlignment="1">
      <alignment horizontal="center"/>
    </xf>
    <xf numFmtId="0" fontId="52" fillId="0" borderId="14" xfId="0" applyFont="1" applyBorder="1" applyAlignment="1">
      <alignment horizontal="left" wrapText="1"/>
    </xf>
    <xf numFmtId="0" fontId="52" fillId="0" borderId="2" xfId="0" applyFont="1" applyBorder="1" applyAlignment="1">
      <alignment horizontal="left" wrapText="1"/>
    </xf>
    <xf numFmtId="0" fontId="3" fillId="7" borderId="8" xfId="0" applyFont="1" applyFill="1" applyBorder="1" applyAlignment="1">
      <alignment horizontal="center"/>
    </xf>
    <xf numFmtId="0" fontId="3" fillId="7" borderId="10" xfId="0" applyFont="1" applyFill="1" applyBorder="1" applyAlignment="1">
      <alignment horizontal="center"/>
    </xf>
    <xf numFmtId="9" fontId="2" fillId="5" borderId="8" xfId="0" applyNumberFormat="1" applyFont="1" applyFill="1" applyBorder="1" applyAlignment="1">
      <alignment horizontal="center"/>
    </xf>
    <xf numFmtId="0" fontId="2" fillId="5" borderId="16" xfId="0" applyFont="1" applyFill="1" applyBorder="1" applyAlignment="1">
      <alignment horizontal="center"/>
    </xf>
    <xf numFmtId="0" fontId="2" fillId="5" borderId="10" xfId="0" applyFont="1" applyFill="1" applyBorder="1" applyAlignment="1">
      <alignment horizontal="center"/>
    </xf>
    <xf numFmtId="9" fontId="2" fillId="2" borderId="8" xfId="3" applyFont="1" applyFill="1" applyBorder="1" applyAlignment="1" applyProtection="1">
      <alignment horizontal="center"/>
    </xf>
    <xf numFmtId="9" fontId="2" fillId="2" borderId="10" xfId="3" applyFont="1" applyFill="1" applyBorder="1" applyAlignment="1" applyProtection="1">
      <alignment horizontal="center"/>
    </xf>
    <xf numFmtId="0" fontId="2" fillId="0" borderId="5" xfId="0" applyFont="1" applyBorder="1" applyAlignment="1">
      <alignment horizontal="center" wrapText="1"/>
    </xf>
    <xf numFmtId="9" fontId="3" fillId="2" borderId="1" xfId="3" applyFont="1" applyFill="1" applyBorder="1" applyAlignment="1">
      <alignment horizontal="center"/>
    </xf>
    <xf numFmtId="9" fontId="3" fillId="2" borderId="7" xfId="3" applyFont="1" applyFill="1" applyBorder="1" applyAlignment="1">
      <alignment horizontal="center"/>
    </xf>
    <xf numFmtId="0" fontId="3" fillId="0" borderId="13" xfId="0" applyFont="1" applyBorder="1" applyAlignment="1">
      <alignment horizontal="right" wrapText="1"/>
    </xf>
    <xf numFmtId="0" fontId="3" fillId="0" borderId="15" xfId="0" applyFont="1" applyBorder="1" applyAlignment="1">
      <alignment horizontal="right" wrapText="1"/>
    </xf>
    <xf numFmtId="0" fontId="3" fillId="0" borderId="4" xfId="0" applyFont="1" applyBorder="1" applyAlignment="1">
      <alignment horizontal="right" wrapText="1"/>
    </xf>
    <xf numFmtId="0" fontId="7" fillId="0" borderId="7" xfId="0" applyFont="1" applyBorder="1" applyAlignment="1">
      <alignment horizontal="left" wrapText="1"/>
    </xf>
    <xf numFmtId="0" fontId="0" fillId="0" borderId="14" xfId="0" applyBorder="1" applyAlignment="1">
      <alignment horizontal="left" wrapText="1"/>
    </xf>
    <xf numFmtId="0" fontId="17" fillId="3" borderId="13" xfId="0" applyFont="1" applyFill="1" applyBorder="1" applyAlignment="1">
      <alignment horizontal="center"/>
    </xf>
    <xf numFmtId="0" fontId="17" fillId="3" borderId="4" xfId="0" applyFont="1" applyFill="1" applyBorder="1" applyAlignment="1">
      <alignment horizontal="center"/>
    </xf>
    <xf numFmtId="0" fontId="17" fillId="3" borderId="11" xfId="0" applyFont="1" applyFill="1" applyBorder="1" applyAlignment="1">
      <alignment horizontal="center"/>
    </xf>
    <xf numFmtId="0" fontId="17" fillId="3" borderId="5" xfId="0" applyFont="1" applyFill="1" applyBorder="1" applyAlignment="1">
      <alignment horizontal="center"/>
    </xf>
    <xf numFmtId="0" fontId="17" fillId="3" borderId="9" xfId="0" applyFont="1" applyFill="1" applyBorder="1" applyAlignment="1">
      <alignment horizontal="center"/>
    </xf>
    <xf numFmtId="0" fontId="17" fillId="3" borderId="6" xfId="0" applyFont="1" applyFill="1" applyBorder="1" applyAlignment="1">
      <alignment horizontal="center"/>
    </xf>
    <xf numFmtId="0" fontId="3" fillId="0" borderId="0" xfId="0" applyFont="1" applyAlignment="1">
      <alignment horizontal="right"/>
    </xf>
    <xf numFmtId="0" fontId="17" fillId="3" borderId="1" xfId="0" applyFont="1" applyFill="1" applyBorder="1" applyAlignment="1">
      <alignment horizontal="center"/>
    </xf>
    <xf numFmtId="0" fontId="16" fillId="3" borderId="13" xfId="0" applyFont="1" applyFill="1" applyBorder="1" applyAlignment="1">
      <alignment horizontal="center"/>
    </xf>
    <xf numFmtId="0" fontId="16" fillId="3" borderId="4" xfId="0" applyFont="1" applyFill="1" applyBorder="1" applyAlignment="1">
      <alignment horizontal="center"/>
    </xf>
    <xf numFmtId="0" fontId="16" fillId="3" borderId="11" xfId="0" applyFont="1" applyFill="1" applyBorder="1" applyAlignment="1">
      <alignment horizontal="center"/>
    </xf>
    <xf numFmtId="0" fontId="16" fillId="3" borderId="5" xfId="0" applyFont="1" applyFill="1" applyBorder="1" applyAlignment="1">
      <alignment horizontal="center"/>
    </xf>
    <xf numFmtId="0" fontId="16" fillId="3" borderId="9" xfId="0" applyFont="1" applyFill="1" applyBorder="1" applyAlignment="1">
      <alignment horizontal="center"/>
    </xf>
    <xf numFmtId="0" fontId="16" fillId="3" borderId="6" xfId="0" applyFont="1" applyFill="1" applyBorder="1" applyAlignment="1">
      <alignment horizontal="center"/>
    </xf>
    <xf numFmtId="0" fontId="5" fillId="0" borderId="1" xfId="0" applyFont="1" applyBorder="1" applyAlignment="1">
      <alignment horizontal="center" vertical="center" wrapText="1"/>
    </xf>
    <xf numFmtId="0" fontId="17" fillId="3" borderId="8" xfId="0" applyFont="1" applyFill="1" applyBorder="1" applyAlignment="1">
      <alignment horizontal="center"/>
    </xf>
    <xf numFmtId="0" fontId="17" fillId="3" borderId="10" xfId="0" applyFont="1" applyFill="1" applyBorder="1" applyAlignment="1">
      <alignment horizontal="center"/>
    </xf>
    <xf numFmtId="0" fontId="61" fillId="0" borderId="0" xfId="2" applyFont="1" applyFill="1" applyBorder="1" applyAlignment="1" applyProtection="1">
      <alignment horizontal="center"/>
    </xf>
    <xf numFmtId="0" fontId="33" fillId="0" borderId="0" xfId="0" applyFont="1" applyAlignment="1">
      <alignment horizontal="center" wrapText="1"/>
    </xf>
    <xf numFmtId="0" fontId="2" fillId="3" borderId="9" xfId="0" applyFont="1" applyFill="1" applyBorder="1" applyAlignment="1">
      <alignment horizontal="left" wrapText="1"/>
    </xf>
    <xf numFmtId="0" fontId="2" fillId="3" borderId="12" xfId="0" applyFont="1" applyFill="1" applyBorder="1" applyAlignment="1">
      <alignment horizontal="left" wrapText="1"/>
    </xf>
    <xf numFmtId="0" fontId="2" fillId="3" borderId="6" xfId="0" applyFont="1" applyFill="1" applyBorder="1" applyAlignment="1">
      <alignment horizontal="left" wrapText="1"/>
    </xf>
    <xf numFmtId="0" fontId="3" fillId="0" borderId="7" xfId="0" applyFont="1" applyBorder="1" applyAlignment="1">
      <alignment horizontal="left" vertical="top" wrapText="1"/>
    </xf>
    <xf numFmtId="0" fontId="3" fillId="0" borderId="14" xfId="0" applyFont="1" applyBorder="1" applyAlignment="1">
      <alignment horizontal="left" vertical="top" wrapText="1"/>
    </xf>
    <xf numFmtId="0" fontId="7" fillId="0" borderId="7" xfId="0" applyFont="1" applyBorder="1" applyAlignment="1">
      <alignment horizontal="left" vertical="center" wrapText="1"/>
    </xf>
    <xf numFmtId="0" fontId="0" fillId="0" borderId="14" xfId="0" applyBorder="1" applyAlignment="1">
      <alignment horizontal="left" vertical="center" wrapText="1"/>
    </xf>
    <xf numFmtId="0" fontId="3" fillId="0" borderId="6" xfId="0" applyFont="1" applyBorder="1" applyAlignment="1">
      <alignment horizontal="right" wrapText="1"/>
    </xf>
    <xf numFmtId="9" fontId="2" fillId="2" borderId="7" xfId="3" applyFont="1" applyFill="1" applyBorder="1" applyAlignment="1">
      <alignment horizontal="center" wrapText="1"/>
    </xf>
    <xf numFmtId="9" fontId="2" fillId="2" borderId="14" xfId="3" applyFont="1" applyFill="1" applyBorder="1" applyAlignment="1">
      <alignment horizontal="center" wrapText="1"/>
    </xf>
    <xf numFmtId="9" fontId="2" fillId="2" borderId="2" xfId="3" applyFont="1" applyFill="1" applyBorder="1" applyAlignment="1">
      <alignment horizontal="center" wrapText="1"/>
    </xf>
    <xf numFmtId="0" fontId="2" fillId="0" borderId="8" xfId="0" applyFont="1" applyBorder="1" applyAlignment="1">
      <alignment wrapText="1"/>
    </xf>
    <xf numFmtId="0" fontId="2" fillId="0" borderId="16" xfId="0" applyFont="1" applyBorder="1" applyAlignment="1">
      <alignment wrapText="1"/>
    </xf>
    <xf numFmtId="0" fontId="2" fillId="0" borderId="10" xfId="0" applyFont="1" applyBorder="1" applyAlignment="1">
      <alignment wrapText="1"/>
    </xf>
    <xf numFmtId="3" fontId="3" fillId="0" borderId="1" xfId="0" applyNumberFormat="1" applyFont="1" applyBorder="1" applyAlignment="1">
      <alignment horizontal="center"/>
    </xf>
    <xf numFmtId="0" fontId="40" fillId="0" borderId="0" xfId="0" applyFont="1" applyAlignment="1">
      <alignment horizontal="left" wrapText="1"/>
    </xf>
    <xf numFmtId="9" fontId="38" fillId="0" borderId="0" xfId="3" applyFont="1" applyFill="1" applyBorder="1" applyAlignment="1">
      <alignment horizontal="left" wrapText="1"/>
    </xf>
    <xf numFmtId="0" fontId="54" fillId="0" borderId="0" xfId="0" applyFont="1" applyAlignment="1">
      <alignment horizontal="left" wrapText="1"/>
    </xf>
    <xf numFmtId="0" fontId="7" fillId="0" borderId="1" xfId="0" applyFont="1" applyBorder="1" applyAlignment="1">
      <alignment horizontal="center" wrapText="1"/>
    </xf>
    <xf numFmtId="0" fontId="7" fillId="0" borderId="1" xfId="0" applyFont="1" applyBorder="1" applyAlignment="1">
      <alignment horizontal="left" wrapText="1"/>
    </xf>
    <xf numFmtId="9" fontId="2" fillId="0" borderId="0" xfId="3" applyFont="1" applyFill="1" applyBorder="1" applyAlignment="1">
      <alignment horizontal="left"/>
    </xf>
    <xf numFmtId="9" fontId="3" fillId="0" borderId="29" xfId="3" applyFont="1" applyFill="1" applyBorder="1" applyAlignment="1">
      <alignment horizontal="left"/>
    </xf>
    <xf numFmtId="9" fontId="3" fillId="0" borderId="0" xfId="3" applyFont="1" applyFill="1" applyBorder="1" applyAlignment="1">
      <alignment horizontal="left"/>
    </xf>
    <xf numFmtId="0" fontId="0" fillId="0" borderId="15" xfId="0" applyBorder="1" applyAlignment="1">
      <alignment horizontal="center"/>
    </xf>
    <xf numFmtId="0" fontId="40" fillId="0" borderId="13" xfId="0" applyFont="1" applyBorder="1" applyAlignment="1">
      <alignment horizontal="center"/>
    </xf>
    <xf numFmtId="0" fontId="40" fillId="0" borderId="15" xfId="0" applyFont="1" applyBorder="1" applyAlignment="1">
      <alignment horizontal="center"/>
    </xf>
    <xf numFmtId="0" fontId="40" fillId="0" borderId="4" xfId="0" applyFont="1" applyBorder="1" applyAlignment="1">
      <alignment horizontal="center"/>
    </xf>
    <xf numFmtId="9" fontId="40" fillId="2" borderId="8" xfId="0" applyNumberFormat="1" applyFont="1" applyFill="1" applyBorder="1" applyAlignment="1">
      <alignment horizontal="center"/>
    </xf>
    <xf numFmtId="9" fontId="40" fillId="2" borderId="16" xfId="0" applyNumberFormat="1" applyFont="1" applyFill="1" applyBorder="1" applyAlignment="1">
      <alignment horizontal="center"/>
    </xf>
    <xf numFmtId="9" fontId="40" fillId="2" borderId="10" xfId="0" applyNumberFormat="1" applyFont="1" applyFill="1" applyBorder="1" applyAlignment="1">
      <alignment horizontal="center"/>
    </xf>
    <xf numFmtId="0" fontId="6" fillId="0" borderId="0" xfId="0" applyFont="1" applyAlignment="1">
      <alignment horizontal="center" wrapText="1"/>
    </xf>
    <xf numFmtId="0" fontId="14" fillId="0" borderId="8" xfId="0" applyFont="1" applyBorder="1" applyAlignment="1">
      <alignment wrapText="1"/>
    </xf>
    <xf numFmtId="0" fontId="0" fillId="0" borderId="16" xfId="0" applyBorder="1" applyAlignment="1">
      <alignment wrapText="1"/>
    </xf>
    <xf numFmtId="0" fontId="0" fillId="0" borderId="10" xfId="0" applyBorder="1" applyAlignment="1">
      <alignment wrapText="1"/>
    </xf>
    <xf numFmtId="0" fontId="3" fillId="0" borderId="0" xfId="0" applyFont="1"/>
    <xf numFmtId="0" fontId="4" fillId="0" borderId="0" xfId="2" applyFill="1" applyBorder="1" applyAlignment="1" applyProtection="1">
      <alignment horizontal="left" wrapText="1"/>
    </xf>
  </cellXfs>
  <cellStyles count="4">
    <cellStyle name="Currency" xfId="1" builtinId="4"/>
    <cellStyle name="Hyperlink" xfId="2" builtinId="8"/>
    <cellStyle name="Normal" xfId="0" builtinId="0"/>
    <cellStyle name="Percent" xfId="3" builtinId="5"/>
  </cellStyles>
  <dxfs count="61">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tint="-0.34998626667073579"/>
      </font>
      <fill>
        <patternFill>
          <bgColor theme="0" tint="-0.34998626667073579"/>
        </patternFill>
      </fill>
    </dxf>
    <dxf>
      <font>
        <color rgb="FF00B050"/>
      </font>
    </dxf>
    <dxf>
      <font>
        <color rgb="FF00B050"/>
      </font>
    </dxf>
    <dxf>
      <font>
        <color rgb="FFFF0000"/>
      </font>
    </dxf>
    <dxf>
      <font>
        <color rgb="FFFF0000"/>
      </font>
    </dxf>
    <dxf>
      <font>
        <color rgb="FFFF0000"/>
      </font>
    </dxf>
    <dxf>
      <font>
        <color rgb="FFFF0000"/>
      </font>
    </dxf>
    <dxf>
      <font>
        <color rgb="FF009242"/>
      </font>
    </dxf>
    <dxf>
      <font>
        <color rgb="FF009242"/>
      </font>
    </dxf>
    <dxf>
      <font>
        <color rgb="FF009242"/>
      </font>
    </dxf>
    <dxf>
      <font>
        <color rgb="FF009242"/>
      </font>
    </dxf>
    <dxf>
      <font>
        <color rgb="FF009644"/>
      </font>
    </dxf>
    <dxf>
      <font>
        <condense val="0"/>
        <extend val="0"/>
        <color indexed="55"/>
      </font>
      <fill>
        <patternFill>
          <bgColor indexed="55"/>
        </patternFill>
      </fill>
    </dxf>
    <dxf>
      <font>
        <condense val="0"/>
        <extend val="0"/>
        <color indexed="55"/>
      </font>
      <fill>
        <patternFill>
          <bgColor indexed="55"/>
        </patternFill>
      </fill>
    </dxf>
    <dxf>
      <font>
        <color rgb="FF009242"/>
      </font>
    </dxf>
    <dxf>
      <font>
        <color rgb="FF009242"/>
      </font>
    </dxf>
    <dxf>
      <font>
        <color rgb="FF009242"/>
      </font>
    </dxf>
    <dxf>
      <font>
        <color rgb="FF009242"/>
      </font>
    </dxf>
    <dxf>
      <font>
        <color rgb="FF009644"/>
      </font>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lor rgb="FFFF0000"/>
      </font>
    </dxf>
    <dxf>
      <font>
        <color rgb="FFFF0000"/>
      </font>
    </dxf>
    <dxf>
      <font>
        <color rgb="FFFF0000"/>
      </font>
    </dxf>
    <dxf>
      <font>
        <color rgb="FFFF0000"/>
      </font>
    </dxf>
    <dxf>
      <font>
        <b/>
        <i val="0"/>
        <color rgb="FFC00000"/>
        <name val="Cambria"/>
        <scheme val="none"/>
      </font>
    </dxf>
    <dxf>
      <font>
        <b/>
        <i val="0"/>
        <color rgb="FFC00000"/>
      </font>
    </dxf>
    <dxf>
      <font>
        <b/>
        <i val="0"/>
        <color rgb="FFC00000"/>
      </font>
    </dxf>
    <dxf>
      <font>
        <b/>
        <i val="0"/>
        <color theme="9" tint="-0.499984740745262"/>
      </font>
      <fill>
        <patternFill>
          <bgColor theme="0"/>
        </patternFill>
      </fill>
    </dxf>
  </dxfs>
  <tableStyles count="0" defaultTableStyle="TableStyleMedium9" defaultPivotStyle="PivotStyleLight16"/>
  <colors>
    <mruColors>
      <color rgb="FFFFFF99"/>
      <color rgb="FF009644"/>
      <color rgb="FF0092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trlProps/ctrlProp1.xml><?xml version="1.0" encoding="utf-8"?>
<formControlPr xmlns="http://schemas.microsoft.com/office/spreadsheetml/2009/9/main" objectType="CheckBox" fmlaLink="$R$7" lockText="1"/>
</file>

<file path=xl/ctrlProps/ctrlProp10.xml><?xml version="1.0" encoding="utf-8"?>
<formControlPr xmlns="http://schemas.microsoft.com/office/spreadsheetml/2009/9/main" objectType="CheckBox" fmlaLink="$S$47" lockText="1"/>
</file>

<file path=xl/ctrlProps/ctrlProp100.xml><?xml version="1.0" encoding="utf-8"?>
<formControlPr xmlns="http://schemas.microsoft.com/office/spreadsheetml/2009/9/main" objectType="CheckBox" fmlaLink="$S$261" lockText="1"/>
</file>

<file path=xl/ctrlProps/ctrlProp1000.xml><?xml version="1.0" encoding="utf-8"?>
<formControlPr xmlns="http://schemas.microsoft.com/office/spreadsheetml/2009/9/main" objectType="Radio" lockText="1"/>
</file>

<file path=xl/ctrlProps/ctrlProp1001.xml><?xml version="1.0" encoding="utf-8"?>
<formControlPr xmlns="http://schemas.microsoft.com/office/spreadsheetml/2009/9/main" objectType="Radio" lockText="1"/>
</file>

<file path=xl/ctrlProps/ctrlProp1002.xml><?xml version="1.0" encoding="utf-8"?>
<formControlPr xmlns="http://schemas.microsoft.com/office/spreadsheetml/2009/9/main" objectType="Radio" lockText="1"/>
</file>

<file path=xl/ctrlProps/ctrlProp1003.xml><?xml version="1.0" encoding="utf-8"?>
<formControlPr xmlns="http://schemas.microsoft.com/office/spreadsheetml/2009/9/main" objectType="GBox" noThreeD="1"/>
</file>

<file path=xl/ctrlProps/ctrlProp1004.xml><?xml version="1.0" encoding="utf-8"?>
<formControlPr xmlns="http://schemas.microsoft.com/office/spreadsheetml/2009/9/main" objectType="Radio" checked="Checked" firstButton="1" fmlaLink="$S$38" lockText="1"/>
</file>

<file path=xl/ctrlProps/ctrlProp1005.xml><?xml version="1.0" encoding="utf-8"?>
<formControlPr xmlns="http://schemas.microsoft.com/office/spreadsheetml/2009/9/main" objectType="Radio" lockText="1"/>
</file>

<file path=xl/ctrlProps/ctrlProp1006.xml><?xml version="1.0" encoding="utf-8"?>
<formControlPr xmlns="http://schemas.microsoft.com/office/spreadsheetml/2009/9/main" objectType="Radio" lockText="1"/>
</file>

<file path=xl/ctrlProps/ctrlProp1007.xml><?xml version="1.0" encoding="utf-8"?>
<formControlPr xmlns="http://schemas.microsoft.com/office/spreadsheetml/2009/9/main" objectType="GBox" noThreeD="1"/>
</file>

<file path=xl/ctrlProps/ctrlProp1008.xml><?xml version="1.0" encoding="utf-8"?>
<formControlPr xmlns="http://schemas.microsoft.com/office/spreadsheetml/2009/9/main" objectType="Radio" checked="Checked" firstButton="1" fmlaLink="$S$35" lockText="1"/>
</file>

<file path=xl/ctrlProps/ctrlProp1009.xml><?xml version="1.0" encoding="utf-8"?>
<formControlPr xmlns="http://schemas.microsoft.com/office/spreadsheetml/2009/9/main" objectType="Radio" lockText="1"/>
</file>

<file path=xl/ctrlProps/ctrlProp101.xml><?xml version="1.0" encoding="utf-8"?>
<formControlPr xmlns="http://schemas.microsoft.com/office/spreadsheetml/2009/9/main" objectType="CheckBox" fmlaLink="$S$260" lockText="1"/>
</file>

<file path=xl/ctrlProps/ctrlProp1010.xml><?xml version="1.0" encoding="utf-8"?>
<formControlPr xmlns="http://schemas.microsoft.com/office/spreadsheetml/2009/9/main" objectType="Radio" lockText="1"/>
</file>

<file path=xl/ctrlProps/ctrlProp1011.xml><?xml version="1.0" encoding="utf-8"?>
<formControlPr xmlns="http://schemas.microsoft.com/office/spreadsheetml/2009/9/main" objectType="GBox" noThreeD="1"/>
</file>

<file path=xl/ctrlProps/ctrlProp1012.xml><?xml version="1.0" encoding="utf-8"?>
<formControlPr xmlns="http://schemas.microsoft.com/office/spreadsheetml/2009/9/main" objectType="Radio" checked="Checked" firstButton="1" fmlaLink="$S$12" lockText="1"/>
</file>

<file path=xl/ctrlProps/ctrlProp1013.xml><?xml version="1.0" encoding="utf-8"?>
<formControlPr xmlns="http://schemas.microsoft.com/office/spreadsheetml/2009/9/main" objectType="Radio" lockText="1"/>
</file>

<file path=xl/ctrlProps/ctrlProp1014.xml><?xml version="1.0" encoding="utf-8"?>
<formControlPr xmlns="http://schemas.microsoft.com/office/spreadsheetml/2009/9/main" objectType="Radio" lockText="1"/>
</file>

<file path=xl/ctrlProps/ctrlProp1015.xml><?xml version="1.0" encoding="utf-8"?>
<formControlPr xmlns="http://schemas.microsoft.com/office/spreadsheetml/2009/9/main" objectType="Radio" lockText="1"/>
</file>

<file path=xl/ctrlProps/ctrlProp1016.xml><?xml version="1.0" encoding="utf-8"?>
<formControlPr xmlns="http://schemas.microsoft.com/office/spreadsheetml/2009/9/main" objectType="GBox" noThreeD="1"/>
</file>

<file path=xl/ctrlProps/ctrlProp1017.xml><?xml version="1.0" encoding="utf-8"?>
<formControlPr xmlns="http://schemas.microsoft.com/office/spreadsheetml/2009/9/main" objectType="Radio" checked="Checked" firstButton="1" fmlaLink="$S$6" lockText="1"/>
</file>

<file path=xl/ctrlProps/ctrlProp1018.xml><?xml version="1.0" encoding="utf-8"?>
<formControlPr xmlns="http://schemas.microsoft.com/office/spreadsheetml/2009/9/main" objectType="Radio" lockText="1"/>
</file>

<file path=xl/ctrlProps/ctrlProp1019.xml><?xml version="1.0" encoding="utf-8"?>
<formControlPr xmlns="http://schemas.microsoft.com/office/spreadsheetml/2009/9/main" objectType="Radio" lockText="1"/>
</file>

<file path=xl/ctrlProps/ctrlProp102.xml><?xml version="1.0" encoding="utf-8"?>
<formControlPr xmlns="http://schemas.microsoft.com/office/spreadsheetml/2009/9/main" objectType="CheckBox" fmlaLink="$S$333" lockText="1"/>
</file>

<file path=xl/ctrlProps/ctrlProp1020.xml><?xml version="1.0" encoding="utf-8"?>
<formControlPr xmlns="http://schemas.microsoft.com/office/spreadsheetml/2009/9/main" objectType="Radio" lockText="1"/>
</file>

<file path=xl/ctrlProps/ctrlProp1021.xml><?xml version="1.0" encoding="utf-8"?>
<formControlPr xmlns="http://schemas.microsoft.com/office/spreadsheetml/2009/9/main" objectType="Radio" lockText="1"/>
</file>

<file path=xl/ctrlProps/ctrlProp1022.xml><?xml version="1.0" encoding="utf-8"?>
<formControlPr xmlns="http://schemas.microsoft.com/office/spreadsheetml/2009/9/main" objectType="Radio" lockText="1"/>
</file>

<file path=xl/ctrlProps/ctrlProp1023.xml><?xml version="1.0" encoding="utf-8"?>
<formControlPr xmlns="http://schemas.microsoft.com/office/spreadsheetml/2009/9/main" objectType="Radio" checked="Checked" firstButton="1" fmlaLink="$S$4" lockText="1"/>
</file>

<file path=xl/ctrlProps/ctrlProp1024.xml><?xml version="1.0" encoding="utf-8"?>
<formControlPr xmlns="http://schemas.microsoft.com/office/spreadsheetml/2009/9/main" objectType="Radio" lockText="1"/>
</file>

<file path=xl/ctrlProps/ctrlProp1025.xml><?xml version="1.0" encoding="utf-8"?>
<formControlPr xmlns="http://schemas.microsoft.com/office/spreadsheetml/2009/9/main" objectType="Radio" lockText="1"/>
</file>

<file path=xl/ctrlProps/ctrlProp1026.xml><?xml version="1.0" encoding="utf-8"?>
<formControlPr xmlns="http://schemas.microsoft.com/office/spreadsheetml/2009/9/main" objectType="Radio" lockText="1"/>
</file>

<file path=xl/ctrlProps/ctrlProp1027.xml><?xml version="1.0" encoding="utf-8"?>
<formControlPr xmlns="http://schemas.microsoft.com/office/spreadsheetml/2009/9/main" objectType="GBox" noThreeD="1"/>
</file>

<file path=xl/ctrlProps/ctrlProp103.xml><?xml version="1.0" encoding="utf-8"?>
<formControlPr xmlns="http://schemas.microsoft.com/office/spreadsheetml/2009/9/main" objectType="CheckBox" fmlaLink="$S$334" lockText="1"/>
</file>

<file path=xl/ctrlProps/ctrlProp104.xml><?xml version="1.0" encoding="utf-8"?>
<formControlPr xmlns="http://schemas.microsoft.com/office/spreadsheetml/2009/9/main" objectType="CheckBox" fmlaLink="$S$336" lockText="1"/>
</file>

<file path=xl/ctrlProps/ctrlProp105.xml><?xml version="1.0" encoding="utf-8"?>
<formControlPr xmlns="http://schemas.microsoft.com/office/spreadsheetml/2009/9/main" objectType="CheckBox" fmlaLink="$S$335" lockText="1"/>
</file>

<file path=xl/ctrlProps/ctrlProp106.xml><?xml version="1.0" encoding="utf-8"?>
<formControlPr xmlns="http://schemas.microsoft.com/office/spreadsheetml/2009/9/main" objectType="CheckBox" fmlaLink="$S$585" lockText="1"/>
</file>

<file path=xl/ctrlProps/ctrlProp107.xml><?xml version="1.0" encoding="utf-8"?>
<formControlPr xmlns="http://schemas.microsoft.com/office/spreadsheetml/2009/9/main" objectType="CheckBox" fmlaLink="$S$423" lockText="1"/>
</file>

<file path=xl/ctrlProps/ctrlProp108.xml><?xml version="1.0" encoding="utf-8"?>
<formControlPr xmlns="http://schemas.microsoft.com/office/spreadsheetml/2009/9/main" objectType="Label" lockText="1"/>
</file>

<file path=xl/ctrlProps/ctrlProp109.xml><?xml version="1.0" encoding="utf-8"?>
<formControlPr xmlns="http://schemas.microsoft.com/office/spreadsheetml/2009/9/main" objectType="CheckBox" fmlaLink="$R$472" lockText="1"/>
</file>

<file path=xl/ctrlProps/ctrlProp11.xml><?xml version="1.0" encoding="utf-8"?>
<formControlPr xmlns="http://schemas.microsoft.com/office/spreadsheetml/2009/9/main" objectType="CheckBox" fmlaLink="$S$46" lockText="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Radio" checked="Checked" firstButton="1" fmlaLink="$S$412" lockText="1"/>
</file>

<file path=xl/ctrlProps/ctrlProp112.xml><?xml version="1.0" encoding="utf-8"?>
<formControlPr xmlns="http://schemas.microsoft.com/office/spreadsheetml/2009/9/main" objectType="Radio" lockText="1"/>
</file>

<file path=xl/ctrlProps/ctrlProp113.xml><?xml version="1.0" encoding="utf-8"?>
<formControlPr xmlns="http://schemas.microsoft.com/office/spreadsheetml/2009/9/main" objectType="Radio" lockText="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Radio" checked="Checked" firstButton="1" fmlaLink="$S$413" lockText="1"/>
</file>

<file path=xl/ctrlProps/ctrlProp116.xml><?xml version="1.0" encoding="utf-8"?>
<formControlPr xmlns="http://schemas.microsoft.com/office/spreadsheetml/2009/9/main" objectType="Radio" lockText="1"/>
</file>

<file path=xl/ctrlProps/ctrlProp117.xml><?xml version="1.0" encoding="utf-8"?>
<formControlPr xmlns="http://schemas.microsoft.com/office/spreadsheetml/2009/9/main" objectType="Radio" lockText="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Radio" checked="Checked" firstButton="1" fmlaLink="$S$415" lockText="1"/>
</file>

<file path=xl/ctrlProps/ctrlProp12.xml><?xml version="1.0" encoding="utf-8"?>
<formControlPr xmlns="http://schemas.microsoft.com/office/spreadsheetml/2009/9/main" objectType="CheckBox" fmlaLink="$S$54" lockText="1"/>
</file>

<file path=xl/ctrlProps/ctrlProp120.xml><?xml version="1.0" encoding="utf-8"?>
<formControlPr xmlns="http://schemas.microsoft.com/office/spreadsheetml/2009/9/main" objectType="Radio" lockText="1"/>
</file>

<file path=xl/ctrlProps/ctrlProp121.xml><?xml version="1.0" encoding="utf-8"?>
<formControlPr xmlns="http://schemas.microsoft.com/office/spreadsheetml/2009/9/main" objectType="Radio" lockText="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checked="Checked" firstButton="1" fmlaLink="$S$416" lockText="1"/>
</file>

<file path=xl/ctrlProps/ctrlProp124.xml><?xml version="1.0" encoding="utf-8"?>
<formControlPr xmlns="http://schemas.microsoft.com/office/spreadsheetml/2009/9/main" objectType="Radio" lockText="1"/>
</file>

<file path=xl/ctrlProps/ctrlProp125.xml><?xml version="1.0" encoding="utf-8"?>
<formControlPr xmlns="http://schemas.microsoft.com/office/spreadsheetml/2009/9/main" objectType="Radio" lockText="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Radio" checked="Checked" firstButton="1" fmlaLink="$Z$486" lockText="1"/>
</file>

<file path=xl/ctrlProps/ctrlProp128.xml><?xml version="1.0" encoding="utf-8"?>
<formControlPr xmlns="http://schemas.microsoft.com/office/spreadsheetml/2009/9/main" objectType="Radio" lockText="1"/>
</file>

<file path=xl/ctrlProps/ctrlProp129.xml><?xml version="1.0" encoding="utf-8"?>
<formControlPr xmlns="http://schemas.microsoft.com/office/spreadsheetml/2009/9/main" objectType="Radio" lockText="1"/>
</file>

<file path=xl/ctrlProps/ctrlProp13.xml><?xml version="1.0" encoding="utf-8"?>
<formControlPr xmlns="http://schemas.microsoft.com/office/spreadsheetml/2009/9/main" objectType="CheckBox" fmlaLink="$S$55" lockText="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Radio" checked="Checked" firstButton="1" fmlaLink="$Z$501" lockText="1"/>
</file>

<file path=xl/ctrlProps/ctrlProp132.xml><?xml version="1.0" encoding="utf-8"?>
<formControlPr xmlns="http://schemas.microsoft.com/office/spreadsheetml/2009/9/main" objectType="Radio" lockText="1"/>
</file>

<file path=xl/ctrlProps/ctrlProp133.xml><?xml version="1.0" encoding="utf-8"?>
<formControlPr xmlns="http://schemas.microsoft.com/office/spreadsheetml/2009/9/main" objectType="Radio" lockText="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checked="Checked" firstButton="1" fmlaLink="$R$587" lockText="1"/>
</file>

<file path=xl/ctrlProps/ctrlProp136.xml><?xml version="1.0" encoding="utf-8"?>
<formControlPr xmlns="http://schemas.microsoft.com/office/spreadsheetml/2009/9/main" objectType="Radio" lockText="1"/>
</file>

<file path=xl/ctrlProps/ctrlProp137.xml><?xml version="1.0" encoding="utf-8"?>
<formControlPr xmlns="http://schemas.microsoft.com/office/spreadsheetml/2009/9/main" objectType="Radio" lockText="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Radio" checked="Checked" firstButton="1" fmlaLink="$R$588" lockText="1"/>
</file>

<file path=xl/ctrlProps/ctrlProp14.xml><?xml version="1.0" encoding="utf-8"?>
<formControlPr xmlns="http://schemas.microsoft.com/office/spreadsheetml/2009/9/main" objectType="CheckBox" fmlaLink="$S$106" lockText="1"/>
</file>

<file path=xl/ctrlProps/ctrlProp140.xml><?xml version="1.0" encoding="utf-8"?>
<formControlPr xmlns="http://schemas.microsoft.com/office/spreadsheetml/2009/9/main" objectType="Radio" lockText="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Radio" checked="Checked" firstButton="1" fmlaLink="$R$589" lockText="1"/>
</file>

<file path=xl/ctrlProps/ctrlProp143.xml><?xml version="1.0" encoding="utf-8"?>
<formControlPr xmlns="http://schemas.microsoft.com/office/spreadsheetml/2009/9/main" objectType="Radio" lockText="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Radio" firstButton="1" fmlaLink="$R$596" lockText="1"/>
</file>

<file path=xl/ctrlProps/ctrlProp146.xml><?xml version="1.0" encoding="utf-8"?>
<formControlPr xmlns="http://schemas.microsoft.com/office/spreadsheetml/2009/9/main" objectType="Radio" checked="Checked" lockText="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Radio" checked="Checked" firstButton="1" fmlaLink="$R$385" lockText="1"/>
</file>

<file path=xl/ctrlProps/ctrlProp149.xml><?xml version="1.0" encoding="utf-8"?>
<formControlPr xmlns="http://schemas.microsoft.com/office/spreadsheetml/2009/9/main" objectType="Radio" lockText="1"/>
</file>

<file path=xl/ctrlProps/ctrlProp15.xml><?xml version="1.0" encoding="utf-8"?>
<formControlPr xmlns="http://schemas.microsoft.com/office/spreadsheetml/2009/9/main" objectType="CheckBox" fmlaLink="$S$130" lockText="1"/>
</file>

<file path=xl/ctrlProps/ctrlProp150.xml><?xml version="1.0" encoding="utf-8"?>
<formControlPr xmlns="http://schemas.microsoft.com/office/spreadsheetml/2009/9/main" objectType="Radio" lockText="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Radio" firstButton="1" fmlaLink="$S$427"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checked="Checked" lockText="1"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Radio" firstButton="1" fmlaLink="$S$428" lockText="1" noThreeD="1"/>
</file>

<file path=xl/ctrlProps/ctrlProp16.xml><?xml version="1.0" encoding="utf-8"?>
<formControlPr xmlns="http://schemas.microsoft.com/office/spreadsheetml/2009/9/main" objectType="CheckBox" fmlaLink="$S$131" lockText="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checked="Checked" lockText="1"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Radio" firstButton="1" fmlaLink="$S$429"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checked="Checked" lockText="1"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Radio" firstButton="1" fmlaLink="$S$430"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Radio" checked="Checked" lockText="1" noThreeD="1"/>
</file>

<file path=xl/ctrlProps/ctrlProp17.xml><?xml version="1.0" encoding="utf-8"?>
<formControlPr xmlns="http://schemas.microsoft.com/office/spreadsheetml/2009/9/main" objectType="CheckBox" fmlaLink="$S$132" lockText="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Radio" firstButton="1" fmlaLink="$S$431"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checked="Checked"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Radio" firstButton="1" fmlaLink="$S$432" lockText="1" noThreeD="1"/>
</file>

<file path=xl/ctrlProps/ctrlProp178.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Radio" checked="Checked" lockText="1" noThreeD="1"/>
</file>

<file path=xl/ctrlProps/ctrlProp18.xml><?xml version="1.0" encoding="utf-8"?>
<formControlPr xmlns="http://schemas.microsoft.com/office/spreadsheetml/2009/9/main" objectType="CheckBox" fmlaLink="$S$206" lockText="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S$433"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checked="Checked"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Radio" firstButton="1" fmlaLink="$S$434" lockText="1" noThreeD="1"/>
</file>

<file path=xl/ctrlProps/ctrlProp188.xml><?xml version="1.0" encoding="utf-8"?>
<formControlPr xmlns="http://schemas.microsoft.com/office/spreadsheetml/2009/9/main" objectType="Radio" lockText="1"/>
</file>

<file path=xl/ctrlProps/ctrlProp189.xml><?xml version="1.0" encoding="utf-8"?>
<formControlPr xmlns="http://schemas.microsoft.com/office/spreadsheetml/2009/9/main" objectType="Radio" checked="Checked" lockText="1" noThreeD="1"/>
</file>

<file path=xl/ctrlProps/ctrlProp19.xml><?xml version="1.0" encoding="utf-8"?>
<formControlPr xmlns="http://schemas.microsoft.com/office/spreadsheetml/2009/9/main" objectType="CheckBox" fmlaLink="$S$207" lockText="1"/>
</file>

<file path=xl/ctrlProps/ctrlProp190.xml><?xml version="1.0" encoding="utf-8"?>
<formControlPr xmlns="http://schemas.microsoft.com/office/spreadsheetml/2009/9/main" objectType="CheckBox" fmlaLink="$S$54" lockText="1"/>
</file>

<file path=xl/ctrlProps/ctrlProp191.xml><?xml version="1.0" encoding="utf-8"?>
<formControlPr xmlns="http://schemas.microsoft.com/office/spreadsheetml/2009/9/main" objectType="CheckBox" fmlaLink="$S$55" lockText="1"/>
</file>

<file path=xl/ctrlProps/ctrlProp192.xml><?xml version="1.0" encoding="utf-8"?>
<formControlPr xmlns="http://schemas.microsoft.com/office/spreadsheetml/2009/9/main" objectType="CheckBox" fmlaLink="$S$130" lockText="1"/>
</file>

<file path=xl/ctrlProps/ctrlProp193.xml><?xml version="1.0" encoding="utf-8"?>
<formControlPr xmlns="http://schemas.microsoft.com/office/spreadsheetml/2009/9/main" objectType="CheckBox" fmlaLink="$S$131" lockText="1"/>
</file>

<file path=xl/ctrlProps/ctrlProp194.xml><?xml version="1.0" encoding="utf-8"?>
<formControlPr xmlns="http://schemas.microsoft.com/office/spreadsheetml/2009/9/main" objectType="CheckBox" fmlaLink="$S$132" lockText="1"/>
</file>

<file path=xl/ctrlProps/ctrlProp195.xml><?xml version="1.0" encoding="utf-8"?>
<formControlPr xmlns="http://schemas.microsoft.com/office/spreadsheetml/2009/9/main" objectType="CheckBox" fmlaLink="$S$206" lockText="1"/>
</file>

<file path=xl/ctrlProps/ctrlProp196.xml><?xml version="1.0" encoding="utf-8"?>
<formControlPr xmlns="http://schemas.microsoft.com/office/spreadsheetml/2009/9/main" objectType="CheckBox" fmlaLink="$S$207" lockText="1"/>
</file>

<file path=xl/ctrlProps/ctrlProp197.xml><?xml version="1.0" encoding="utf-8"?>
<formControlPr xmlns="http://schemas.microsoft.com/office/spreadsheetml/2009/9/main" objectType="CheckBox" fmlaLink="$S$208" lockText="1"/>
</file>

<file path=xl/ctrlProps/ctrlProp198.xml><?xml version="1.0" encoding="utf-8"?>
<formControlPr xmlns="http://schemas.microsoft.com/office/spreadsheetml/2009/9/main" objectType="CheckBox" fmlaLink="$S$282" lockText="1"/>
</file>

<file path=xl/ctrlProps/ctrlProp199.xml><?xml version="1.0" encoding="utf-8"?>
<formControlPr xmlns="http://schemas.microsoft.com/office/spreadsheetml/2009/9/main" objectType="CheckBox" fmlaLink="$S$283" lockText="1"/>
</file>

<file path=xl/ctrlProps/ctrlProp2.xml><?xml version="1.0" encoding="utf-8"?>
<formControlPr xmlns="http://schemas.microsoft.com/office/spreadsheetml/2009/9/main" objectType="CheckBox" fmlaLink="$R$5" lockText="1"/>
</file>

<file path=xl/ctrlProps/ctrlProp20.xml><?xml version="1.0" encoding="utf-8"?>
<formControlPr xmlns="http://schemas.microsoft.com/office/spreadsheetml/2009/9/main" objectType="CheckBox" fmlaLink="$S$208" lockText="1"/>
</file>

<file path=xl/ctrlProps/ctrlProp200.xml><?xml version="1.0" encoding="utf-8"?>
<formControlPr xmlns="http://schemas.microsoft.com/office/spreadsheetml/2009/9/main" objectType="CheckBox" fmlaLink="$S$284" lockText="1"/>
</file>

<file path=xl/ctrlProps/ctrlProp201.xml><?xml version="1.0" encoding="utf-8"?>
<formControlPr xmlns="http://schemas.microsoft.com/office/spreadsheetml/2009/9/main" objectType="CheckBox" fmlaLink="$S$357" lockText="1"/>
</file>

<file path=xl/ctrlProps/ctrlProp202.xml><?xml version="1.0" encoding="utf-8"?>
<formControlPr xmlns="http://schemas.microsoft.com/office/spreadsheetml/2009/9/main" objectType="CheckBox" fmlaLink="$S$358" lockText="1"/>
</file>

<file path=xl/ctrlProps/ctrlProp203.xml><?xml version="1.0" encoding="utf-8"?>
<formControlPr xmlns="http://schemas.microsoft.com/office/spreadsheetml/2009/9/main" objectType="CheckBox" fmlaLink="$S$359" lockText="1"/>
</file>

<file path=xl/ctrlProps/ctrlProp204.xml><?xml version="1.0" encoding="utf-8"?>
<formControlPr xmlns="http://schemas.microsoft.com/office/spreadsheetml/2009/9/main" objectType="CheckBox" fmlaLink="$R$386" lockText="1"/>
</file>

<file path=xl/ctrlProps/ctrlProp205.xml><?xml version="1.0" encoding="utf-8"?>
<formControlPr xmlns="http://schemas.microsoft.com/office/spreadsheetml/2009/9/main" objectType="CheckBox" fmlaLink="$R$387" lockText="1"/>
</file>

<file path=xl/ctrlProps/ctrlProp206.xml><?xml version="1.0" encoding="utf-8"?>
<formControlPr xmlns="http://schemas.microsoft.com/office/spreadsheetml/2009/9/main" objectType="CheckBox" fmlaLink="$R$388" lockText="1"/>
</file>

<file path=xl/ctrlProps/ctrlProp207.xml><?xml version="1.0" encoding="utf-8"?>
<formControlPr xmlns="http://schemas.microsoft.com/office/spreadsheetml/2009/9/main" objectType="CheckBox" fmlaLink="$R$389" lockText="1"/>
</file>

<file path=xl/ctrlProps/ctrlProp208.xml><?xml version="1.0" encoding="utf-8"?>
<formControlPr xmlns="http://schemas.microsoft.com/office/spreadsheetml/2009/9/main" objectType="CheckBox" fmlaLink="$R$390" lockText="1"/>
</file>

<file path=xl/ctrlProps/ctrlProp209.xml><?xml version="1.0" encoding="utf-8"?>
<formControlPr xmlns="http://schemas.microsoft.com/office/spreadsheetml/2009/9/main" objectType="CheckBox" fmlaLink="$S$422" lockText="1"/>
</file>

<file path=xl/ctrlProps/ctrlProp21.xml><?xml version="1.0" encoding="utf-8"?>
<formControlPr xmlns="http://schemas.microsoft.com/office/spreadsheetml/2009/9/main" objectType="CheckBox" fmlaLink="$S$282" lockText="1"/>
</file>

<file path=xl/ctrlProps/ctrlProp210.xml><?xml version="1.0" encoding="utf-8"?>
<formControlPr xmlns="http://schemas.microsoft.com/office/spreadsheetml/2009/9/main" objectType="CheckBox" fmlaLink="$S$423" lockText="1"/>
</file>

<file path=xl/ctrlProps/ctrlProp211.xml><?xml version="1.0" encoding="utf-8"?>
<formControlPr xmlns="http://schemas.microsoft.com/office/spreadsheetml/2009/9/main" objectType="CheckBox" fmlaLink="$R$450" lockText="1"/>
</file>

<file path=xl/ctrlProps/ctrlProp212.xml><?xml version="1.0" encoding="utf-8"?>
<formControlPr xmlns="http://schemas.microsoft.com/office/spreadsheetml/2009/9/main" objectType="CheckBox" fmlaLink="$R$451" lockText="1"/>
</file>

<file path=xl/ctrlProps/ctrlProp213.xml><?xml version="1.0" encoding="utf-8"?>
<formControlPr xmlns="http://schemas.microsoft.com/office/spreadsheetml/2009/9/main" objectType="CheckBox" fmlaLink="$R$452" lockText="1"/>
</file>

<file path=xl/ctrlProps/ctrlProp214.xml><?xml version="1.0" encoding="utf-8"?>
<formControlPr xmlns="http://schemas.microsoft.com/office/spreadsheetml/2009/9/main" objectType="CheckBox" fmlaLink="$R$453" lockText="1"/>
</file>

<file path=xl/ctrlProps/ctrlProp215.xml><?xml version="1.0" encoding="utf-8"?>
<formControlPr xmlns="http://schemas.microsoft.com/office/spreadsheetml/2009/9/main" objectType="CheckBox" fmlaLink="$R$454" lockText="1"/>
</file>

<file path=xl/ctrlProps/ctrlProp216.xml><?xml version="1.0" encoding="utf-8"?>
<formControlPr xmlns="http://schemas.microsoft.com/office/spreadsheetml/2009/9/main" objectType="CheckBox" fmlaLink="$R$458" lockText="1"/>
</file>

<file path=xl/ctrlProps/ctrlProp217.xml><?xml version="1.0" encoding="utf-8"?>
<formControlPr xmlns="http://schemas.microsoft.com/office/spreadsheetml/2009/9/main" objectType="CheckBox" fmlaLink="$R$459" lockText="1"/>
</file>

<file path=xl/ctrlProps/ctrlProp218.xml><?xml version="1.0" encoding="utf-8"?>
<formControlPr xmlns="http://schemas.microsoft.com/office/spreadsheetml/2009/9/main" objectType="CheckBox" fmlaLink="$R$460" lockText="1"/>
</file>

<file path=xl/ctrlProps/ctrlProp219.xml><?xml version="1.0" encoding="utf-8"?>
<formControlPr xmlns="http://schemas.microsoft.com/office/spreadsheetml/2009/9/main" objectType="CheckBox" fmlaLink="$R$461" lockText="1"/>
</file>

<file path=xl/ctrlProps/ctrlProp22.xml><?xml version="1.0" encoding="utf-8"?>
<formControlPr xmlns="http://schemas.microsoft.com/office/spreadsheetml/2009/9/main" objectType="CheckBox" fmlaLink="$S$283" lockText="1"/>
</file>

<file path=xl/ctrlProps/ctrlProp220.xml><?xml version="1.0" encoding="utf-8"?>
<formControlPr xmlns="http://schemas.microsoft.com/office/spreadsheetml/2009/9/main" objectType="CheckBox" fmlaLink="$R$495" lockText="1"/>
</file>

<file path=xl/ctrlProps/ctrlProp221.xml><?xml version="1.0" encoding="utf-8"?>
<formControlPr xmlns="http://schemas.microsoft.com/office/spreadsheetml/2009/9/main" objectType="CheckBox" fmlaLink="$R$494" lockText="1"/>
</file>

<file path=xl/ctrlProps/ctrlProp222.xml><?xml version="1.0" encoding="utf-8"?>
<formControlPr xmlns="http://schemas.microsoft.com/office/spreadsheetml/2009/9/main" objectType="CheckBox" fmlaLink="$R$483" lockText="1"/>
</file>

<file path=xl/ctrlProps/ctrlProp223.xml><?xml version="1.0" encoding="utf-8"?>
<formControlPr xmlns="http://schemas.microsoft.com/office/spreadsheetml/2009/9/main" objectType="CheckBox" fmlaLink="$R$484" lockText="1"/>
</file>

<file path=xl/ctrlProps/ctrlProp224.xml><?xml version="1.0" encoding="utf-8"?>
<formControlPr xmlns="http://schemas.microsoft.com/office/spreadsheetml/2009/9/main" objectType="CheckBox" fmlaLink="$R$485" lockText="1"/>
</file>

<file path=xl/ctrlProps/ctrlProp225.xml><?xml version="1.0" encoding="utf-8"?>
<formControlPr xmlns="http://schemas.microsoft.com/office/spreadsheetml/2009/9/main" objectType="CheckBox" fmlaLink="$R$486" lockText="1"/>
</file>

<file path=xl/ctrlProps/ctrlProp226.xml><?xml version="1.0" encoding="utf-8"?>
<formControlPr xmlns="http://schemas.microsoft.com/office/spreadsheetml/2009/9/main" objectType="CheckBox" fmlaLink="$R$487" lockText="1"/>
</file>

<file path=xl/ctrlProps/ctrlProp227.xml><?xml version="1.0" encoding="utf-8"?>
<formControlPr xmlns="http://schemas.microsoft.com/office/spreadsheetml/2009/9/main" objectType="CheckBox" fmlaLink="$R$488" lockText="1"/>
</file>

<file path=xl/ctrlProps/ctrlProp228.xml><?xml version="1.0" encoding="utf-8"?>
<formControlPr xmlns="http://schemas.microsoft.com/office/spreadsheetml/2009/9/main" objectType="CheckBox" fmlaLink="$R$489" lockText="1"/>
</file>

<file path=xl/ctrlProps/ctrlProp229.xml><?xml version="1.0" encoding="utf-8"?>
<formControlPr xmlns="http://schemas.microsoft.com/office/spreadsheetml/2009/9/main" objectType="CheckBox" fmlaLink="$R$490" lockText="1"/>
</file>

<file path=xl/ctrlProps/ctrlProp23.xml><?xml version="1.0" encoding="utf-8"?>
<formControlPr xmlns="http://schemas.microsoft.com/office/spreadsheetml/2009/9/main" objectType="CheckBox" fmlaLink="$S$284" lockText="1"/>
</file>

<file path=xl/ctrlProps/ctrlProp230.xml><?xml version="1.0" encoding="utf-8"?>
<formControlPr xmlns="http://schemas.microsoft.com/office/spreadsheetml/2009/9/main" objectType="CheckBox" fmlaLink="$R$491" lockText="1"/>
</file>

<file path=xl/ctrlProps/ctrlProp231.xml><?xml version="1.0" encoding="utf-8"?>
<formControlPr xmlns="http://schemas.microsoft.com/office/spreadsheetml/2009/9/main" objectType="CheckBox" fmlaLink="$R$492" lockText="1"/>
</file>

<file path=xl/ctrlProps/ctrlProp232.xml><?xml version="1.0" encoding="utf-8"?>
<formControlPr xmlns="http://schemas.microsoft.com/office/spreadsheetml/2009/9/main" objectType="CheckBox" fmlaLink="$R$493" lockText="1"/>
</file>

<file path=xl/ctrlProps/ctrlProp233.xml><?xml version="1.0" encoding="utf-8"?>
<formControlPr xmlns="http://schemas.microsoft.com/office/spreadsheetml/2009/9/main" objectType="CheckBox" fmlaLink="$R$499" lockText="1"/>
</file>

<file path=xl/ctrlProps/ctrlProp234.xml><?xml version="1.0" encoding="utf-8"?>
<formControlPr xmlns="http://schemas.microsoft.com/office/spreadsheetml/2009/9/main" objectType="CheckBox" fmlaLink="$R$500" lockText="1"/>
</file>

<file path=xl/ctrlProps/ctrlProp235.xml><?xml version="1.0" encoding="utf-8"?>
<formControlPr xmlns="http://schemas.microsoft.com/office/spreadsheetml/2009/9/main" objectType="CheckBox" fmlaLink="$R$501" lockText="1"/>
</file>

<file path=xl/ctrlProps/ctrlProp236.xml><?xml version="1.0" encoding="utf-8"?>
<formControlPr xmlns="http://schemas.microsoft.com/office/spreadsheetml/2009/9/main" objectType="CheckBox" fmlaLink="$R$502" lockText="1"/>
</file>

<file path=xl/ctrlProps/ctrlProp237.xml><?xml version="1.0" encoding="utf-8"?>
<formControlPr xmlns="http://schemas.microsoft.com/office/spreadsheetml/2009/9/main" objectType="CheckBox" fmlaLink="$R$503" lockText="1"/>
</file>

<file path=xl/ctrlProps/ctrlProp238.xml><?xml version="1.0" encoding="utf-8"?>
<formControlPr xmlns="http://schemas.microsoft.com/office/spreadsheetml/2009/9/main" objectType="CheckBox" fmlaLink="$R$504" lockText="1"/>
</file>

<file path=xl/ctrlProps/ctrlProp239.xml><?xml version="1.0" encoding="utf-8"?>
<formControlPr xmlns="http://schemas.microsoft.com/office/spreadsheetml/2009/9/main" objectType="CheckBox" fmlaLink="$R$505" lockText="1"/>
</file>

<file path=xl/ctrlProps/ctrlProp24.xml><?xml version="1.0" encoding="utf-8"?>
<formControlPr xmlns="http://schemas.microsoft.com/office/spreadsheetml/2009/9/main" objectType="CheckBox" fmlaLink="$S$357" lockText="1"/>
</file>

<file path=xl/ctrlProps/ctrlProp240.xml><?xml version="1.0" encoding="utf-8"?>
<formControlPr xmlns="http://schemas.microsoft.com/office/spreadsheetml/2009/9/main" objectType="CheckBox" fmlaLink="$R$506" lockText="1"/>
</file>

<file path=xl/ctrlProps/ctrlProp241.xml><?xml version="1.0" encoding="utf-8"?>
<formControlPr xmlns="http://schemas.microsoft.com/office/spreadsheetml/2009/9/main" objectType="CheckBox" fmlaLink="$R$507" lockText="1"/>
</file>

<file path=xl/ctrlProps/ctrlProp242.xml><?xml version="1.0" encoding="utf-8"?>
<formControlPr xmlns="http://schemas.microsoft.com/office/spreadsheetml/2009/9/main" objectType="CheckBox" fmlaLink="$R$508" lockText="1"/>
</file>

<file path=xl/ctrlProps/ctrlProp243.xml><?xml version="1.0" encoding="utf-8"?>
<formControlPr xmlns="http://schemas.microsoft.com/office/spreadsheetml/2009/9/main" objectType="CheckBox" fmlaLink="$R$509" lockText="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Radio" firstButton="1" fmlaLink="$R$518" lockText="1"/>
</file>

<file path=xl/ctrlProps/ctrlProp246.xml><?xml version="1.0" encoding="utf-8"?>
<formControlPr xmlns="http://schemas.microsoft.com/office/spreadsheetml/2009/9/main" objectType="Radio" checked="Checked" lockText="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Radio" checked="Checked" firstButton="1" fmlaLink="$R$566" lockText="1"/>
</file>

<file path=xl/ctrlProps/ctrlProp249.xml><?xml version="1.0" encoding="utf-8"?>
<formControlPr xmlns="http://schemas.microsoft.com/office/spreadsheetml/2009/9/main" objectType="Radio" lockText="1"/>
</file>

<file path=xl/ctrlProps/ctrlProp25.xml><?xml version="1.0" encoding="utf-8"?>
<formControlPr xmlns="http://schemas.microsoft.com/office/spreadsheetml/2009/9/main" objectType="CheckBox" fmlaLink="$S$358" lockText="1"/>
</file>

<file path=xl/ctrlProps/ctrlProp250.xml><?xml version="1.0" encoding="utf-8"?>
<formControlPr xmlns="http://schemas.microsoft.com/office/spreadsheetml/2009/9/main" objectType="CheckBox" fmlaLink="$S$44" lockText="1"/>
</file>

<file path=xl/ctrlProps/ctrlProp251.xml><?xml version="1.0" encoding="utf-8"?>
<formControlPr xmlns="http://schemas.microsoft.com/office/spreadsheetml/2009/9/main" objectType="CheckBox" fmlaLink="$S$45" lockText="1"/>
</file>

<file path=xl/ctrlProps/ctrlProp252.xml><?xml version="1.0" encoding="utf-8"?>
<formControlPr xmlns="http://schemas.microsoft.com/office/spreadsheetml/2009/9/main" objectType="CheckBox" fmlaLink="$S$47" lockText="1"/>
</file>

<file path=xl/ctrlProps/ctrlProp253.xml><?xml version="1.0" encoding="utf-8"?>
<formControlPr xmlns="http://schemas.microsoft.com/office/spreadsheetml/2009/9/main" objectType="CheckBox" fmlaLink="$S$46" lockText="1"/>
</file>

<file path=xl/ctrlProps/ctrlProp254.xml><?xml version="1.0" encoding="utf-8"?>
<formControlPr xmlns="http://schemas.microsoft.com/office/spreadsheetml/2009/9/main" objectType="CheckBox" fmlaLink="$S$106" lockText="1"/>
</file>

<file path=xl/ctrlProps/ctrlProp255.xml><?xml version="1.0" encoding="utf-8"?>
<formControlPr xmlns="http://schemas.microsoft.com/office/spreadsheetml/2009/9/main" objectType="CheckBox" fmlaLink="$S$107" lockText="1"/>
</file>

<file path=xl/ctrlProps/ctrlProp256.xml><?xml version="1.0" encoding="utf-8"?>
<formControlPr xmlns="http://schemas.microsoft.com/office/spreadsheetml/2009/9/main" objectType="CheckBox" fmlaLink="$S$109" lockText="1"/>
</file>

<file path=xl/ctrlProps/ctrlProp257.xml><?xml version="1.0" encoding="utf-8"?>
<formControlPr xmlns="http://schemas.microsoft.com/office/spreadsheetml/2009/9/main" objectType="CheckBox" fmlaLink="$S$108" lockText="1"/>
</file>

<file path=xl/ctrlProps/ctrlProp258.xml><?xml version="1.0" encoding="utf-8"?>
<formControlPr xmlns="http://schemas.microsoft.com/office/spreadsheetml/2009/9/main" objectType="CheckBox" fmlaLink="$S$182" lockText="1"/>
</file>

<file path=xl/ctrlProps/ctrlProp259.xml><?xml version="1.0" encoding="utf-8"?>
<formControlPr xmlns="http://schemas.microsoft.com/office/spreadsheetml/2009/9/main" objectType="CheckBox" fmlaLink="$S$183" lockText="1"/>
</file>

<file path=xl/ctrlProps/ctrlProp26.xml><?xml version="1.0" encoding="utf-8"?>
<formControlPr xmlns="http://schemas.microsoft.com/office/spreadsheetml/2009/9/main" objectType="CheckBox" fmlaLink="$S$359" lockText="1"/>
</file>

<file path=xl/ctrlProps/ctrlProp260.xml><?xml version="1.0" encoding="utf-8"?>
<formControlPr xmlns="http://schemas.microsoft.com/office/spreadsheetml/2009/9/main" objectType="CheckBox" fmlaLink="$S$185" lockText="1"/>
</file>

<file path=xl/ctrlProps/ctrlProp261.xml><?xml version="1.0" encoding="utf-8"?>
<formControlPr xmlns="http://schemas.microsoft.com/office/spreadsheetml/2009/9/main" objectType="CheckBox" fmlaLink="$S$184" lockText="1"/>
</file>

<file path=xl/ctrlProps/ctrlProp262.xml><?xml version="1.0" encoding="utf-8"?>
<formControlPr xmlns="http://schemas.microsoft.com/office/spreadsheetml/2009/9/main" objectType="CheckBox" fmlaLink="$S$258" lockText="1"/>
</file>

<file path=xl/ctrlProps/ctrlProp263.xml><?xml version="1.0" encoding="utf-8"?>
<formControlPr xmlns="http://schemas.microsoft.com/office/spreadsheetml/2009/9/main" objectType="CheckBox" fmlaLink="$S$259" lockText="1"/>
</file>

<file path=xl/ctrlProps/ctrlProp264.xml><?xml version="1.0" encoding="utf-8"?>
<formControlPr xmlns="http://schemas.microsoft.com/office/spreadsheetml/2009/9/main" objectType="CheckBox" fmlaLink="$S$261" lockText="1"/>
</file>

<file path=xl/ctrlProps/ctrlProp265.xml><?xml version="1.0" encoding="utf-8"?>
<formControlPr xmlns="http://schemas.microsoft.com/office/spreadsheetml/2009/9/main" objectType="CheckBox" fmlaLink="$S$260" lockText="1"/>
</file>

<file path=xl/ctrlProps/ctrlProp266.xml><?xml version="1.0" encoding="utf-8"?>
<formControlPr xmlns="http://schemas.microsoft.com/office/spreadsheetml/2009/9/main" objectType="CheckBox" fmlaLink="$S$333" lockText="1"/>
</file>

<file path=xl/ctrlProps/ctrlProp267.xml><?xml version="1.0" encoding="utf-8"?>
<formControlPr xmlns="http://schemas.microsoft.com/office/spreadsheetml/2009/9/main" objectType="CheckBox" fmlaLink="$S$334" lockText="1"/>
</file>

<file path=xl/ctrlProps/ctrlProp268.xml><?xml version="1.0" encoding="utf-8"?>
<formControlPr xmlns="http://schemas.microsoft.com/office/spreadsheetml/2009/9/main" objectType="CheckBox" fmlaLink="$S$336" lockText="1"/>
</file>

<file path=xl/ctrlProps/ctrlProp269.xml><?xml version="1.0" encoding="utf-8"?>
<formControlPr xmlns="http://schemas.microsoft.com/office/spreadsheetml/2009/9/main" objectType="CheckBox" fmlaLink="$S$335" lockText="1"/>
</file>

<file path=xl/ctrlProps/ctrlProp27.xml><?xml version="1.0" encoding="utf-8"?>
<formControlPr xmlns="http://schemas.microsoft.com/office/spreadsheetml/2009/9/main" objectType="CheckBox" fmlaLink="$R$386" lockText="1"/>
</file>

<file path=xl/ctrlProps/ctrlProp270.xml><?xml version="1.0" encoding="utf-8"?>
<formControlPr xmlns="http://schemas.microsoft.com/office/spreadsheetml/2009/9/main" objectType="CheckBox" fmlaLink="$S$585" lockText="1"/>
</file>

<file path=xl/ctrlProps/ctrlProp271.xml><?xml version="1.0" encoding="utf-8"?>
<formControlPr xmlns="http://schemas.microsoft.com/office/spreadsheetml/2009/9/main" objectType="CheckBox" fmlaLink="$R$464" lockText="1"/>
</file>

<file path=xl/ctrlProps/ctrlProp272.xml><?xml version="1.0" encoding="utf-8"?>
<formControlPr xmlns="http://schemas.microsoft.com/office/spreadsheetml/2009/9/main" objectType="CheckBox" fmlaLink="$R$465" lockText="1"/>
</file>

<file path=xl/ctrlProps/ctrlProp273.xml><?xml version="1.0" encoding="utf-8"?>
<formControlPr xmlns="http://schemas.microsoft.com/office/spreadsheetml/2009/9/main" objectType="CheckBox" fmlaLink="$R$466" lockText="1"/>
</file>

<file path=xl/ctrlProps/ctrlProp274.xml><?xml version="1.0" encoding="utf-8"?>
<formControlPr xmlns="http://schemas.microsoft.com/office/spreadsheetml/2009/9/main" objectType="CheckBox" fmlaLink="$R$467" lockText="1"/>
</file>

<file path=xl/ctrlProps/ctrlProp275.xml><?xml version="1.0" encoding="utf-8"?>
<formControlPr xmlns="http://schemas.microsoft.com/office/spreadsheetml/2009/9/main" objectType="CheckBox" fmlaLink="$R$468" lockText="1"/>
</file>

<file path=xl/ctrlProps/ctrlProp276.xml><?xml version="1.0" encoding="utf-8"?>
<formControlPr xmlns="http://schemas.microsoft.com/office/spreadsheetml/2009/9/main" objectType="CheckBox" fmlaLink="$R$479" lockText="1"/>
</file>

<file path=xl/ctrlProps/ctrlProp277.xml><?xml version="1.0" encoding="utf-8"?>
<formControlPr xmlns="http://schemas.microsoft.com/office/spreadsheetml/2009/9/main" objectType="CheckBox" fmlaLink="$R$480" lockText="1"/>
</file>

<file path=xl/ctrlProps/ctrlProp278.xml><?xml version="1.0" encoding="utf-8"?>
<formControlPr xmlns="http://schemas.microsoft.com/office/spreadsheetml/2009/9/main" objectType="CheckBox" fmlaLink="$R$471" lockText="1"/>
</file>

<file path=xl/ctrlProps/ctrlProp279.xml><?xml version="1.0" encoding="utf-8"?>
<formControlPr xmlns="http://schemas.microsoft.com/office/spreadsheetml/2009/9/main" objectType="CheckBox" fmlaLink="$R$321" lockText="1"/>
</file>

<file path=xl/ctrlProps/ctrlProp28.xml><?xml version="1.0" encoding="utf-8"?>
<formControlPr xmlns="http://schemas.microsoft.com/office/spreadsheetml/2009/9/main" objectType="CheckBox" fmlaLink="$R$387" lockText="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Radio" firstButton="1" fmlaLink="$Z$464" lockText="1"/>
</file>

<file path=xl/ctrlProps/ctrlProp282.xml><?xml version="1.0" encoding="utf-8"?>
<formControlPr xmlns="http://schemas.microsoft.com/office/spreadsheetml/2009/9/main" objectType="Radio" checked="Checked" lockText="1"/>
</file>

<file path=xl/ctrlProps/ctrlProp283.xml><?xml version="1.0" encoding="utf-8"?>
<formControlPr xmlns="http://schemas.microsoft.com/office/spreadsheetml/2009/9/main" objectType="Radio" lockText="1"/>
</file>

<file path=xl/ctrlProps/ctrlProp284.xml><?xml version="1.0" encoding="utf-8"?>
<formControlPr xmlns="http://schemas.microsoft.com/office/spreadsheetml/2009/9/main" objectType="CheckBox" fmlaLink="$R$473" lockText="1"/>
</file>

<file path=xl/ctrlProps/ctrlProp285.xml><?xml version="1.0" encoding="utf-8"?>
<formControlPr xmlns="http://schemas.microsoft.com/office/spreadsheetml/2009/9/main" objectType="CheckBox" fmlaLink="$R$474" lockText="1"/>
</file>

<file path=xl/ctrlProps/ctrlProp286.xml><?xml version="1.0" encoding="utf-8"?>
<formControlPr xmlns="http://schemas.microsoft.com/office/spreadsheetml/2009/9/main" objectType="CheckBox" fmlaLink="$R$475" lockText="1"/>
</file>

<file path=xl/ctrlProps/ctrlProp287.xml><?xml version="1.0" encoding="utf-8"?>
<formControlPr xmlns="http://schemas.microsoft.com/office/spreadsheetml/2009/9/main" objectType="CheckBox" fmlaLink="$R$476" lockText="1"/>
</file>

<file path=xl/ctrlProps/ctrlProp288.xml><?xml version="1.0" encoding="utf-8"?>
<formControlPr xmlns="http://schemas.microsoft.com/office/spreadsheetml/2009/9/main" objectType="CheckBox" fmlaLink="$R$477" lockText="1"/>
</file>

<file path=xl/ctrlProps/ctrlProp289.xml><?xml version="1.0" encoding="utf-8"?>
<formControlPr xmlns="http://schemas.microsoft.com/office/spreadsheetml/2009/9/main" objectType="CheckBox" fmlaLink="$R$478" lockText="1"/>
</file>

<file path=xl/ctrlProps/ctrlProp29.xml><?xml version="1.0" encoding="utf-8"?>
<formControlPr xmlns="http://schemas.microsoft.com/office/spreadsheetml/2009/9/main" objectType="CheckBox" fmlaLink="$R$388" lockText="1"/>
</file>

<file path=xl/ctrlProps/ctrlProp290.xml><?xml version="1.0" encoding="utf-8"?>
<formControlPr xmlns="http://schemas.microsoft.com/office/spreadsheetml/2009/9/main" objectType="Label" lockText="1"/>
</file>

<file path=xl/ctrlProps/ctrlProp291.xml><?xml version="1.0" encoding="utf-8"?>
<formControlPr xmlns="http://schemas.microsoft.com/office/spreadsheetml/2009/9/main" objectType="CheckBox" fmlaLink="$R$472" lockText="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Radio" checked="Checked" firstButton="1" fmlaLink="$S$412" lockText="1"/>
</file>

<file path=xl/ctrlProps/ctrlProp294.xml><?xml version="1.0" encoding="utf-8"?>
<formControlPr xmlns="http://schemas.microsoft.com/office/spreadsheetml/2009/9/main" objectType="Radio" lockText="1"/>
</file>

<file path=xl/ctrlProps/ctrlProp295.xml><?xml version="1.0" encoding="utf-8"?>
<formControlPr xmlns="http://schemas.microsoft.com/office/spreadsheetml/2009/9/main" objectType="Radio" lockText="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Radio" checked="Checked" firstButton="1" fmlaLink="$S$413" lockText="1"/>
</file>

<file path=xl/ctrlProps/ctrlProp298.xml><?xml version="1.0" encoding="utf-8"?>
<formControlPr xmlns="http://schemas.microsoft.com/office/spreadsheetml/2009/9/main" objectType="Radio" lockText="1"/>
</file>

<file path=xl/ctrlProps/ctrlProp299.xml><?xml version="1.0" encoding="utf-8"?>
<formControlPr xmlns="http://schemas.microsoft.com/office/spreadsheetml/2009/9/main" objectType="Radio" lockText="1"/>
</file>

<file path=xl/ctrlProps/ctrlProp3.xml><?xml version="1.0" encoding="utf-8"?>
<formControlPr xmlns="http://schemas.microsoft.com/office/spreadsheetml/2009/9/main" objectType="CheckBox" fmlaLink="$R$6" lockText="1"/>
</file>

<file path=xl/ctrlProps/ctrlProp30.xml><?xml version="1.0" encoding="utf-8"?>
<formControlPr xmlns="http://schemas.microsoft.com/office/spreadsheetml/2009/9/main" objectType="CheckBox" fmlaLink="$R$389" lockText="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Radio" checked="Checked" firstButton="1" fmlaLink="$S$415" lockText="1"/>
</file>

<file path=xl/ctrlProps/ctrlProp302.xml><?xml version="1.0" encoding="utf-8"?>
<formControlPr xmlns="http://schemas.microsoft.com/office/spreadsheetml/2009/9/main" objectType="Radio" lockText="1"/>
</file>

<file path=xl/ctrlProps/ctrlProp303.xml><?xml version="1.0" encoding="utf-8"?>
<formControlPr xmlns="http://schemas.microsoft.com/office/spreadsheetml/2009/9/main" objectType="Radio" lockText="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Radio" checked="Checked" firstButton="1" fmlaLink="$S$416" lockText="1"/>
</file>

<file path=xl/ctrlProps/ctrlProp306.xml><?xml version="1.0" encoding="utf-8"?>
<formControlPr xmlns="http://schemas.microsoft.com/office/spreadsheetml/2009/9/main" objectType="Radio" lockText="1"/>
</file>

<file path=xl/ctrlProps/ctrlProp307.xml><?xml version="1.0" encoding="utf-8"?>
<formControlPr xmlns="http://schemas.microsoft.com/office/spreadsheetml/2009/9/main" objectType="Radio" lockText="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Radio" checked="Checked" firstButton="1" fmlaLink="$Z$486" lockText="1"/>
</file>

<file path=xl/ctrlProps/ctrlProp31.xml><?xml version="1.0" encoding="utf-8"?>
<formControlPr xmlns="http://schemas.microsoft.com/office/spreadsheetml/2009/9/main" objectType="CheckBox" fmlaLink="$R$390" lockText="1"/>
</file>

<file path=xl/ctrlProps/ctrlProp310.xml><?xml version="1.0" encoding="utf-8"?>
<formControlPr xmlns="http://schemas.microsoft.com/office/spreadsheetml/2009/9/main" objectType="Radio" lockText="1"/>
</file>

<file path=xl/ctrlProps/ctrlProp311.xml><?xml version="1.0" encoding="utf-8"?>
<formControlPr xmlns="http://schemas.microsoft.com/office/spreadsheetml/2009/9/main" objectType="Radio" lockText="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Radio" checked="Checked" firstButton="1" fmlaLink="$Z$501" lockText="1"/>
</file>

<file path=xl/ctrlProps/ctrlProp314.xml><?xml version="1.0" encoding="utf-8"?>
<formControlPr xmlns="http://schemas.microsoft.com/office/spreadsheetml/2009/9/main" objectType="Radio" lockText="1"/>
</file>

<file path=xl/ctrlProps/ctrlProp315.xml><?xml version="1.0" encoding="utf-8"?>
<formControlPr xmlns="http://schemas.microsoft.com/office/spreadsheetml/2009/9/main" objectType="Radio" lockText="1"/>
</file>

<file path=xl/ctrlProps/ctrlProp316.xml><?xml version="1.0" encoding="utf-8"?>
<formControlPr xmlns="http://schemas.microsoft.com/office/spreadsheetml/2009/9/main" objectType="GBox" noThreeD="1"/>
</file>

<file path=xl/ctrlProps/ctrlProp317.xml><?xml version="1.0" encoding="utf-8"?>
<formControlPr xmlns="http://schemas.microsoft.com/office/spreadsheetml/2009/9/main" objectType="Radio" checked="Checked" firstButton="1" fmlaLink="$R$587" lockText="1"/>
</file>

<file path=xl/ctrlProps/ctrlProp318.xml><?xml version="1.0" encoding="utf-8"?>
<formControlPr xmlns="http://schemas.microsoft.com/office/spreadsheetml/2009/9/main" objectType="Radio" lockText="1"/>
</file>

<file path=xl/ctrlProps/ctrlProp319.xml><?xml version="1.0" encoding="utf-8"?>
<formControlPr xmlns="http://schemas.microsoft.com/office/spreadsheetml/2009/9/main" objectType="Radio" lockText="1"/>
</file>

<file path=xl/ctrlProps/ctrlProp32.xml><?xml version="1.0" encoding="utf-8"?>
<formControlPr xmlns="http://schemas.microsoft.com/office/spreadsheetml/2009/9/main" objectType="CheckBox" fmlaLink="$S$422" lockText="1"/>
</file>

<file path=xl/ctrlProps/ctrlProp320.xml><?xml version="1.0" encoding="utf-8"?>
<formControlPr xmlns="http://schemas.microsoft.com/office/spreadsheetml/2009/9/main" objectType="GBox" noThreeD="1"/>
</file>

<file path=xl/ctrlProps/ctrlProp321.xml><?xml version="1.0" encoding="utf-8"?>
<formControlPr xmlns="http://schemas.microsoft.com/office/spreadsheetml/2009/9/main" objectType="Radio" checked="Checked" firstButton="1" fmlaLink="$R$588" lockText="1"/>
</file>

<file path=xl/ctrlProps/ctrlProp322.xml><?xml version="1.0" encoding="utf-8"?>
<formControlPr xmlns="http://schemas.microsoft.com/office/spreadsheetml/2009/9/main" objectType="Radio" lockText="1"/>
</file>

<file path=xl/ctrlProps/ctrlProp323.xml><?xml version="1.0" encoding="utf-8"?>
<formControlPr xmlns="http://schemas.microsoft.com/office/spreadsheetml/2009/9/main" objectType="GBox" noThreeD="1"/>
</file>

<file path=xl/ctrlProps/ctrlProp324.xml><?xml version="1.0" encoding="utf-8"?>
<formControlPr xmlns="http://schemas.microsoft.com/office/spreadsheetml/2009/9/main" objectType="Radio" checked="Checked" firstButton="1" fmlaLink="$R$589" lockText="1"/>
</file>

<file path=xl/ctrlProps/ctrlProp325.xml><?xml version="1.0" encoding="utf-8"?>
<formControlPr xmlns="http://schemas.microsoft.com/office/spreadsheetml/2009/9/main" objectType="Radio" lockText="1"/>
</file>

<file path=xl/ctrlProps/ctrlProp326.xml><?xml version="1.0" encoding="utf-8"?>
<formControlPr xmlns="http://schemas.microsoft.com/office/spreadsheetml/2009/9/main" objectType="GBox" noThreeD="1"/>
</file>

<file path=xl/ctrlProps/ctrlProp327.xml><?xml version="1.0" encoding="utf-8"?>
<formControlPr xmlns="http://schemas.microsoft.com/office/spreadsheetml/2009/9/main" objectType="Radio" firstButton="1" fmlaLink="$R$596" lockText="1"/>
</file>

<file path=xl/ctrlProps/ctrlProp328.xml><?xml version="1.0" encoding="utf-8"?>
<formControlPr xmlns="http://schemas.microsoft.com/office/spreadsheetml/2009/9/main" objectType="Radio" checked="Checked" lockText="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CheckBox" fmlaLink="$R$450" lockText="1"/>
</file>

<file path=xl/ctrlProps/ctrlProp330.xml><?xml version="1.0" encoding="utf-8"?>
<formControlPr xmlns="http://schemas.microsoft.com/office/spreadsheetml/2009/9/main" objectType="Radio" checked="Checked" firstButton="1" fmlaLink="$R$385" lockText="1"/>
</file>

<file path=xl/ctrlProps/ctrlProp331.xml><?xml version="1.0" encoding="utf-8"?>
<formControlPr xmlns="http://schemas.microsoft.com/office/spreadsheetml/2009/9/main" objectType="Radio" lockText="1"/>
</file>

<file path=xl/ctrlProps/ctrlProp332.xml><?xml version="1.0" encoding="utf-8"?>
<formControlPr xmlns="http://schemas.microsoft.com/office/spreadsheetml/2009/9/main" objectType="Radio" lockText="1"/>
</file>

<file path=xl/ctrlProps/ctrlProp333.xml><?xml version="1.0" encoding="utf-8"?>
<formControlPr xmlns="http://schemas.microsoft.com/office/spreadsheetml/2009/9/main" objectType="GBox" noThreeD="1"/>
</file>

<file path=xl/ctrlProps/ctrlProp334.xml><?xml version="1.0" encoding="utf-8"?>
<formControlPr xmlns="http://schemas.microsoft.com/office/spreadsheetml/2009/9/main" objectType="Radio" firstButton="1" fmlaLink="$S$427"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Radio" checked="Checked" lockText="1" noThreeD="1"/>
</file>

<file path=xl/ctrlProps/ctrlProp337.xml><?xml version="1.0" encoding="utf-8"?>
<formControlPr xmlns="http://schemas.microsoft.com/office/spreadsheetml/2009/9/main" objectType="GBox" noThreeD="1"/>
</file>

<file path=xl/ctrlProps/ctrlProp338.xml><?xml version="1.0" encoding="utf-8"?>
<formControlPr xmlns="http://schemas.microsoft.com/office/spreadsheetml/2009/9/main" objectType="Radio" firstButton="1" fmlaLink="$S$428"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CheckBox" fmlaLink="$R$451" lockText="1"/>
</file>

<file path=xl/ctrlProps/ctrlProp340.xml><?xml version="1.0" encoding="utf-8"?>
<formControlPr xmlns="http://schemas.microsoft.com/office/spreadsheetml/2009/9/main" objectType="Radio" checked="Checked" lockText="1" noThreeD="1"/>
</file>

<file path=xl/ctrlProps/ctrlProp341.xml><?xml version="1.0" encoding="utf-8"?>
<formControlPr xmlns="http://schemas.microsoft.com/office/spreadsheetml/2009/9/main" objectType="GBox" noThreeD="1"/>
</file>

<file path=xl/ctrlProps/ctrlProp342.xml><?xml version="1.0" encoding="utf-8"?>
<formControlPr xmlns="http://schemas.microsoft.com/office/spreadsheetml/2009/9/main" objectType="Radio" firstButton="1" fmlaLink="$S$429"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checked="Checked" lockText="1"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Radio" firstButton="1" fmlaLink="$S$430"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checked="Checked" lockText="1" noThreeD="1"/>
</file>

<file path=xl/ctrlProps/ctrlProp349.xml><?xml version="1.0" encoding="utf-8"?>
<formControlPr xmlns="http://schemas.microsoft.com/office/spreadsheetml/2009/9/main" objectType="GBox" noThreeD="1"/>
</file>

<file path=xl/ctrlProps/ctrlProp35.xml><?xml version="1.0" encoding="utf-8"?>
<formControlPr xmlns="http://schemas.microsoft.com/office/spreadsheetml/2009/9/main" objectType="CheckBox" fmlaLink="$R$452" lockText="1"/>
</file>

<file path=xl/ctrlProps/ctrlProp350.xml><?xml version="1.0" encoding="utf-8"?>
<formControlPr xmlns="http://schemas.microsoft.com/office/spreadsheetml/2009/9/main" objectType="Radio" firstButton="1" fmlaLink="$S$431"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checked="Checked" lockText="1"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Radio" firstButton="1" fmlaLink="$S$432"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checked="Checked" lockText="1"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Radio" firstButton="1" fmlaLink="$S$433"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CheckBox" fmlaLink="$R$453" lockText="1"/>
</file>

<file path=xl/ctrlProps/ctrlProp360.xml><?xml version="1.0" encoding="utf-8"?>
<formControlPr xmlns="http://schemas.microsoft.com/office/spreadsheetml/2009/9/main" objectType="Radio" checked="Checked" lockText="1"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Radio" firstButton="1" fmlaLink="$S$434"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Radio" checked="Checked" lockText="1" noThreeD="1"/>
</file>

<file path=xl/ctrlProps/ctrlProp365.xml><?xml version="1.0" encoding="utf-8"?>
<formControlPr xmlns="http://schemas.microsoft.com/office/spreadsheetml/2009/9/main" objectType="CheckBox" fmlaLink="$R$280" lockText="1"/>
</file>

<file path=xl/ctrlProps/ctrlProp366.xml><?xml version="1.0" encoding="utf-8"?>
<formControlPr xmlns="http://schemas.microsoft.com/office/spreadsheetml/2009/9/main" objectType="CheckBox" fmlaLink="$R$281" lockText="1"/>
</file>

<file path=xl/ctrlProps/ctrlProp367.xml><?xml version="1.0" encoding="utf-8"?>
<formControlPr xmlns="http://schemas.microsoft.com/office/spreadsheetml/2009/9/main" objectType="CheckBox" fmlaLink="$R$282" lockText="1"/>
</file>

<file path=xl/ctrlProps/ctrlProp368.xml><?xml version="1.0" encoding="utf-8"?>
<formControlPr xmlns="http://schemas.microsoft.com/office/spreadsheetml/2009/9/main" objectType="CheckBox" fmlaLink="$R$283" lockText="1"/>
</file>

<file path=xl/ctrlProps/ctrlProp369.xml><?xml version="1.0" encoding="utf-8"?>
<formControlPr xmlns="http://schemas.microsoft.com/office/spreadsheetml/2009/9/main" objectType="CheckBox" fmlaLink="$R$284" lockText="1"/>
</file>

<file path=xl/ctrlProps/ctrlProp37.xml><?xml version="1.0" encoding="utf-8"?>
<formControlPr xmlns="http://schemas.microsoft.com/office/spreadsheetml/2009/9/main" objectType="CheckBox" fmlaLink="$R$454" lockText="1"/>
</file>

<file path=xl/ctrlProps/ctrlProp370.xml><?xml version="1.0" encoding="utf-8"?>
<formControlPr xmlns="http://schemas.microsoft.com/office/spreadsheetml/2009/9/main" objectType="CheckBox" fmlaLink="$R$286" lockText="1"/>
</file>

<file path=xl/ctrlProps/ctrlProp371.xml><?xml version="1.0" encoding="utf-8"?>
<formControlPr xmlns="http://schemas.microsoft.com/office/spreadsheetml/2009/9/main" objectType="CheckBox" fmlaLink="$R$287" lockText="1"/>
</file>

<file path=xl/ctrlProps/ctrlProp372.xml><?xml version="1.0" encoding="utf-8"?>
<formControlPr xmlns="http://schemas.microsoft.com/office/spreadsheetml/2009/9/main" objectType="CheckBox" fmlaLink="$R$288" lockText="1"/>
</file>

<file path=xl/ctrlProps/ctrlProp373.xml><?xml version="1.0" encoding="utf-8"?>
<formControlPr xmlns="http://schemas.microsoft.com/office/spreadsheetml/2009/9/main" objectType="CheckBox" fmlaLink="$R$289" lockText="1"/>
</file>

<file path=xl/ctrlProps/ctrlProp374.xml><?xml version="1.0" encoding="utf-8"?>
<formControlPr xmlns="http://schemas.microsoft.com/office/spreadsheetml/2009/9/main" objectType="CheckBox" fmlaLink="$R$290" lockText="1"/>
</file>

<file path=xl/ctrlProps/ctrlProp375.xml><?xml version="1.0" encoding="utf-8"?>
<formControlPr xmlns="http://schemas.microsoft.com/office/spreadsheetml/2009/9/main" objectType="CheckBox" fmlaLink="$R$292" lockText="1"/>
</file>

<file path=xl/ctrlProps/ctrlProp376.xml><?xml version="1.0" encoding="utf-8"?>
<formControlPr xmlns="http://schemas.microsoft.com/office/spreadsheetml/2009/9/main" objectType="CheckBox" fmlaLink="$R$293" lockText="1"/>
</file>

<file path=xl/ctrlProps/ctrlProp377.xml><?xml version="1.0" encoding="utf-8"?>
<formControlPr xmlns="http://schemas.microsoft.com/office/spreadsheetml/2009/9/main" objectType="CheckBox" fmlaLink="$R$294" lockText="1"/>
</file>

<file path=xl/ctrlProps/ctrlProp378.xml><?xml version="1.0" encoding="utf-8"?>
<formControlPr xmlns="http://schemas.microsoft.com/office/spreadsheetml/2009/9/main" objectType="CheckBox" fmlaLink="$R$295" lockText="1"/>
</file>

<file path=xl/ctrlProps/ctrlProp379.xml><?xml version="1.0" encoding="utf-8"?>
<formControlPr xmlns="http://schemas.microsoft.com/office/spreadsheetml/2009/9/main" objectType="CheckBox" fmlaLink="$R$296" lockText="1"/>
</file>

<file path=xl/ctrlProps/ctrlProp38.xml><?xml version="1.0" encoding="utf-8"?>
<formControlPr xmlns="http://schemas.microsoft.com/office/spreadsheetml/2009/9/main" objectType="CheckBox" fmlaLink="$R$458" lockText="1"/>
</file>

<file path=xl/ctrlProps/ctrlProp380.xml><?xml version="1.0" encoding="utf-8"?>
<formControlPr xmlns="http://schemas.microsoft.com/office/spreadsheetml/2009/9/main" objectType="CheckBox" fmlaLink="$R$300" lockText="1"/>
</file>

<file path=xl/ctrlProps/ctrlProp381.xml><?xml version="1.0" encoding="utf-8"?>
<formControlPr xmlns="http://schemas.microsoft.com/office/spreadsheetml/2009/9/main" objectType="CheckBox" fmlaLink="$R$301" lockText="1"/>
</file>

<file path=xl/ctrlProps/ctrlProp382.xml><?xml version="1.0" encoding="utf-8"?>
<formControlPr xmlns="http://schemas.microsoft.com/office/spreadsheetml/2009/9/main" objectType="CheckBox" fmlaLink="$R$308" lockText="1"/>
</file>

<file path=xl/ctrlProps/ctrlProp383.xml><?xml version="1.0" encoding="utf-8"?>
<formControlPr xmlns="http://schemas.microsoft.com/office/spreadsheetml/2009/9/main" objectType="CheckBox" fmlaLink="$R$309" lockText="1"/>
</file>

<file path=xl/ctrlProps/ctrlProp384.xml><?xml version="1.0" encoding="utf-8"?>
<formControlPr xmlns="http://schemas.microsoft.com/office/spreadsheetml/2009/9/main" objectType="CheckBox" fmlaLink="$R$310" lockText="1"/>
</file>

<file path=xl/ctrlProps/ctrlProp385.xml><?xml version="1.0" encoding="utf-8"?>
<formControlPr xmlns="http://schemas.microsoft.com/office/spreadsheetml/2009/9/main" objectType="CheckBox" fmlaLink="$R$311" lockText="1"/>
</file>

<file path=xl/ctrlProps/ctrlProp386.xml><?xml version="1.0" encoding="utf-8"?>
<formControlPr xmlns="http://schemas.microsoft.com/office/spreadsheetml/2009/9/main" objectType="CheckBox" fmlaLink="$R$312" lockText="1"/>
</file>

<file path=xl/ctrlProps/ctrlProp387.xml><?xml version="1.0" encoding="utf-8"?>
<formControlPr xmlns="http://schemas.microsoft.com/office/spreadsheetml/2009/9/main" objectType="CheckBox" fmlaLink="$R$313" lockText="1"/>
</file>

<file path=xl/ctrlProps/ctrlProp388.xml><?xml version="1.0" encoding="utf-8"?>
<formControlPr xmlns="http://schemas.microsoft.com/office/spreadsheetml/2009/9/main" objectType="CheckBox" fmlaLink="$R$314" lockText="1"/>
</file>

<file path=xl/ctrlProps/ctrlProp389.xml><?xml version="1.0" encoding="utf-8"?>
<formControlPr xmlns="http://schemas.microsoft.com/office/spreadsheetml/2009/9/main" objectType="CheckBox" fmlaLink="$R$315" lockText="1"/>
</file>

<file path=xl/ctrlProps/ctrlProp39.xml><?xml version="1.0" encoding="utf-8"?>
<formControlPr xmlns="http://schemas.microsoft.com/office/spreadsheetml/2009/9/main" objectType="CheckBox" fmlaLink="$R$459" lockText="1"/>
</file>

<file path=xl/ctrlProps/ctrlProp390.xml><?xml version="1.0" encoding="utf-8"?>
<formControlPr xmlns="http://schemas.microsoft.com/office/spreadsheetml/2009/9/main" objectType="CheckBox" fmlaLink="$R$316" lockText="1"/>
</file>

<file path=xl/ctrlProps/ctrlProp391.xml><?xml version="1.0" encoding="utf-8"?>
<formControlPr xmlns="http://schemas.microsoft.com/office/spreadsheetml/2009/9/main" objectType="CheckBox" fmlaLink="$R$318" lockText="1"/>
</file>

<file path=xl/ctrlProps/ctrlProp392.xml><?xml version="1.0" encoding="utf-8"?>
<formControlPr xmlns="http://schemas.microsoft.com/office/spreadsheetml/2009/9/main" objectType="CheckBox" fmlaLink="$R$320" lockText="1"/>
</file>

<file path=xl/ctrlProps/ctrlProp393.xml><?xml version="1.0" encoding="utf-8"?>
<formControlPr xmlns="http://schemas.microsoft.com/office/spreadsheetml/2009/9/main" objectType="CheckBox" fmlaLink="$R$321" lockText="1"/>
</file>

<file path=xl/ctrlProps/ctrlProp394.xml><?xml version="1.0" encoding="utf-8"?>
<formControlPr xmlns="http://schemas.microsoft.com/office/spreadsheetml/2009/9/main" objectType="CheckBox" fmlaLink="$R$322" lockText="1"/>
</file>

<file path=xl/ctrlProps/ctrlProp395.xml><?xml version="1.0" encoding="utf-8"?>
<formControlPr xmlns="http://schemas.microsoft.com/office/spreadsheetml/2009/9/main" objectType="CheckBox" fmlaLink="$R$323" lockText="1"/>
</file>

<file path=xl/ctrlProps/ctrlProp396.xml><?xml version="1.0" encoding="utf-8"?>
<formControlPr xmlns="http://schemas.microsoft.com/office/spreadsheetml/2009/9/main" objectType="CheckBox" fmlaLink="$R$324" lockText="1"/>
</file>

<file path=xl/ctrlProps/ctrlProp397.xml><?xml version="1.0" encoding="utf-8"?>
<formControlPr xmlns="http://schemas.microsoft.com/office/spreadsheetml/2009/9/main" objectType="CheckBox" fmlaLink="$R$325" lockText="1"/>
</file>

<file path=xl/ctrlProps/ctrlProp398.xml><?xml version="1.0" encoding="utf-8"?>
<formControlPr xmlns="http://schemas.microsoft.com/office/spreadsheetml/2009/9/main" objectType="CheckBox" fmlaLink="$R$326" lockText="1"/>
</file>

<file path=xl/ctrlProps/ctrlProp399.xml><?xml version="1.0" encoding="utf-8"?>
<formControlPr xmlns="http://schemas.microsoft.com/office/spreadsheetml/2009/9/main" objectType="CheckBox" fmlaLink="$R$329" lockText="1"/>
</file>

<file path=xl/ctrlProps/ctrlProp4.xml><?xml version="1.0" encoding="utf-8"?>
<formControlPr xmlns="http://schemas.microsoft.com/office/spreadsheetml/2009/9/main" objectType="CheckBox" checked="Checked" fmlaLink="$S$44" lockText="1"/>
</file>

<file path=xl/ctrlProps/ctrlProp40.xml><?xml version="1.0" encoding="utf-8"?>
<formControlPr xmlns="http://schemas.microsoft.com/office/spreadsheetml/2009/9/main" objectType="CheckBox" fmlaLink="$R$460" lockText="1"/>
</file>

<file path=xl/ctrlProps/ctrlProp400.xml><?xml version="1.0" encoding="utf-8"?>
<formControlPr xmlns="http://schemas.microsoft.com/office/spreadsheetml/2009/9/main" objectType="CheckBox" fmlaLink="$R$330" lockText="1"/>
</file>

<file path=xl/ctrlProps/ctrlProp401.xml><?xml version="1.0" encoding="utf-8"?>
<formControlPr xmlns="http://schemas.microsoft.com/office/spreadsheetml/2009/9/main" objectType="CheckBox" fmlaLink="$R$331" lockText="1"/>
</file>

<file path=xl/ctrlProps/ctrlProp402.xml><?xml version="1.0" encoding="utf-8"?>
<formControlPr xmlns="http://schemas.microsoft.com/office/spreadsheetml/2009/9/main" objectType="CheckBox" fmlaLink="$R$332" lockText="1"/>
</file>

<file path=xl/ctrlProps/ctrlProp403.xml><?xml version="1.0" encoding="utf-8"?>
<formControlPr xmlns="http://schemas.microsoft.com/office/spreadsheetml/2009/9/main" objectType="CheckBox" fmlaLink="$R$333" lockText="1"/>
</file>

<file path=xl/ctrlProps/ctrlProp404.xml><?xml version="1.0" encoding="utf-8"?>
<formControlPr xmlns="http://schemas.microsoft.com/office/spreadsheetml/2009/9/main" objectType="CheckBox" fmlaLink="$R$335" lockText="1"/>
</file>

<file path=xl/ctrlProps/ctrlProp405.xml><?xml version="1.0" encoding="utf-8"?>
<formControlPr xmlns="http://schemas.microsoft.com/office/spreadsheetml/2009/9/main" objectType="CheckBox" fmlaLink="$R$297" lockText="1"/>
</file>

<file path=xl/ctrlProps/ctrlProp406.xml><?xml version="1.0" encoding="utf-8"?>
<formControlPr xmlns="http://schemas.microsoft.com/office/spreadsheetml/2009/9/main" objectType="CheckBox" fmlaLink="$R$307" lockText="1"/>
</file>

<file path=xl/ctrlProps/ctrlProp407.xml><?xml version="1.0" encoding="utf-8"?>
<formControlPr xmlns="http://schemas.microsoft.com/office/spreadsheetml/2009/9/main" objectType="CheckBox" fmlaLink="$R$299" lockText="1"/>
</file>

<file path=xl/ctrlProps/ctrlProp408.xml><?xml version="1.0" encoding="utf-8"?>
<formControlPr xmlns="http://schemas.microsoft.com/office/spreadsheetml/2009/9/main" objectType="CheckBox" fmlaLink="$R$328" lockText="1"/>
</file>

<file path=xl/ctrlProps/ctrlProp409.xml><?xml version="1.0" encoding="utf-8"?>
<formControlPr xmlns="http://schemas.microsoft.com/office/spreadsheetml/2009/9/main" objectType="CheckBox" fmlaLink="$S$68" lockText="1"/>
</file>

<file path=xl/ctrlProps/ctrlProp41.xml><?xml version="1.0" encoding="utf-8"?>
<formControlPr xmlns="http://schemas.microsoft.com/office/spreadsheetml/2009/9/main" objectType="CheckBox" fmlaLink="$R$461" lockText="1"/>
</file>

<file path=xl/ctrlProps/ctrlProp410.xml><?xml version="1.0" encoding="utf-8"?>
<formControlPr xmlns="http://schemas.microsoft.com/office/spreadsheetml/2009/9/main" objectType="CheckBox" fmlaLink="$S$69" lockText="1"/>
</file>

<file path=xl/ctrlProps/ctrlProp411.xml><?xml version="1.0" encoding="utf-8"?>
<formControlPr xmlns="http://schemas.microsoft.com/office/spreadsheetml/2009/9/main" objectType="CheckBox" fmlaLink="$S$70" lockText="1"/>
</file>

<file path=xl/ctrlProps/ctrlProp412.xml><?xml version="1.0" encoding="utf-8"?>
<formControlPr xmlns="http://schemas.microsoft.com/office/spreadsheetml/2009/9/main" objectType="CheckBox" fmlaLink="$S$108" lockText="1"/>
</file>

<file path=xl/ctrlProps/ctrlProp413.xml><?xml version="1.0" encoding="utf-8"?>
<formControlPr xmlns="http://schemas.microsoft.com/office/spreadsheetml/2009/9/main" objectType="CheckBox" fmlaLink="$S$109" lockText="1"/>
</file>

<file path=xl/ctrlProps/ctrlProp414.xml><?xml version="1.0" encoding="utf-8"?>
<formControlPr xmlns="http://schemas.microsoft.com/office/spreadsheetml/2009/9/main" objectType="CheckBox" fmlaLink="$S$110" lockText="1"/>
</file>

<file path=xl/ctrlProps/ctrlProp415.xml><?xml version="1.0" encoding="utf-8"?>
<formControlPr xmlns="http://schemas.microsoft.com/office/spreadsheetml/2009/9/main" objectType="CheckBox" fmlaLink="$S$148" lockText="1"/>
</file>

<file path=xl/ctrlProps/ctrlProp416.xml><?xml version="1.0" encoding="utf-8"?>
<formControlPr xmlns="http://schemas.microsoft.com/office/spreadsheetml/2009/9/main" objectType="CheckBox" fmlaLink="$S$149" lockText="1"/>
</file>

<file path=xl/ctrlProps/ctrlProp417.xml><?xml version="1.0" encoding="utf-8"?>
<formControlPr xmlns="http://schemas.microsoft.com/office/spreadsheetml/2009/9/main" objectType="CheckBox" fmlaLink="$S$150" lockText="1"/>
</file>

<file path=xl/ctrlProps/ctrlProp418.xml><?xml version="1.0" encoding="utf-8"?>
<formControlPr xmlns="http://schemas.microsoft.com/office/spreadsheetml/2009/9/main" objectType="CheckBox" fmlaLink="$S$188" lockText="1"/>
</file>

<file path=xl/ctrlProps/ctrlProp419.xml><?xml version="1.0" encoding="utf-8"?>
<formControlPr xmlns="http://schemas.microsoft.com/office/spreadsheetml/2009/9/main" objectType="CheckBox" fmlaLink="$S$189" lockText="1"/>
</file>

<file path=xl/ctrlProps/ctrlProp42.xml><?xml version="1.0" encoding="utf-8"?>
<formControlPr xmlns="http://schemas.microsoft.com/office/spreadsheetml/2009/9/main" objectType="CheckBox" fmlaLink="$R$464" lockText="1"/>
</file>

<file path=xl/ctrlProps/ctrlProp420.xml><?xml version="1.0" encoding="utf-8"?>
<formControlPr xmlns="http://schemas.microsoft.com/office/spreadsheetml/2009/9/main" objectType="CheckBox" fmlaLink="$S$190" lockText="1"/>
</file>

<file path=xl/ctrlProps/ctrlProp421.xml><?xml version="1.0" encoding="utf-8"?>
<formControlPr xmlns="http://schemas.microsoft.com/office/spreadsheetml/2009/9/main" objectType="CheckBox" fmlaLink="$S$69" lockText="1"/>
</file>

<file path=xl/ctrlProps/ctrlProp422.xml><?xml version="1.0" encoding="utf-8"?>
<formControlPr xmlns="http://schemas.microsoft.com/office/spreadsheetml/2009/9/main" objectType="CheckBox" fmlaLink="$S$70" lockText="1"/>
</file>

<file path=xl/ctrlProps/ctrlProp423.xml><?xml version="1.0" encoding="utf-8"?>
<formControlPr xmlns="http://schemas.microsoft.com/office/spreadsheetml/2009/9/main" objectType="CheckBox" fmlaLink="$S$30" lockText="1"/>
</file>

<file path=xl/ctrlProps/ctrlProp424.xml><?xml version="1.0" encoding="utf-8"?>
<formControlPr xmlns="http://schemas.microsoft.com/office/spreadsheetml/2009/9/main" objectType="CheckBox" fmlaLink="$S$31" lockText="1"/>
</file>

<file path=xl/ctrlProps/ctrlProp425.xml><?xml version="1.0" encoding="utf-8"?>
<formControlPr xmlns="http://schemas.microsoft.com/office/spreadsheetml/2009/9/main" objectType="CheckBox" fmlaLink="$R$208" lockText="1"/>
</file>

<file path=xl/ctrlProps/ctrlProp426.xml><?xml version="1.0" encoding="utf-8"?>
<formControlPr xmlns="http://schemas.microsoft.com/office/spreadsheetml/2009/9/main" objectType="CheckBox" fmlaLink="$R$209" lockText="1"/>
</file>

<file path=xl/ctrlProps/ctrlProp427.xml><?xml version="1.0" encoding="utf-8"?>
<formControlPr xmlns="http://schemas.microsoft.com/office/spreadsheetml/2009/9/main" objectType="CheckBox" fmlaLink="$R$210" lockText="1"/>
</file>

<file path=xl/ctrlProps/ctrlProp428.xml><?xml version="1.0" encoding="utf-8"?>
<formControlPr xmlns="http://schemas.microsoft.com/office/spreadsheetml/2009/9/main" objectType="CheckBox" fmlaLink="$R$211" lockText="1"/>
</file>

<file path=xl/ctrlProps/ctrlProp429.xml><?xml version="1.0" encoding="utf-8"?>
<formControlPr xmlns="http://schemas.microsoft.com/office/spreadsheetml/2009/9/main" objectType="CheckBox" fmlaLink="$R$212" lockText="1"/>
</file>

<file path=xl/ctrlProps/ctrlProp43.xml><?xml version="1.0" encoding="utf-8"?>
<formControlPr xmlns="http://schemas.microsoft.com/office/spreadsheetml/2009/9/main" objectType="CheckBox" fmlaLink="$R$465" lockText="1"/>
</file>

<file path=xl/ctrlProps/ctrlProp430.xml><?xml version="1.0" encoding="utf-8"?>
<formControlPr xmlns="http://schemas.microsoft.com/office/spreadsheetml/2009/9/main" objectType="CheckBox" fmlaLink="$R$215" lockText="1"/>
</file>

<file path=xl/ctrlProps/ctrlProp431.xml><?xml version="1.0" encoding="utf-8"?>
<formControlPr xmlns="http://schemas.microsoft.com/office/spreadsheetml/2009/9/main" objectType="CheckBox" fmlaLink="$R$216" lockText="1"/>
</file>

<file path=xl/ctrlProps/ctrlProp432.xml><?xml version="1.0" encoding="utf-8"?>
<formControlPr xmlns="http://schemas.microsoft.com/office/spreadsheetml/2009/9/main" objectType="CheckBox" fmlaLink="$R$217" lockText="1"/>
</file>

<file path=xl/ctrlProps/ctrlProp433.xml><?xml version="1.0" encoding="utf-8"?>
<formControlPr xmlns="http://schemas.microsoft.com/office/spreadsheetml/2009/9/main" objectType="CheckBox" fmlaLink="$R$218" lockText="1"/>
</file>

<file path=xl/ctrlProps/ctrlProp434.xml><?xml version="1.0" encoding="utf-8"?>
<formControlPr xmlns="http://schemas.microsoft.com/office/spreadsheetml/2009/9/main" objectType="CheckBox" fmlaLink="$R$219" lockText="1"/>
</file>

<file path=xl/ctrlProps/ctrlProp435.xml><?xml version="1.0" encoding="utf-8"?>
<formControlPr xmlns="http://schemas.microsoft.com/office/spreadsheetml/2009/9/main" objectType="CheckBox" fmlaLink="$R$247" lockText="1"/>
</file>

<file path=xl/ctrlProps/ctrlProp436.xml><?xml version="1.0" encoding="utf-8"?>
<formControlPr xmlns="http://schemas.microsoft.com/office/spreadsheetml/2009/9/main" objectType="CheckBox" fmlaLink="$R$249" lockText="1"/>
</file>

<file path=xl/ctrlProps/ctrlProp437.xml><?xml version="1.0" encoding="utf-8"?>
<formControlPr xmlns="http://schemas.microsoft.com/office/spreadsheetml/2009/9/main" objectType="CheckBox" fmlaLink="$R$256" lockText="1"/>
</file>

<file path=xl/ctrlProps/ctrlProp438.xml><?xml version="1.0" encoding="utf-8"?>
<formControlPr xmlns="http://schemas.microsoft.com/office/spreadsheetml/2009/9/main" objectType="CheckBox" fmlaLink="$R$257" lockText="1"/>
</file>

<file path=xl/ctrlProps/ctrlProp439.xml><?xml version="1.0" encoding="utf-8"?>
<formControlPr xmlns="http://schemas.microsoft.com/office/spreadsheetml/2009/9/main" objectType="CheckBox" fmlaLink="$R$258" lockText="1"/>
</file>

<file path=xl/ctrlProps/ctrlProp44.xml><?xml version="1.0" encoding="utf-8"?>
<formControlPr xmlns="http://schemas.microsoft.com/office/spreadsheetml/2009/9/main" objectType="CheckBox" fmlaLink="$R$466" lockText="1"/>
</file>

<file path=xl/ctrlProps/ctrlProp440.xml><?xml version="1.0" encoding="utf-8"?>
<formControlPr xmlns="http://schemas.microsoft.com/office/spreadsheetml/2009/9/main" objectType="CheckBox" fmlaLink="$R$259" lockText="1"/>
</file>

<file path=xl/ctrlProps/ctrlProp441.xml><?xml version="1.0" encoding="utf-8"?>
<formControlPr xmlns="http://schemas.microsoft.com/office/spreadsheetml/2009/9/main" objectType="CheckBox" fmlaLink="$R$260" lockText="1"/>
</file>

<file path=xl/ctrlProps/ctrlProp442.xml><?xml version="1.0" encoding="utf-8"?>
<formControlPr xmlns="http://schemas.microsoft.com/office/spreadsheetml/2009/9/main" objectType="CheckBox" fmlaLink="$R$261" lockText="1"/>
</file>

<file path=xl/ctrlProps/ctrlProp443.xml><?xml version="1.0" encoding="utf-8"?>
<formControlPr xmlns="http://schemas.microsoft.com/office/spreadsheetml/2009/9/main" objectType="CheckBox" fmlaLink="$R$262" lockText="1"/>
</file>

<file path=xl/ctrlProps/ctrlProp444.xml><?xml version="1.0" encoding="utf-8"?>
<formControlPr xmlns="http://schemas.microsoft.com/office/spreadsheetml/2009/9/main" objectType="Radio" checked="Checked" firstButton="1" fmlaLink="$R$412" lockText="1"/>
</file>

<file path=xl/ctrlProps/ctrlProp445.xml><?xml version="1.0" encoding="utf-8"?>
<formControlPr xmlns="http://schemas.microsoft.com/office/spreadsheetml/2009/9/main" objectType="Radio" lockText="1"/>
</file>

<file path=xl/ctrlProps/ctrlProp446.xml><?xml version="1.0" encoding="utf-8"?>
<formControlPr xmlns="http://schemas.microsoft.com/office/spreadsheetml/2009/9/main" objectType="Radio" lockText="1"/>
</file>

<file path=xl/ctrlProps/ctrlProp447.xml><?xml version="1.0" encoding="utf-8"?>
<formControlPr xmlns="http://schemas.microsoft.com/office/spreadsheetml/2009/9/main" objectType="Radio" lockText="1"/>
</file>

<file path=xl/ctrlProps/ctrlProp448.xml><?xml version="1.0" encoding="utf-8"?>
<formControlPr xmlns="http://schemas.microsoft.com/office/spreadsheetml/2009/9/main" objectType="Radio" lockText="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CheckBox" fmlaLink="$R$467" lockText="1"/>
</file>

<file path=xl/ctrlProps/ctrlProp450.xml><?xml version="1.0" encoding="utf-8"?>
<formControlPr xmlns="http://schemas.microsoft.com/office/spreadsheetml/2009/9/main" objectType="CheckBox" fmlaLink="$R$416" lockText="1"/>
</file>

<file path=xl/ctrlProps/ctrlProp451.xml><?xml version="1.0" encoding="utf-8"?>
<formControlPr xmlns="http://schemas.microsoft.com/office/spreadsheetml/2009/9/main" objectType="CheckBox" fmlaLink="$R$417" lockText="1"/>
</file>

<file path=xl/ctrlProps/ctrlProp452.xml><?xml version="1.0" encoding="utf-8"?>
<formControlPr xmlns="http://schemas.microsoft.com/office/spreadsheetml/2009/9/main" objectType="CheckBox" fmlaLink="$R$429" lockText="1"/>
</file>

<file path=xl/ctrlProps/ctrlProp453.xml><?xml version="1.0" encoding="utf-8"?>
<formControlPr xmlns="http://schemas.microsoft.com/office/spreadsheetml/2009/9/main" objectType="CheckBox" fmlaLink="$R$430" lockText="1"/>
</file>

<file path=xl/ctrlProps/ctrlProp454.xml><?xml version="1.0" encoding="utf-8"?>
<formControlPr xmlns="http://schemas.microsoft.com/office/spreadsheetml/2009/9/main" objectType="CheckBox" fmlaLink="$R$431" lockText="1"/>
</file>

<file path=xl/ctrlProps/ctrlProp455.xml><?xml version="1.0" encoding="utf-8"?>
<formControlPr xmlns="http://schemas.microsoft.com/office/spreadsheetml/2009/9/main" objectType="CheckBox" fmlaLink="$R$432" lockText="1"/>
</file>

<file path=xl/ctrlProps/ctrlProp456.xml><?xml version="1.0" encoding="utf-8"?>
<formControlPr xmlns="http://schemas.microsoft.com/office/spreadsheetml/2009/9/main" objectType="CheckBox" fmlaLink="$R$433" lockText="1"/>
</file>

<file path=xl/ctrlProps/ctrlProp457.xml><?xml version="1.0" encoding="utf-8"?>
<formControlPr xmlns="http://schemas.microsoft.com/office/spreadsheetml/2009/9/main" objectType="CheckBox" fmlaLink="$R$434" lockText="1"/>
</file>

<file path=xl/ctrlProps/ctrlProp458.xml><?xml version="1.0" encoding="utf-8"?>
<formControlPr xmlns="http://schemas.microsoft.com/office/spreadsheetml/2009/9/main" objectType="CheckBox" fmlaLink="$R$435" lockText="1"/>
</file>

<file path=xl/ctrlProps/ctrlProp459.xml><?xml version="1.0" encoding="utf-8"?>
<formControlPr xmlns="http://schemas.microsoft.com/office/spreadsheetml/2009/9/main" objectType="CheckBox" fmlaLink="$R$243" lockText="1"/>
</file>

<file path=xl/ctrlProps/ctrlProp46.xml><?xml version="1.0" encoding="utf-8"?>
<formControlPr xmlns="http://schemas.microsoft.com/office/spreadsheetml/2009/9/main" objectType="CheckBox" fmlaLink="$R$468" lockText="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Radio" firstButton="1" fmlaLink="$Z$295" lockText="1"/>
</file>

<file path=xl/ctrlProps/ctrlProp462.xml><?xml version="1.0" encoding="utf-8"?>
<formControlPr xmlns="http://schemas.microsoft.com/office/spreadsheetml/2009/9/main" objectType="Radio" lockText="1"/>
</file>

<file path=xl/ctrlProps/ctrlProp463.xml><?xml version="1.0" encoding="utf-8"?>
<formControlPr xmlns="http://schemas.microsoft.com/office/spreadsheetml/2009/9/main" objectType="Radio" lockText="1"/>
</file>

<file path=xl/ctrlProps/ctrlProp464.xml><?xml version="1.0" encoding="utf-8"?>
<formControlPr xmlns="http://schemas.microsoft.com/office/spreadsheetml/2009/9/main" objectType="Radio" lockText="1"/>
</file>

<file path=xl/ctrlProps/ctrlProp465.xml><?xml version="1.0" encoding="utf-8"?>
<formControlPr xmlns="http://schemas.microsoft.com/office/spreadsheetml/2009/9/main" objectType="Radio" lockText="1"/>
</file>

<file path=xl/ctrlProps/ctrlProp466.xml><?xml version="1.0" encoding="utf-8"?>
<formControlPr xmlns="http://schemas.microsoft.com/office/spreadsheetml/2009/9/main" objectType="Radio" lockText="1"/>
</file>

<file path=xl/ctrlProps/ctrlProp467.xml><?xml version="1.0" encoding="utf-8"?>
<formControlPr xmlns="http://schemas.microsoft.com/office/spreadsheetml/2009/9/main" objectType="Radio" checked="Checked" lockText="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Radio" firstButton="1" fmlaLink="$Z$294" lockText="1"/>
</file>

<file path=xl/ctrlProps/ctrlProp47.xml><?xml version="1.0" encoding="utf-8"?>
<formControlPr xmlns="http://schemas.microsoft.com/office/spreadsheetml/2009/9/main" objectType="CheckBox" fmlaLink="$R$479" lockText="1"/>
</file>

<file path=xl/ctrlProps/ctrlProp470.xml><?xml version="1.0" encoding="utf-8"?>
<formControlPr xmlns="http://schemas.microsoft.com/office/spreadsheetml/2009/9/main" objectType="Radio" checked="Checked" lockText="1"/>
</file>

<file path=xl/ctrlProps/ctrlProp471.xml><?xml version="1.0" encoding="utf-8"?>
<formControlPr xmlns="http://schemas.microsoft.com/office/spreadsheetml/2009/9/main" objectType="Radio" lockText="1"/>
</file>

<file path=xl/ctrlProps/ctrlProp472.xml><?xml version="1.0" encoding="utf-8"?>
<formControlPr xmlns="http://schemas.microsoft.com/office/spreadsheetml/2009/9/main" objectType="GBox" noThreeD="1"/>
</file>

<file path=xl/ctrlProps/ctrlProp473.xml><?xml version="1.0" encoding="utf-8"?>
<formControlPr xmlns="http://schemas.microsoft.com/office/spreadsheetml/2009/9/main" objectType="Radio" firstButton="1" fmlaLink="$Z$296" lockText="1"/>
</file>

<file path=xl/ctrlProps/ctrlProp474.xml><?xml version="1.0" encoding="utf-8"?>
<formControlPr xmlns="http://schemas.microsoft.com/office/spreadsheetml/2009/9/main" objectType="Radio" checked="Checked" lockText="1"/>
</file>

<file path=xl/ctrlProps/ctrlProp475.xml><?xml version="1.0" encoding="utf-8"?>
<formControlPr xmlns="http://schemas.microsoft.com/office/spreadsheetml/2009/9/main" objectType="Radio" lockText="1"/>
</file>

<file path=xl/ctrlProps/ctrlProp476.xml><?xml version="1.0" encoding="utf-8"?>
<formControlPr xmlns="http://schemas.microsoft.com/office/spreadsheetml/2009/9/main" objectType="Radio" lockText="1"/>
</file>

<file path=xl/ctrlProps/ctrlProp477.xml><?xml version="1.0" encoding="utf-8"?>
<formControlPr xmlns="http://schemas.microsoft.com/office/spreadsheetml/2009/9/main" objectType="Radio" lockText="1"/>
</file>

<file path=xl/ctrlProps/ctrlProp478.xml><?xml version="1.0" encoding="utf-8"?>
<formControlPr xmlns="http://schemas.microsoft.com/office/spreadsheetml/2009/9/main" objectType="Radio" lockText="1"/>
</file>

<file path=xl/ctrlProps/ctrlProp479.xml><?xml version="1.0" encoding="utf-8"?>
<formControlPr xmlns="http://schemas.microsoft.com/office/spreadsheetml/2009/9/main" objectType="Radio" lockText="1"/>
</file>

<file path=xl/ctrlProps/ctrlProp48.xml><?xml version="1.0" encoding="utf-8"?>
<formControlPr xmlns="http://schemas.microsoft.com/office/spreadsheetml/2009/9/main" objectType="CheckBox" fmlaLink="$R$480" lockText="1"/>
</file>

<file path=xl/ctrlProps/ctrlProp480.xml><?xml version="1.0" encoding="utf-8"?>
<formControlPr xmlns="http://schemas.microsoft.com/office/spreadsheetml/2009/9/main" objectType="GBox" noThreeD="1"/>
</file>

<file path=xl/ctrlProps/ctrlProp481.xml><?xml version="1.0" encoding="utf-8"?>
<formControlPr xmlns="http://schemas.microsoft.com/office/spreadsheetml/2009/9/main" objectType="Radio" checked="Checked" firstButton="1" fmlaLink="$S$246" lockText="1"/>
</file>

<file path=xl/ctrlProps/ctrlProp482.xml><?xml version="1.0" encoding="utf-8"?>
<formControlPr xmlns="http://schemas.microsoft.com/office/spreadsheetml/2009/9/main" objectType="Radio" lockText="1"/>
</file>

<file path=xl/ctrlProps/ctrlProp483.xml><?xml version="1.0" encoding="utf-8"?>
<formControlPr xmlns="http://schemas.microsoft.com/office/spreadsheetml/2009/9/main" objectType="Radio" lockText="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Radio" firstButton="1" fmlaLink="$S$253" lockText="1"/>
</file>

<file path=xl/ctrlProps/ctrlProp486.xml><?xml version="1.0" encoding="utf-8"?>
<formControlPr xmlns="http://schemas.microsoft.com/office/spreadsheetml/2009/9/main" objectType="Radio" checked="Checked" lockText="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Radio" firstButton="1" fmlaLink="$S$266" lockText="1"/>
</file>

<file path=xl/ctrlProps/ctrlProp489.xml><?xml version="1.0" encoding="utf-8"?>
<formControlPr xmlns="http://schemas.microsoft.com/office/spreadsheetml/2009/9/main" objectType="Radio" checked="Checked" lockText="1"/>
</file>

<file path=xl/ctrlProps/ctrlProp49.xml><?xml version="1.0" encoding="utf-8"?>
<formControlPr xmlns="http://schemas.microsoft.com/office/spreadsheetml/2009/9/main" objectType="CheckBox" fmlaLink="$R$495" lockText="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Radio" checked="Checked" firstButton="1" fmlaLink="$R$403" lockText="1"/>
</file>

<file path=xl/ctrlProps/ctrlProp492.xml><?xml version="1.0" encoding="utf-8"?>
<formControlPr xmlns="http://schemas.microsoft.com/office/spreadsheetml/2009/9/main" objectType="Radio" lockText="1"/>
</file>

<file path=xl/ctrlProps/ctrlProp493.xml><?xml version="1.0" encoding="utf-8"?>
<formControlPr xmlns="http://schemas.microsoft.com/office/spreadsheetml/2009/9/main" objectType="Radio" lockText="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Radio" firstButton="1" fmlaLink="$R$425" lockText="1"/>
</file>

<file path=xl/ctrlProps/ctrlProp496.xml><?xml version="1.0" encoding="utf-8"?>
<formControlPr xmlns="http://schemas.microsoft.com/office/spreadsheetml/2009/9/main" objectType="Radio" lockText="1"/>
</file>

<file path=xl/ctrlProps/ctrlProp497.xml><?xml version="1.0" encoding="utf-8"?>
<formControlPr xmlns="http://schemas.microsoft.com/office/spreadsheetml/2009/9/main" objectType="Radio" lockText="1"/>
</file>

<file path=xl/ctrlProps/ctrlProp498.xml><?xml version="1.0" encoding="utf-8"?>
<formControlPr xmlns="http://schemas.microsoft.com/office/spreadsheetml/2009/9/main" objectType="Radio" lockText="1"/>
</file>

<file path=xl/ctrlProps/ctrlProp499.xml><?xml version="1.0" encoding="utf-8"?>
<formControlPr xmlns="http://schemas.microsoft.com/office/spreadsheetml/2009/9/main" objectType="Radio" checked="Checked" lockText="1"/>
</file>

<file path=xl/ctrlProps/ctrlProp5.xml><?xml version="1.0" encoding="utf-8"?>
<formControlPr xmlns="http://schemas.microsoft.com/office/spreadsheetml/2009/9/main" objectType="CheckBox" fmlaLink="$S$45" lockText="1"/>
</file>

<file path=xl/ctrlProps/ctrlProp50.xml><?xml version="1.0" encoding="utf-8"?>
<formControlPr xmlns="http://schemas.microsoft.com/office/spreadsheetml/2009/9/main" objectType="CheckBox" fmlaLink="$R$471" lockText="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Radio" firstButton="1" fmlaLink="$R$438" lockText="1"/>
</file>

<file path=xl/ctrlProps/ctrlProp502.xml><?xml version="1.0" encoding="utf-8"?>
<formControlPr xmlns="http://schemas.microsoft.com/office/spreadsheetml/2009/9/main" objectType="Radio" checked="Checked" lockText="1"/>
</file>

<file path=xl/ctrlProps/ctrlProp503.xml><?xml version="1.0" encoding="utf-8"?>
<formControlPr xmlns="http://schemas.microsoft.com/office/spreadsheetml/2009/9/main" objectType="GBox" noThreeD="1"/>
</file>

<file path=xl/ctrlProps/ctrlProp504.xml><?xml version="1.0" encoding="utf-8"?>
<formControlPr xmlns="http://schemas.microsoft.com/office/spreadsheetml/2009/9/main" objectType="Radio" firstButton="1" fmlaLink="$R$442" lockText="1"/>
</file>

<file path=xl/ctrlProps/ctrlProp505.xml><?xml version="1.0" encoding="utf-8"?>
<formControlPr xmlns="http://schemas.microsoft.com/office/spreadsheetml/2009/9/main" objectType="Radio" checked="Checked" lockText="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Radio" checked="Checked" firstButton="1" fmlaLink="$R$372" lockText="1"/>
</file>

<file path=xl/ctrlProps/ctrlProp508.xml><?xml version="1.0" encoding="utf-8"?>
<formControlPr xmlns="http://schemas.microsoft.com/office/spreadsheetml/2009/9/main" objectType="Radio" lockText="1"/>
</file>

<file path=xl/ctrlProps/ctrlProp509.xml><?xml version="1.0" encoding="utf-8"?>
<formControlPr xmlns="http://schemas.microsoft.com/office/spreadsheetml/2009/9/main" objectType="CheckBox" fmlaLink="$R$280" lockText="1"/>
</file>

<file path=xl/ctrlProps/ctrlProp51.xml><?xml version="1.0" encoding="utf-8"?>
<formControlPr xmlns="http://schemas.microsoft.com/office/spreadsheetml/2009/9/main" objectType="CheckBox" fmlaLink="$R$494" lockText="1"/>
</file>

<file path=xl/ctrlProps/ctrlProp510.xml><?xml version="1.0" encoding="utf-8"?>
<formControlPr xmlns="http://schemas.microsoft.com/office/spreadsheetml/2009/9/main" objectType="CheckBox" fmlaLink="$R$281" lockText="1"/>
</file>

<file path=xl/ctrlProps/ctrlProp511.xml><?xml version="1.0" encoding="utf-8"?>
<formControlPr xmlns="http://schemas.microsoft.com/office/spreadsheetml/2009/9/main" objectType="CheckBox" fmlaLink="$R$282" lockText="1"/>
</file>

<file path=xl/ctrlProps/ctrlProp512.xml><?xml version="1.0" encoding="utf-8"?>
<formControlPr xmlns="http://schemas.microsoft.com/office/spreadsheetml/2009/9/main" objectType="CheckBox" fmlaLink="$R$283" lockText="1"/>
</file>

<file path=xl/ctrlProps/ctrlProp513.xml><?xml version="1.0" encoding="utf-8"?>
<formControlPr xmlns="http://schemas.microsoft.com/office/spreadsheetml/2009/9/main" objectType="CheckBox" fmlaLink="$R$284" lockText="1"/>
</file>

<file path=xl/ctrlProps/ctrlProp514.xml><?xml version="1.0" encoding="utf-8"?>
<formControlPr xmlns="http://schemas.microsoft.com/office/spreadsheetml/2009/9/main" objectType="CheckBox" fmlaLink="$R$286" lockText="1"/>
</file>

<file path=xl/ctrlProps/ctrlProp515.xml><?xml version="1.0" encoding="utf-8"?>
<formControlPr xmlns="http://schemas.microsoft.com/office/spreadsheetml/2009/9/main" objectType="CheckBox" fmlaLink="$R$287" lockText="1"/>
</file>

<file path=xl/ctrlProps/ctrlProp516.xml><?xml version="1.0" encoding="utf-8"?>
<formControlPr xmlns="http://schemas.microsoft.com/office/spreadsheetml/2009/9/main" objectType="CheckBox" fmlaLink="$R$288" lockText="1"/>
</file>

<file path=xl/ctrlProps/ctrlProp517.xml><?xml version="1.0" encoding="utf-8"?>
<formControlPr xmlns="http://schemas.microsoft.com/office/spreadsheetml/2009/9/main" objectType="CheckBox" fmlaLink="$R$289" lockText="1"/>
</file>

<file path=xl/ctrlProps/ctrlProp518.xml><?xml version="1.0" encoding="utf-8"?>
<formControlPr xmlns="http://schemas.microsoft.com/office/spreadsheetml/2009/9/main" objectType="CheckBox" fmlaLink="$R$290" lockText="1"/>
</file>

<file path=xl/ctrlProps/ctrlProp519.xml><?xml version="1.0" encoding="utf-8"?>
<formControlPr xmlns="http://schemas.microsoft.com/office/spreadsheetml/2009/9/main" objectType="CheckBox" fmlaLink="$R$292" lockText="1"/>
</file>

<file path=xl/ctrlProps/ctrlProp52.xml><?xml version="1.0" encoding="utf-8"?>
<formControlPr xmlns="http://schemas.microsoft.com/office/spreadsheetml/2009/9/main" objectType="CheckBox" fmlaLink="$R$321" lockText="1"/>
</file>

<file path=xl/ctrlProps/ctrlProp520.xml><?xml version="1.0" encoding="utf-8"?>
<formControlPr xmlns="http://schemas.microsoft.com/office/spreadsheetml/2009/9/main" objectType="CheckBox" fmlaLink="$R$293" lockText="1"/>
</file>

<file path=xl/ctrlProps/ctrlProp521.xml><?xml version="1.0" encoding="utf-8"?>
<formControlPr xmlns="http://schemas.microsoft.com/office/spreadsheetml/2009/9/main" objectType="CheckBox" fmlaLink="$R$294" lockText="1"/>
</file>

<file path=xl/ctrlProps/ctrlProp522.xml><?xml version="1.0" encoding="utf-8"?>
<formControlPr xmlns="http://schemas.microsoft.com/office/spreadsheetml/2009/9/main" objectType="CheckBox" fmlaLink="$R$295" lockText="1"/>
</file>

<file path=xl/ctrlProps/ctrlProp523.xml><?xml version="1.0" encoding="utf-8"?>
<formControlPr xmlns="http://schemas.microsoft.com/office/spreadsheetml/2009/9/main" objectType="CheckBox" fmlaLink="$R$296" lockText="1"/>
</file>

<file path=xl/ctrlProps/ctrlProp524.xml><?xml version="1.0" encoding="utf-8"?>
<formControlPr xmlns="http://schemas.microsoft.com/office/spreadsheetml/2009/9/main" objectType="CheckBox" fmlaLink="$R$300" lockText="1"/>
</file>

<file path=xl/ctrlProps/ctrlProp525.xml><?xml version="1.0" encoding="utf-8"?>
<formControlPr xmlns="http://schemas.microsoft.com/office/spreadsheetml/2009/9/main" objectType="CheckBox" fmlaLink="$R$301" lockText="1"/>
</file>

<file path=xl/ctrlProps/ctrlProp526.xml><?xml version="1.0" encoding="utf-8"?>
<formControlPr xmlns="http://schemas.microsoft.com/office/spreadsheetml/2009/9/main" objectType="CheckBox" fmlaLink="$R$308" lockText="1"/>
</file>

<file path=xl/ctrlProps/ctrlProp527.xml><?xml version="1.0" encoding="utf-8"?>
<formControlPr xmlns="http://schemas.microsoft.com/office/spreadsheetml/2009/9/main" objectType="CheckBox" fmlaLink="$R$309" lockText="1"/>
</file>

<file path=xl/ctrlProps/ctrlProp528.xml><?xml version="1.0" encoding="utf-8"?>
<formControlPr xmlns="http://schemas.microsoft.com/office/spreadsheetml/2009/9/main" objectType="CheckBox" fmlaLink="$R$310" lockText="1"/>
</file>

<file path=xl/ctrlProps/ctrlProp529.xml><?xml version="1.0" encoding="utf-8"?>
<formControlPr xmlns="http://schemas.microsoft.com/office/spreadsheetml/2009/9/main" objectType="CheckBox" fmlaLink="$R$311" lockText="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CheckBox" fmlaLink="$R$312" lockText="1"/>
</file>

<file path=xl/ctrlProps/ctrlProp531.xml><?xml version="1.0" encoding="utf-8"?>
<formControlPr xmlns="http://schemas.microsoft.com/office/spreadsheetml/2009/9/main" objectType="CheckBox" fmlaLink="$R$313" lockText="1"/>
</file>

<file path=xl/ctrlProps/ctrlProp532.xml><?xml version="1.0" encoding="utf-8"?>
<formControlPr xmlns="http://schemas.microsoft.com/office/spreadsheetml/2009/9/main" objectType="CheckBox" fmlaLink="$R$314" lockText="1"/>
</file>

<file path=xl/ctrlProps/ctrlProp533.xml><?xml version="1.0" encoding="utf-8"?>
<formControlPr xmlns="http://schemas.microsoft.com/office/spreadsheetml/2009/9/main" objectType="CheckBox" fmlaLink="$R$315" lockText="1"/>
</file>

<file path=xl/ctrlProps/ctrlProp534.xml><?xml version="1.0" encoding="utf-8"?>
<formControlPr xmlns="http://schemas.microsoft.com/office/spreadsheetml/2009/9/main" objectType="CheckBox" fmlaLink="$R$316" lockText="1"/>
</file>

<file path=xl/ctrlProps/ctrlProp535.xml><?xml version="1.0" encoding="utf-8"?>
<formControlPr xmlns="http://schemas.microsoft.com/office/spreadsheetml/2009/9/main" objectType="CheckBox" fmlaLink="$R$318" lockText="1"/>
</file>

<file path=xl/ctrlProps/ctrlProp536.xml><?xml version="1.0" encoding="utf-8"?>
<formControlPr xmlns="http://schemas.microsoft.com/office/spreadsheetml/2009/9/main" objectType="CheckBox" fmlaLink="$R$320" lockText="1"/>
</file>

<file path=xl/ctrlProps/ctrlProp537.xml><?xml version="1.0" encoding="utf-8"?>
<formControlPr xmlns="http://schemas.microsoft.com/office/spreadsheetml/2009/9/main" objectType="CheckBox" fmlaLink="$R$321" lockText="1"/>
</file>

<file path=xl/ctrlProps/ctrlProp538.xml><?xml version="1.0" encoding="utf-8"?>
<formControlPr xmlns="http://schemas.microsoft.com/office/spreadsheetml/2009/9/main" objectType="CheckBox" fmlaLink="$R$322" lockText="1"/>
</file>

<file path=xl/ctrlProps/ctrlProp539.xml><?xml version="1.0" encoding="utf-8"?>
<formControlPr xmlns="http://schemas.microsoft.com/office/spreadsheetml/2009/9/main" objectType="CheckBox" fmlaLink="$R$323" lockText="1"/>
</file>

<file path=xl/ctrlProps/ctrlProp54.xml><?xml version="1.0" encoding="utf-8"?>
<formControlPr xmlns="http://schemas.microsoft.com/office/spreadsheetml/2009/9/main" objectType="Radio" checked="Checked" firstButton="1" fmlaLink="$Z$464" lockText="1"/>
</file>

<file path=xl/ctrlProps/ctrlProp540.xml><?xml version="1.0" encoding="utf-8"?>
<formControlPr xmlns="http://schemas.microsoft.com/office/spreadsheetml/2009/9/main" objectType="CheckBox" fmlaLink="$R$324" lockText="1"/>
</file>

<file path=xl/ctrlProps/ctrlProp541.xml><?xml version="1.0" encoding="utf-8"?>
<formControlPr xmlns="http://schemas.microsoft.com/office/spreadsheetml/2009/9/main" objectType="CheckBox" fmlaLink="$R$325" lockText="1"/>
</file>

<file path=xl/ctrlProps/ctrlProp542.xml><?xml version="1.0" encoding="utf-8"?>
<formControlPr xmlns="http://schemas.microsoft.com/office/spreadsheetml/2009/9/main" objectType="CheckBox" fmlaLink="$R$326" lockText="1"/>
</file>

<file path=xl/ctrlProps/ctrlProp543.xml><?xml version="1.0" encoding="utf-8"?>
<formControlPr xmlns="http://schemas.microsoft.com/office/spreadsheetml/2009/9/main" objectType="CheckBox" fmlaLink="$R$329" lockText="1"/>
</file>

<file path=xl/ctrlProps/ctrlProp544.xml><?xml version="1.0" encoding="utf-8"?>
<formControlPr xmlns="http://schemas.microsoft.com/office/spreadsheetml/2009/9/main" objectType="CheckBox" fmlaLink="$R$330" lockText="1"/>
</file>

<file path=xl/ctrlProps/ctrlProp545.xml><?xml version="1.0" encoding="utf-8"?>
<formControlPr xmlns="http://schemas.microsoft.com/office/spreadsheetml/2009/9/main" objectType="CheckBox" fmlaLink="$R$331" lockText="1"/>
</file>

<file path=xl/ctrlProps/ctrlProp546.xml><?xml version="1.0" encoding="utf-8"?>
<formControlPr xmlns="http://schemas.microsoft.com/office/spreadsheetml/2009/9/main" objectType="CheckBox" fmlaLink="$R$332" lockText="1"/>
</file>

<file path=xl/ctrlProps/ctrlProp547.xml><?xml version="1.0" encoding="utf-8"?>
<formControlPr xmlns="http://schemas.microsoft.com/office/spreadsheetml/2009/9/main" objectType="CheckBox" fmlaLink="$R$333" lockText="1"/>
</file>

<file path=xl/ctrlProps/ctrlProp548.xml><?xml version="1.0" encoding="utf-8"?>
<formControlPr xmlns="http://schemas.microsoft.com/office/spreadsheetml/2009/9/main" objectType="CheckBox" fmlaLink="$R$335" lockText="1"/>
</file>

<file path=xl/ctrlProps/ctrlProp549.xml><?xml version="1.0" encoding="utf-8"?>
<formControlPr xmlns="http://schemas.microsoft.com/office/spreadsheetml/2009/9/main" objectType="CheckBox" fmlaLink="$R$297" lockText="1"/>
</file>

<file path=xl/ctrlProps/ctrlProp55.xml><?xml version="1.0" encoding="utf-8"?>
<formControlPr xmlns="http://schemas.microsoft.com/office/spreadsheetml/2009/9/main" objectType="Radio" lockText="1"/>
</file>

<file path=xl/ctrlProps/ctrlProp550.xml><?xml version="1.0" encoding="utf-8"?>
<formControlPr xmlns="http://schemas.microsoft.com/office/spreadsheetml/2009/9/main" objectType="CheckBox" fmlaLink="$R$307" lockText="1"/>
</file>

<file path=xl/ctrlProps/ctrlProp551.xml><?xml version="1.0" encoding="utf-8"?>
<formControlPr xmlns="http://schemas.microsoft.com/office/spreadsheetml/2009/9/main" objectType="CheckBox" fmlaLink="$R$299" lockText="1"/>
</file>

<file path=xl/ctrlProps/ctrlProp552.xml><?xml version="1.0" encoding="utf-8"?>
<formControlPr xmlns="http://schemas.microsoft.com/office/spreadsheetml/2009/9/main" objectType="CheckBox" fmlaLink="$R$328" lockText="1"/>
</file>

<file path=xl/ctrlProps/ctrlProp553.xml><?xml version="1.0" encoding="utf-8"?>
<formControlPr xmlns="http://schemas.microsoft.com/office/spreadsheetml/2009/9/main" objectType="CheckBox" fmlaLink="$S$68" lockText="1"/>
</file>

<file path=xl/ctrlProps/ctrlProp554.xml><?xml version="1.0" encoding="utf-8"?>
<formControlPr xmlns="http://schemas.microsoft.com/office/spreadsheetml/2009/9/main" objectType="CheckBox" fmlaLink="$S$69" lockText="1"/>
</file>

<file path=xl/ctrlProps/ctrlProp555.xml><?xml version="1.0" encoding="utf-8"?>
<formControlPr xmlns="http://schemas.microsoft.com/office/spreadsheetml/2009/9/main" objectType="CheckBox" fmlaLink="$S$70" lockText="1"/>
</file>

<file path=xl/ctrlProps/ctrlProp556.xml><?xml version="1.0" encoding="utf-8"?>
<formControlPr xmlns="http://schemas.microsoft.com/office/spreadsheetml/2009/9/main" objectType="CheckBox" fmlaLink="$S$108" lockText="1"/>
</file>

<file path=xl/ctrlProps/ctrlProp557.xml><?xml version="1.0" encoding="utf-8"?>
<formControlPr xmlns="http://schemas.microsoft.com/office/spreadsheetml/2009/9/main" objectType="CheckBox" fmlaLink="$S$109" lockText="1"/>
</file>

<file path=xl/ctrlProps/ctrlProp558.xml><?xml version="1.0" encoding="utf-8"?>
<formControlPr xmlns="http://schemas.microsoft.com/office/spreadsheetml/2009/9/main" objectType="CheckBox" fmlaLink="$S$110" lockText="1"/>
</file>

<file path=xl/ctrlProps/ctrlProp559.xml><?xml version="1.0" encoding="utf-8"?>
<formControlPr xmlns="http://schemas.microsoft.com/office/spreadsheetml/2009/9/main" objectType="CheckBox" fmlaLink="$S$148" lockText="1"/>
</file>

<file path=xl/ctrlProps/ctrlProp56.xml><?xml version="1.0" encoding="utf-8"?>
<formControlPr xmlns="http://schemas.microsoft.com/office/spreadsheetml/2009/9/main" objectType="Radio" lockText="1"/>
</file>

<file path=xl/ctrlProps/ctrlProp560.xml><?xml version="1.0" encoding="utf-8"?>
<formControlPr xmlns="http://schemas.microsoft.com/office/spreadsheetml/2009/9/main" objectType="CheckBox" fmlaLink="$S$149" lockText="1"/>
</file>

<file path=xl/ctrlProps/ctrlProp561.xml><?xml version="1.0" encoding="utf-8"?>
<formControlPr xmlns="http://schemas.microsoft.com/office/spreadsheetml/2009/9/main" objectType="CheckBox" fmlaLink="$S$150" lockText="1"/>
</file>

<file path=xl/ctrlProps/ctrlProp562.xml><?xml version="1.0" encoding="utf-8"?>
<formControlPr xmlns="http://schemas.microsoft.com/office/spreadsheetml/2009/9/main" objectType="CheckBox" fmlaLink="$S$188" lockText="1"/>
</file>

<file path=xl/ctrlProps/ctrlProp563.xml><?xml version="1.0" encoding="utf-8"?>
<formControlPr xmlns="http://schemas.microsoft.com/office/spreadsheetml/2009/9/main" objectType="CheckBox" fmlaLink="$S$189" lockText="1"/>
</file>

<file path=xl/ctrlProps/ctrlProp564.xml><?xml version="1.0" encoding="utf-8"?>
<formControlPr xmlns="http://schemas.microsoft.com/office/spreadsheetml/2009/9/main" objectType="CheckBox" fmlaLink="$S$190" lockText="1"/>
</file>

<file path=xl/ctrlProps/ctrlProp565.xml><?xml version="1.0" encoding="utf-8"?>
<formControlPr xmlns="http://schemas.microsoft.com/office/spreadsheetml/2009/9/main" objectType="CheckBox" fmlaLink="$S$69" lockText="1"/>
</file>

<file path=xl/ctrlProps/ctrlProp566.xml><?xml version="1.0" encoding="utf-8"?>
<formControlPr xmlns="http://schemas.microsoft.com/office/spreadsheetml/2009/9/main" objectType="CheckBox" fmlaLink="$S$70" lockText="1"/>
</file>

<file path=xl/ctrlProps/ctrlProp567.xml><?xml version="1.0" encoding="utf-8"?>
<formControlPr xmlns="http://schemas.microsoft.com/office/spreadsheetml/2009/9/main" objectType="CheckBox" fmlaLink="$S$30" lockText="1"/>
</file>

<file path=xl/ctrlProps/ctrlProp568.xml><?xml version="1.0" encoding="utf-8"?>
<formControlPr xmlns="http://schemas.microsoft.com/office/spreadsheetml/2009/9/main" objectType="CheckBox" fmlaLink="$S$31" lockText="1"/>
</file>

<file path=xl/ctrlProps/ctrlProp569.xml><?xml version="1.0" encoding="utf-8"?>
<formControlPr xmlns="http://schemas.microsoft.com/office/spreadsheetml/2009/9/main" objectType="CheckBox" fmlaLink="$R$208" lockText="1"/>
</file>

<file path=xl/ctrlProps/ctrlProp57.xml><?xml version="1.0" encoding="utf-8"?>
<formControlPr xmlns="http://schemas.microsoft.com/office/spreadsheetml/2009/9/main" objectType="CheckBox" fmlaLink="$R$473" lockText="1"/>
</file>

<file path=xl/ctrlProps/ctrlProp570.xml><?xml version="1.0" encoding="utf-8"?>
<formControlPr xmlns="http://schemas.microsoft.com/office/spreadsheetml/2009/9/main" objectType="CheckBox" fmlaLink="$R$209" lockText="1"/>
</file>

<file path=xl/ctrlProps/ctrlProp571.xml><?xml version="1.0" encoding="utf-8"?>
<formControlPr xmlns="http://schemas.microsoft.com/office/spreadsheetml/2009/9/main" objectType="CheckBox" fmlaLink="$R$210" lockText="1"/>
</file>

<file path=xl/ctrlProps/ctrlProp572.xml><?xml version="1.0" encoding="utf-8"?>
<formControlPr xmlns="http://schemas.microsoft.com/office/spreadsheetml/2009/9/main" objectType="CheckBox" fmlaLink="$R$211" lockText="1"/>
</file>

<file path=xl/ctrlProps/ctrlProp573.xml><?xml version="1.0" encoding="utf-8"?>
<formControlPr xmlns="http://schemas.microsoft.com/office/spreadsheetml/2009/9/main" objectType="CheckBox" fmlaLink="$R$212" lockText="1"/>
</file>

<file path=xl/ctrlProps/ctrlProp574.xml><?xml version="1.0" encoding="utf-8"?>
<formControlPr xmlns="http://schemas.microsoft.com/office/spreadsheetml/2009/9/main" objectType="CheckBox" fmlaLink="$R$215" lockText="1"/>
</file>

<file path=xl/ctrlProps/ctrlProp575.xml><?xml version="1.0" encoding="utf-8"?>
<formControlPr xmlns="http://schemas.microsoft.com/office/spreadsheetml/2009/9/main" objectType="CheckBox" fmlaLink="$R$216" lockText="1"/>
</file>

<file path=xl/ctrlProps/ctrlProp576.xml><?xml version="1.0" encoding="utf-8"?>
<formControlPr xmlns="http://schemas.microsoft.com/office/spreadsheetml/2009/9/main" objectType="CheckBox" fmlaLink="$R$217" lockText="1"/>
</file>

<file path=xl/ctrlProps/ctrlProp577.xml><?xml version="1.0" encoding="utf-8"?>
<formControlPr xmlns="http://schemas.microsoft.com/office/spreadsheetml/2009/9/main" objectType="CheckBox" fmlaLink="$R$218" lockText="1"/>
</file>

<file path=xl/ctrlProps/ctrlProp578.xml><?xml version="1.0" encoding="utf-8"?>
<formControlPr xmlns="http://schemas.microsoft.com/office/spreadsheetml/2009/9/main" objectType="CheckBox" fmlaLink="$R$219" lockText="1"/>
</file>

<file path=xl/ctrlProps/ctrlProp579.xml><?xml version="1.0" encoding="utf-8"?>
<formControlPr xmlns="http://schemas.microsoft.com/office/spreadsheetml/2009/9/main" objectType="CheckBox" fmlaLink="$R$247" lockText="1"/>
</file>

<file path=xl/ctrlProps/ctrlProp58.xml><?xml version="1.0" encoding="utf-8"?>
<formControlPr xmlns="http://schemas.microsoft.com/office/spreadsheetml/2009/9/main" objectType="CheckBox" fmlaLink="$R$474" lockText="1"/>
</file>

<file path=xl/ctrlProps/ctrlProp580.xml><?xml version="1.0" encoding="utf-8"?>
<formControlPr xmlns="http://schemas.microsoft.com/office/spreadsheetml/2009/9/main" objectType="CheckBox" fmlaLink="$R$249" lockText="1"/>
</file>

<file path=xl/ctrlProps/ctrlProp581.xml><?xml version="1.0" encoding="utf-8"?>
<formControlPr xmlns="http://schemas.microsoft.com/office/spreadsheetml/2009/9/main" objectType="CheckBox" fmlaLink="$R$256" lockText="1"/>
</file>

<file path=xl/ctrlProps/ctrlProp582.xml><?xml version="1.0" encoding="utf-8"?>
<formControlPr xmlns="http://schemas.microsoft.com/office/spreadsheetml/2009/9/main" objectType="CheckBox" fmlaLink="$R$257" lockText="1"/>
</file>

<file path=xl/ctrlProps/ctrlProp583.xml><?xml version="1.0" encoding="utf-8"?>
<formControlPr xmlns="http://schemas.microsoft.com/office/spreadsheetml/2009/9/main" objectType="CheckBox" fmlaLink="$R$258" lockText="1"/>
</file>

<file path=xl/ctrlProps/ctrlProp584.xml><?xml version="1.0" encoding="utf-8"?>
<formControlPr xmlns="http://schemas.microsoft.com/office/spreadsheetml/2009/9/main" objectType="CheckBox" fmlaLink="$R$259" lockText="1"/>
</file>

<file path=xl/ctrlProps/ctrlProp585.xml><?xml version="1.0" encoding="utf-8"?>
<formControlPr xmlns="http://schemas.microsoft.com/office/spreadsheetml/2009/9/main" objectType="CheckBox" fmlaLink="$R$260" lockText="1"/>
</file>

<file path=xl/ctrlProps/ctrlProp586.xml><?xml version="1.0" encoding="utf-8"?>
<formControlPr xmlns="http://schemas.microsoft.com/office/spreadsheetml/2009/9/main" objectType="CheckBox" fmlaLink="$R$261" lockText="1"/>
</file>

<file path=xl/ctrlProps/ctrlProp587.xml><?xml version="1.0" encoding="utf-8"?>
<formControlPr xmlns="http://schemas.microsoft.com/office/spreadsheetml/2009/9/main" objectType="CheckBox" fmlaLink="$R$262" lockText="1"/>
</file>

<file path=xl/ctrlProps/ctrlProp588.xml><?xml version="1.0" encoding="utf-8"?>
<formControlPr xmlns="http://schemas.microsoft.com/office/spreadsheetml/2009/9/main" objectType="CheckBox" fmlaLink="$R$416" lockText="1"/>
</file>

<file path=xl/ctrlProps/ctrlProp589.xml><?xml version="1.0" encoding="utf-8"?>
<formControlPr xmlns="http://schemas.microsoft.com/office/spreadsheetml/2009/9/main" objectType="CheckBox" fmlaLink="$R$417" lockText="1"/>
</file>

<file path=xl/ctrlProps/ctrlProp59.xml><?xml version="1.0" encoding="utf-8"?>
<formControlPr xmlns="http://schemas.microsoft.com/office/spreadsheetml/2009/9/main" objectType="CheckBox" fmlaLink="$R$475" lockText="1"/>
</file>

<file path=xl/ctrlProps/ctrlProp590.xml><?xml version="1.0" encoding="utf-8"?>
<formControlPr xmlns="http://schemas.microsoft.com/office/spreadsheetml/2009/9/main" objectType="CheckBox" fmlaLink="$R$429" lockText="1"/>
</file>

<file path=xl/ctrlProps/ctrlProp591.xml><?xml version="1.0" encoding="utf-8"?>
<formControlPr xmlns="http://schemas.microsoft.com/office/spreadsheetml/2009/9/main" objectType="CheckBox" fmlaLink="$R$430" lockText="1"/>
</file>

<file path=xl/ctrlProps/ctrlProp592.xml><?xml version="1.0" encoding="utf-8"?>
<formControlPr xmlns="http://schemas.microsoft.com/office/spreadsheetml/2009/9/main" objectType="CheckBox" fmlaLink="$R$431" lockText="1"/>
</file>

<file path=xl/ctrlProps/ctrlProp593.xml><?xml version="1.0" encoding="utf-8"?>
<formControlPr xmlns="http://schemas.microsoft.com/office/spreadsheetml/2009/9/main" objectType="CheckBox" fmlaLink="$R$432" lockText="1"/>
</file>

<file path=xl/ctrlProps/ctrlProp594.xml><?xml version="1.0" encoding="utf-8"?>
<formControlPr xmlns="http://schemas.microsoft.com/office/spreadsheetml/2009/9/main" objectType="CheckBox" fmlaLink="$R$433" lockText="1"/>
</file>

<file path=xl/ctrlProps/ctrlProp595.xml><?xml version="1.0" encoding="utf-8"?>
<formControlPr xmlns="http://schemas.microsoft.com/office/spreadsheetml/2009/9/main" objectType="CheckBox" fmlaLink="$R$434" lockText="1"/>
</file>

<file path=xl/ctrlProps/ctrlProp596.xml><?xml version="1.0" encoding="utf-8"?>
<formControlPr xmlns="http://schemas.microsoft.com/office/spreadsheetml/2009/9/main" objectType="CheckBox" fmlaLink="$R$435" lockText="1"/>
</file>

<file path=xl/ctrlProps/ctrlProp597.xml><?xml version="1.0" encoding="utf-8"?>
<formControlPr xmlns="http://schemas.microsoft.com/office/spreadsheetml/2009/9/main" objectType="CheckBox" fmlaLink="$R$243" lockText="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Radio" checked="Checked" firstButton="1" fmlaLink="$Z$295" lockText="1"/>
</file>

<file path=xl/ctrlProps/ctrlProp6.xml><?xml version="1.0" encoding="utf-8"?>
<formControlPr xmlns="http://schemas.microsoft.com/office/spreadsheetml/2009/9/main" objectType="CheckBox" fmlaLink="$S$46" lockText="1"/>
</file>

<file path=xl/ctrlProps/ctrlProp60.xml><?xml version="1.0" encoding="utf-8"?>
<formControlPr xmlns="http://schemas.microsoft.com/office/spreadsheetml/2009/9/main" objectType="CheckBox" fmlaLink="$R$476" lockText="1"/>
</file>

<file path=xl/ctrlProps/ctrlProp600.xml><?xml version="1.0" encoding="utf-8"?>
<formControlPr xmlns="http://schemas.microsoft.com/office/spreadsheetml/2009/9/main" objectType="Radio" lockText="1"/>
</file>

<file path=xl/ctrlProps/ctrlProp601.xml><?xml version="1.0" encoding="utf-8"?>
<formControlPr xmlns="http://schemas.microsoft.com/office/spreadsheetml/2009/9/main" objectType="Radio" lockText="1"/>
</file>

<file path=xl/ctrlProps/ctrlProp602.xml><?xml version="1.0" encoding="utf-8"?>
<formControlPr xmlns="http://schemas.microsoft.com/office/spreadsheetml/2009/9/main" objectType="Radio" lockText="1"/>
</file>

<file path=xl/ctrlProps/ctrlProp603.xml><?xml version="1.0" encoding="utf-8"?>
<formControlPr xmlns="http://schemas.microsoft.com/office/spreadsheetml/2009/9/main" objectType="Radio" lockText="1"/>
</file>

<file path=xl/ctrlProps/ctrlProp604.xml><?xml version="1.0" encoding="utf-8"?>
<formControlPr xmlns="http://schemas.microsoft.com/office/spreadsheetml/2009/9/main" objectType="Radio" lockText="1"/>
</file>

<file path=xl/ctrlProps/ctrlProp605.xml><?xml version="1.0" encoding="utf-8"?>
<formControlPr xmlns="http://schemas.microsoft.com/office/spreadsheetml/2009/9/main" objectType="Radio" firstButton="1" lockText="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Radio" checked="Checked" firstButton="1" fmlaLink="$Z$294" lockText="1"/>
</file>

<file path=xl/ctrlProps/ctrlProp608.xml><?xml version="1.0" encoding="utf-8"?>
<formControlPr xmlns="http://schemas.microsoft.com/office/spreadsheetml/2009/9/main" objectType="Radio" lockText="1"/>
</file>

<file path=xl/ctrlProps/ctrlProp609.xml><?xml version="1.0" encoding="utf-8"?>
<formControlPr xmlns="http://schemas.microsoft.com/office/spreadsheetml/2009/9/main" objectType="Radio" lockText="1"/>
</file>

<file path=xl/ctrlProps/ctrlProp61.xml><?xml version="1.0" encoding="utf-8"?>
<formControlPr xmlns="http://schemas.microsoft.com/office/spreadsheetml/2009/9/main" objectType="CheckBox" fmlaLink="$R$477" lockText="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Radio" checked="Checked" firstButton="1" fmlaLink="$Z$296" lockText="1"/>
</file>

<file path=xl/ctrlProps/ctrlProp612.xml><?xml version="1.0" encoding="utf-8"?>
<formControlPr xmlns="http://schemas.microsoft.com/office/spreadsheetml/2009/9/main" objectType="Radio" lockText="1"/>
</file>

<file path=xl/ctrlProps/ctrlProp613.xml><?xml version="1.0" encoding="utf-8"?>
<formControlPr xmlns="http://schemas.microsoft.com/office/spreadsheetml/2009/9/main" objectType="Radio" lockText="1"/>
</file>

<file path=xl/ctrlProps/ctrlProp614.xml><?xml version="1.0" encoding="utf-8"?>
<formControlPr xmlns="http://schemas.microsoft.com/office/spreadsheetml/2009/9/main" objectType="Radio" lockText="1"/>
</file>

<file path=xl/ctrlProps/ctrlProp615.xml><?xml version="1.0" encoding="utf-8"?>
<formControlPr xmlns="http://schemas.microsoft.com/office/spreadsheetml/2009/9/main" objectType="Radio" lockText="1"/>
</file>

<file path=xl/ctrlProps/ctrlProp616.xml><?xml version="1.0" encoding="utf-8"?>
<formControlPr xmlns="http://schemas.microsoft.com/office/spreadsheetml/2009/9/main" objectType="Radio" lockText="1"/>
</file>

<file path=xl/ctrlProps/ctrlProp617.xml><?xml version="1.0" encoding="utf-8"?>
<formControlPr xmlns="http://schemas.microsoft.com/office/spreadsheetml/2009/9/main" objectType="Radio" lockText="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Radio" checked="Checked" firstButton="1" fmlaLink="$S$246" lockText="1"/>
</file>

<file path=xl/ctrlProps/ctrlProp62.xml><?xml version="1.0" encoding="utf-8"?>
<formControlPr xmlns="http://schemas.microsoft.com/office/spreadsheetml/2009/9/main" objectType="CheckBox" fmlaLink="$R$478" lockText="1"/>
</file>

<file path=xl/ctrlProps/ctrlProp620.xml><?xml version="1.0" encoding="utf-8"?>
<formControlPr xmlns="http://schemas.microsoft.com/office/spreadsheetml/2009/9/main" objectType="Radio" lockText="1"/>
</file>

<file path=xl/ctrlProps/ctrlProp621.xml><?xml version="1.0" encoding="utf-8"?>
<formControlPr xmlns="http://schemas.microsoft.com/office/spreadsheetml/2009/9/main" objectType="Radio" lockText="1"/>
</file>

<file path=xl/ctrlProps/ctrlProp622.xml><?xml version="1.0" encoding="utf-8"?>
<formControlPr xmlns="http://schemas.microsoft.com/office/spreadsheetml/2009/9/main" objectType="GBox" noThreeD="1"/>
</file>

<file path=xl/ctrlProps/ctrlProp623.xml><?xml version="1.0" encoding="utf-8"?>
<formControlPr xmlns="http://schemas.microsoft.com/office/spreadsheetml/2009/9/main" objectType="Radio" firstButton="1" fmlaLink="$S$253" lockText="1"/>
</file>

<file path=xl/ctrlProps/ctrlProp624.xml><?xml version="1.0" encoding="utf-8"?>
<formControlPr xmlns="http://schemas.microsoft.com/office/spreadsheetml/2009/9/main" objectType="Radio" checked="Checked" lockText="1"/>
</file>

<file path=xl/ctrlProps/ctrlProp625.xml><?xml version="1.0" encoding="utf-8"?>
<formControlPr xmlns="http://schemas.microsoft.com/office/spreadsheetml/2009/9/main" objectType="GBox" noThreeD="1"/>
</file>

<file path=xl/ctrlProps/ctrlProp626.xml><?xml version="1.0" encoding="utf-8"?>
<formControlPr xmlns="http://schemas.microsoft.com/office/spreadsheetml/2009/9/main" objectType="Radio" firstButton="1" fmlaLink="$S$266" lockText="1"/>
</file>

<file path=xl/ctrlProps/ctrlProp627.xml><?xml version="1.0" encoding="utf-8"?>
<formControlPr xmlns="http://schemas.microsoft.com/office/spreadsheetml/2009/9/main" objectType="Radio" checked="Checked" lockText="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Radio" checked="Checked" firstButton="1" fmlaLink="$R$403" lockText="1"/>
</file>

<file path=xl/ctrlProps/ctrlProp63.xml><?xml version="1.0" encoding="utf-8"?>
<formControlPr xmlns="http://schemas.microsoft.com/office/spreadsheetml/2009/9/main" objectType="CheckBox" fmlaLink="$R$483" lockText="1"/>
</file>

<file path=xl/ctrlProps/ctrlProp630.xml><?xml version="1.0" encoding="utf-8"?>
<formControlPr xmlns="http://schemas.microsoft.com/office/spreadsheetml/2009/9/main" objectType="Radio" lockText="1"/>
</file>

<file path=xl/ctrlProps/ctrlProp631.xml><?xml version="1.0" encoding="utf-8"?>
<formControlPr xmlns="http://schemas.microsoft.com/office/spreadsheetml/2009/9/main" objectType="Radio" lockText="1"/>
</file>

<file path=xl/ctrlProps/ctrlProp632.xml><?xml version="1.0" encoding="utf-8"?>
<formControlPr xmlns="http://schemas.microsoft.com/office/spreadsheetml/2009/9/main" objectType="Radio" checked="Checked" firstButton="1" fmlaLink="$R$412" lockText="1"/>
</file>

<file path=xl/ctrlProps/ctrlProp633.xml><?xml version="1.0" encoding="utf-8"?>
<formControlPr xmlns="http://schemas.microsoft.com/office/spreadsheetml/2009/9/main" objectType="Radio" lockText="1"/>
</file>

<file path=xl/ctrlProps/ctrlProp634.xml><?xml version="1.0" encoding="utf-8"?>
<formControlPr xmlns="http://schemas.microsoft.com/office/spreadsheetml/2009/9/main" objectType="Radio" lockText="1"/>
</file>

<file path=xl/ctrlProps/ctrlProp635.xml><?xml version="1.0" encoding="utf-8"?>
<formControlPr xmlns="http://schemas.microsoft.com/office/spreadsheetml/2009/9/main" objectType="Radio" lockText="1"/>
</file>

<file path=xl/ctrlProps/ctrlProp636.xml><?xml version="1.0" encoding="utf-8"?>
<formControlPr xmlns="http://schemas.microsoft.com/office/spreadsheetml/2009/9/main" objectType="Radio" lockText="1"/>
</file>

<file path=xl/ctrlProps/ctrlProp637.xml><?xml version="1.0" encoding="utf-8"?>
<formControlPr xmlns="http://schemas.microsoft.com/office/spreadsheetml/2009/9/main" objectType="GBox" noThreeD="1"/>
</file>

<file path=xl/ctrlProps/ctrlProp638.xml><?xml version="1.0" encoding="utf-8"?>
<formControlPr xmlns="http://schemas.microsoft.com/office/spreadsheetml/2009/9/main" objectType="GBox" noThreeD="1"/>
</file>

<file path=xl/ctrlProps/ctrlProp639.xml><?xml version="1.0" encoding="utf-8"?>
<formControlPr xmlns="http://schemas.microsoft.com/office/spreadsheetml/2009/9/main" objectType="Radio" firstButton="1" fmlaLink="$R$425" lockText="1"/>
</file>

<file path=xl/ctrlProps/ctrlProp64.xml><?xml version="1.0" encoding="utf-8"?>
<formControlPr xmlns="http://schemas.microsoft.com/office/spreadsheetml/2009/9/main" objectType="CheckBox" fmlaLink="$R$484" lockText="1"/>
</file>

<file path=xl/ctrlProps/ctrlProp640.xml><?xml version="1.0" encoding="utf-8"?>
<formControlPr xmlns="http://schemas.microsoft.com/office/spreadsheetml/2009/9/main" objectType="Radio" lockText="1"/>
</file>

<file path=xl/ctrlProps/ctrlProp641.xml><?xml version="1.0" encoding="utf-8"?>
<formControlPr xmlns="http://schemas.microsoft.com/office/spreadsheetml/2009/9/main" objectType="Radio" lockText="1"/>
</file>

<file path=xl/ctrlProps/ctrlProp642.xml><?xml version="1.0" encoding="utf-8"?>
<formControlPr xmlns="http://schemas.microsoft.com/office/spreadsheetml/2009/9/main" objectType="Radio" lockText="1"/>
</file>

<file path=xl/ctrlProps/ctrlProp643.xml><?xml version="1.0" encoding="utf-8"?>
<formControlPr xmlns="http://schemas.microsoft.com/office/spreadsheetml/2009/9/main" objectType="Radio" checked="Checked" lockText="1"/>
</file>

<file path=xl/ctrlProps/ctrlProp644.xml><?xml version="1.0" encoding="utf-8"?>
<formControlPr xmlns="http://schemas.microsoft.com/office/spreadsheetml/2009/9/main" objectType="GBox" noThreeD="1"/>
</file>

<file path=xl/ctrlProps/ctrlProp645.xml><?xml version="1.0" encoding="utf-8"?>
<formControlPr xmlns="http://schemas.microsoft.com/office/spreadsheetml/2009/9/main" objectType="Radio" firstButton="1" fmlaLink="$R$438" lockText="1"/>
</file>

<file path=xl/ctrlProps/ctrlProp646.xml><?xml version="1.0" encoding="utf-8"?>
<formControlPr xmlns="http://schemas.microsoft.com/office/spreadsheetml/2009/9/main" objectType="Radio" checked="Checked" lockText="1"/>
</file>

<file path=xl/ctrlProps/ctrlProp647.xml><?xml version="1.0" encoding="utf-8"?>
<formControlPr xmlns="http://schemas.microsoft.com/office/spreadsheetml/2009/9/main" objectType="GBox" noThreeD="1"/>
</file>

<file path=xl/ctrlProps/ctrlProp648.xml><?xml version="1.0" encoding="utf-8"?>
<formControlPr xmlns="http://schemas.microsoft.com/office/spreadsheetml/2009/9/main" objectType="Radio" firstButton="1" fmlaLink="$R$442" lockText="1"/>
</file>

<file path=xl/ctrlProps/ctrlProp649.xml><?xml version="1.0" encoding="utf-8"?>
<formControlPr xmlns="http://schemas.microsoft.com/office/spreadsheetml/2009/9/main" objectType="Radio" checked="Checked" lockText="1"/>
</file>

<file path=xl/ctrlProps/ctrlProp65.xml><?xml version="1.0" encoding="utf-8"?>
<formControlPr xmlns="http://schemas.microsoft.com/office/spreadsheetml/2009/9/main" objectType="CheckBox" fmlaLink="$R$485" lockText="1"/>
</file>

<file path=xl/ctrlProps/ctrlProp650.xml><?xml version="1.0" encoding="utf-8"?>
<formControlPr xmlns="http://schemas.microsoft.com/office/spreadsheetml/2009/9/main" objectType="GBox" noThreeD="1"/>
</file>

<file path=xl/ctrlProps/ctrlProp651.xml><?xml version="1.0" encoding="utf-8"?>
<formControlPr xmlns="http://schemas.microsoft.com/office/spreadsheetml/2009/9/main" objectType="Radio" checked="Checked" firstButton="1" fmlaLink="$R$372" lockText="1"/>
</file>

<file path=xl/ctrlProps/ctrlProp652.xml><?xml version="1.0" encoding="utf-8"?>
<formControlPr xmlns="http://schemas.microsoft.com/office/spreadsheetml/2009/9/main" objectType="Radio" lockText="1"/>
</file>

<file path=xl/ctrlProps/ctrlProp653.xml><?xml version="1.0" encoding="utf-8"?>
<formControlPr xmlns="http://schemas.microsoft.com/office/spreadsheetml/2009/9/main" objectType="CheckBox" fmlaLink="$R$219" lockText="1"/>
</file>

<file path=xl/ctrlProps/ctrlProp654.xml><?xml version="1.0" encoding="utf-8"?>
<formControlPr xmlns="http://schemas.microsoft.com/office/spreadsheetml/2009/9/main" objectType="GBox" noThreeD="1"/>
</file>

<file path=xl/ctrlProps/ctrlProp655.xml><?xml version="1.0" encoding="utf-8"?>
<formControlPr xmlns="http://schemas.microsoft.com/office/spreadsheetml/2009/9/main" objectType="GBox" noThreeD="1"/>
</file>

<file path=xl/ctrlProps/ctrlProp656.xml><?xml version="1.0" encoding="utf-8"?>
<formControlPr xmlns="http://schemas.microsoft.com/office/spreadsheetml/2009/9/main" objectType="Radio" checked="Checked" firstButton="1" fmlaLink="$AL$16" lockText="1"/>
</file>

<file path=xl/ctrlProps/ctrlProp657.xml><?xml version="1.0" encoding="utf-8"?>
<formControlPr xmlns="http://schemas.microsoft.com/office/spreadsheetml/2009/9/main" objectType="Radio" lockText="1"/>
</file>

<file path=xl/ctrlProps/ctrlProp658.xml><?xml version="1.0" encoding="utf-8"?>
<formControlPr xmlns="http://schemas.microsoft.com/office/spreadsheetml/2009/9/main" objectType="Radio" lockText="1"/>
</file>

<file path=xl/ctrlProps/ctrlProp659.xml><?xml version="1.0" encoding="utf-8"?>
<formControlPr xmlns="http://schemas.microsoft.com/office/spreadsheetml/2009/9/main" objectType="GBox" noThreeD="1"/>
</file>

<file path=xl/ctrlProps/ctrlProp66.xml><?xml version="1.0" encoding="utf-8"?>
<formControlPr xmlns="http://schemas.microsoft.com/office/spreadsheetml/2009/9/main" objectType="CheckBox" fmlaLink="$R$486" lockText="1"/>
</file>

<file path=xl/ctrlProps/ctrlProp660.xml><?xml version="1.0" encoding="utf-8"?>
<formControlPr xmlns="http://schemas.microsoft.com/office/spreadsheetml/2009/9/main" objectType="Radio" checked="Checked" firstButton="1" fmlaLink="$AL$17" lockText="1"/>
</file>

<file path=xl/ctrlProps/ctrlProp661.xml><?xml version="1.0" encoding="utf-8"?>
<formControlPr xmlns="http://schemas.microsoft.com/office/spreadsheetml/2009/9/main" objectType="Radio" lockText="1"/>
</file>

<file path=xl/ctrlProps/ctrlProp662.xml><?xml version="1.0" encoding="utf-8"?>
<formControlPr xmlns="http://schemas.microsoft.com/office/spreadsheetml/2009/9/main" objectType="Radio" lockText="1"/>
</file>

<file path=xl/ctrlProps/ctrlProp663.xml><?xml version="1.0" encoding="utf-8"?>
<formControlPr xmlns="http://schemas.microsoft.com/office/spreadsheetml/2009/9/main" objectType="CheckBox" fmlaLink="$AK$20" lockText="1"/>
</file>

<file path=xl/ctrlProps/ctrlProp664.xml><?xml version="1.0" encoding="utf-8"?>
<formControlPr xmlns="http://schemas.microsoft.com/office/spreadsheetml/2009/9/main" objectType="CheckBox" fmlaLink="$AL$20" lockText="1"/>
</file>

<file path=xl/ctrlProps/ctrlProp665.xml><?xml version="1.0" encoding="utf-8"?>
<formControlPr xmlns="http://schemas.microsoft.com/office/spreadsheetml/2009/9/main" objectType="CheckBox" fmlaLink="$AL$56" lockText="1"/>
</file>

<file path=xl/ctrlProps/ctrlProp666.xml><?xml version="1.0" encoding="utf-8"?>
<formControlPr xmlns="http://schemas.microsoft.com/office/spreadsheetml/2009/9/main" objectType="CheckBox" fmlaLink="$AM$56" lockText="1"/>
</file>

<file path=xl/ctrlProps/ctrlProp667.xml><?xml version="1.0" encoding="utf-8"?>
<formControlPr xmlns="http://schemas.microsoft.com/office/spreadsheetml/2009/9/main" objectType="CheckBox" fmlaLink="$R$31" lockText="1"/>
</file>

<file path=xl/ctrlProps/ctrlProp668.xml><?xml version="1.0" encoding="utf-8"?>
<formControlPr xmlns="http://schemas.microsoft.com/office/spreadsheetml/2009/9/main" objectType="CheckBox" fmlaLink="$R$32" lockText="1"/>
</file>

<file path=xl/ctrlProps/ctrlProp669.xml><?xml version="1.0" encoding="utf-8"?>
<formControlPr xmlns="http://schemas.microsoft.com/office/spreadsheetml/2009/9/main" objectType="GBox" noThreeD="1"/>
</file>

<file path=xl/ctrlProps/ctrlProp67.xml><?xml version="1.0" encoding="utf-8"?>
<formControlPr xmlns="http://schemas.microsoft.com/office/spreadsheetml/2009/9/main" objectType="CheckBox" fmlaLink="$R$487" lockText="1"/>
</file>

<file path=xl/ctrlProps/ctrlProp670.xml><?xml version="1.0" encoding="utf-8"?>
<formControlPr xmlns="http://schemas.microsoft.com/office/spreadsheetml/2009/9/main" objectType="Radio" firstButton="1" fmlaLink="$R$88" lockText="1"/>
</file>

<file path=xl/ctrlProps/ctrlProp671.xml><?xml version="1.0" encoding="utf-8"?>
<formControlPr xmlns="http://schemas.microsoft.com/office/spreadsheetml/2009/9/main" objectType="Radio" checked="Checked" lockText="1"/>
</file>

<file path=xl/ctrlProps/ctrlProp672.xml><?xml version="1.0" encoding="utf-8"?>
<formControlPr xmlns="http://schemas.microsoft.com/office/spreadsheetml/2009/9/main" objectType="GBox" noThreeD="1"/>
</file>

<file path=xl/ctrlProps/ctrlProp673.xml><?xml version="1.0" encoding="utf-8"?>
<formControlPr xmlns="http://schemas.microsoft.com/office/spreadsheetml/2009/9/main" objectType="Radio" firstButton="1" fmlaLink="$S$22" lockText="1"/>
</file>

<file path=xl/ctrlProps/ctrlProp674.xml><?xml version="1.0" encoding="utf-8"?>
<formControlPr xmlns="http://schemas.microsoft.com/office/spreadsheetml/2009/9/main" objectType="Radio" lockText="1"/>
</file>

<file path=xl/ctrlProps/ctrlProp675.xml><?xml version="1.0" encoding="utf-8"?>
<formControlPr xmlns="http://schemas.microsoft.com/office/spreadsheetml/2009/9/main" objectType="Radio" checked="Checked" lockText="1"/>
</file>

<file path=xl/ctrlProps/ctrlProp676.xml><?xml version="1.0" encoding="utf-8"?>
<formControlPr xmlns="http://schemas.microsoft.com/office/spreadsheetml/2009/9/main" objectType="GBox" noThreeD="1"/>
</file>

<file path=xl/ctrlProps/ctrlProp677.xml><?xml version="1.0" encoding="utf-8"?>
<formControlPr xmlns="http://schemas.microsoft.com/office/spreadsheetml/2009/9/main" objectType="Radio" firstButton="1" fmlaLink="$S$23" lockText="1"/>
</file>

<file path=xl/ctrlProps/ctrlProp678.xml><?xml version="1.0" encoding="utf-8"?>
<formControlPr xmlns="http://schemas.microsoft.com/office/spreadsheetml/2009/9/main" objectType="Radio" checked="Checked" lockText="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R$488" lockText="1"/>
</file>

<file path=xl/ctrlProps/ctrlProp680.xml><?xml version="1.0" encoding="utf-8"?>
<formControlPr xmlns="http://schemas.microsoft.com/office/spreadsheetml/2009/9/main" objectType="Radio" firstButton="1" fmlaLink="$S$24" lockText="1"/>
</file>

<file path=xl/ctrlProps/ctrlProp681.xml><?xml version="1.0" encoding="utf-8"?>
<formControlPr xmlns="http://schemas.microsoft.com/office/spreadsheetml/2009/9/main" objectType="Radio" checked="Checked" lockText="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Radio" firstButton="1" fmlaLink="$S$25" lockText="1"/>
</file>

<file path=xl/ctrlProps/ctrlProp684.xml><?xml version="1.0" encoding="utf-8"?>
<formControlPr xmlns="http://schemas.microsoft.com/office/spreadsheetml/2009/9/main" objectType="Radio" checked="Checked" lockText="1"/>
</file>

<file path=xl/ctrlProps/ctrlProp685.xml><?xml version="1.0" encoding="utf-8"?>
<formControlPr xmlns="http://schemas.microsoft.com/office/spreadsheetml/2009/9/main" objectType="CheckBox" fmlaLink="$R$31" lockText="1"/>
</file>

<file path=xl/ctrlProps/ctrlProp686.xml><?xml version="1.0" encoding="utf-8"?>
<formControlPr xmlns="http://schemas.microsoft.com/office/spreadsheetml/2009/9/main" objectType="CheckBox" fmlaLink="$R$32" lockText="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Radio" firstButton="1" fmlaLink="$R$88" lockText="1"/>
</file>

<file path=xl/ctrlProps/ctrlProp689.xml><?xml version="1.0" encoding="utf-8"?>
<formControlPr xmlns="http://schemas.microsoft.com/office/spreadsheetml/2009/9/main" objectType="Radio" checked="Checked" lockText="1"/>
</file>

<file path=xl/ctrlProps/ctrlProp69.xml><?xml version="1.0" encoding="utf-8"?>
<formControlPr xmlns="http://schemas.microsoft.com/office/spreadsheetml/2009/9/main" objectType="CheckBox" fmlaLink="$R$489" lockText="1"/>
</file>

<file path=xl/ctrlProps/ctrlProp690.xml><?xml version="1.0" encoding="utf-8"?>
<formControlPr xmlns="http://schemas.microsoft.com/office/spreadsheetml/2009/9/main" objectType="GBox" noThreeD="1"/>
</file>

<file path=xl/ctrlProps/ctrlProp691.xml><?xml version="1.0" encoding="utf-8"?>
<formControlPr xmlns="http://schemas.microsoft.com/office/spreadsheetml/2009/9/main" objectType="Radio" firstButton="1" fmlaLink="$S$22" lockText="1"/>
</file>

<file path=xl/ctrlProps/ctrlProp692.xml><?xml version="1.0" encoding="utf-8"?>
<formControlPr xmlns="http://schemas.microsoft.com/office/spreadsheetml/2009/9/main" objectType="Radio" lockText="1"/>
</file>

<file path=xl/ctrlProps/ctrlProp693.xml><?xml version="1.0" encoding="utf-8"?>
<formControlPr xmlns="http://schemas.microsoft.com/office/spreadsheetml/2009/9/main" objectType="Radio" checked="Checked" lockText="1"/>
</file>

<file path=xl/ctrlProps/ctrlProp694.xml><?xml version="1.0" encoding="utf-8"?>
<formControlPr xmlns="http://schemas.microsoft.com/office/spreadsheetml/2009/9/main" objectType="GBox" noThreeD="1"/>
</file>

<file path=xl/ctrlProps/ctrlProp695.xml><?xml version="1.0" encoding="utf-8"?>
<formControlPr xmlns="http://schemas.microsoft.com/office/spreadsheetml/2009/9/main" objectType="Radio" firstButton="1" fmlaLink="$S$23" lockText="1"/>
</file>

<file path=xl/ctrlProps/ctrlProp696.xml><?xml version="1.0" encoding="utf-8"?>
<formControlPr xmlns="http://schemas.microsoft.com/office/spreadsheetml/2009/9/main" objectType="Radio" checked="Checked" lockText="1"/>
</file>

<file path=xl/ctrlProps/ctrlProp697.xml><?xml version="1.0" encoding="utf-8"?>
<formControlPr xmlns="http://schemas.microsoft.com/office/spreadsheetml/2009/9/main" objectType="GBox" noThreeD="1"/>
</file>

<file path=xl/ctrlProps/ctrlProp698.xml><?xml version="1.0" encoding="utf-8"?>
<formControlPr xmlns="http://schemas.microsoft.com/office/spreadsheetml/2009/9/main" objectType="Radio" firstButton="1" fmlaLink="$S$24" lockText="1"/>
</file>

<file path=xl/ctrlProps/ctrlProp699.xml><?xml version="1.0" encoding="utf-8"?>
<formControlPr xmlns="http://schemas.microsoft.com/office/spreadsheetml/2009/9/main" objectType="Radio" checked="Checked" lockText="1"/>
</file>

<file path=xl/ctrlProps/ctrlProp7.xml><?xml version="1.0" encoding="utf-8"?>
<formControlPr xmlns="http://schemas.microsoft.com/office/spreadsheetml/2009/9/main" objectType="CheckBox" fmlaLink="S47" lockText="1"/>
</file>

<file path=xl/ctrlProps/ctrlProp70.xml><?xml version="1.0" encoding="utf-8"?>
<formControlPr xmlns="http://schemas.microsoft.com/office/spreadsheetml/2009/9/main" objectType="CheckBox" fmlaLink="$R$490" lockText="1"/>
</file>

<file path=xl/ctrlProps/ctrlProp700.xml><?xml version="1.0" encoding="utf-8"?>
<formControlPr xmlns="http://schemas.microsoft.com/office/spreadsheetml/2009/9/main" objectType="GBox" noThreeD="1"/>
</file>

<file path=xl/ctrlProps/ctrlProp701.xml><?xml version="1.0" encoding="utf-8"?>
<formControlPr xmlns="http://schemas.microsoft.com/office/spreadsheetml/2009/9/main" objectType="Radio" firstButton="1" fmlaLink="$S$25" lockText="1"/>
</file>

<file path=xl/ctrlProps/ctrlProp702.xml><?xml version="1.0" encoding="utf-8"?>
<formControlPr xmlns="http://schemas.microsoft.com/office/spreadsheetml/2009/9/main" objectType="Radio" checked="Checked" lockText="1"/>
</file>

<file path=xl/ctrlProps/ctrlProp703.xml><?xml version="1.0" encoding="utf-8"?>
<formControlPr xmlns="http://schemas.microsoft.com/office/spreadsheetml/2009/9/main" objectType="GBox" noThreeD="1"/>
</file>

<file path=xl/ctrlProps/ctrlProp704.xml><?xml version="1.0" encoding="utf-8"?>
<formControlPr xmlns="http://schemas.microsoft.com/office/spreadsheetml/2009/9/main" objectType="Radio" firstButton="1" fmlaLink="$R$24" lockText="1"/>
</file>

<file path=xl/ctrlProps/ctrlProp705.xml><?xml version="1.0" encoding="utf-8"?>
<formControlPr xmlns="http://schemas.microsoft.com/office/spreadsheetml/2009/9/main" objectType="Radio" checked="Checked" lockText="1"/>
</file>

<file path=xl/ctrlProps/ctrlProp706.xml><?xml version="1.0" encoding="utf-8"?>
<formControlPr xmlns="http://schemas.microsoft.com/office/spreadsheetml/2009/9/main" objectType="GBox" noThreeD="1"/>
</file>

<file path=xl/ctrlProps/ctrlProp707.xml><?xml version="1.0" encoding="utf-8"?>
<formControlPr xmlns="http://schemas.microsoft.com/office/spreadsheetml/2009/9/main" objectType="Radio" firstButton="1" fmlaLink="$R$25" lockText="1"/>
</file>

<file path=xl/ctrlProps/ctrlProp708.xml><?xml version="1.0" encoding="utf-8"?>
<formControlPr xmlns="http://schemas.microsoft.com/office/spreadsheetml/2009/9/main" objectType="Radio" checked="Checked" lockText="1"/>
</file>

<file path=xl/ctrlProps/ctrlProp709.xml><?xml version="1.0" encoding="utf-8"?>
<formControlPr xmlns="http://schemas.microsoft.com/office/spreadsheetml/2009/9/main" objectType="GBox" noThreeD="1"/>
</file>

<file path=xl/ctrlProps/ctrlProp71.xml><?xml version="1.0" encoding="utf-8"?>
<formControlPr xmlns="http://schemas.microsoft.com/office/spreadsheetml/2009/9/main" objectType="CheckBox" fmlaLink="$R$491" lockText="1"/>
</file>

<file path=xl/ctrlProps/ctrlProp710.xml><?xml version="1.0" encoding="utf-8"?>
<formControlPr xmlns="http://schemas.microsoft.com/office/spreadsheetml/2009/9/main" objectType="Radio" firstButton="1" fmlaLink="$R$29" lockText="1"/>
</file>

<file path=xl/ctrlProps/ctrlProp711.xml><?xml version="1.0" encoding="utf-8"?>
<formControlPr xmlns="http://schemas.microsoft.com/office/spreadsheetml/2009/9/main" objectType="Radio" checked="Checked" lockText="1"/>
</file>

<file path=xl/ctrlProps/ctrlProp712.xml><?xml version="1.0" encoding="utf-8"?>
<formControlPr xmlns="http://schemas.microsoft.com/office/spreadsheetml/2009/9/main" objectType="GBox" noThreeD="1"/>
</file>

<file path=xl/ctrlProps/ctrlProp713.xml><?xml version="1.0" encoding="utf-8"?>
<formControlPr xmlns="http://schemas.microsoft.com/office/spreadsheetml/2009/9/main" objectType="Radio" firstButton="1" fmlaLink="$R$24" lockText="1"/>
</file>

<file path=xl/ctrlProps/ctrlProp714.xml><?xml version="1.0" encoding="utf-8"?>
<formControlPr xmlns="http://schemas.microsoft.com/office/spreadsheetml/2009/9/main" objectType="Radio" checked="Checked" lockText="1"/>
</file>

<file path=xl/ctrlProps/ctrlProp715.xml><?xml version="1.0" encoding="utf-8"?>
<formControlPr xmlns="http://schemas.microsoft.com/office/spreadsheetml/2009/9/main" objectType="GBox" noThreeD="1"/>
</file>

<file path=xl/ctrlProps/ctrlProp716.xml><?xml version="1.0" encoding="utf-8"?>
<formControlPr xmlns="http://schemas.microsoft.com/office/spreadsheetml/2009/9/main" objectType="Radio" firstButton="1" fmlaLink="$R$25" lockText="1"/>
</file>

<file path=xl/ctrlProps/ctrlProp717.xml><?xml version="1.0" encoding="utf-8"?>
<formControlPr xmlns="http://schemas.microsoft.com/office/spreadsheetml/2009/9/main" objectType="Radio" checked="Checked" lockText="1"/>
</file>

<file path=xl/ctrlProps/ctrlProp718.xml><?xml version="1.0" encoding="utf-8"?>
<formControlPr xmlns="http://schemas.microsoft.com/office/spreadsheetml/2009/9/main" objectType="GBox" noThreeD="1"/>
</file>

<file path=xl/ctrlProps/ctrlProp719.xml><?xml version="1.0" encoding="utf-8"?>
<formControlPr xmlns="http://schemas.microsoft.com/office/spreadsheetml/2009/9/main" objectType="Radio" firstButton="1" fmlaLink="$R$29" lockText="1"/>
</file>

<file path=xl/ctrlProps/ctrlProp72.xml><?xml version="1.0" encoding="utf-8"?>
<formControlPr xmlns="http://schemas.microsoft.com/office/spreadsheetml/2009/9/main" objectType="CheckBox" fmlaLink="$R$492" lockText="1"/>
</file>

<file path=xl/ctrlProps/ctrlProp720.xml><?xml version="1.0" encoding="utf-8"?>
<formControlPr xmlns="http://schemas.microsoft.com/office/spreadsheetml/2009/9/main" objectType="Radio" checked="Checked" lockText="1"/>
</file>

<file path=xl/ctrlProps/ctrlProp721.xml><?xml version="1.0" encoding="utf-8"?>
<formControlPr xmlns="http://schemas.microsoft.com/office/spreadsheetml/2009/9/main" objectType="GBox" noThreeD="1"/>
</file>

<file path=xl/ctrlProps/ctrlProp722.xml><?xml version="1.0" encoding="utf-8"?>
<formControlPr xmlns="http://schemas.microsoft.com/office/spreadsheetml/2009/9/main" objectType="Radio" firstButton="1" fmlaLink="$R$35" lockText="1"/>
</file>

<file path=xl/ctrlProps/ctrlProp723.xml><?xml version="1.0" encoding="utf-8"?>
<formControlPr xmlns="http://schemas.microsoft.com/office/spreadsheetml/2009/9/main" objectType="Radio" checked="Checked" lockText="1"/>
</file>

<file path=xl/ctrlProps/ctrlProp724.xml><?xml version="1.0" encoding="utf-8"?>
<formControlPr xmlns="http://schemas.microsoft.com/office/spreadsheetml/2009/9/main" objectType="GBox" noThreeD="1"/>
</file>

<file path=xl/ctrlProps/ctrlProp725.xml><?xml version="1.0" encoding="utf-8"?>
<formControlPr xmlns="http://schemas.microsoft.com/office/spreadsheetml/2009/9/main" objectType="Radio" firstButton="1" fmlaLink="$R$152" lockText="1"/>
</file>

<file path=xl/ctrlProps/ctrlProp726.xml><?xml version="1.0" encoding="utf-8"?>
<formControlPr xmlns="http://schemas.microsoft.com/office/spreadsheetml/2009/9/main" objectType="Radio" checked="Checked" lockText="1"/>
</file>

<file path=xl/ctrlProps/ctrlProp727.xml><?xml version="1.0" encoding="utf-8"?>
<formControlPr xmlns="http://schemas.microsoft.com/office/spreadsheetml/2009/9/main" objectType="GBox" noThreeD="1"/>
</file>

<file path=xl/ctrlProps/ctrlProp728.xml><?xml version="1.0" encoding="utf-8"?>
<formControlPr xmlns="http://schemas.microsoft.com/office/spreadsheetml/2009/9/main" objectType="Radio" firstButton="1" fmlaLink="$R$93" lockText="1"/>
</file>

<file path=xl/ctrlProps/ctrlProp729.xml><?xml version="1.0" encoding="utf-8"?>
<formControlPr xmlns="http://schemas.microsoft.com/office/spreadsheetml/2009/9/main" objectType="Radio" checked="Checked" lockText="1"/>
</file>

<file path=xl/ctrlProps/ctrlProp73.xml><?xml version="1.0" encoding="utf-8"?>
<formControlPr xmlns="http://schemas.microsoft.com/office/spreadsheetml/2009/9/main" objectType="CheckBox" fmlaLink="$R$493" lockText="1"/>
</file>

<file path=xl/ctrlProps/ctrlProp730.xml><?xml version="1.0" encoding="utf-8"?>
<formControlPr xmlns="http://schemas.microsoft.com/office/spreadsheetml/2009/9/main" objectType="CheckBox" fmlaLink="$R$7" lockText="1"/>
</file>

<file path=xl/ctrlProps/ctrlProp731.xml><?xml version="1.0" encoding="utf-8"?>
<formControlPr xmlns="http://schemas.microsoft.com/office/spreadsheetml/2009/9/main" objectType="CheckBox" fmlaLink="$R$8" lockText="1"/>
</file>

<file path=xl/ctrlProps/ctrlProp732.xml><?xml version="1.0" encoding="utf-8"?>
<formControlPr xmlns="http://schemas.microsoft.com/office/spreadsheetml/2009/9/main" objectType="CheckBox" fmlaLink="$R$9" lockText="1"/>
</file>

<file path=xl/ctrlProps/ctrlProp733.xml><?xml version="1.0" encoding="utf-8"?>
<formControlPr xmlns="http://schemas.microsoft.com/office/spreadsheetml/2009/9/main" objectType="CheckBox" fmlaLink="$R$10" lockText="1"/>
</file>

<file path=xl/ctrlProps/ctrlProp734.xml><?xml version="1.0" encoding="utf-8"?>
<formControlPr xmlns="http://schemas.microsoft.com/office/spreadsheetml/2009/9/main" objectType="CheckBox" fmlaLink="$R$11" lockText="1"/>
</file>

<file path=xl/ctrlProps/ctrlProp735.xml><?xml version="1.0" encoding="utf-8"?>
<formControlPr xmlns="http://schemas.microsoft.com/office/spreadsheetml/2009/9/main" objectType="CheckBox" fmlaLink="$R$12" lockText="1"/>
</file>

<file path=xl/ctrlProps/ctrlProp736.xml><?xml version="1.0" encoding="utf-8"?>
<formControlPr xmlns="http://schemas.microsoft.com/office/spreadsheetml/2009/9/main" objectType="CheckBox" fmlaLink="$R$13" lockText="1"/>
</file>

<file path=xl/ctrlProps/ctrlProp737.xml><?xml version="1.0" encoding="utf-8"?>
<formControlPr xmlns="http://schemas.microsoft.com/office/spreadsheetml/2009/9/main" objectType="CheckBox" fmlaLink="$R$16" lockText="1"/>
</file>

<file path=xl/ctrlProps/ctrlProp738.xml><?xml version="1.0" encoding="utf-8"?>
<formControlPr xmlns="http://schemas.microsoft.com/office/spreadsheetml/2009/9/main" objectType="CheckBox" fmlaLink="$R$17" lockText="1"/>
</file>

<file path=xl/ctrlProps/ctrlProp739.xml><?xml version="1.0" encoding="utf-8"?>
<formControlPr xmlns="http://schemas.microsoft.com/office/spreadsheetml/2009/9/main" objectType="CheckBox" fmlaLink="$R$14" lockText="1"/>
</file>

<file path=xl/ctrlProps/ctrlProp74.xml><?xml version="1.0" encoding="utf-8"?>
<formControlPr xmlns="http://schemas.microsoft.com/office/spreadsheetml/2009/9/main" objectType="CheckBox" fmlaLink="$R$499" lockText="1"/>
</file>

<file path=xl/ctrlProps/ctrlProp740.xml><?xml version="1.0" encoding="utf-8"?>
<formControlPr xmlns="http://schemas.microsoft.com/office/spreadsheetml/2009/9/main" objectType="CheckBox" fmlaLink="$R$15" lockText="1"/>
</file>

<file path=xl/ctrlProps/ctrlProp741.xml><?xml version="1.0" encoding="utf-8"?>
<formControlPr xmlns="http://schemas.microsoft.com/office/spreadsheetml/2009/9/main" objectType="GBox"/>
</file>

<file path=xl/ctrlProps/ctrlProp742.xml><?xml version="1.0" encoding="utf-8"?>
<formControlPr xmlns="http://schemas.microsoft.com/office/spreadsheetml/2009/9/main" objectType="Radio" checked="Checked" firstButton="1" fmlaLink="$S$4" lockText="1"/>
</file>

<file path=xl/ctrlProps/ctrlProp743.xml><?xml version="1.0" encoding="utf-8"?>
<formControlPr xmlns="http://schemas.microsoft.com/office/spreadsheetml/2009/9/main" objectType="Radio" lockText="1"/>
</file>

<file path=xl/ctrlProps/ctrlProp744.xml><?xml version="1.0" encoding="utf-8"?>
<formControlPr xmlns="http://schemas.microsoft.com/office/spreadsheetml/2009/9/main" objectType="Radio" lockText="1"/>
</file>

<file path=xl/ctrlProps/ctrlProp745.xml><?xml version="1.0" encoding="utf-8"?>
<formControlPr xmlns="http://schemas.microsoft.com/office/spreadsheetml/2009/9/main" objectType="Radio" lockText="1"/>
</file>

<file path=xl/ctrlProps/ctrlProp746.xml><?xml version="1.0" encoding="utf-8"?>
<formControlPr xmlns="http://schemas.microsoft.com/office/spreadsheetml/2009/9/main" objectType="GBox" noThreeD="1"/>
</file>

<file path=xl/ctrlProps/ctrlProp747.xml><?xml version="1.0" encoding="utf-8"?>
<formControlPr xmlns="http://schemas.microsoft.com/office/spreadsheetml/2009/9/main" objectType="Radio" firstButton="1" fmlaLink="R5" lockText="1"/>
</file>

<file path=xl/ctrlProps/ctrlProp748.xml><?xml version="1.0" encoding="utf-8"?>
<formControlPr xmlns="http://schemas.microsoft.com/office/spreadsheetml/2009/9/main" objectType="Radio" checked="Checked" lockText="1"/>
</file>

<file path=xl/ctrlProps/ctrlProp749.xml><?xml version="1.0" encoding="utf-8"?>
<formControlPr xmlns="http://schemas.microsoft.com/office/spreadsheetml/2009/9/main" objectType="GBox" noThreeD="1"/>
</file>

<file path=xl/ctrlProps/ctrlProp75.xml><?xml version="1.0" encoding="utf-8"?>
<formControlPr xmlns="http://schemas.microsoft.com/office/spreadsheetml/2009/9/main" objectType="CheckBox" fmlaLink="$R$500" lockText="1"/>
</file>

<file path=xl/ctrlProps/ctrlProp750.xml><?xml version="1.0" encoding="utf-8"?>
<formControlPr xmlns="http://schemas.microsoft.com/office/spreadsheetml/2009/9/main" objectType="Radio" checked="Checked" firstButton="1" fmlaLink="$S$5" lockText="1"/>
</file>

<file path=xl/ctrlProps/ctrlProp751.xml><?xml version="1.0" encoding="utf-8"?>
<formControlPr xmlns="http://schemas.microsoft.com/office/spreadsheetml/2009/9/main" objectType="Radio" lockText="1"/>
</file>

<file path=xl/ctrlProps/ctrlProp752.xml><?xml version="1.0" encoding="utf-8"?>
<formControlPr xmlns="http://schemas.microsoft.com/office/spreadsheetml/2009/9/main" objectType="Radio" lockText="1"/>
</file>

<file path=xl/ctrlProps/ctrlProp753.xml><?xml version="1.0" encoding="utf-8"?>
<formControlPr xmlns="http://schemas.microsoft.com/office/spreadsheetml/2009/9/main" objectType="Radio" lockText="1"/>
</file>

<file path=xl/ctrlProps/ctrlProp754.xml><?xml version="1.0" encoding="utf-8"?>
<formControlPr xmlns="http://schemas.microsoft.com/office/spreadsheetml/2009/9/main" objectType="Radio" lockText="1"/>
</file>

<file path=xl/ctrlProps/ctrlProp755.xml><?xml version="1.0" encoding="utf-8"?>
<formControlPr xmlns="http://schemas.microsoft.com/office/spreadsheetml/2009/9/main" objectType="GBox" noThreeD="1"/>
</file>

<file path=xl/ctrlProps/ctrlProp756.xml><?xml version="1.0" encoding="utf-8"?>
<formControlPr xmlns="http://schemas.microsoft.com/office/spreadsheetml/2009/9/main" objectType="Radio" checked="Checked" firstButton="1" fmlaLink="$S$10" lockText="1"/>
</file>

<file path=xl/ctrlProps/ctrlProp757.xml><?xml version="1.0" encoding="utf-8"?>
<formControlPr xmlns="http://schemas.microsoft.com/office/spreadsheetml/2009/9/main" objectType="Radio" lockText="1"/>
</file>

<file path=xl/ctrlProps/ctrlProp758.xml><?xml version="1.0" encoding="utf-8"?>
<formControlPr xmlns="http://schemas.microsoft.com/office/spreadsheetml/2009/9/main" objectType="Radio" lockText="1"/>
</file>

<file path=xl/ctrlProps/ctrlProp759.xml><?xml version="1.0" encoding="utf-8"?>
<formControlPr xmlns="http://schemas.microsoft.com/office/spreadsheetml/2009/9/main" objectType="Radio" lockText="1"/>
</file>

<file path=xl/ctrlProps/ctrlProp76.xml><?xml version="1.0" encoding="utf-8"?>
<formControlPr xmlns="http://schemas.microsoft.com/office/spreadsheetml/2009/9/main" objectType="CheckBox" fmlaLink="$R$501" lockText="1"/>
</file>

<file path=xl/ctrlProps/ctrlProp760.xml><?xml version="1.0" encoding="utf-8"?>
<formControlPr xmlns="http://schemas.microsoft.com/office/spreadsheetml/2009/9/main" objectType="Radio" lockText="1"/>
</file>

<file path=xl/ctrlProps/ctrlProp761.xml><?xml version="1.0" encoding="utf-8"?>
<formControlPr xmlns="http://schemas.microsoft.com/office/spreadsheetml/2009/9/main" objectType="GBox" noThreeD="1"/>
</file>

<file path=xl/ctrlProps/ctrlProp762.xml><?xml version="1.0" encoding="utf-8"?>
<formControlPr xmlns="http://schemas.microsoft.com/office/spreadsheetml/2009/9/main" objectType="Radio" checked="Checked" firstButton="1" fmlaLink="$S$9" lockText="1"/>
</file>

<file path=xl/ctrlProps/ctrlProp763.xml><?xml version="1.0" encoding="utf-8"?>
<formControlPr xmlns="http://schemas.microsoft.com/office/spreadsheetml/2009/9/main" objectType="Radio" lockText="1"/>
</file>

<file path=xl/ctrlProps/ctrlProp764.xml><?xml version="1.0" encoding="utf-8"?>
<formControlPr xmlns="http://schemas.microsoft.com/office/spreadsheetml/2009/9/main" objectType="Radio" lockText="1"/>
</file>

<file path=xl/ctrlProps/ctrlProp765.xml><?xml version="1.0" encoding="utf-8"?>
<formControlPr xmlns="http://schemas.microsoft.com/office/spreadsheetml/2009/9/main" objectType="Radio" lockText="1"/>
</file>

<file path=xl/ctrlProps/ctrlProp766.xml><?xml version="1.0" encoding="utf-8"?>
<formControlPr xmlns="http://schemas.microsoft.com/office/spreadsheetml/2009/9/main" objectType="Radio" lockText="1"/>
</file>

<file path=xl/ctrlProps/ctrlProp767.xml><?xml version="1.0" encoding="utf-8"?>
<formControlPr xmlns="http://schemas.microsoft.com/office/spreadsheetml/2009/9/main" objectType="GBox" noThreeD="1"/>
</file>

<file path=xl/ctrlProps/ctrlProp768.xml><?xml version="1.0" encoding="utf-8"?>
<formControlPr xmlns="http://schemas.microsoft.com/office/spreadsheetml/2009/9/main" objectType="Radio" checked="Checked" firstButton="1" fmlaLink="$S$8" lockText="1"/>
</file>

<file path=xl/ctrlProps/ctrlProp769.xml><?xml version="1.0" encoding="utf-8"?>
<formControlPr xmlns="http://schemas.microsoft.com/office/spreadsheetml/2009/9/main" objectType="Radio" lockText="1"/>
</file>

<file path=xl/ctrlProps/ctrlProp77.xml><?xml version="1.0" encoding="utf-8"?>
<formControlPr xmlns="http://schemas.microsoft.com/office/spreadsheetml/2009/9/main" objectType="CheckBox" fmlaLink="$R$502" lockText="1"/>
</file>

<file path=xl/ctrlProps/ctrlProp770.xml><?xml version="1.0" encoding="utf-8"?>
<formControlPr xmlns="http://schemas.microsoft.com/office/spreadsheetml/2009/9/main" objectType="Radio" lockText="1"/>
</file>

<file path=xl/ctrlProps/ctrlProp771.xml><?xml version="1.0" encoding="utf-8"?>
<formControlPr xmlns="http://schemas.microsoft.com/office/spreadsheetml/2009/9/main" objectType="Radio" lockText="1"/>
</file>

<file path=xl/ctrlProps/ctrlProp772.xml><?xml version="1.0" encoding="utf-8"?>
<formControlPr xmlns="http://schemas.microsoft.com/office/spreadsheetml/2009/9/main" objectType="Radio" lockText="1"/>
</file>

<file path=xl/ctrlProps/ctrlProp773.xml><?xml version="1.0" encoding="utf-8"?>
<formControlPr xmlns="http://schemas.microsoft.com/office/spreadsheetml/2009/9/main" objectType="GBox" noThreeD="1"/>
</file>

<file path=xl/ctrlProps/ctrlProp774.xml><?xml version="1.0" encoding="utf-8"?>
<formControlPr xmlns="http://schemas.microsoft.com/office/spreadsheetml/2009/9/main" objectType="Radio" checked="Checked" firstButton="1" fmlaLink="$S$7" lockText="1"/>
</file>

<file path=xl/ctrlProps/ctrlProp775.xml><?xml version="1.0" encoding="utf-8"?>
<formControlPr xmlns="http://schemas.microsoft.com/office/spreadsheetml/2009/9/main" objectType="Radio" lockText="1"/>
</file>

<file path=xl/ctrlProps/ctrlProp776.xml><?xml version="1.0" encoding="utf-8"?>
<formControlPr xmlns="http://schemas.microsoft.com/office/spreadsheetml/2009/9/main" objectType="Radio" lockText="1"/>
</file>

<file path=xl/ctrlProps/ctrlProp777.xml><?xml version="1.0" encoding="utf-8"?>
<formControlPr xmlns="http://schemas.microsoft.com/office/spreadsheetml/2009/9/main" objectType="Radio" lockText="1"/>
</file>

<file path=xl/ctrlProps/ctrlProp778.xml><?xml version="1.0" encoding="utf-8"?>
<formControlPr xmlns="http://schemas.microsoft.com/office/spreadsheetml/2009/9/main" objectType="Radio" lockText="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R$503" lockText="1"/>
</file>

<file path=xl/ctrlProps/ctrlProp780.xml><?xml version="1.0" encoding="utf-8"?>
<formControlPr xmlns="http://schemas.microsoft.com/office/spreadsheetml/2009/9/main" objectType="Radio" checked="Checked" firstButton="1" fmlaLink="S6" lockText="1"/>
</file>

<file path=xl/ctrlProps/ctrlProp781.xml><?xml version="1.0" encoding="utf-8"?>
<formControlPr xmlns="http://schemas.microsoft.com/office/spreadsheetml/2009/9/main" objectType="Radio" lockText="1"/>
</file>

<file path=xl/ctrlProps/ctrlProp782.xml><?xml version="1.0" encoding="utf-8"?>
<formControlPr xmlns="http://schemas.microsoft.com/office/spreadsheetml/2009/9/main" objectType="Radio" lockText="1"/>
</file>

<file path=xl/ctrlProps/ctrlProp783.xml><?xml version="1.0" encoding="utf-8"?>
<formControlPr xmlns="http://schemas.microsoft.com/office/spreadsheetml/2009/9/main" objectType="Radio" lockText="1"/>
</file>

<file path=xl/ctrlProps/ctrlProp784.xml><?xml version="1.0" encoding="utf-8"?>
<formControlPr xmlns="http://schemas.microsoft.com/office/spreadsheetml/2009/9/main" objectType="Radio" lockText="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Radio" firstButton="1" fmlaLink="$S$11" lockText="1"/>
</file>

<file path=xl/ctrlProps/ctrlProp787.xml><?xml version="1.0" encoding="utf-8"?>
<formControlPr xmlns="http://schemas.microsoft.com/office/spreadsheetml/2009/9/main" objectType="Radio" checked="Checked" lockText="1"/>
</file>

<file path=xl/ctrlProps/ctrlProp788.xml><?xml version="1.0" encoding="utf-8"?>
<formControlPr xmlns="http://schemas.microsoft.com/office/spreadsheetml/2009/9/main" objectType="GBox" noThreeD="1"/>
</file>

<file path=xl/ctrlProps/ctrlProp789.xml><?xml version="1.0" encoding="utf-8"?>
<formControlPr xmlns="http://schemas.microsoft.com/office/spreadsheetml/2009/9/main" objectType="Radio" checked="Checked" firstButton="1" fmlaLink="$S$5" lockText="1"/>
</file>

<file path=xl/ctrlProps/ctrlProp79.xml><?xml version="1.0" encoding="utf-8"?>
<formControlPr xmlns="http://schemas.microsoft.com/office/spreadsheetml/2009/9/main" objectType="CheckBox" fmlaLink="$R$504" lockText="1"/>
</file>

<file path=xl/ctrlProps/ctrlProp790.xml><?xml version="1.0" encoding="utf-8"?>
<formControlPr xmlns="http://schemas.microsoft.com/office/spreadsheetml/2009/9/main" objectType="Radio" lockText="1"/>
</file>

<file path=xl/ctrlProps/ctrlProp791.xml><?xml version="1.0" encoding="utf-8"?>
<formControlPr xmlns="http://schemas.microsoft.com/office/spreadsheetml/2009/9/main" objectType="Radio" lockText="1"/>
</file>

<file path=xl/ctrlProps/ctrlProp792.xml><?xml version="1.0" encoding="utf-8"?>
<formControlPr xmlns="http://schemas.microsoft.com/office/spreadsheetml/2009/9/main" objectType="Radio" lockText="1"/>
</file>

<file path=xl/ctrlProps/ctrlProp793.xml><?xml version="1.0" encoding="utf-8"?>
<formControlPr xmlns="http://schemas.microsoft.com/office/spreadsheetml/2009/9/main" objectType="Radio" lockText="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Radio" checked="Checked" firstButton="1" fmlaLink="$S$6" lockText="1"/>
</file>

<file path=xl/ctrlProps/ctrlProp796.xml><?xml version="1.0" encoding="utf-8"?>
<formControlPr xmlns="http://schemas.microsoft.com/office/spreadsheetml/2009/9/main" objectType="Radio" lockText="1"/>
</file>

<file path=xl/ctrlProps/ctrlProp797.xml><?xml version="1.0" encoding="utf-8"?>
<formControlPr xmlns="http://schemas.microsoft.com/office/spreadsheetml/2009/9/main" objectType="Radio" lockText="1"/>
</file>

<file path=xl/ctrlProps/ctrlProp798.xml><?xml version="1.0" encoding="utf-8"?>
<formControlPr xmlns="http://schemas.microsoft.com/office/spreadsheetml/2009/9/main" objectType="Radio" lockText="1"/>
</file>

<file path=xl/ctrlProps/ctrlProp799.xml><?xml version="1.0" encoding="utf-8"?>
<formControlPr xmlns="http://schemas.microsoft.com/office/spreadsheetml/2009/9/main" objectType="Radio" lockText="1"/>
</file>

<file path=xl/ctrlProps/ctrlProp8.xml><?xml version="1.0" encoding="utf-8"?>
<formControlPr xmlns="http://schemas.microsoft.com/office/spreadsheetml/2009/9/main" objectType="CheckBox" fmlaLink="$S$44" lockText="1"/>
</file>

<file path=xl/ctrlProps/ctrlProp80.xml><?xml version="1.0" encoding="utf-8"?>
<formControlPr xmlns="http://schemas.microsoft.com/office/spreadsheetml/2009/9/main" objectType="CheckBox" fmlaLink="$R$505" lockText="1"/>
</file>

<file path=xl/ctrlProps/ctrlProp800.xml><?xml version="1.0" encoding="utf-8"?>
<formControlPr xmlns="http://schemas.microsoft.com/office/spreadsheetml/2009/9/main" objectType="GBox" noThreeD="1"/>
</file>

<file path=xl/ctrlProps/ctrlProp801.xml><?xml version="1.0" encoding="utf-8"?>
<formControlPr xmlns="http://schemas.microsoft.com/office/spreadsheetml/2009/9/main" objectType="Radio" firstButton="1" fmlaLink="$S$8" lockText="1"/>
</file>

<file path=xl/ctrlProps/ctrlProp802.xml><?xml version="1.0" encoding="utf-8"?>
<formControlPr xmlns="http://schemas.microsoft.com/office/spreadsheetml/2009/9/main" objectType="Radio" checked="Checked" lockText="1"/>
</file>

<file path=xl/ctrlProps/ctrlProp803.xml><?xml version="1.0" encoding="utf-8"?>
<formControlPr xmlns="http://schemas.microsoft.com/office/spreadsheetml/2009/9/main" objectType="GBox" noThreeD="1"/>
</file>

<file path=xl/ctrlProps/ctrlProp804.xml><?xml version="1.0" encoding="utf-8"?>
<formControlPr xmlns="http://schemas.microsoft.com/office/spreadsheetml/2009/9/main" objectType="Radio" checked="Checked" firstButton="1" fmlaLink="$S$7" lockText="1"/>
</file>

<file path=xl/ctrlProps/ctrlProp805.xml><?xml version="1.0" encoding="utf-8"?>
<formControlPr xmlns="http://schemas.microsoft.com/office/spreadsheetml/2009/9/main" objectType="Radio" lockText="1"/>
</file>

<file path=xl/ctrlProps/ctrlProp806.xml><?xml version="1.0" encoding="utf-8"?>
<formControlPr xmlns="http://schemas.microsoft.com/office/spreadsheetml/2009/9/main" objectType="Radio" lockText="1"/>
</file>

<file path=xl/ctrlProps/ctrlProp807.xml><?xml version="1.0" encoding="utf-8"?>
<formControlPr xmlns="http://schemas.microsoft.com/office/spreadsheetml/2009/9/main" objectType="Radio" lockText="1"/>
</file>

<file path=xl/ctrlProps/ctrlProp808.xml><?xml version="1.0" encoding="utf-8"?>
<formControlPr xmlns="http://schemas.microsoft.com/office/spreadsheetml/2009/9/main" objectType="Radio" lockText="1"/>
</file>

<file path=xl/ctrlProps/ctrlProp809.xml><?xml version="1.0" encoding="utf-8"?>
<formControlPr xmlns="http://schemas.microsoft.com/office/spreadsheetml/2009/9/main" objectType="Radio" lockText="1"/>
</file>

<file path=xl/ctrlProps/ctrlProp81.xml><?xml version="1.0" encoding="utf-8"?>
<formControlPr xmlns="http://schemas.microsoft.com/office/spreadsheetml/2009/9/main" objectType="CheckBox" fmlaLink="$R$506" lockText="1"/>
</file>

<file path=xl/ctrlProps/ctrlProp810.xml><?xml version="1.0" encoding="utf-8"?>
<formControlPr xmlns="http://schemas.microsoft.com/office/spreadsheetml/2009/9/main" objectType="CheckBox" fmlaLink="$R$4" lockText="1"/>
</file>

<file path=xl/ctrlProps/ctrlProp811.xml><?xml version="1.0" encoding="utf-8"?>
<formControlPr xmlns="http://schemas.microsoft.com/office/spreadsheetml/2009/9/main" objectType="CheckBox" fmlaLink="$R$14" lockText="1"/>
</file>

<file path=xl/ctrlProps/ctrlProp812.xml><?xml version="1.0" encoding="utf-8"?>
<formControlPr xmlns="http://schemas.microsoft.com/office/spreadsheetml/2009/9/main" objectType="CheckBox" fmlaLink="$R$11" lockText="1"/>
</file>

<file path=xl/ctrlProps/ctrlProp813.xml><?xml version="1.0" encoding="utf-8"?>
<formControlPr xmlns="http://schemas.microsoft.com/office/spreadsheetml/2009/9/main" objectType="CheckBox" fmlaLink="$R$26" lockText="1"/>
</file>

<file path=xl/ctrlProps/ctrlProp814.xml><?xml version="1.0" encoding="utf-8"?>
<formControlPr xmlns="http://schemas.microsoft.com/office/spreadsheetml/2009/9/main" objectType="CheckBox" fmlaLink="$R$12" lockText="1"/>
</file>

<file path=xl/ctrlProps/ctrlProp815.xml><?xml version="1.0" encoding="utf-8"?>
<formControlPr xmlns="http://schemas.microsoft.com/office/spreadsheetml/2009/9/main" objectType="CheckBox" fmlaLink="$R$38" lockText="1"/>
</file>

<file path=xl/ctrlProps/ctrlProp816.xml><?xml version="1.0" encoding="utf-8"?>
<formControlPr xmlns="http://schemas.microsoft.com/office/spreadsheetml/2009/9/main" objectType="GBox" noThreeD="1"/>
</file>

<file path=xl/ctrlProps/ctrlProp817.xml><?xml version="1.0" encoding="utf-8"?>
<formControlPr xmlns="http://schemas.microsoft.com/office/spreadsheetml/2009/9/main" objectType="Radio" checked="Checked" firstButton="1" fmlaLink="$S$8" lockText="1"/>
</file>

<file path=xl/ctrlProps/ctrlProp818.xml><?xml version="1.0" encoding="utf-8"?>
<formControlPr xmlns="http://schemas.microsoft.com/office/spreadsheetml/2009/9/main" objectType="Radio" lockText="1"/>
</file>

<file path=xl/ctrlProps/ctrlProp819.xml><?xml version="1.0" encoding="utf-8"?>
<formControlPr xmlns="http://schemas.microsoft.com/office/spreadsheetml/2009/9/main" objectType="Radio" lockText="1"/>
</file>

<file path=xl/ctrlProps/ctrlProp82.xml><?xml version="1.0" encoding="utf-8"?>
<formControlPr xmlns="http://schemas.microsoft.com/office/spreadsheetml/2009/9/main" objectType="CheckBox" fmlaLink="$R$507" lockText="1"/>
</file>

<file path=xl/ctrlProps/ctrlProp820.xml><?xml version="1.0" encoding="utf-8"?>
<formControlPr xmlns="http://schemas.microsoft.com/office/spreadsheetml/2009/9/main" objectType="GBox" noThreeD="1"/>
</file>

<file path=xl/ctrlProps/ctrlProp821.xml><?xml version="1.0" encoding="utf-8"?>
<formControlPr xmlns="http://schemas.microsoft.com/office/spreadsheetml/2009/9/main" objectType="Radio" checked="Checked" firstButton="1" fmlaLink="$S$21" lockText="1"/>
</file>

<file path=xl/ctrlProps/ctrlProp822.xml><?xml version="1.0" encoding="utf-8"?>
<formControlPr xmlns="http://schemas.microsoft.com/office/spreadsheetml/2009/9/main" objectType="Radio" lockText="1"/>
</file>

<file path=xl/ctrlProps/ctrlProp823.xml><?xml version="1.0" encoding="utf-8"?>
<formControlPr xmlns="http://schemas.microsoft.com/office/spreadsheetml/2009/9/main" objectType="Radio" lockText="1"/>
</file>

<file path=xl/ctrlProps/ctrlProp824.xml><?xml version="1.0" encoding="utf-8"?>
<formControlPr xmlns="http://schemas.microsoft.com/office/spreadsheetml/2009/9/main" objectType="Radio" lockText="1"/>
</file>

<file path=xl/ctrlProps/ctrlProp825.xml><?xml version="1.0" encoding="utf-8"?>
<formControlPr xmlns="http://schemas.microsoft.com/office/spreadsheetml/2009/9/main" objectType="Radio" lockText="1"/>
</file>

<file path=xl/ctrlProps/ctrlProp826.xml><?xml version="1.0" encoding="utf-8"?>
<formControlPr xmlns="http://schemas.microsoft.com/office/spreadsheetml/2009/9/main" objectType="GBox" noThreeD="1"/>
</file>

<file path=xl/ctrlProps/ctrlProp827.xml><?xml version="1.0" encoding="utf-8"?>
<formControlPr xmlns="http://schemas.microsoft.com/office/spreadsheetml/2009/9/main" objectType="Radio" checked="Checked" firstButton="1" fmlaLink="$R$32" lockText="1"/>
</file>

<file path=xl/ctrlProps/ctrlProp828.xml><?xml version="1.0" encoding="utf-8"?>
<formControlPr xmlns="http://schemas.microsoft.com/office/spreadsheetml/2009/9/main" objectType="Radio" lockText="1"/>
</file>

<file path=xl/ctrlProps/ctrlProp829.xml><?xml version="1.0" encoding="utf-8"?>
<formControlPr xmlns="http://schemas.microsoft.com/office/spreadsheetml/2009/9/main" objectType="Radio" lockText="1"/>
</file>

<file path=xl/ctrlProps/ctrlProp83.xml><?xml version="1.0" encoding="utf-8"?>
<formControlPr xmlns="http://schemas.microsoft.com/office/spreadsheetml/2009/9/main" objectType="CheckBox" fmlaLink="$R$508" lockText="1"/>
</file>

<file path=xl/ctrlProps/ctrlProp830.xml><?xml version="1.0" encoding="utf-8"?>
<formControlPr xmlns="http://schemas.microsoft.com/office/spreadsheetml/2009/9/main" objectType="Radio" lockText="1"/>
</file>

<file path=xl/ctrlProps/ctrlProp831.xml><?xml version="1.0" encoding="utf-8"?>
<formControlPr xmlns="http://schemas.microsoft.com/office/spreadsheetml/2009/9/main" objectType="Radio" lockText="1"/>
</file>

<file path=xl/ctrlProps/ctrlProp832.xml><?xml version="1.0" encoding="utf-8"?>
<formControlPr xmlns="http://schemas.microsoft.com/office/spreadsheetml/2009/9/main" objectType="Radio" lockText="1"/>
</file>

<file path=xl/ctrlProps/ctrlProp833.xml><?xml version="1.0" encoding="utf-8"?>
<formControlPr xmlns="http://schemas.microsoft.com/office/spreadsheetml/2009/9/main" objectType="Radio" lockText="1"/>
</file>

<file path=xl/ctrlProps/ctrlProp834.xml><?xml version="1.0" encoding="utf-8"?>
<formControlPr xmlns="http://schemas.microsoft.com/office/spreadsheetml/2009/9/main" objectType="GBox" noThreeD="1"/>
</file>

<file path=xl/ctrlProps/ctrlProp835.xml><?xml version="1.0" encoding="utf-8"?>
<formControlPr xmlns="http://schemas.microsoft.com/office/spreadsheetml/2009/9/main" objectType="Radio" checked="Checked" firstButton="1" fmlaLink="$S$16" lockText="1"/>
</file>

<file path=xl/ctrlProps/ctrlProp836.xml><?xml version="1.0" encoding="utf-8"?>
<formControlPr xmlns="http://schemas.microsoft.com/office/spreadsheetml/2009/9/main" objectType="Radio" lockText="1"/>
</file>

<file path=xl/ctrlProps/ctrlProp837.xml><?xml version="1.0" encoding="utf-8"?>
<formControlPr xmlns="http://schemas.microsoft.com/office/spreadsheetml/2009/9/main" objectType="Radio" lockText="1"/>
</file>

<file path=xl/ctrlProps/ctrlProp838.xml><?xml version="1.0" encoding="utf-8"?>
<formControlPr xmlns="http://schemas.microsoft.com/office/spreadsheetml/2009/9/main" objectType="Radio" lockText="1"/>
</file>

<file path=xl/ctrlProps/ctrlProp839.xml><?xml version="1.0" encoding="utf-8"?>
<formControlPr xmlns="http://schemas.microsoft.com/office/spreadsheetml/2009/9/main" objectType="Radio" lockText="1"/>
</file>

<file path=xl/ctrlProps/ctrlProp84.xml><?xml version="1.0" encoding="utf-8"?>
<formControlPr xmlns="http://schemas.microsoft.com/office/spreadsheetml/2009/9/main" objectType="CheckBox" fmlaLink="$R$509" lockText="1"/>
</file>

<file path=xl/ctrlProps/ctrlProp840.xml><?xml version="1.0" encoding="utf-8"?>
<formControlPr xmlns="http://schemas.microsoft.com/office/spreadsheetml/2009/9/main" objectType="GBox" noThreeD="1"/>
</file>

<file path=xl/ctrlProps/ctrlProp841.xml><?xml version="1.0" encoding="utf-8"?>
<formControlPr xmlns="http://schemas.microsoft.com/office/spreadsheetml/2009/9/main" objectType="Radio" checked="Checked" firstButton="1" fmlaLink="$S$5" lockText="1"/>
</file>

<file path=xl/ctrlProps/ctrlProp842.xml><?xml version="1.0" encoding="utf-8"?>
<formControlPr xmlns="http://schemas.microsoft.com/office/spreadsheetml/2009/9/main" objectType="Radio" lockText="1"/>
</file>

<file path=xl/ctrlProps/ctrlProp843.xml><?xml version="1.0" encoding="utf-8"?>
<formControlPr xmlns="http://schemas.microsoft.com/office/spreadsheetml/2009/9/main" objectType="Radio" lockText="1"/>
</file>

<file path=xl/ctrlProps/ctrlProp844.xml><?xml version="1.0" encoding="utf-8"?>
<formControlPr xmlns="http://schemas.microsoft.com/office/spreadsheetml/2009/9/main" objectType="Radio" lockText="1"/>
</file>

<file path=xl/ctrlProps/ctrlProp845.xml><?xml version="1.0" encoding="utf-8"?>
<formControlPr xmlns="http://schemas.microsoft.com/office/spreadsheetml/2009/9/main" objectType="Radio" lockText="1"/>
</file>

<file path=xl/ctrlProps/ctrlProp846.xml><?xml version="1.0" encoding="utf-8"?>
<formControlPr xmlns="http://schemas.microsoft.com/office/spreadsheetml/2009/9/main" objectType="Radio" lockText="1"/>
</file>

<file path=xl/ctrlProps/ctrlProp847.xml><?xml version="1.0" encoding="utf-8"?>
<formControlPr xmlns="http://schemas.microsoft.com/office/spreadsheetml/2009/9/main" objectType="Radio" checked="Checked" firstButton="1" fmlaLink="$S$12" lockText="1"/>
</file>

<file path=xl/ctrlProps/ctrlProp848.xml><?xml version="1.0" encoding="utf-8"?>
<formControlPr xmlns="http://schemas.microsoft.com/office/spreadsheetml/2009/9/main" objectType="GBox" noThreeD="1"/>
</file>

<file path=xl/ctrlProps/ctrlProp849.xml><?xml version="1.0" encoding="utf-8"?>
<formControlPr xmlns="http://schemas.microsoft.com/office/spreadsheetml/2009/9/main" objectType="Radio" lockText="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Radio" lockText="1"/>
</file>

<file path=xl/ctrlProps/ctrlProp851.xml><?xml version="1.0" encoding="utf-8"?>
<formControlPr xmlns="http://schemas.microsoft.com/office/spreadsheetml/2009/9/main" objectType="Radio" lockText="1"/>
</file>

<file path=xl/ctrlProps/ctrlProp852.xml><?xml version="1.0" encoding="utf-8"?>
<formControlPr xmlns="http://schemas.microsoft.com/office/spreadsheetml/2009/9/main" objectType="Radio" lockText="1"/>
</file>

<file path=xl/ctrlProps/ctrlProp853.xml><?xml version="1.0" encoding="utf-8"?>
<formControlPr xmlns="http://schemas.microsoft.com/office/spreadsheetml/2009/9/main" objectType="Radio" lockText="1"/>
</file>

<file path=xl/ctrlProps/ctrlProp854.xml><?xml version="1.0" encoding="utf-8"?>
<formControlPr xmlns="http://schemas.microsoft.com/office/spreadsheetml/2009/9/main" objectType="Radio" lockText="1"/>
</file>

<file path=xl/ctrlProps/ctrlProp855.xml><?xml version="1.0" encoding="utf-8"?>
<formControlPr xmlns="http://schemas.microsoft.com/office/spreadsheetml/2009/9/main" objectType="Radio" lockText="1"/>
</file>

<file path=xl/ctrlProps/ctrlProp856.xml><?xml version="1.0" encoding="utf-8"?>
<formControlPr xmlns="http://schemas.microsoft.com/office/spreadsheetml/2009/9/main" objectType="Radio" lockText="1"/>
</file>

<file path=xl/ctrlProps/ctrlProp857.xml><?xml version="1.0" encoding="utf-8"?>
<formControlPr xmlns="http://schemas.microsoft.com/office/spreadsheetml/2009/9/main" objectType="Radio" lockText="1"/>
</file>

<file path=xl/ctrlProps/ctrlProp858.xml><?xml version="1.0" encoding="utf-8"?>
<formControlPr xmlns="http://schemas.microsoft.com/office/spreadsheetml/2009/9/main" objectType="Radio" lockText="1"/>
</file>

<file path=xl/ctrlProps/ctrlProp859.xml><?xml version="1.0" encoding="utf-8"?>
<formControlPr xmlns="http://schemas.microsoft.com/office/spreadsheetml/2009/9/main" objectType="Radio" checked="Checked" firstButton="1" fmlaLink="$S$8" lockText="1"/>
</file>

<file path=xl/ctrlProps/ctrlProp86.xml><?xml version="1.0" encoding="utf-8"?>
<formControlPr xmlns="http://schemas.microsoft.com/office/spreadsheetml/2009/9/main" objectType="Radio" firstButton="1" fmlaLink="$R$518" lockText="1"/>
</file>

<file path=xl/ctrlProps/ctrlProp860.xml><?xml version="1.0" encoding="utf-8"?>
<formControlPr xmlns="http://schemas.microsoft.com/office/spreadsheetml/2009/9/main" objectType="GBox" noThreeD="1"/>
</file>

<file path=xl/ctrlProps/ctrlProp861.xml><?xml version="1.0" encoding="utf-8"?>
<formControlPr xmlns="http://schemas.microsoft.com/office/spreadsheetml/2009/9/main" objectType="Radio" lockText="1"/>
</file>

<file path=xl/ctrlProps/ctrlProp862.xml><?xml version="1.0" encoding="utf-8"?>
<formControlPr xmlns="http://schemas.microsoft.com/office/spreadsheetml/2009/9/main" objectType="Radio" lockText="1"/>
</file>

<file path=xl/ctrlProps/ctrlProp863.xml><?xml version="1.0" encoding="utf-8"?>
<formControlPr xmlns="http://schemas.microsoft.com/office/spreadsheetml/2009/9/main" objectType="Radio" lockText="1"/>
</file>

<file path=xl/ctrlProps/ctrlProp864.xml><?xml version="1.0" encoding="utf-8"?>
<formControlPr xmlns="http://schemas.microsoft.com/office/spreadsheetml/2009/9/main" objectType="Radio" lockText="1"/>
</file>

<file path=xl/ctrlProps/ctrlProp865.xml><?xml version="1.0" encoding="utf-8"?>
<formControlPr xmlns="http://schemas.microsoft.com/office/spreadsheetml/2009/9/main" objectType="Radio" lockText="1"/>
</file>

<file path=xl/ctrlProps/ctrlProp866.xml><?xml version="1.0" encoding="utf-8"?>
<formControlPr xmlns="http://schemas.microsoft.com/office/spreadsheetml/2009/9/main" objectType="Radio" lockText="1"/>
</file>

<file path=xl/ctrlProps/ctrlProp867.xml><?xml version="1.0" encoding="utf-8"?>
<formControlPr xmlns="http://schemas.microsoft.com/office/spreadsheetml/2009/9/main" objectType="Radio" lockText="1"/>
</file>

<file path=xl/ctrlProps/ctrlProp868.xml><?xml version="1.0" encoding="utf-8"?>
<formControlPr xmlns="http://schemas.microsoft.com/office/spreadsheetml/2009/9/main" objectType="Radio" checked="Checked" firstButton="1" fmlaLink="$S$4" lockText="1"/>
</file>

<file path=xl/ctrlProps/ctrlProp869.xml><?xml version="1.0" encoding="utf-8"?>
<formControlPr xmlns="http://schemas.microsoft.com/office/spreadsheetml/2009/9/main" objectType="GBox" noThreeD="1"/>
</file>

<file path=xl/ctrlProps/ctrlProp87.xml><?xml version="1.0" encoding="utf-8"?>
<formControlPr xmlns="http://schemas.microsoft.com/office/spreadsheetml/2009/9/main" objectType="Radio" checked="Checked" lockText="1"/>
</file>

<file path=xl/ctrlProps/ctrlProp870.xml><?xml version="1.0" encoding="utf-8"?>
<formControlPr xmlns="http://schemas.microsoft.com/office/spreadsheetml/2009/9/main" objectType="Radio" lockText="1"/>
</file>

<file path=xl/ctrlProps/ctrlProp871.xml><?xml version="1.0" encoding="utf-8"?>
<formControlPr xmlns="http://schemas.microsoft.com/office/spreadsheetml/2009/9/main" objectType="Radio" lockText="1"/>
</file>

<file path=xl/ctrlProps/ctrlProp872.xml><?xml version="1.0" encoding="utf-8"?>
<formControlPr xmlns="http://schemas.microsoft.com/office/spreadsheetml/2009/9/main" objectType="Radio" lockText="1"/>
</file>

<file path=xl/ctrlProps/ctrlProp873.xml><?xml version="1.0" encoding="utf-8"?>
<formControlPr xmlns="http://schemas.microsoft.com/office/spreadsheetml/2009/9/main" objectType="Radio" lockText="1"/>
</file>

<file path=xl/ctrlProps/ctrlProp874.xml><?xml version="1.0" encoding="utf-8"?>
<formControlPr xmlns="http://schemas.microsoft.com/office/spreadsheetml/2009/9/main" objectType="Radio" lockText="1"/>
</file>

<file path=xl/ctrlProps/ctrlProp875.xml><?xml version="1.0" encoding="utf-8"?>
<formControlPr xmlns="http://schemas.microsoft.com/office/spreadsheetml/2009/9/main" objectType="Radio" lockText="1"/>
</file>

<file path=xl/ctrlProps/ctrlProp876.xml><?xml version="1.0" encoding="utf-8"?>
<formControlPr xmlns="http://schemas.microsoft.com/office/spreadsheetml/2009/9/main" objectType="GBox" noThreeD="1"/>
</file>

<file path=xl/ctrlProps/ctrlProp877.xml><?xml version="1.0" encoding="utf-8"?>
<formControlPr xmlns="http://schemas.microsoft.com/office/spreadsheetml/2009/9/main" objectType="Radio" checked="Checked" firstButton="1" fmlaLink="$S$5" lockText="1"/>
</file>

<file path=xl/ctrlProps/ctrlProp878.xml><?xml version="1.0" encoding="utf-8"?>
<formControlPr xmlns="http://schemas.microsoft.com/office/spreadsheetml/2009/9/main" objectType="Radio" lockText="1"/>
</file>

<file path=xl/ctrlProps/ctrlProp879.xml><?xml version="1.0" encoding="utf-8"?>
<formControlPr xmlns="http://schemas.microsoft.com/office/spreadsheetml/2009/9/main" objectType="Radio" lockText="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Radio" lockText="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Radio" checked="Checked" firstButton="1" fmlaLink="$S$9" lockText="1"/>
</file>

<file path=xl/ctrlProps/ctrlProp883.xml><?xml version="1.0" encoding="utf-8"?>
<formControlPr xmlns="http://schemas.microsoft.com/office/spreadsheetml/2009/9/main" objectType="Radio" lockText="1"/>
</file>

<file path=xl/ctrlProps/ctrlProp884.xml><?xml version="1.0" encoding="utf-8"?>
<formControlPr xmlns="http://schemas.microsoft.com/office/spreadsheetml/2009/9/main" objectType="Radio" lockText="1"/>
</file>

<file path=xl/ctrlProps/ctrlProp885.xml><?xml version="1.0" encoding="utf-8"?>
<formControlPr xmlns="http://schemas.microsoft.com/office/spreadsheetml/2009/9/main" objectType="Radio" lockText="1"/>
</file>

<file path=xl/ctrlProps/ctrlProp886.xml><?xml version="1.0" encoding="utf-8"?>
<formControlPr xmlns="http://schemas.microsoft.com/office/spreadsheetml/2009/9/main" objectType="Radio" lockText="1"/>
</file>

<file path=xl/ctrlProps/ctrlProp887.xml><?xml version="1.0" encoding="utf-8"?>
<formControlPr xmlns="http://schemas.microsoft.com/office/spreadsheetml/2009/9/main" objectType="GBox" noThreeD="1"/>
</file>

<file path=xl/ctrlProps/ctrlProp888.xml><?xml version="1.0" encoding="utf-8"?>
<formControlPr xmlns="http://schemas.microsoft.com/office/spreadsheetml/2009/9/main" objectType="Radio" checked="Checked" firstButton="1" fmlaLink="$S$14" lockText="1"/>
</file>

<file path=xl/ctrlProps/ctrlProp889.xml><?xml version="1.0" encoding="utf-8"?>
<formControlPr xmlns="http://schemas.microsoft.com/office/spreadsheetml/2009/9/main" objectType="Radio" lockText="1"/>
</file>

<file path=xl/ctrlProps/ctrlProp89.xml><?xml version="1.0" encoding="utf-8"?>
<formControlPr xmlns="http://schemas.microsoft.com/office/spreadsheetml/2009/9/main" objectType="Radio" checked="Checked" firstButton="1" fmlaLink="$R$566" lockText="1"/>
</file>

<file path=xl/ctrlProps/ctrlProp890.xml><?xml version="1.0" encoding="utf-8"?>
<formControlPr xmlns="http://schemas.microsoft.com/office/spreadsheetml/2009/9/main" objectType="Radio" lockText="1"/>
</file>

<file path=xl/ctrlProps/ctrlProp891.xml><?xml version="1.0" encoding="utf-8"?>
<formControlPr xmlns="http://schemas.microsoft.com/office/spreadsheetml/2009/9/main" objectType="GBox" noThreeD="1"/>
</file>

<file path=xl/ctrlProps/ctrlProp892.xml><?xml version="1.0" encoding="utf-8"?>
<formControlPr xmlns="http://schemas.microsoft.com/office/spreadsheetml/2009/9/main" objectType="Radio" checked="Checked" firstButton="1" fmlaLink="$S$4" lockText="1"/>
</file>

<file path=xl/ctrlProps/ctrlProp893.xml><?xml version="1.0" encoding="utf-8"?>
<formControlPr xmlns="http://schemas.microsoft.com/office/spreadsheetml/2009/9/main" objectType="Radio" lockText="1"/>
</file>

<file path=xl/ctrlProps/ctrlProp894.xml><?xml version="1.0" encoding="utf-8"?>
<formControlPr xmlns="http://schemas.microsoft.com/office/spreadsheetml/2009/9/main" objectType="Radio" lockText="1"/>
</file>

<file path=xl/ctrlProps/ctrlProp895.xml><?xml version="1.0" encoding="utf-8"?>
<formControlPr xmlns="http://schemas.microsoft.com/office/spreadsheetml/2009/9/main" objectType="Radio" lockText="1"/>
</file>

<file path=xl/ctrlProps/ctrlProp896.xml><?xml version="1.0" encoding="utf-8"?>
<formControlPr xmlns="http://schemas.microsoft.com/office/spreadsheetml/2009/9/main" objectType="CheckBox" fmlaLink="$S$27" lockText="1"/>
</file>

<file path=xl/ctrlProps/ctrlProp897.xml><?xml version="1.0" encoding="utf-8"?>
<formControlPr xmlns="http://schemas.microsoft.com/office/spreadsheetml/2009/9/main" objectType="CheckBox" fmlaLink="$S$38" lockText="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Radio" checked="Checked" firstButton="1" fmlaLink="$S$8" lockText="1"/>
</file>

<file path=xl/ctrlProps/ctrlProp9.xml><?xml version="1.0" encoding="utf-8"?>
<formControlPr xmlns="http://schemas.microsoft.com/office/spreadsheetml/2009/9/main" objectType="CheckBox" fmlaLink="$S$45" lockText="1"/>
</file>

<file path=xl/ctrlProps/ctrlProp90.xml><?xml version="1.0" encoding="utf-8"?>
<formControlPr xmlns="http://schemas.microsoft.com/office/spreadsheetml/2009/9/main" objectType="Radio" lockText="1"/>
</file>

<file path=xl/ctrlProps/ctrlProp900.xml><?xml version="1.0" encoding="utf-8"?>
<formControlPr xmlns="http://schemas.microsoft.com/office/spreadsheetml/2009/9/main" objectType="Radio" lockText="1"/>
</file>

<file path=xl/ctrlProps/ctrlProp901.xml><?xml version="1.0" encoding="utf-8"?>
<formControlPr xmlns="http://schemas.microsoft.com/office/spreadsheetml/2009/9/main" objectType="Radio" lockText="1"/>
</file>

<file path=xl/ctrlProps/ctrlProp902.xml><?xml version="1.0" encoding="utf-8"?>
<formControlPr xmlns="http://schemas.microsoft.com/office/spreadsheetml/2009/9/main" objectType="Radio" lockText="1"/>
</file>

<file path=xl/ctrlProps/ctrlProp903.xml><?xml version="1.0" encoding="utf-8"?>
<formControlPr xmlns="http://schemas.microsoft.com/office/spreadsheetml/2009/9/main" objectType="Radio" lockText="1"/>
</file>

<file path=xl/ctrlProps/ctrlProp904.xml><?xml version="1.0" encoding="utf-8"?>
<formControlPr xmlns="http://schemas.microsoft.com/office/spreadsheetml/2009/9/main" objectType="GBox" noThreeD="1"/>
</file>

<file path=xl/ctrlProps/ctrlProp905.xml><?xml version="1.0" encoding="utf-8"?>
<formControlPr xmlns="http://schemas.microsoft.com/office/spreadsheetml/2009/9/main" objectType="Radio" checked="Checked" firstButton="1" fmlaLink="$S$13" lockText="1"/>
</file>

<file path=xl/ctrlProps/ctrlProp906.xml><?xml version="1.0" encoding="utf-8"?>
<formControlPr xmlns="http://schemas.microsoft.com/office/spreadsheetml/2009/9/main" objectType="Radio" lockText="1"/>
</file>

<file path=xl/ctrlProps/ctrlProp907.xml><?xml version="1.0" encoding="utf-8"?>
<formControlPr xmlns="http://schemas.microsoft.com/office/spreadsheetml/2009/9/main" objectType="Radio" lockText="1"/>
</file>

<file path=xl/ctrlProps/ctrlProp908.xml><?xml version="1.0" encoding="utf-8"?>
<formControlPr xmlns="http://schemas.microsoft.com/office/spreadsheetml/2009/9/main" objectType="Radio" lockText="1"/>
</file>

<file path=xl/ctrlProps/ctrlProp909.xml><?xml version="1.0" encoding="utf-8"?>
<formControlPr xmlns="http://schemas.microsoft.com/office/spreadsheetml/2009/9/main" objectType="Radio" lockText="1"/>
</file>

<file path=xl/ctrlProps/ctrlProp91.xml><?xml version="1.0" encoding="utf-8"?>
<formControlPr xmlns="http://schemas.microsoft.com/office/spreadsheetml/2009/9/main" objectType="CheckBox" fmlaLink="$S$107" lockText="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Radio" checked="Checked" firstButton="1" fmlaLink="$S$18" lockText="1"/>
</file>

<file path=xl/ctrlProps/ctrlProp912.xml><?xml version="1.0" encoding="utf-8"?>
<formControlPr xmlns="http://schemas.microsoft.com/office/spreadsheetml/2009/9/main" objectType="Radio" lockText="1"/>
</file>

<file path=xl/ctrlProps/ctrlProp913.xml><?xml version="1.0" encoding="utf-8"?>
<formControlPr xmlns="http://schemas.microsoft.com/office/spreadsheetml/2009/9/main" objectType="Radio" lockText="1"/>
</file>

<file path=xl/ctrlProps/ctrlProp914.xml><?xml version="1.0" encoding="utf-8"?>
<formControlPr xmlns="http://schemas.microsoft.com/office/spreadsheetml/2009/9/main" objectType="Radio" lockText="1"/>
</file>

<file path=xl/ctrlProps/ctrlProp915.xml><?xml version="1.0" encoding="utf-8"?>
<formControlPr xmlns="http://schemas.microsoft.com/office/spreadsheetml/2009/9/main" objectType="GBox" noThreeD="1"/>
</file>

<file path=xl/ctrlProps/ctrlProp916.xml><?xml version="1.0" encoding="utf-8"?>
<formControlPr xmlns="http://schemas.microsoft.com/office/spreadsheetml/2009/9/main" objectType="Radio" checked="Checked" firstButton="1" fmlaLink="$S$22" lockText="1"/>
</file>

<file path=xl/ctrlProps/ctrlProp917.xml><?xml version="1.0" encoding="utf-8"?>
<formControlPr xmlns="http://schemas.microsoft.com/office/spreadsheetml/2009/9/main" objectType="Radio" lockText="1"/>
</file>

<file path=xl/ctrlProps/ctrlProp918.xml><?xml version="1.0" encoding="utf-8"?>
<formControlPr xmlns="http://schemas.microsoft.com/office/spreadsheetml/2009/9/main" objectType="Radio" lockText="1"/>
</file>

<file path=xl/ctrlProps/ctrlProp919.xml><?xml version="1.0" encoding="utf-8"?>
<formControlPr xmlns="http://schemas.microsoft.com/office/spreadsheetml/2009/9/main" objectType="Radio" lockText="1"/>
</file>

<file path=xl/ctrlProps/ctrlProp92.xml><?xml version="1.0" encoding="utf-8"?>
<formControlPr xmlns="http://schemas.microsoft.com/office/spreadsheetml/2009/9/main" objectType="CheckBox" fmlaLink="$S$109" lockText="1"/>
</file>

<file path=xl/ctrlProps/ctrlProp920.xml><?xml version="1.0" encoding="utf-8"?>
<formControlPr xmlns="http://schemas.microsoft.com/office/spreadsheetml/2009/9/main" objectType="Radio" lockText="1"/>
</file>

<file path=xl/ctrlProps/ctrlProp921.xml><?xml version="1.0" encoding="utf-8"?>
<formControlPr xmlns="http://schemas.microsoft.com/office/spreadsheetml/2009/9/main" objectType="GBox" noThreeD="1"/>
</file>

<file path=xl/ctrlProps/ctrlProp922.xml><?xml version="1.0" encoding="utf-8"?>
<formControlPr xmlns="http://schemas.microsoft.com/office/spreadsheetml/2009/9/main" objectType="Radio" checked="Checked" firstButton="1" fmlaLink="$S$28" lockText="1"/>
</file>

<file path=xl/ctrlProps/ctrlProp923.xml><?xml version="1.0" encoding="utf-8"?>
<formControlPr xmlns="http://schemas.microsoft.com/office/spreadsheetml/2009/9/main" objectType="Radio" lockText="1"/>
</file>

<file path=xl/ctrlProps/ctrlProp924.xml><?xml version="1.0" encoding="utf-8"?>
<formControlPr xmlns="http://schemas.microsoft.com/office/spreadsheetml/2009/9/main" objectType="Radio" lockText="1"/>
</file>

<file path=xl/ctrlProps/ctrlProp925.xml><?xml version="1.0" encoding="utf-8"?>
<formControlPr xmlns="http://schemas.microsoft.com/office/spreadsheetml/2009/9/main" objectType="Radio" lockText="1"/>
</file>

<file path=xl/ctrlProps/ctrlProp926.xml><?xml version="1.0" encoding="utf-8"?>
<formControlPr xmlns="http://schemas.microsoft.com/office/spreadsheetml/2009/9/main" objectType="Radio" lockText="1"/>
</file>

<file path=xl/ctrlProps/ctrlProp927.xml><?xml version="1.0" encoding="utf-8"?>
<formControlPr xmlns="http://schemas.microsoft.com/office/spreadsheetml/2009/9/main" objectType="GBox" noThreeD="1"/>
</file>

<file path=xl/ctrlProps/ctrlProp928.xml><?xml version="1.0" encoding="utf-8"?>
<formControlPr xmlns="http://schemas.microsoft.com/office/spreadsheetml/2009/9/main" objectType="Radio" checked="Checked" firstButton="1" fmlaLink="$S$33" lockText="1"/>
</file>

<file path=xl/ctrlProps/ctrlProp929.xml><?xml version="1.0" encoding="utf-8"?>
<formControlPr xmlns="http://schemas.microsoft.com/office/spreadsheetml/2009/9/main" objectType="Radio" lockText="1"/>
</file>

<file path=xl/ctrlProps/ctrlProp93.xml><?xml version="1.0" encoding="utf-8"?>
<formControlPr xmlns="http://schemas.microsoft.com/office/spreadsheetml/2009/9/main" objectType="CheckBox" fmlaLink="$S$108" lockText="1"/>
</file>

<file path=xl/ctrlProps/ctrlProp930.xml><?xml version="1.0" encoding="utf-8"?>
<formControlPr xmlns="http://schemas.microsoft.com/office/spreadsheetml/2009/9/main" objectType="Radio" lockText="1"/>
</file>

<file path=xl/ctrlProps/ctrlProp931.xml><?xml version="1.0" encoding="utf-8"?>
<formControlPr xmlns="http://schemas.microsoft.com/office/spreadsheetml/2009/9/main" objectType="Radio" lockText="1"/>
</file>

<file path=xl/ctrlProps/ctrlProp932.xml><?xml version="1.0" encoding="utf-8"?>
<formControlPr xmlns="http://schemas.microsoft.com/office/spreadsheetml/2009/9/main" objectType="Radio" lockText="1"/>
</file>

<file path=xl/ctrlProps/ctrlProp933.xml><?xml version="1.0" encoding="utf-8"?>
<formControlPr xmlns="http://schemas.microsoft.com/office/spreadsheetml/2009/9/main" objectType="GBox" noThreeD="1"/>
</file>

<file path=xl/ctrlProps/ctrlProp934.xml><?xml version="1.0" encoding="utf-8"?>
<formControlPr xmlns="http://schemas.microsoft.com/office/spreadsheetml/2009/9/main" objectType="Radio" checked="Checked" firstButton="1" fmlaLink="$S$39" lockText="1"/>
</file>

<file path=xl/ctrlProps/ctrlProp935.xml><?xml version="1.0" encoding="utf-8"?>
<formControlPr xmlns="http://schemas.microsoft.com/office/spreadsheetml/2009/9/main" objectType="Radio" lockText="1"/>
</file>

<file path=xl/ctrlProps/ctrlProp936.xml><?xml version="1.0" encoding="utf-8"?>
<formControlPr xmlns="http://schemas.microsoft.com/office/spreadsheetml/2009/9/main" objectType="Radio" lockText="1"/>
</file>

<file path=xl/ctrlProps/ctrlProp937.xml><?xml version="1.0" encoding="utf-8"?>
<formControlPr xmlns="http://schemas.microsoft.com/office/spreadsheetml/2009/9/main" objectType="Radio" lockText="1"/>
</file>

<file path=xl/ctrlProps/ctrlProp938.xml><?xml version="1.0" encoding="utf-8"?>
<formControlPr xmlns="http://schemas.microsoft.com/office/spreadsheetml/2009/9/main" objectType="GBox" noThreeD="1"/>
</file>

<file path=xl/ctrlProps/ctrlProp939.xml><?xml version="1.0" encoding="utf-8"?>
<formControlPr xmlns="http://schemas.microsoft.com/office/spreadsheetml/2009/9/main" objectType="Radio" checked="Checked" firstButton="1" fmlaLink="$S$43" lockText="1"/>
</file>

<file path=xl/ctrlProps/ctrlProp94.xml><?xml version="1.0" encoding="utf-8"?>
<formControlPr xmlns="http://schemas.microsoft.com/office/spreadsheetml/2009/9/main" objectType="CheckBox" fmlaLink="$S$182" lockText="1"/>
</file>

<file path=xl/ctrlProps/ctrlProp940.xml><?xml version="1.0" encoding="utf-8"?>
<formControlPr xmlns="http://schemas.microsoft.com/office/spreadsheetml/2009/9/main" objectType="Radio" lockText="1"/>
</file>

<file path=xl/ctrlProps/ctrlProp941.xml><?xml version="1.0" encoding="utf-8"?>
<formControlPr xmlns="http://schemas.microsoft.com/office/spreadsheetml/2009/9/main" objectType="Radio" lockText="1"/>
</file>

<file path=xl/ctrlProps/ctrlProp942.xml><?xml version="1.0" encoding="utf-8"?>
<formControlPr xmlns="http://schemas.microsoft.com/office/spreadsheetml/2009/9/main" objectType="Radio" lockText="1"/>
</file>

<file path=xl/ctrlProps/ctrlProp943.xml><?xml version="1.0" encoding="utf-8"?>
<formControlPr xmlns="http://schemas.microsoft.com/office/spreadsheetml/2009/9/main" objectType="Radio" lockText="1"/>
</file>

<file path=xl/ctrlProps/ctrlProp944.xml><?xml version="1.0" encoding="utf-8"?>
<formControlPr xmlns="http://schemas.microsoft.com/office/spreadsheetml/2009/9/main" objectType="GBox" noThreeD="1"/>
</file>

<file path=xl/ctrlProps/ctrlProp945.xml><?xml version="1.0" encoding="utf-8"?>
<formControlPr xmlns="http://schemas.microsoft.com/office/spreadsheetml/2009/9/main" objectType="Radio" checked="Checked" firstButton="1" fmlaLink="$S$48" lockText="1"/>
</file>

<file path=xl/ctrlProps/ctrlProp946.xml><?xml version="1.0" encoding="utf-8"?>
<formControlPr xmlns="http://schemas.microsoft.com/office/spreadsheetml/2009/9/main" objectType="Radio" lockText="1"/>
</file>

<file path=xl/ctrlProps/ctrlProp947.xml><?xml version="1.0" encoding="utf-8"?>
<formControlPr xmlns="http://schemas.microsoft.com/office/spreadsheetml/2009/9/main" objectType="Radio" lockText="1"/>
</file>

<file path=xl/ctrlProps/ctrlProp948.xml><?xml version="1.0" encoding="utf-8"?>
<formControlPr xmlns="http://schemas.microsoft.com/office/spreadsheetml/2009/9/main" objectType="GBox" noThreeD="1"/>
</file>

<file path=xl/ctrlProps/ctrlProp949.xml><?xml version="1.0" encoding="utf-8"?>
<formControlPr xmlns="http://schemas.microsoft.com/office/spreadsheetml/2009/9/main" objectType="Radio" checked="Checked" firstButton="1" fmlaLink="$S$51" lockText="1"/>
</file>

<file path=xl/ctrlProps/ctrlProp95.xml><?xml version="1.0" encoding="utf-8"?>
<formControlPr xmlns="http://schemas.microsoft.com/office/spreadsheetml/2009/9/main" objectType="CheckBox" fmlaLink="$S$183" lockText="1"/>
</file>

<file path=xl/ctrlProps/ctrlProp950.xml><?xml version="1.0" encoding="utf-8"?>
<formControlPr xmlns="http://schemas.microsoft.com/office/spreadsheetml/2009/9/main" objectType="Radio" lockText="1"/>
</file>

<file path=xl/ctrlProps/ctrlProp951.xml><?xml version="1.0" encoding="utf-8"?>
<formControlPr xmlns="http://schemas.microsoft.com/office/spreadsheetml/2009/9/main" objectType="Radio" lockText="1"/>
</file>

<file path=xl/ctrlProps/ctrlProp952.xml><?xml version="1.0" encoding="utf-8"?>
<formControlPr xmlns="http://schemas.microsoft.com/office/spreadsheetml/2009/9/main" objectType="Radio" lockText="1"/>
</file>

<file path=xl/ctrlProps/ctrlProp953.xml><?xml version="1.0" encoding="utf-8"?>
<formControlPr xmlns="http://schemas.microsoft.com/office/spreadsheetml/2009/9/main" objectType="Radio" lockText="1"/>
</file>

<file path=xl/ctrlProps/ctrlProp954.xml><?xml version="1.0" encoding="utf-8"?>
<formControlPr xmlns="http://schemas.microsoft.com/office/spreadsheetml/2009/9/main" objectType="Radio" lockText="1"/>
</file>

<file path=xl/ctrlProps/ctrlProp955.xml><?xml version="1.0" encoding="utf-8"?>
<formControlPr xmlns="http://schemas.microsoft.com/office/spreadsheetml/2009/9/main" objectType="Radio" lockText="1"/>
</file>

<file path=xl/ctrlProps/ctrlProp956.xml><?xml version="1.0" encoding="utf-8"?>
<formControlPr xmlns="http://schemas.microsoft.com/office/spreadsheetml/2009/9/main" objectType="Radio" lockText="1"/>
</file>

<file path=xl/ctrlProps/ctrlProp957.xml><?xml version="1.0" encoding="utf-8"?>
<formControlPr xmlns="http://schemas.microsoft.com/office/spreadsheetml/2009/9/main" objectType="Radio" lockText="1"/>
</file>

<file path=xl/ctrlProps/ctrlProp958.xml><?xml version="1.0" encoding="utf-8"?>
<formControlPr xmlns="http://schemas.microsoft.com/office/spreadsheetml/2009/9/main" objectType="Radio" lockText="1"/>
</file>

<file path=xl/ctrlProps/ctrlProp959.xml><?xml version="1.0" encoding="utf-8"?>
<formControlPr xmlns="http://schemas.microsoft.com/office/spreadsheetml/2009/9/main" objectType="GBox" noThreeD="1"/>
</file>

<file path=xl/ctrlProps/ctrlProp96.xml><?xml version="1.0" encoding="utf-8"?>
<formControlPr xmlns="http://schemas.microsoft.com/office/spreadsheetml/2009/9/main" objectType="CheckBox" fmlaLink="$S$185" lockText="1"/>
</file>

<file path=xl/ctrlProps/ctrlProp960.xml><?xml version="1.0" encoding="utf-8"?>
<formControlPr xmlns="http://schemas.microsoft.com/office/spreadsheetml/2009/9/main" objectType="Radio" checked="Checked" firstButton="1" fmlaLink="$S$58" lockText="1"/>
</file>

<file path=xl/ctrlProps/ctrlProp961.xml><?xml version="1.0" encoding="utf-8"?>
<formControlPr xmlns="http://schemas.microsoft.com/office/spreadsheetml/2009/9/main" objectType="Radio" lockText="1"/>
</file>

<file path=xl/ctrlProps/ctrlProp962.xml><?xml version="1.0" encoding="utf-8"?>
<formControlPr xmlns="http://schemas.microsoft.com/office/spreadsheetml/2009/9/main" objectType="Radio" lockText="1"/>
</file>

<file path=xl/ctrlProps/ctrlProp963.xml><?xml version="1.0" encoding="utf-8"?>
<formControlPr xmlns="http://schemas.microsoft.com/office/spreadsheetml/2009/9/main" objectType="Radio" lockText="1"/>
</file>

<file path=xl/ctrlProps/ctrlProp964.xml><?xml version="1.0" encoding="utf-8"?>
<formControlPr xmlns="http://schemas.microsoft.com/office/spreadsheetml/2009/9/main" objectType="GBox" noThreeD="1"/>
</file>

<file path=xl/ctrlProps/ctrlProp965.xml><?xml version="1.0" encoding="utf-8"?>
<formControlPr xmlns="http://schemas.microsoft.com/office/spreadsheetml/2009/9/main" objectType="Radio" checked="Checked" firstButton="1" fmlaLink="$S$4" lockText="1"/>
</file>

<file path=xl/ctrlProps/ctrlProp966.xml><?xml version="1.0" encoding="utf-8"?>
<formControlPr xmlns="http://schemas.microsoft.com/office/spreadsheetml/2009/9/main" objectType="Radio" lockText="1"/>
</file>

<file path=xl/ctrlProps/ctrlProp967.xml><?xml version="1.0" encoding="utf-8"?>
<formControlPr xmlns="http://schemas.microsoft.com/office/spreadsheetml/2009/9/main" objectType="Radio" lockText="1"/>
</file>

<file path=xl/ctrlProps/ctrlProp968.xml><?xml version="1.0" encoding="utf-8"?>
<formControlPr xmlns="http://schemas.microsoft.com/office/spreadsheetml/2009/9/main" objectType="Radio" lockText="1"/>
</file>

<file path=xl/ctrlProps/ctrlProp969.xml><?xml version="1.0" encoding="utf-8"?>
<formControlPr xmlns="http://schemas.microsoft.com/office/spreadsheetml/2009/9/main" objectType="GBox" noThreeD="1"/>
</file>

<file path=xl/ctrlProps/ctrlProp97.xml><?xml version="1.0" encoding="utf-8"?>
<formControlPr xmlns="http://schemas.microsoft.com/office/spreadsheetml/2009/9/main" objectType="CheckBox" fmlaLink="$S$184" lockText="1"/>
</file>

<file path=xl/ctrlProps/ctrlProp970.xml><?xml version="1.0" encoding="utf-8"?>
<formControlPr xmlns="http://schemas.microsoft.com/office/spreadsheetml/2009/9/main" objectType="Radio" checked="Checked" firstButton="1" fmlaLink="$S$8" lockText="1"/>
</file>

<file path=xl/ctrlProps/ctrlProp971.xml><?xml version="1.0" encoding="utf-8"?>
<formControlPr xmlns="http://schemas.microsoft.com/office/spreadsheetml/2009/9/main" objectType="Radio" lockText="1"/>
</file>

<file path=xl/ctrlProps/ctrlProp972.xml><?xml version="1.0" encoding="utf-8"?>
<formControlPr xmlns="http://schemas.microsoft.com/office/spreadsheetml/2009/9/main" objectType="Radio" lockText="1"/>
</file>

<file path=xl/ctrlProps/ctrlProp973.xml><?xml version="1.0" encoding="utf-8"?>
<formControlPr xmlns="http://schemas.microsoft.com/office/spreadsheetml/2009/9/main" objectType="GBox" noThreeD="1"/>
</file>

<file path=xl/ctrlProps/ctrlProp974.xml><?xml version="1.0" encoding="utf-8"?>
<formControlPr xmlns="http://schemas.microsoft.com/office/spreadsheetml/2009/9/main" objectType="Radio" checked="Checked" firstButton="1" fmlaLink="$S$11" lockText="1"/>
</file>

<file path=xl/ctrlProps/ctrlProp975.xml><?xml version="1.0" encoding="utf-8"?>
<formControlPr xmlns="http://schemas.microsoft.com/office/spreadsheetml/2009/9/main" objectType="Radio" lockText="1"/>
</file>

<file path=xl/ctrlProps/ctrlProp976.xml><?xml version="1.0" encoding="utf-8"?>
<formControlPr xmlns="http://schemas.microsoft.com/office/spreadsheetml/2009/9/main" objectType="Radio" lockText="1"/>
</file>

<file path=xl/ctrlProps/ctrlProp977.xml><?xml version="1.0" encoding="utf-8"?>
<formControlPr xmlns="http://schemas.microsoft.com/office/spreadsheetml/2009/9/main" objectType="Radio" lockText="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Radio" checked="Checked" firstButton="1" fmlaLink="$S$15" lockText="1"/>
</file>

<file path=xl/ctrlProps/ctrlProp98.xml><?xml version="1.0" encoding="utf-8"?>
<formControlPr xmlns="http://schemas.microsoft.com/office/spreadsheetml/2009/9/main" objectType="CheckBox" fmlaLink="$S$258" lockText="1"/>
</file>

<file path=xl/ctrlProps/ctrlProp980.xml><?xml version="1.0" encoding="utf-8"?>
<formControlPr xmlns="http://schemas.microsoft.com/office/spreadsheetml/2009/9/main" objectType="Radio" lockText="1"/>
</file>

<file path=xl/ctrlProps/ctrlProp981.xml><?xml version="1.0" encoding="utf-8"?>
<formControlPr xmlns="http://schemas.microsoft.com/office/spreadsheetml/2009/9/main" objectType="Radio" lockText="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Radio" checked="Checked" firstButton="1" fmlaLink="$S$18" lockText="1"/>
</file>

<file path=xl/ctrlProps/ctrlProp984.xml><?xml version="1.0" encoding="utf-8"?>
<formControlPr xmlns="http://schemas.microsoft.com/office/spreadsheetml/2009/9/main" objectType="Radio" lockText="1"/>
</file>

<file path=xl/ctrlProps/ctrlProp985.xml><?xml version="1.0" encoding="utf-8"?>
<formControlPr xmlns="http://schemas.microsoft.com/office/spreadsheetml/2009/9/main" objectType="Radio" lockText="1"/>
</file>

<file path=xl/ctrlProps/ctrlProp986.xml><?xml version="1.0" encoding="utf-8"?>
<formControlPr xmlns="http://schemas.microsoft.com/office/spreadsheetml/2009/9/main" objectType="Radio" lockText="1"/>
</file>

<file path=xl/ctrlProps/ctrlProp987.xml><?xml version="1.0" encoding="utf-8"?>
<formControlPr xmlns="http://schemas.microsoft.com/office/spreadsheetml/2009/9/main" objectType="GBox" noThreeD="1"/>
</file>

<file path=xl/ctrlProps/ctrlProp988.xml><?xml version="1.0" encoding="utf-8"?>
<formControlPr xmlns="http://schemas.microsoft.com/office/spreadsheetml/2009/9/main" objectType="Radio" checked="Checked" firstButton="1" fmlaLink="$S$22" lockText="1"/>
</file>

<file path=xl/ctrlProps/ctrlProp989.xml><?xml version="1.0" encoding="utf-8"?>
<formControlPr xmlns="http://schemas.microsoft.com/office/spreadsheetml/2009/9/main" objectType="Radio" lockText="1"/>
</file>

<file path=xl/ctrlProps/ctrlProp99.xml><?xml version="1.0" encoding="utf-8"?>
<formControlPr xmlns="http://schemas.microsoft.com/office/spreadsheetml/2009/9/main" objectType="CheckBox" fmlaLink="$S$259" lockText="1"/>
</file>

<file path=xl/ctrlProps/ctrlProp990.xml><?xml version="1.0" encoding="utf-8"?>
<formControlPr xmlns="http://schemas.microsoft.com/office/spreadsheetml/2009/9/main" objectType="Radio" lockText="1"/>
</file>

<file path=xl/ctrlProps/ctrlProp991.xml><?xml version="1.0" encoding="utf-8"?>
<formControlPr xmlns="http://schemas.microsoft.com/office/spreadsheetml/2009/9/main" objectType="Radio" lockText="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Radio" checked="Checked" firstButton="1" fmlaLink="$S$26" lockText="1"/>
</file>

<file path=xl/ctrlProps/ctrlProp994.xml><?xml version="1.0" encoding="utf-8"?>
<formControlPr xmlns="http://schemas.microsoft.com/office/spreadsheetml/2009/9/main" objectType="Radio" lockText="1"/>
</file>

<file path=xl/ctrlProps/ctrlProp995.xml><?xml version="1.0" encoding="utf-8"?>
<formControlPr xmlns="http://schemas.microsoft.com/office/spreadsheetml/2009/9/main" objectType="Radio" lockText="1"/>
</file>

<file path=xl/ctrlProps/ctrlProp996.xml><?xml version="1.0" encoding="utf-8"?>
<formControlPr xmlns="http://schemas.microsoft.com/office/spreadsheetml/2009/9/main" objectType="Radio" lockText="1"/>
</file>

<file path=xl/ctrlProps/ctrlProp997.xml><?xml version="1.0" encoding="utf-8"?>
<formControlPr xmlns="http://schemas.microsoft.com/office/spreadsheetml/2009/9/main" objectType="GBox" noThreeD="1"/>
</file>

<file path=xl/ctrlProps/ctrlProp998.xml><?xml version="1.0" encoding="utf-8"?>
<formControlPr xmlns="http://schemas.microsoft.com/office/spreadsheetml/2009/9/main" objectType="Radio" checked="Checked" firstButton="1" fmlaLink="$S$30" lockText="1"/>
</file>

<file path=xl/ctrlProps/ctrlProp999.xml><?xml version="1.0" encoding="utf-8"?>
<formControlPr xmlns="http://schemas.microsoft.com/office/spreadsheetml/2009/9/main" objectType="Radio" lockText="1"/>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38100</xdr:colOff>
          <xdr:row>6</xdr:row>
          <xdr:rowOff>238125</xdr:rowOff>
        </xdr:from>
        <xdr:to>
          <xdr:col>7</xdr:col>
          <xdr:colOff>76200</xdr:colOff>
          <xdr:row>7</xdr:row>
          <xdr:rowOff>180975</xdr:rowOff>
        </xdr:to>
        <xdr:sp macro="" textlink="">
          <xdr:nvSpPr>
            <xdr:cNvPr id="39982" name="Check Box 46" hidden="1">
              <a:extLst>
                <a:ext uri="{63B3BB69-23CF-44E3-9099-C40C66FF867C}">
                  <a14:compatExt spid="_x0000_s39982"/>
                </a:ext>
                <a:ext uri="{FF2B5EF4-FFF2-40B4-BE49-F238E27FC236}">
                  <a16:creationId xmlns:a16="http://schemas.microsoft.com/office/drawing/2014/main" id="{00000000-0008-0000-0100-00002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10</xdr:row>
          <xdr:rowOff>133350</xdr:rowOff>
        </xdr:from>
        <xdr:to>
          <xdr:col>15</xdr:col>
          <xdr:colOff>714375</xdr:colOff>
          <xdr:row>12</xdr:row>
          <xdr:rowOff>76200</xdr:rowOff>
        </xdr:to>
        <xdr:sp macro="" textlink="">
          <xdr:nvSpPr>
            <xdr:cNvPr id="39965" name="Object 29" hidden="1">
              <a:extLst>
                <a:ext uri="{63B3BB69-23CF-44E3-9099-C40C66FF867C}">
                  <a14:compatExt spid="_x0000_s39965"/>
                </a:ext>
                <a:ext uri="{FF2B5EF4-FFF2-40B4-BE49-F238E27FC236}">
                  <a16:creationId xmlns:a16="http://schemas.microsoft.com/office/drawing/2014/main" id="{00000000-0008-0000-0100-00001D9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19</xdr:row>
          <xdr:rowOff>171450</xdr:rowOff>
        </xdr:from>
        <xdr:to>
          <xdr:col>15</xdr:col>
          <xdr:colOff>704850</xdr:colOff>
          <xdr:row>21</xdr:row>
          <xdr:rowOff>95250</xdr:rowOff>
        </xdr:to>
        <xdr:sp macro="" textlink="">
          <xdr:nvSpPr>
            <xdr:cNvPr id="39966" name="Object 30" hidden="1">
              <a:extLst>
                <a:ext uri="{63B3BB69-23CF-44E3-9099-C40C66FF867C}">
                  <a14:compatExt spid="_x0000_s39966"/>
                </a:ext>
                <a:ext uri="{FF2B5EF4-FFF2-40B4-BE49-F238E27FC236}">
                  <a16:creationId xmlns:a16="http://schemas.microsoft.com/office/drawing/2014/main" id="{00000000-0008-0000-0100-00001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133350</xdr:rowOff>
        </xdr:from>
        <xdr:to>
          <xdr:col>7</xdr:col>
          <xdr:colOff>76200</xdr:colOff>
          <xdr:row>5</xdr:row>
          <xdr:rowOff>66675</xdr:rowOff>
        </xdr:to>
        <xdr:sp macro="" textlink="">
          <xdr:nvSpPr>
            <xdr:cNvPr id="39980" name="Check Box 44" hidden="1">
              <a:extLst>
                <a:ext uri="{63B3BB69-23CF-44E3-9099-C40C66FF867C}">
                  <a14:compatExt spid="_x0000_s39980"/>
                </a:ext>
                <a:ext uri="{FF2B5EF4-FFF2-40B4-BE49-F238E27FC236}">
                  <a16:creationId xmlns:a16="http://schemas.microsoft.com/office/drawing/2014/main" id="{00000000-0008-0000-0100-00002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285750</xdr:rowOff>
        </xdr:from>
        <xdr:to>
          <xdr:col>7</xdr:col>
          <xdr:colOff>76200</xdr:colOff>
          <xdr:row>5</xdr:row>
          <xdr:rowOff>266700</xdr:rowOff>
        </xdr:to>
        <xdr:sp macro="" textlink="">
          <xdr:nvSpPr>
            <xdr:cNvPr id="39981" name="Check Box 45" hidden="1">
              <a:extLst>
                <a:ext uri="{63B3BB69-23CF-44E3-9099-C40C66FF867C}">
                  <a14:compatExt spid="_x0000_s39981"/>
                </a:ext>
                <a:ext uri="{FF2B5EF4-FFF2-40B4-BE49-F238E27FC236}">
                  <a16:creationId xmlns:a16="http://schemas.microsoft.com/office/drawing/2014/main" id="{00000000-0008-0000-0100-00002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15875</xdr:colOff>
      <xdr:row>64</xdr:row>
      <xdr:rowOff>23812</xdr:rowOff>
    </xdr:from>
    <xdr:to>
      <xdr:col>9</xdr:col>
      <xdr:colOff>230188</xdr:colOff>
      <xdr:row>64</xdr:row>
      <xdr:rowOff>214312</xdr:rowOff>
    </xdr:to>
    <xdr:sp macro="" textlink="">
      <xdr:nvSpPr>
        <xdr:cNvPr id="2" name="Arrow: Down 1">
          <a:extLst>
            <a:ext uri="{FF2B5EF4-FFF2-40B4-BE49-F238E27FC236}">
              <a16:creationId xmlns:a16="http://schemas.microsoft.com/office/drawing/2014/main" id="{00000000-0008-0000-0100-000002000000}"/>
            </a:ext>
          </a:extLst>
        </xdr:cNvPr>
        <xdr:cNvSpPr/>
      </xdr:nvSpPr>
      <xdr:spPr bwMode="auto">
        <a:xfrm>
          <a:off x="3095625" y="1731168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9</xdr:col>
      <xdr:colOff>31751</xdr:colOff>
      <xdr:row>59</xdr:row>
      <xdr:rowOff>23812</xdr:rowOff>
    </xdr:from>
    <xdr:to>
      <xdr:col>9</xdr:col>
      <xdr:colOff>246064</xdr:colOff>
      <xdr:row>59</xdr:row>
      <xdr:rowOff>214312</xdr:rowOff>
    </xdr:to>
    <xdr:sp macro="" textlink="">
      <xdr:nvSpPr>
        <xdr:cNvPr id="8" name="Arrow: Down 7">
          <a:extLst>
            <a:ext uri="{FF2B5EF4-FFF2-40B4-BE49-F238E27FC236}">
              <a16:creationId xmlns:a16="http://schemas.microsoft.com/office/drawing/2014/main" id="{00000000-0008-0000-0100-000008000000}"/>
            </a:ext>
          </a:extLst>
        </xdr:cNvPr>
        <xdr:cNvSpPr/>
      </xdr:nvSpPr>
      <xdr:spPr bwMode="auto">
        <a:xfrm>
          <a:off x="3111501" y="16160750"/>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43657</xdr:colOff>
      <xdr:row>56</xdr:row>
      <xdr:rowOff>3969</xdr:rowOff>
    </xdr:from>
    <xdr:to>
      <xdr:col>10</xdr:col>
      <xdr:colOff>234157</xdr:colOff>
      <xdr:row>56</xdr:row>
      <xdr:rowOff>218282</xdr:rowOff>
    </xdr:to>
    <xdr:sp macro="" textlink="">
      <xdr:nvSpPr>
        <xdr:cNvPr id="9" name="Arrow: Down 8">
          <a:extLst>
            <a:ext uri="{FF2B5EF4-FFF2-40B4-BE49-F238E27FC236}">
              <a16:creationId xmlns:a16="http://schemas.microsoft.com/office/drawing/2014/main" id="{00000000-0008-0000-0100-000009000000}"/>
            </a:ext>
          </a:extLst>
        </xdr:cNvPr>
        <xdr:cNvSpPr/>
      </xdr:nvSpPr>
      <xdr:spPr bwMode="auto">
        <a:xfrm rot="5400000">
          <a:off x="3381375" y="15462251"/>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15</xdr:col>
          <xdr:colOff>0</xdr:colOff>
          <xdr:row>25</xdr:row>
          <xdr:rowOff>0</xdr:rowOff>
        </xdr:to>
        <xdr:grpSp>
          <xdr:nvGrpSpPr>
            <xdr:cNvPr id="38382" name="Group 26">
              <a:extLst>
                <a:ext uri="{FF2B5EF4-FFF2-40B4-BE49-F238E27FC236}">
                  <a16:creationId xmlns:a16="http://schemas.microsoft.com/office/drawing/2014/main" id="{00000000-0008-0000-0B00-0000EE950000}"/>
                </a:ext>
              </a:extLst>
            </xdr:cNvPr>
            <xdr:cNvGrpSpPr>
              <a:grpSpLocks/>
            </xdr:cNvGrpSpPr>
          </xdr:nvGrpSpPr>
          <xdr:grpSpPr bwMode="auto">
            <a:xfrm>
              <a:off x="95250" y="6492875"/>
              <a:ext cx="5524500" cy="984250"/>
              <a:chOff x="10" y="663"/>
              <a:chExt cx="579" cy="104"/>
            </a:xfrm>
          </xdr:grpSpPr>
          <xdr:sp macro="" textlink="">
            <xdr:nvSpPr>
              <xdr:cNvPr id="37890" name="Group Box 2" hidden="1">
                <a:extLst>
                  <a:ext uri="{63B3BB69-23CF-44E3-9099-C40C66FF867C}">
                    <a14:compatExt spid="_x0000_s37890"/>
                  </a:ext>
                  <a:ext uri="{FF2B5EF4-FFF2-40B4-BE49-F238E27FC236}">
                    <a16:creationId xmlns:a16="http://schemas.microsoft.com/office/drawing/2014/main" id="{00000000-0008-0000-0B00-000002940000}"/>
                  </a:ext>
                </a:extLst>
              </xdr:cNvPr>
              <xdr:cNvSpPr/>
            </xdr:nvSpPr>
            <xdr:spPr bwMode="auto">
              <a:xfrm>
                <a:off x="10" y="663"/>
                <a:ext cx="579" cy="26"/>
              </a:xfrm>
              <a:prstGeom prst="rect">
                <a:avLst/>
              </a:prstGeom>
              <a:noFill/>
              <a:ln w="9525">
                <a:miter lim="800000"/>
                <a:headEnd/>
                <a:tailEnd/>
              </a:ln>
              <a:extLst>
                <a:ext uri="{909E8E84-426E-40DD-AFC4-6F175D3DCCD1}">
                  <a14:hiddenFill>
                    <a:noFill/>
                  </a14:hiddenFill>
                </a:ext>
              </a:extLst>
            </xdr:spPr>
          </xdr:sp>
          <xdr:sp macro="" textlink="">
            <xdr:nvSpPr>
              <xdr:cNvPr id="37891" name="Option Button 3" hidden="1">
                <a:extLst>
                  <a:ext uri="{63B3BB69-23CF-44E3-9099-C40C66FF867C}">
                    <a14:compatExt spid="_x0000_s37891"/>
                  </a:ext>
                  <a:ext uri="{FF2B5EF4-FFF2-40B4-BE49-F238E27FC236}">
                    <a16:creationId xmlns:a16="http://schemas.microsoft.com/office/drawing/2014/main" id="{00000000-0008-0000-0B00-000003940000}"/>
                  </a:ext>
                </a:extLst>
              </xdr:cNvPr>
              <xdr:cNvSpPr/>
            </xdr:nvSpPr>
            <xdr:spPr bwMode="auto">
              <a:xfrm>
                <a:off x="13" y="664"/>
                <a:ext cx="14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Clavicle: Total resection</a:t>
                </a:r>
              </a:p>
            </xdr:txBody>
          </xdr:sp>
          <xdr:sp macro="" textlink="">
            <xdr:nvSpPr>
              <xdr:cNvPr id="37892" name="Option Button 4" hidden="1">
                <a:extLst>
                  <a:ext uri="{63B3BB69-23CF-44E3-9099-C40C66FF867C}">
                    <a14:compatExt spid="_x0000_s37892"/>
                  </a:ext>
                  <a:ext uri="{FF2B5EF4-FFF2-40B4-BE49-F238E27FC236}">
                    <a16:creationId xmlns:a16="http://schemas.microsoft.com/office/drawing/2014/main" id="{00000000-0008-0000-0B00-000004940000}"/>
                  </a:ext>
                </a:extLst>
              </xdr:cNvPr>
              <xdr:cNvSpPr/>
            </xdr:nvSpPr>
            <xdr:spPr bwMode="auto">
              <a:xfrm>
                <a:off x="192" y="664"/>
                <a:ext cx="1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Clavicle: Partial resection</a:t>
                </a:r>
              </a:p>
            </xdr:txBody>
          </xdr:sp>
          <xdr:sp macro="" textlink="">
            <xdr:nvSpPr>
              <xdr:cNvPr id="37893" name="Option Button 5" hidden="1">
                <a:extLst>
                  <a:ext uri="{63B3BB69-23CF-44E3-9099-C40C66FF867C}">
                    <a14:compatExt spid="_x0000_s37893"/>
                  </a:ext>
                  <a:ext uri="{FF2B5EF4-FFF2-40B4-BE49-F238E27FC236}">
                    <a16:creationId xmlns:a16="http://schemas.microsoft.com/office/drawing/2014/main" id="{00000000-0008-0000-0B00-000005940000}"/>
                  </a:ext>
                </a:extLst>
              </xdr:cNvPr>
              <xdr:cNvSpPr/>
            </xdr:nvSpPr>
            <xdr:spPr bwMode="auto">
              <a:xfrm>
                <a:off x="373" y="664"/>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894" name="Group Box 6" hidden="1">
                <a:extLst>
                  <a:ext uri="{63B3BB69-23CF-44E3-9099-C40C66FF867C}">
                    <a14:compatExt spid="_x0000_s37894"/>
                  </a:ext>
                  <a:ext uri="{FF2B5EF4-FFF2-40B4-BE49-F238E27FC236}">
                    <a16:creationId xmlns:a16="http://schemas.microsoft.com/office/drawing/2014/main" id="{00000000-0008-0000-0B00-000006940000}"/>
                  </a:ext>
                </a:extLst>
              </xdr:cNvPr>
              <xdr:cNvSpPr/>
            </xdr:nvSpPr>
            <xdr:spPr bwMode="auto">
              <a:xfrm>
                <a:off x="10" y="689"/>
                <a:ext cx="579" cy="26"/>
              </a:xfrm>
              <a:prstGeom prst="rect">
                <a:avLst/>
              </a:prstGeom>
              <a:noFill/>
              <a:ln w="9525">
                <a:miter lim="800000"/>
                <a:headEnd/>
                <a:tailEnd/>
              </a:ln>
              <a:extLst>
                <a:ext uri="{909E8E84-426E-40DD-AFC4-6F175D3DCCD1}">
                  <a14:hiddenFill>
                    <a:noFill/>
                  </a14:hiddenFill>
                </a:ext>
              </a:extLst>
            </xdr:spPr>
          </xdr:sp>
          <xdr:sp macro="" textlink="">
            <xdr:nvSpPr>
              <xdr:cNvPr id="37895" name="Option Button 7" hidden="1">
                <a:extLst>
                  <a:ext uri="{63B3BB69-23CF-44E3-9099-C40C66FF867C}">
                    <a14:compatExt spid="_x0000_s37895"/>
                  </a:ext>
                  <a:ext uri="{FF2B5EF4-FFF2-40B4-BE49-F238E27FC236}">
                    <a16:creationId xmlns:a16="http://schemas.microsoft.com/office/drawing/2014/main" id="{00000000-0008-0000-0B00-000007940000}"/>
                  </a:ext>
                </a:extLst>
              </xdr:cNvPr>
              <xdr:cNvSpPr/>
            </xdr:nvSpPr>
            <xdr:spPr bwMode="auto">
              <a:xfrm>
                <a:off x="13" y="690"/>
                <a:ext cx="1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Acromion: Partial resection</a:t>
                </a:r>
              </a:p>
            </xdr:txBody>
          </xdr:sp>
          <xdr:sp macro="" textlink="">
            <xdr:nvSpPr>
              <xdr:cNvPr id="37896" name="Option Button 8" hidden="1">
                <a:extLst>
                  <a:ext uri="{63B3BB69-23CF-44E3-9099-C40C66FF867C}">
                    <a14:compatExt spid="_x0000_s37896"/>
                  </a:ext>
                  <a:ext uri="{FF2B5EF4-FFF2-40B4-BE49-F238E27FC236}">
                    <a16:creationId xmlns:a16="http://schemas.microsoft.com/office/drawing/2014/main" id="{00000000-0008-0000-0B00-000008940000}"/>
                  </a:ext>
                </a:extLst>
              </xdr:cNvPr>
              <xdr:cNvSpPr/>
            </xdr:nvSpPr>
            <xdr:spPr bwMode="auto">
              <a:xfrm>
                <a:off x="373" y="690"/>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897" name="Group Box 9" hidden="1">
                <a:extLst>
                  <a:ext uri="{63B3BB69-23CF-44E3-9099-C40C66FF867C}">
                    <a14:compatExt spid="_x0000_s37897"/>
                  </a:ext>
                  <a:ext uri="{FF2B5EF4-FFF2-40B4-BE49-F238E27FC236}">
                    <a16:creationId xmlns:a16="http://schemas.microsoft.com/office/drawing/2014/main" id="{00000000-0008-0000-0B00-000009940000}"/>
                  </a:ext>
                </a:extLst>
              </xdr:cNvPr>
              <xdr:cNvSpPr/>
            </xdr:nvSpPr>
            <xdr:spPr bwMode="auto">
              <a:xfrm>
                <a:off x="10" y="715"/>
                <a:ext cx="579" cy="26"/>
              </a:xfrm>
              <a:prstGeom prst="rect">
                <a:avLst/>
              </a:prstGeom>
              <a:noFill/>
              <a:ln w="9525">
                <a:miter lim="800000"/>
                <a:headEnd/>
                <a:tailEnd/>
              </a:ln>
              <a:extLst>
                <a:ext uri="{909E8E84-426E-40DD-AFC4-6F175D3DCCD1}">
                  <a14:hiddenFill>
                    <a:noFill/>
                  </a14:hiddenFill>
                </a:ext>
              </a:extLst>
            </xdr:spPr>
          </xdr:sp>
          <xdr:sp macro="" textlink="">
            <xdr:nvSpPr>
              <xdr:cNvPr id="37898" name="Option Button 10" hidden="1">
                <a:extLst>
                  <a:ext uri="{63B3BB69-23CF-44E3-9099-C40C66FF867C}">
                    <a14:compatExt spid="_x0000_s37898"/>
                  </a:ext>
                  <a:ext uri="{FF2B5EF4-FFF2-40B4-BE49-F238E27FC236}">
                    <a16:creationId xmlns:a16="http://schemas.microsoft.com/office/drawing/2014/main" id="{00000000-0008-0000-0B00-00000A940000}"/>
                  </a:ext>
                </a:extLst>
              </xdr:cNvPr>
              <xdr:cNvSpPr/>
            </xdr:nvSpPr>
            <xdr:spPr bwMode="auto">
              <a:xfrm>
                <a:off x="13" y="71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Total shoulder arthroplasty</a:t>
                </a:r>
              </a:p>
            </xdr:txBody>
          </xdr:sp>
          <xdr:sp macro="" textlink="">
            <xdr:nvSpPr>
              <xdr:cNvPr id="37899" name="Option Button 11" hidden="1">
                <a:extLst>
                  <a:ext uri="{63B3BB69-23CF-44E3-9099-C40C66FF867C}">
                    <a14:compatExt spid="_x0000_s37899"/>
                  </a:ext>
                  <a:ext uri="{FF2B5EF4-FFF2-40B4-BE49-F238E27FC236}">
                    <a16:creationId xmlns:a16="http://schemas.microsoft.com/office/drawing/2014/main" id="{00000000-0008-0000-0B00-00000B940000}"/>
                  </a:ext>
                </a:extLst>
              </xdr:cNvPr>
              <xdr:cNvSpPr/>
            </xdr:nvSpPr>
            <xdr:spPr bwMode="auto">
              <a:xfrm>
                <a:off x="373" y="716"/>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900" name="Group Box 12" hidden="1">
                <a:extLst>
                  <a:ext uri="{63B3BB69-23CF-44E3-9099-C40C66FF867C}">
                    <a14:compatExt spid="_x0000_s37900"/>
                  </a:ext>
                  <a:ext uri="{FF2B5EF4-FFF2-40B4-BE49-F238E27FC236}">
                    <a16:creationId xmlns:a16="http://schemas.microsoft.com/office/drawing/2014/main" id="{00000000-0008-0000-0B00-00000C940000}"/>
                  </a:ext>
                </a:extLst>
              </xdr:cNvPr>
              <xdr:cNvSpPr/>
            </xdr:nvSpPr>
            <xdr:spPr bwMode="auto">
              <a:xfrm>
                <a:off x="10" y="741"/>
                <a:ext cx="579" cy="26"/>
              </a:xfrm>
              <a:prstGeom prst="rect">
                <a:avLst/>
              </a:prstGeom>
              <a:noFill/>
              <a:ln w="9525">
                <a:miter lim="800000"/>
                <a:headEnd/>
                <a:tailEnd/>
              </a:ln>
              <a:extLst>
                <a:ext uri="{909E8E84-426E-40DD-AFC4-6F175D3DCCD1}">
                  <a14:hiddenFill>
                    <a:noFill/>
                  </a14:hiddenFill>
                </a:ext>
              </a:extLst>
            </xdr:spPr>
          </xdr:sp>
          <xdr:sp macro="" textlink="">
            <xdr:nvSpPr>
              <xdr:cNvPr id="37901" name="Option Button 13" hidden="1">
                <a:extLst>
                  <a:ext uri="{63B3BB69-23CF-44E3-9099-C40C66FF867C}">
                    <a14:compatExt spid="_x0000_s37901"/>
                  </a:ext>
                  <a:ext uri="{FF2B5EF4-FFF2-40B4-BE49-F238E27FC236}">
                    <a16:creationId xmlns:a16="http://schemas.microsoft.com/office/drawing/2014/main" id="{00000000-0008-0000-0B00-00000D940000}"/>
                  </a:ext>
                </a:extLst>
              </xdr:cNvPr>
              <xdr:cNvSpPr/>
            </xdr:nvSpPr>
            <xdr:spPr bwMode="auto">
              <a:xfrm>
                <a:off x="13" y="742"/>
                <a:ext cx="192"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Repeat total shoulder arthroplasty</a:t>
                </a:r>
              </a:p>
            </xdr:txBody>
          </xdr:sp>
          <xdr:sp macro="" textlink="">
            <xdr:nvSpPr>
              <xdr:cNvPr id="37902" name="Option Button 14" hidden="1">
                <a:extLst>
                  <a:ext uri="{63B3BB69-23CF-44E3-9099-C40C66FF867C}">
                    <a14:compatExt spid="_x0000_s37902"/>
                  </a:ext>
                  <a:ext uri="{FF2B5EF4-FFF2-40B4-BE49-F238E27FC236}">
                    <a16:creationId xmlns:a16="http://schemas.microsoft.com/office/drawing/2014/main" id="{00000000-0008-0000-0B00-00000E940000}"/>
                  </a:ext>
                </a:extLst>
              </xdr:cNvPr>
              <xdr:cNvSpPr/>
            </xdr:nvSpPr>
            <xdr:spPr bwMode="auto">
              <a:xfrm>
                <a:off x="373" y="742"/>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9525</xdr:rowOff>
        </xdr:from>
        <xdr:to>
          <xdr:col>4</xdr:col>
          <xdr:colOff>152400</xdr:colOff>
          <xdr:row>31</xdr:row>
          <xdr:rowOff>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B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Chronic dislocations of the shoulder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0</xdr:rowOff>
        </xdr:from>
        <xdr:to>
          <xdr:col>4</xdr:col>
          <xdr:colOff>47625</xdr:colOff>
          <xdr:row>31</xdr:row>
          <xdr:rowOff>247650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B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Diastasis of the sternal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87</xdr:row>
          <xdr:rowOff>9525</xdr:rowOff>
        </xdr:from>
        <xdr:to>
          <xdr:col>15</xdr:col>
          <xdr:colOff>9525</xdr:colOff>
          <xdr:row>88</xdr:row>
          <xdr:rowOff>0</xdr:rowOff>
        </xdr:to>
        <xdr:sp macro="" textlink="">
          <xdr:nvSpPr>
            <xdr:cNvPr id="37905" name="Group Box 17" hidden="1">
              <a:extLst>
                <a:ext uri="{63B3BB69-23CF-44E3-9099-C40C66FF867C}">
                  <a14:compatExt spid="_x0000_s37905"/>
                </a:ext>
                <a:ext uri="{FF2B5EF4-FFF2-40B4-BE49-F238E27FC236}">
                  <a16:creationId xmlns:a16="http://schemas.microsoft.com/office/drawing/2014/main" id="{00000000-0008-0000-0B00-000011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87</xdr:row>
          <xdr:rowOff>9525</xdr:rowOff>
        </xdr:from>
        <xdr:to>
          <xdr:col>12</xdr:col>
          <xdr:colOff>285750</xdr:colOff>
          <xdr:row>87</xdr:row>
          <xdr:rowOff>228600</xdr:rowOff>
        </xdr:to>
        <xdr:sp macro="" textlink="">
          <xdr:nvSpPr>
            <xdr:cNvPr id="37906" name="Option Button 18" hidden="1">
              <a:extLst>
                <a:ext uri="{63B3BB69-23CF-44E3-9099-C40C66FF867C}">
                  <a14:compatExt spid="_x0000_s37906"/>
                </a:ext>
                <a:ext uri="{FF2B5EF4-FFF2-40B4-BE49-F238E27FC236}">
                  <a16:creationId xmlns:a16="http://schemas.microsoft.com/office/drawing/2014/main" id="{00000000-0008-0000-0B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87</xdr:row>
          <xdr:rowOff>9525</xdr:rowOff>
        </xdr:from>
        <xdr:to>
          <xdr:col>14</xdr:col>
          <xdr:colOff>638175</xdr:colOff>
          <xdr:row>87</xdr:row>
          <xdr:rowOff>228600</xdr:rowOff>
        </xdr:to>
        <xdr:sp macro="" textlink="">
          <xdr:nvSpPr>
            <xdr:cNvPr id="37907" name="Option Button 19" hidden="1">
              <a:extLst>
                <a:ext uri="{63B3BB69-23CF-44E3-9099-C40C66FF867C}">
                  <a14:compatExt spid="_x0000_s37907"/>
                </a:ext>
                <a:ext uri="{FF2B5EF4-FFF2-40B4-BE49-F238E27FC236}">
                  <a16:creationId xmlns:a16="http://schemas.microsoft.com/office/drawing/2014/main" id="{00000000-0008-0000-0B00-00001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grpSp>
          <xdr:nvGrpSpPr>
            <xdr:cNvPr id="86303" name="Group 18">
              <a:extLst>
                <a:ext uri="{FF2B5EF4-FFF2-40B4-BE49-F238E27FC236}">
                  <a16:creationId xmlns:a16="http://schemas.microsoft.com/office/drawing/2014/main" id="{00000000-0008-0000-0C00-00001F510100}"/>
                </a:ext>
              </a:extLst>
            </xdr:cNvPr>
            <xdr:cNvGrpSpPr>
              <a:grpSpLocks/>
            </xdr:cNvGrpSpPr>
          </xdr:nvGrpSpPr>
          <xdr:grpSpPr bwMode="auto">
            <a:xfrm>
              <a:off x="3905250" y="8834438"/>
              <a:ext cx="1658938" cy="254000"/>
              <a:chOff x="404" y="941"/>
              <a:chExt cx="174" cy="27"/>
            </a:xfrm>
          </xdr:grpSpPr>
          <xdr:sp macro="" textlink="">
            <xdr:nvSpPr>
              <xdr:cNvPr id="38916" name="Group Box 4" hidden="1">
                <a:extLst>
                  <a:ext uri="{63B3BB69-23CF-44E3-9099-C40C66FF867C}">
                    <a14:compatExt spid="_x0000_s38916"/>
                  </a:ext>
                  <a:ext uri="{FF2B5EF4-FFF2-40B4-BE49-F238E27FC236}">
                    <a16:creationId xmlns:a16="http://schemas.microsoft.com/office/drawing/2014/main" id="{00000000-0008-0000-0C00-000004980000}"/>
                  </a:ext>
                </a:extLst>
              </xdr:cNvPr>
              <xdr:cNvSpPr/>
            </xdr:nvSpPr>
            <xdr:spPr bwMode="auto">
              <a:xfrm>
                <a:off x="404" y="941"/>
                <a:ext cx="174" cy="27"/>
              </a:xfrm>
              <a:prstGeom prst="rect">
                <a:avLst/>
              </a:prstGeom>
              <a:noFill/>
              <a:ln w="9525">
                <a:miter lim="800000"/>
                <a:headEnd/>
                <a:tailEnd/>
              </a:ln>
              <a:extLst>
                <a:ext uri="{909E8E84-426E-40DD-AFC4-6F175D3DCCD1}">
                  <a14:hiddenFill>
                    <a:noFill/>
                  </a14:hiddenFill>
                </a:ext>
              </a:extLst>
            </xdr:spPr>
          </xdr:sp>
          <xdr:sp macro="" textlink="">
            <xdr:nvSpPr>
              <xdr:cNvPr id="38917" name="Option Button 5" hidden="1">
                <a:extLst>
                  <a:ext uri="{63B3BB69-23CF-44E3-9099-C40C66FF867C}">
                    <a14:compatExt spid="_x0000_s38917"/>
                  </a:ext>
                  <a:ext uri="{FF2B5EF4-FFF2-40B4-BE49-F238E27FC236}">
                    <a16:creationId xmlns:a16="http://schemas.microsoft.com/office/drawing/2014/main" id="{00000000-0008-0000-0C00-000005980000}"/>
                  </a:ext>
                </a:extLst>
              </xdr:cNvPr>
              <xdr:cNvSpPr/>
            </xdr:nvSpPr>
            <xdr:spPr bwMode="auto">
              <a:xfrm>
                <a:off x="412" y="942"/>
                <a:ext cx="75"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sp macro="" textlink="">
            <xdr:nvSpPr>
              <xdr:cNvPr id="38918" name="Option Button 6" hidden="1">
                <a:extLst>
                  <a:ext uri="{63B3BB69-23CF-44E3-9099-C40C66FF867C}">
                    <a14:compatExt spid="_x0000_s38918"/>
                  </a:ext>
                  <a:ext uri="{FF2B5EF4-FFF2-40B4-BE49-F238E27FC236}">
                    <a16:creationId xmlns:a16="http://schemas.microsoft.com/office/drawing/2014/main" id="{00000000-0008-0000-0C00-000006980000}"/>
                  </a:ext>
                </a:extLst>
              </xdr:cNvPr>
              <xdr:cNvSpPr/>
            </xdr:nvSpPr>
            <xdr:spPr bwMode="auto">
              <a:xfrm>
                <a:off x="495" y="942"/>
                <a:ext cx="80"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274637</xdr:colOff>
          <xdr:row>23</xdr:row>
          <xdr:rowOff>4762</xdr:rowOff>
        </xdr:from>
        <xdr:to>
          <xdr:col>9</xdr:col>
          <xdr:colOff>363537</xdr:colOff>
          <xdr:row>25</xdr:row>
          <xdr:rowOff>9525</xdr:rowOff>
        </xdr:to>
        <xdr:grpSp>
          <xdr:nvGrpSpPr>
            <xdr:cNvPr id="86304" name="Group 17">
              <a:extLst>
                <a:ext uri="{FF2B5EF4-FFF2-40B4-BE49-F238E27FC236}">
                  <a16:creationId xmlns:a16="http://schemas.microsoft.com/office/drawing/2014/main" id="{00000000-0008-0000-0C00-000020510100}"/>
                </a:ext>
              </a:extLst>
            </xdr:cNvPr>
            <xdr:cNvGrpSpPr>
              <a:grpSpLocks/>
            </xdr:cNvGrpSpPr>
          </xdr:nvGrpSpPr>
          <xdr:grpSpPr bwMode="auto">
            <a:xfrm>
              <a:off x="2219325" y="7370762"/>
              <a:ext cx="1676400" cy="504826"/>
              <a:chOff x="228" y="769"/>
              <a:chExt cx="176" cy="55"/>
            </a:xfrm>
          </xdr:grpSpPr>
          <xdr:sp macro="" textlink="">
            <xdr:nvSpPr>
              <xdr:cNvPr id="38921" name="Group Box 9" hidden="1">
                <a:extLst>
                  <a:ext uri="{63B3BB69-23CF-44E3-9099-C40C66FF867C}">
                    <a14:compatExt spid="_x0000_s38921"/>
                  </a:ext>
                  <a:ext uri="{FF2B5EF4-FFF2-40B4-BE49-F238E27FC236}">
                    <a16:creationId xmlns:a16="http://schemas.microsoft.com/office/drawing/2014/main" id="{00000000-0008-0000-0C00-000009980000}"/>
                  </a:ext>
                </a:extLst>
              </xdr:cNvPr>
              <xdr:cNvSpPr/>
            </xdr:nvSpPr>
            <xdr:spPr bwMode="auto">
              <a:xfrm>
                <a:off x="228" y="769"/>
                <a:ext cx="176" cy="28"/>
              </a:xfrm>
              <a:prstGeom prst="rect">
                <a:avLst/>
              </a:prstGeom>
              <a:noFill/>
              <a:ln w="9525">
                <a:miter lim="800000"/>
                <a:headEnd/>
                <a:tailEnd/>
              </a:ln>
              <a:extLst>
                <a:ext uri="{909E8E84-426E-40DD-AFC4-6F175D3DCCD1}">
                  <a14:hiddenFill>
                    <a:noFill/>
                  </a14:hiddenFill>
                </a:ext>
              </a:extLst>
            </xdr:spPr>
          </xdr:sp>
          <xdr:sp macro="" textlink="">
            <xdr:nvSpPr>
              <xdr:cNvPr id="38923" name="Option Button 11" hidden="1">
                <a:extLst>
                  <a:ext uri="{63B3BB69-23CF-44E3-9099-C40C66FF867C}">
                    <a14:compatExt spid="_x0000_s38923"/>
                  </a:ext>
                  <a:ext uri="{FF2B5EF4-FFF2-40B4-BE49-F238E27FC236}">
                    <a16:creationId xmlns:a16="http://schemas.microsoft.com/office/drawing/2014/main" id="{00000000-0008-0000-0C00-00000B980000}"/>
                  </a:ext>
                </a:extLst>
              </xdr:cNvPr>
              <xdr:cNvSpPr/>
            </xdr:nvSpPr>
            <xdr:spPr bwMode="auto">
              <a:xfrm>
                <a:off x="241" y="771"/>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38924" name="Option Button 12" hidden="1">
                <a:extLst>
                  <a:ext uri="{63B3BB69-23CF-44E3-9099-C40C66FF867C}">
                    <a14:compatExt spid="_x0000_s38924"/>
                  </a:ext>
                  <a:ext uri="{FF2B5EF4-FFF2-40B4-BE49-F238E27FC236}">
                    <a16:creationId xmlns:a16="http://schemas.microsoft.com/office/drawing/2014/main" id="{00000000-0008-0000-0C00-00000C980000}"/>
                  </a:ext>
                </a:extLst>
              </xdr:cNvPr>
              <xdr:cNvSpPr/>
            </xdr:nvSpPr>
            <xdr:spPr bwMode="auto">
              <a:xfrm>
                <a:off x="329" y="770"/>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nvGrpSpPr>
              <xdr:cNvPr id="86305" name="Group 16">
                <a:extLst>
                  <a:ext uri="{FF2B5EF4-FFF2-40B4-BE49-F238E27FC236}">
                    <a16:creationId xmlns:a16="http://schemas.microsoft.com/office/drawing/2014/main" id="{00000000-0008-0000-0C00-000021510100}"/>
                  </a:ext>
                </a:extLst>
              </xdr:cNvPr>
              <xdr:cNvGrpSpPr>
                <a:grpSpLocks/>
              </xdr:cNvGrpSpPr>
            </xdr:nvGrpSpPr>
            <xdr:grpSpPr bwMode="auto">
              <a:xfrm>
                <a:off x="228" y="797"/>
                <a:ext cx="176" cy="27"/>
                <a:chOff x="228" y="797"/>
                <a:chExt cx="176" cy="27"/>
              </a:xfrm>
            </xdr:grpSpPr>
            <xdr:sp macro="" textlink="">
              <xdr:nvSpPr>
                <xdr:cNvPr id="38922" name="Group Box 10" hidden="1">
                  <a:extLst>
                    <a:ext uri="{63B3BB69-23CF-44E3-9099-C40C66FF867C}">
                      <a14:compatExt spid="_x0000_s38922"/>
                    </a:ext>
                    <a:ext uri="{FF2B5EF4-FFF2-40B4-BE49-F238E27FC236}">
                      <a16:creationId xmlns:a16="http://schemas.microsoft.com/office/drawing/2014/main" id="{00000000-0008-0000-0C00-00000A980000}"/>
                    </a:ext>
                  </a:extLst>
                </xdr:cNvPr>
                <xdr:cNvSpPr/>
              </xdr:nvSpPr>
              <xdr:spPr bwMode="auto">
                <a:xfrm>
                  <a:off x="228" y="797"/>
                  <a:ext cx="176" cy="27"/>
                </a:xfrm>
                <a:prstGeom prst="rect">
                  <a:avLst/>
                </a:prstGeom>
                <a:noFill/>
                <a:ln w="9525">
                  <a:miter lim="800000"/>
                  <a:headEnd/>
                  <a:tailEnd/>
                </a:ln>
                <a:extLst>
                  <a:ext uri="{909E8E84-426E-40DD-AFC4-6F175D3DCCD1}">
                    <a14:hiddenFill>
                      <a:noFill/>
                    </a14:hiddenFill>
                  </a:ext>
                </a:extLst>
              </xdr:spPr>
            </xdr:sp>
            <xdr:sp macro="" textlink="">
              <xdr:nvSpPr>
                <xdr:cNvPr id="38925" name="Option Button 13" hidden="1">
                  <a:extLst>
                    <a:ext uri="{63B3BB69-23CF-44E3-9099-C40C66FF867C}">
                      <a14:compatExt spid="_x0000_s38925"/>
                    </a:ext>
                    <a:ext uri="{FF2B5EF4-FFF2-40B4-BE49-F238E27FC236}">
                      <a16:creationId xmlns:a16="http://schemas.microsoft.com/office/drawing/2014/main" id="{00000000-0008-0000-0C00-00000D980000}"/>
                    </a:ext>
                  </a:extLst>
                </xdr:cNvPr>
                <xdr:cNvSpPr/>
              </xdr:nvSpPr>
              <xdr:spPr bwMode="auto">
                <a:xfrm>
                  <a:off x="241" y="799"/>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38926" name="Option Button 14" hidden="1">
                  <a:extLst>
                    <a:ext uri="{63B3BB69-23CF-44E3-9099-C40C66FF867C}">
                      <a14:compatExt spid="_x0000_s38926"/>
                    </a:ext>
                    <a:ext uri="{FF2B5EF4-FFF2-40B4-BE49-F238E27FC236}">
                      <a16:creationId xmlns:a16="http://schemas.microsoft.com/office/drawing/2014/main" id="{00000000-0008-0000-0C00-00000E980000}"/>
                    </a:ext>
                  </a:extLst>
                </xdr:cNvPr>
                <xdr:cNvSpPr/>
              </xdr:nvSpPr>
              <xdr:spPr bwMode="auto">
                <a:xfrm>
                  <a:off x="329" y="798"/>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grpSp>
          <xdr:nvGrpSpPr>
            <xdr:cNvPr id="87320" name="Group 14">
              <a:extLst>
                <a:ext uri="{FF2B5EF4-FFF2-40B4-BE49-F238E27FC236}">
                  <a16:creationId xmlns:a16="http://schemas.microsoft.com/office/drawing/2014/main" id="{00000000-0008-0000-0D00-000018550100}"/>
                </a:ext>
              </a:extLst>
            </xdr:cNvPr>
            <xdr:cNvGrpSpPr>
              <a:grpSpLocks/>
            </xdr:cNvGrpSpPr>
          </xdr:nvGrpSpPr>
          <xdr:grpSpPr bwMode="auto">
            <a:xfrm>
              <a:off x="3857625" y="8778875"/>
              <a:ext cx="1658938" cy="254000"/>
              <a:chOff x="404" y="941"/>
              <a:chExt cx="174" cy="27"/>
            </a:xfrm>
          </xdr:grpSpPr>
          <xdr:sp macro="" textlink="">
            <xdr:nvSpPr>
              <xdr:cNvPr id="41987" name="Group Box 3" hidden="1">
                <a:extLst>
                  <a:ext uri="{63B3BB69-23CF-44E3-9099-C40C66FF867C}">
                    <a14:compatExt spid="_x0000_s41987"/>
                  </a:ext>
                  <a:ext uri="{FF2B5EF4-FFF2-40B4-BE49-F238E27FC236}">
                    <a16:creationId xmlns:a16="http://schemas.microsoft.com/office/drawing/2014/main" id="{00000000-0008-0000-0D00-000003A40000}"/>
                  </a:ext>
                </a:extLst>
              </xdr:cNvPr>
              <xdr:cNvSpPr/>
            </xdr:nvSpPr>
            <xdr:spPr bwMode="auto">
              <a:xfrm>
                <a:off x="404" y="941"/>
                <a:ext cx="174" cy="27"/>
              </a:xfrm>
              <a:prstGeom prst="rect">
                <a:avLst/>
              </a:prstGeom>
              <a:noFill/>
              <a:ln w="9525">
                <a:miter lim="800000"/>
                <a:headEnd/>
                <a:tailEnd/>
              </a:ln>
              <a:extLst>
                <a:ext uri="{909E8E84-426E-40DD-AFC4-6F175D3DCCD1}">
                  <a14:hiddenFill>
                    <a:noFill/>
                  </a14:hiddenFill>
                </a:ext>
              </a:extLst>
            </xdr:spPr>
          </xdr:sp>
          <xdr:sp macro="" textlink="">
            <xdr:nvSpPr>
              <xdr:cNvPr id="41988" name="Option Button 4" hidden="1">
                <a:extLst>
                  <a:ext uri="{63B3BB69-23CF-44E3-9099-C40C66FF867C}">
                    <a14:compatExt spid="_x0000_s41988"/>
                  </a:ext>
                  <a:ext uri="{FF2B5EF4-FFF2-40B4-BE49-F238E27FC236}">
                    <a16:creationId xmlns:a16="http://schemas.microsoft.com/office/drawing/2014/main" id="{00000000-0008-0000-0D00-000004A40000}"/>
                  </a:ext>
                </a:extLst>
              </xdr:cNvPr>
              <xdr:cNvSpPr/>
            </xdr:nvSpPr>
            <xdr:spPr bwMode="auto">
              <a:xfrm>
                <a:off x="412" y="942"/>
                <a:ext cx="75"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sp macro="" textlink="">
            <xdr:nvSpPr>
              <xdr:cNvPr id="41989" name="Option Button 5" hidden="1">
                <a:extLst>
                  <a:ext uri="{63B3BB69-23CF-44E3-9099-C40C66FF867C}">
                    <a14:compatExt spid="_x0000_s41989"/>
                  </a:ext>
                  <a:ext uri="{FF2B5EF4-FFF2-40B4-BE49-F238E27FC236}">
                    <a16:creationId xmlns:a16="http://schemas.microsoft.com/office/drawing/2014/main" id="{00000000-0008-0000-0D00-000005A40000}"/>
                  </a:ext>
                </a:extLst>
              </xdr:cNvPr>
              <xdr:cNvSpPr/>
            </xdr:nvSpPr>
            <xdr:spPr bwMode="auto">
              <a:xfrm>
                <a:off x="495" y="942"/>
                <a:ext cx="80"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274637</xdr:colOff>
          <xdr:row>23</xdr:row>
          <xdr:rowOff>0</xdr:rowOff>
        </xdr:from>
        <xdr:to>
          <xdr:col>9</xdr:col>
          <xdr:colOff>363537</xdr:colOff>
          <xdr:row>25</xdr:row>
          <xdr:rowOff>4762</xdr:rowOff>
        </xdr:to>
        <xdr:grpSp>
          <xdr:nvGrpSpPr>
            <xdr:cNvPr id="87321" name="Group 6">
              <a:extLst>
                <a:ext uri="{FF2B5EF4-FFF2-40B4-BE49-F238E27FC236}">
                  <a16:creationId xmlns:a16="http://schemas.microsoft.com/office/drawing/2014/main" id="{00000000-0008-0000-0D00-000019550100}"/>
                </a:ext>
              </a:extLst>
            </xdr:cNvPr>
            <xdr:cNvGrpSpPr>
              <a:grpSpLocks/>
            </xdr:cNvGrpSpPr>
          </xdr:nvGrpSpPr>
          <xdr:grpSpPr bwMode="auto">
            <a:xfrm>
              <a:off x="2171700" y="7318375"/>
              <a:ext cx="1676400" cy="504825"/>
              <a:chOff x="228" y="769"/>
              <a:chExt cx="176" cy="55"/>
            </a:xfrm>
          </xdr:grpSpPr>
          <xdr:sp macro="" textlink="">
            <xdr:nvSpPr>
              <xdr:cNvPr id="41991" name="Group Box 7" hidden="1">
                <a:extLst>
                  <a:ext uri="{63B3BB69-23CF-44E3-9099-C40C66FF867C}">
                    <a14:compatExt spid="_x0000_s41991"/>
                  </a:ext>
                  <a:ext uri="{FF2B5EF4-FFF2-40B4-BE49-F238E27FC236}">
                    <a16:creationId xmlns:a16="http://schemas.microsoft.com/office/drawing/2014/main" id="{00000000-0008-0000-0D00-000007A40000}"/>
                  </a:ext>
                </a:extLst>
              </xdr:cNvPr>
              <xdr:cNvSpPr/>
            </xdr:nvSpPr>
            <xdr:spPr bwMode="auto">
              <a:xfrm>
                <a:off x="228" y="769"/>
                <a:ext cx="176" cy="28"/>
              </a:xfrm>
              <a:prstGeom prst="rect">
                <a:avLst/>
              </a:prstGeom>
              <a:noFill/>
              <a:ln w="9525">
                <a:miter lim="800000"/>
                <a:headEnd/>
                <a:tailEnd/>
              </a:ln>
              <a:extLst>
                <a:ext uri="{909E8E84-426E-40DD-AFC4-6F175D3DCCD1}">
                  <a14:hiddenFill>
                    <a:noFill/>
                  </a14:hiddenFill>
                </a:ext>
              </a:extLst>
            </xdr:spPr>
          </xdr:sp>
          <xdr:sp macro="" textlink="">
            <xdr:nvSpPr>
              <xdr:cNvPr id="41992" name="Option Button 8" hidden="1">
                <a:extLst>
                  <a:ext uri="{63B3BB69-23CF-44E3-9099-C40C66FF867C}">
                    <a14:compatExt spid="_x0000_s41992"/>
                  </a:ext>
                  <a:ext uri="{FF2B5EF4-FFF2-40B4-BE49-F238E27FC236}">
                    <a16:creationId xmlns:a16="http://schemas.microsoft.com/office/drawing/2014/main" id="{00000000-0008-0000-0D00-000008A40000}"/>
                  </a:ext>
                </a:extLst>
              </xdr:cNvPr>
              <xdr:cNvSpPr/>
            </xdr:nvSpPr>
            <xdr:spPr bwMode="auto">
              <a:xfrm>
                <a:off x="241" y="771"/>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1993" name="Option Button 9" hidden="1">
                <a:extLst>
                  <a:ext uri="{63B3BB69-23CF-44E3-9099-C40C66FF867C}">
                    <a14:compatExt spid="_x0000_s41993"/>
                  </a:ext>
                  <a:ext uri="{FF2B5EF4-FFF2-40B4-BE49-F238E27FC236}">
                    <a16:creationId xmlns:a16="http://schemas.microsoft.com/office/drawing/2014/main" id="{00000000-0008-0000-0D00-000009A40000}"/>
                  </a:ext>
                </a:extLst>
              </xdr:cNvPr>
              <xdr:cNvSpPr/>
            </xdr:nvSpPr>
            <xdr:spPr bwMode="auto">
              <a:xfrm>
                <a:off x="329" y="770"/>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nvGrpSpPr>
              <xdr:cNvPr id="87322" name="Group 10">
                <a:extLst>
                  <a:ext uri="{FF2B5EF4-FFF2-40B4-BE49-F238E27FC236}">
                    <a16:creationId xmlns:a16="http://schemas.microsoft.com/office/drawing/2014/main" id="{00000000-0008-0000-0D00-00001A550100}"/>
                  </a:ext>
                </a:extLst>
              </xdr:cNvPr>
              <xdr:cNvGrpSpPr>
                <a:grpSpLocks/>
              </xdr:cNvGrpSpPr>
            </xdr:nvGrpSpPr>
            <xdr:grpSpPr bwMode="auto">
              <a:xfrm>
                <a:off x="228" y="797"/>
                <a:ext cx="176" cy="27"/>
                <a:chOff x="228" y="797"/>
                <a:chExt cx="176" cy="27"/>
              </a:xfrm>
            </xdr:grpSpPr>
            <xdr:sp macro="" textlink="">
              <xdr:nvSpPr>
                <xdr:cNvPr id="41995" name="Group Box 11" hidden="1">
                  <a:extLst>
                    <a:ext uri="{63B3BB69-23CF-44E3-9099-C40C66FF867C}">
                      <a14:compatExt spid="_x0000_s41995"/>
                    </a:ext>
                    <a:ext uri="{FF2B5EF4-FFF2-40B4-BE49-F238E27FC236}">
                      <a16:creationId xmlns:a16="http://schemas.microsoft.com/office/drawing/2014/main" id="{00000000-0008-0000-0D00-00000BA40000}"/>
                    </a:ext>
                  </a:extLst>
                </xdr:cNvPr>
                <xdr:cNvSpPr/>
              </xdr:nvSpPr>
              <xdr:spPr bwMode="auto">
                <a:xfrm>
                  <a:off x="228" y="797"/>
                  <a:ext cx="176" cy="27"/>
                </a:xfrm>
                <a:prstGeom prst="rect">
                  <a:avLst/>
                </a:prstGeom>
                <a:noFill/>
                <a:ln w="9525">
                  <a:miter lim="800000"/>
                  <a:headEnd/>
                  <a:tailEnd/>
                </a:ln>
                <a:extLst>
                  <a:ext uri="{909E8E84-426E-40DD-AFC4-6F175D3DCCD1}">
                    <a14:hiddenFill>
                      <a:noFill/>
                    </a14:hiddenFill>
                  </a:ext>
                </a:extLst>
              </xdr:spPr>
            </xdr:sp>
            <xdr:sp macro="" textlink="">
              <xdr:nvSpPr>
                <xdr:cNvPr id="41996" name="Option Button 12" hidden="1">
                  <a:extLst>
                    <a:ext uri="{63B3BB69-23CF-44E3-9099-C40C66FF867C}">
                      <a14:compatExt spid="_x0000_s41996"/>
                    </a:ext>
                    <a:ext uri="{FF2B5EF4-FFF2-40B4-BE49-F238E27FC236}">
                      <a16:creationId xmlns:a16="http://schemas.microsoft.com/office/drawing/2014/main" id="{00000000-0008-0000-0D00-00000CA40000}"/>
                    </a:ext>
                  </a:extLst>
                </xdr:cNvPr>
                <xdr:cNvSpPr/>
              </xdr:nvSpPr>
              <xdr:spPr bwMode="auto">
                <a:xfrm>
                  <a:off x="241" y="799"/>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1997" name="Option Button 13" hidden="1">
                  <a:extLst>
                    <a:ext uri="{63B3BB69-23CF-44E3-9099-C40C66FF867C}">
                      <a14:compatExt spid="_x0000_s41997"/>
                    </a:ext>
                    <a:ext uri="{FF2B5EF4-FFF2-40B4-BE49-F238E27FC236}">
                      <a16:creationId xmlns:a16="http://schemas.microsoft.com/office/drawing/2014/main" id="{00000000-0008-0000-0D00-00000DA40000}"/>
                    </a:ext>
                  </a:extLst>
                </xdr:cNvPr>
                <xdr:cNvSpPr/>
              </xdr:nvSpPr>
              <xdr:spPr bwMode="auto">
                <a:xfrm>
                  <a:off x="329" y="798"/>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34</xdr:row>
          <xdr:rowOff>0</xdr:rowOff>
        </xdr:from>
        <xdr:to>
          <xdr:col>15</xdr:col>
          <xdr:colOff>0</xdr:colOff>
          <xdr:row>35</xdr:row>
          <xdr:rowOff>0</xdr:rowOff>
        </xdr:to>
        <xdr:sp macro="" textlink="">
          <xdr:nvSpPr>
            <xdr:cNvPr id="40963" name="Group Box 3" hidden="1">
              <a:extLst>
                <a:ext uri="{63B3BB69-23CF-44E3-9099-C40C66FF867C}">
                  <a14:compatExt spid="_x0000_s40963"/>
                </a:ext>
                <a:ext uri="{FF2B5EF4-FFF2-40B4-BE49-F238E27FC236}">
                  <a16:creationId xmlns:a16="http://schemas.microsoft.com/office/drawing/2014/main" id="{00000000-0008-0000-0E00-000003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34</xdr:row>
          <xdr:rowOff>38100</xdr:rowOff>
        </xdr:from>
        <xdr:to>
          <xdr:col>11</xdr:col>
          <xdr:colOff>361950</xdr:colOff>
          <xdr:row>34</xdr:row>
          <xdr:rowOff>257175</xdr:rowOff>
        </xdr:to>
        <xdr:sp macro="" textlink="">
          <xdr:nvSpPr>
            <xdr:cNvPr id="40966" name="Option Button 6" hidden="1">
              <a:extLst>
                <a:ext uri="{63B3BB69-23CF-44E3-9099-C40C66FF867C}">
                  <a14:compatExt spid="_x0000_s40966"/>
                </a:ext>
                <a:ext uri="{FF2B5EF4-FFF2-40B4-BE49-F238E27FC236}">
                  <a16:creationId xmlns:a16="http://schemas.microsoft.com/office/drawing/2014/main" id="{00000000-0008-0000-0E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34</xdr:row>
          <xdr:rowOff>38100</xdr:rowOff>
        </xdr:from>
        <xdr:to>
          <xdr:col>13</xdr:col>
          <xdr:colOff>333375</xdr:colOff>
          <xdr:row>34</xdr:row>
          <xdr:rowOff>257175</xdr:rowOff>
        </xdr:to>
        <xdr:sp macro="" textlink="">
          <xdr:nvSpPr>
            <xdr:cNvPr id="40967" name="Option Button 7" hidden="1">
              <a:extLst>
                <a:ext uri="{63B3BB69-23CF-44E3-9099-C40C66FF867C}">
                  <a14:compatExt spid="_x0000_s40967"/>
                </a:ext>
                <a:ext uri="{FF2B5EF4-FFF2-40B4-BE49-F238E27FC236}">
                  <a16:creationId xmlns:a16="http://schemas.microsoft.com/office/drawing/2014/main" id="{00000000-0008-0000-0E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151</xdr:row>
          <xdr:rowOff>0</xdr:rowOff>
        </xdr:from>
        <xdr:to>
          <xdr:col>15</xdr:col>
          <xdr:colOff>0</xdr:colOff>
          <xdr:row>152</xdr:row>
          <xdr:rowOff>0</xdr:rowOff>
        </xdr:to>
        <xdr:sp macro="" textlink="">
          <xdr:nvSpPr>
            <xdr:cNvPr id="40968" name="Group Box 8" hidden="1">
              <a:extLst>
                <a:ext uri="{63B3BB69-23CF-44E3-9099-C40C66FF867C}">
                  <a14:compatExt spid="_x0000_s40968"/>
                </a:ext>
                <a:ext uri="{FF2B5EF4-FFF2-40B4-BE49-F238E27FC236}">
                  <a16:creationId xmlns:a16="http://schemas.microsoft.com/office/drawing/2014/main" id="{00000000-0008-0000-0E00-000008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151</xdr:row>
          <xdr:rowOff>38100</xdr:rowOff>
        </xdr:from>
        <xdr:to>
          <xdr:col>11</xdr:col>
          <xdr:colOff>361950</xdr:colOff>
          <xdr:row>151</xdr:row>
          <xdr:rowOff>257175</xdr:rowOff>
        </xdr:to>
        <xdr:sp macro="" textlink="">
          <xdr:nvSpPr>
            <xdr:cNvPr id="40969" name="Option Button 9" hidden="1">
              <a:extLst>
                <a:ext uri="{63B3BB69-23CF-44E3-9099-C40C66FF867C}">
                  <a14:compatExt spid="_x0000_s40969"/>
                </a:ext>
                <a:ext uri="{FF2B5EF4-FFF2-40B4-BE49-F238E27FC236}">
                  <a16:creationId xmlns:a16="http://schemas.microsoft.com/office/drawing/2014/main" id="{00000000-0008-0000-0E00-00000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151</xdr:row>
          <xdr:rowOff>38100</xdr:rowOff>
        </xdr:from>
        <xdr:to>
          <xdr:col>13</xdr:col>
          <xdr:colOff>342900</xdr:colOff>
          <xdr:row>151</xdr:row>
          <xdr:rowOff>257175</xdr:rowOff>
        </xdr:to>
        <xdr:sp macro="" textlink="">
          <xdr:nvSpPr>
            <xdr:cNvPr id="40970" name="Option Button 10" hidden="1">
              <a:extLst>
                <a:ext uri="{63B3BB69-23CF-44E3-9099-C40C66FF867C}">
                  <a14:compatExt spid="_x0000_s40970"/>
                </a:ext>
                <a:ext uri="{FF2B5EF4-FFF2-40B4-BE49-F238E27FC236}">
                  <a16:creationId xmlns:a16="http://schemas.microsoft.com/office/drawing/2014/main" id="{00000000-0008-0000-0E00-00000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92</xdr:row>
          <xdr:rowOff>0</xdr:rowOff>
        </xdr:from>
        <xdr:to>
          <xdr:col>15</xdr:col>
          <xdr:colOff>0</xdr:colOff>
          <xdr:row>93</xdr:row>
          <xdr:rowOff>0</xdr:rowOff>
        </xdr:to>
        <xdr:sp macro="" textlink="">
          <xdr:nvSpPr>
            <xdr:cNvPr id="40980" name="Group Box 20" hidden="1">
              <a:extLst>
                <a:ext uri="{63B3BB69-23CF-44E3-9099-C40C66FF867C}">
                  <a14:compatExt spid="_x0000_s40980"/>
                </a:ext>
                <a:ext uri="{FF2B5EF4-FFF2-40B4-BE49-F238E27FC236}">
                  <a16:creationId xmlns:a16="http://schemas.microsoft.com/office/drawing/2014/main" id="{00000000-0008-0000-0E00-000014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92</xdr:row>
          <xdr:rowOff>38100</xdr:rowOff>
        </xdr:from>
        <xdr:to>
          <xdr:col>11</xdr:col>
          <xdr:colOff>361950</xdr:colOff>
          <xdr:row>92</xdr:row>
          <xdr:rowOff>257175</xdr:rowOff>
        </xdr:to>
        <xdr:sp macro="" textlink="">
          <xdr:nvSpPr>
            <xdr:cNvPr id="40981" name="Option Button 21" hidden="1">
              <a:extLst>
                <a:ext uri="{63B3BB69-23CF-44E3-9099-C40C66FF867C}">
                  <a14:compatExt spid="_x0000_s40981"/>
                </a:ext>
                <a:ext uri="{FF2B5EF4-FFF2-40B4-BE49-F238E27FC236}">
                  <a16:creationId xmlns:a16="http://schemas.microsoft.com/office/drawing/2014/main" id="{00000000-0008-0000-0E00-00001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92</xdr:row>
          <xdr:rowOff>38100</xdr:rowOff>
        </xdr:from>
        <xdr:to>
          <xdr:col>13</xdr:col>
          <xdr:colOff>333375</xdr:colOff>
          <xdr:row>92</xdr:row>
          <xdr:rowOff>257175</xdr:rowOff>
        </xdr:to>
        <xdr:sp macro="" textlink="">
          <xdr:nvSpPr>
            <xdr:cNvPr id="40982" name="Option Button 22" hidden="1">
              <a:extLst>
                <a:ext uri="{63B3BB69-23CF-44E3-9099-C40C66FF867C}">
                  <a14:compatExt spid="_x0000_s40982"/>
                </a:ext>
                <a:ext uri="{FF2B5EF4-FFF2-40B4-BE49-F238E27FC236}">
                  <a16:creationId xmlns:a16="http://schemas.microsoft.com/office/drawing/2014/main" id="{00000000-0008-0000-0E00-00001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123825</xdr:colOff>
          <xdr:row>6</xdr:row>
          <xdr:rowOff>219075</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F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123825</xdr:colOff>
          <xdr:row>7</xdr:row>
          <xdr:rowOff>219075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F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123825</xdr:colOff>
          <xdr:row>8</xdr:row>
          <xdr:rowOff>219075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F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123825</xdr:colOff>
          <xdr:row>9</xdr:row>
          <xdr:rowOff>219075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F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123825</xdr:colOff>
          <xdr:row>11</xdr:row>
          <xdr:rowOff>0</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0F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9525</xdr:rowOff>
        </xdr:from>
        <xdr:to>
          <xdr:col>3</xdr:col>
          <xdr:colOff>123825</xdr:colOff>
          <xdr:row>12</xdr:row>
          <xdr:rowOff>0</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0F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9525</xdr:rowOff>
        </xdr:from>
        <xdr:to>
          <xdr:col>3</xdr:col>
          <xdr:colOff>123825</xdr:colOff>
          <xdr:row>13</xdr:row>
          <xdr:rowOff>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0F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xdr:row>
          <xdr:rowOff>9525</xdr:rowOff>
        </xdr:from>
        <xdr:to>
          <xdr:col>3</xdr:col>
          <xdr:colOff>123825</xdr:colOff>
          <xdr:row>16</xdr:row>
          <xdr:rowOff>0</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0F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16</xdr:row>
          <xdr:rowOff>19050</xdr:rowOff>
        </xdr:from>
        <xdr:to>
          <xdr:col>3</xdr:col>
          <xdr:colOff>123825</xdr:colOff>
          <xdr:row>17</xdr:row>
          <xdr:rowOff>19050</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0F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xdr:row>
          <xdr:rowOff>0</xdr:rowOff>
        </xdr:from>
        <xdr:to>
          <xdr:col>3</xdr:col>
          <xdr:colOff>123825</xdr:colOff>
          <xdr:row>13</xdr:row>
          <xdr:rowOff>219075</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0F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1514475</xdr:colOff>
          <xdr:row>14</xdr:row>
          <xdr:rowOff>9525</xdr:rowOff>
        </xdr:from>
        <xdr:to>
          <xdr:col>3</xdr:col>
          <xdr:colOff>123825</xdr:colOff>
          <xdr:row>15</xdr:row>
          <xdr:rowOff>0</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0F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3</xdr:row>
          <xdr:rowOff>19050</xdr:rowOff>
        </xdr:from>
        <xdr:to>
          <xdr:col>1</xdr:col>
          <xdr:colOff>1504950</xdr:colOff>
          <xdr:row>5</xdr:row>
          <xdr:rowOff>314325</xdr:rowOff>
        </xdr:to>
        <xdr:sp macro="" textlink="">
          <xdr:nvSpPr>
            <xdr:cNvPr id="5138" name="Group Box 18" hidden="1">
              <a:extLst>
                <a:ext uri="{63B3BB69-23CF-44E3-9099-C40C66FF867C}">
                  <a14:compatExt spid="_x0000_s5138"/>
                </a:ext>
                <a:ext uri="{FF2B5EF4-FFF2-40B4-BE49-F238E27FC236}">
                  <a16:creationId xmlns:a16="http://schemas.microsoft.com/office/drawing/2014/main" id="{00000000-0008-0000-1000-00001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xdr:row>
          <xdr:rowOff>57150</xdr:rowOff>
        </xdr:from>
        <xdr:to>
          <xdr:col>1</xdr:col>
          <xdr:colOff>942975</xdr:colOff>
          <xdr:row>3</xdr:row>
          <xdr:rowOff>276225</xdr:rowOff>
        </xdr:to>
        <xdr:sp macro="" textlink="">
          <xdr:nvSpPr>
            <xdr:cNvPr id="5139" name="Option Button 19" hidden="1">
              <a:extLst>
                <a:ext uri="{63B3BB69-23CF-44E3-9099-C40C66FF867C}">
                  <a14:compatExt spid="_x0000_s5139"/>
                </a:ext>
                <a:ext uri="{FF2B5EF4-FFF2-40B4-BE49-F238E27FC236}">
                  <a16:creationId xmlns:a16="http://schemas.microsoft.com/office/drawing/2014/main" id="{00000000-0008-0000-10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3</xdr:row>
          <xdr:rowOff>209550</xdr:rowOff>
        </xdr:from>
        <xdr:to>
          <xdr:col>1</xdr:col>
          <xdr:colOff>1447800</xdr:colOff>
          <xdr:row>3</xdr:row>
          <xdr:rowOff>428625</xdr:rowOff>
        </xdr:to>
        <xdr:sp macro="" textlink="">
          <xdr:nvSpPr>
            <xdr:cNvPr id="5140" name="Option Button 20" hidden="1">
              <a:extLst>
                <a:ext uri="{63B3BB69-23CF-44E3-9099-C40C66FF867C}">
                  <a14:compatExt spid="_x0000_s5140"/>
                </a:ext>
                <a:ext uri="{FF2B5EF4-FFF2-40B4-BE49-F238E27FC236}">
                  <a16:creationId xmlns:a16="http://schemas.microsoft.com/office/drawing/2014/main" id="{00000000-0008-0000-10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4</xdr:row>
          <xdr:rowOff>104775</xdr:rowOff>
        </xdr:from>
        <xdr:to>
          <xdr:col>1</xdr:col>
          <xdr:colOff>1447800</xdr:colOff>
          <xdr:row>4</xdr:row>
          <xdr:rowOff>323850</xdr:rowOff>
        </xdr:to>
        <xdr:sp macro="" textlink="">
          <xdr:nvSpPr>
            <xdr:cNvPr id="5141" name="Option Button 21" hidden="1">
              <a:extLst>
                <a:ext uri="{63B3BB69-23CF-44E3-9099-C40C66FF867C}">
                  <a14:compatExt spid="_x0000_s5141"/>
                </a:ext>
                <a:ext uri="{FF2B5EF4-FFF2-40B4-BE49-F238E27FC236}">
                  <a16:creationId xmlns:a16="http://schemas.microsoft.com/office/drawing/2014/main" id="{00000000-0008-0000-10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5</xdr:row>
          <xdr:rowOff>28575</xdr:rowOff>
        </xdr:from>
        <xdr:to>
          <xdr:col>1</xdr:col>
          <xdr:colOff>1447800</xdr:colOff>
          <xdr:row>5</xdr:row>
          <xdr:rowOff>247650</xdr:rowOff>
        </xdr:to>
        <xdr:sp macro="" textlink="">
          <xdr:nvSpPr>
            <xdr:cNvPr id="5142" name="Option Button 22" hidden="1">
              <a:extLst>
                <a:ext uri="{63B3BB69-23CF-44E3-9099-C40C66FF867C}">
                  <a14:compatExt spid="_x0000_s5142"/>
                </a:ext>
                <a:ext uri="{FF2B5EF4-FFF2-40B4-BE49-F238E27FC236}">
                  <a16:creationId xmlns:a16="http://schemas.microsoft.com/office/drawing/2014/main" id="{00000000-0008-0000-10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4</xdr:row>
          <xdr:rowOff>0</xdr:rowOff>
        </xdr:from>
        <xdr:to>
          <xdr:col>15</xdr:col>
          <xdr:colOff>0</xdr:colOff>
          <xdr:row>5</xdr:row>
          <xdr:rowOff>0</xdr:rowOff>
        </xdr:to>
        <xdr:grpSp>
          <xdr:nvGrpSpPr>
            <xdr:cNvPr id="57776" name="Group 1">
              <a:extLst>
                <a:ext uri="{FF2B5EF4-FFF2-40B4-BE49-F238E27FC236}">
                  <a16:creationId xmlns:a16="http://schemas.microsoft.com/office/drawing/2014/main" id="{00000000-0008-0000-1100-0000B0E10000}"/>
                </a:ext>
              </a:extLst>
            </xdr:cNvPr>
            <xdr:cNvGrpSpPr>
              <a:grpSpLocks/>
            </xdr:cNvGrpSpPr>
          </xdr:nvGrpSpPr>
          <xdr:grpSpPr bwMode="auto">
            <a:xfrm>
              <a:off x="3706813" y="1127125"/>
              <a:ext cx="1349375" cy="269875"/>
              <a:chOff x="390" y="105"/>
              <a:chExt cx="142" cy="28"/>
            </a:xfrm>
          </xdr:grpSpPr>
          <xdr:sp macro="" textlink="">
            <xdr:nvSpPr>
              <xdr:cNvPr id="57346" name="Group Box 2" hidden="1">
                <a:extLst>
                  <a:ext uri="{63B3BB69-23CF-44E3-9099-C40C66FF867C}">
                    <a14:compatExt spid="_x0000_s57346"/>
                  </a:ext>
                  <a:ext uri="{FF2B5EF4-FFF2-40B4-BE49-F238E27FC236}">
                    <a16:creationId xmlns:a16="http://schemas.microsoft.com/office/drawing/2014/main" id="{00000000-0008-0000-1100-000002E00000}"/>
                  </a:ext>
                </a:extLst>
              </xdr:cNvPr>
              <xdr:cNvSpPr/>
            </xdr:nvSpPr>
            <xdr:spPr bwMode="auto">
              <a:xfrm>
                <a:off x="390" y="105"/>
                <a:ext cx="142" cy="28"/>
              </a:xfrm>
              <a:prstGeom prst="rect">
                <a:avLst/>
              </a:prstGeom>
              <a:noFill/>
              <a:ln w="9525">
                <a:miter lim="800000"/>
                <a:headEnd/>
                <a:tailEnd/>
              </a:ln>
              <a:extLst>
                <a:ext uri="{909E8E84-426E-40DD-AFC4-6F175D3DCCD1}">
                  <a14:hiddenFill>
                    <a:noFill/>
                  </a14:hiddenFill>
                </a:ext>
              </a:extLst>
            </xdr:spPr>
          </xdr:sp>
          <xdr:sp macro="" textlink="">
            <xdr:nvSpPr>
              <xdr:cNvPr id="57347" name="Option Button 3" hidden="1">
                <a:extLst>
                  <a:ext uri="{63B3BB69-23CF-44E3-9099-C40C66FF867C}">
                    <a14:compatExt spid="_x0000_s57347"/>
                  </a:ext>
                  <a:ext uri="{FF2B5EF4-FFF2-40B4-BE49-F238E27FC236}">
                    <a16:creationId xmlns:a16="http://schemas.microsoft.com/office/drawing/2014/main" id="{00000000-0008-0000-1100-000003E00000}"/>
                  </a:ext>
                </a:extLst>
              </xdr:cNvPr>
              <xdr:cNvSpPr/>
            </xdr:nvSpPr>
            <xdr:spPr bwMode="auto">
              <a:xfrm>
                <a:off x="406" y="107"/>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57348" name="Option Button 4" hidden="1">
                <a:extLst>
                  <a:ext uri="{63B3BB69-23CF-44E3-9099-C40C66FF867C}">
                    <a14:compatExt spid="_x0000_s57348"/>
                  </a:ext>
                  <a:ext uri="{FF2B5EF4-FFF2-40B4-BE49-F238E27FC236}">
                    <a16:creationId xmlns:a16="http://schemas.microsoft.com/office/drawing/2014/main" id="{00000000-0008-0000-1100-000004E00000}"/>
                  </a:ext>
                </a:extLst>
              </xdr:cNvPr>
              <xdr:cNvSpPr/>
            </xdr:nvSpPr>
            <xdr:spPr bwMode="auto">
              <a:xfrm>
                <a:off x="463" y="107"/>
                <a:ext cx="4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12</xdr:col>
          <xdr:colOff>0</xdr:colOff>
          <xdr:row>5</xdr:row>
          <xdr:rowOff>0</xdr:rowOff>
        </xdr:to>
        <xdr:sp macro="" textlink="">
          <xdr:nvSpPr>
            <xdr:cNvPr id="26626" name="Group Box 2" hidden="1">
              <a:extLst>
                <a:ext uri="{63B3BB69-23CF-44E3-9099-C40C66FF867C}">
                  <a14:compatExt spid="_x0000_s26626"/>
                </a:ext>
                <a:ext uri="{FF2B5EF4-FFF2-40B4-BE49-F238E27FC236}">
                  <a16:creationId xmlns:a16="http://schemas.microsoft.com/office/drawing/2014/main" id="{00000000-0008-0000-1200-000002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4</xdr:row>
          <xdr:rowOff>19050</xdr:rowOff>
        </xdr:from>
        <xdr:to>
          <xdr:col>6</xdr:col>
          <xdr:colOff>66675</xdr:colOff>
          <xdr:row>4</xdr:row>
          <xdr:rowOff>247650</xdr:rowOff>
        </xdr:to>
        <xdr:sp macro="" textlink="">
          <xdr:nvSpPr>
            <xdr:cNvPr id="26627" name="Option Button 3" hidden="1">
              <a:extLst>
                <a:ext uri="{63B3BB69-23CF-44E3-9099-C40C66FF867C}">
                  <a14:compatExt spid="_x0000_s26627"/>
                </a:ext>
                <a:ext uri="{FF2B5EF4-FFF2-40B4-BE49-F238E27FC236}">
                  <a16:creationId xmlns:a16="http://schemas.microsoft.com/office/drawing/2014/main" id="{00000000-0008-0000-12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4</xdr:row>
          <xdr:rowOff>19050</xdr:rowOff>
        </xdr:from>
        <xdr:to>
          <xdr:col>7</xdr:col>
          <xdr:colOff>180975</xdr:colOff>
          <xdr:row>4</xdr:row>
          <xdr:rowOff>247650</xdr:rowOff>
        </xdr:to>
        <xdr:sp macro="" textlink="">
          <xdr:nvSpPr>
            <xdr:cNvPr id="26628" name="Option Button 4" hidden="1">
              <a:extLst>
                <a:ext uri="{63B3BB69-23CF-44E3-9099-C40C66FF867C}">
                  <a14:compatExt spid="_x0000_s26628"/>
                </a:ext>
                <a:ext uri="{FF2B5EF4-FFF2-40B4-BE49-F238E27FC236}">
                  <a16:creationId xmlns:a16="http://schemas.microsoft.com/office/drawing/2014/main" id="{00000000-0008-0000-12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4</xdr:row>
          <xdr:rowOff>19050</xdr:rowOff>
        </xdr:from>
        <xdr:to>
          <xdr:col>8</xdr:col>
          <xdr:colOff>238125</xdr:colOff>
          <xdr:row>4</xdr:row>
          <xdr:rowOff>247650</xdr:rowOff>
        </xdr:to>
        <xdr:sp macro="" textlink="">
          <xdr:nvSpPr>
            <xdr:cNvPr id="26629" name="Option Button 5" hidden="1">
              <a:extLst>
                <a:ext uri="{63B3BB69-23CF-44E3-9099-C40C66FF867C}">
                  <a14:compatExt spid="_x0000_s26629"/>
                </a:ext>
                <a:ext uri="{FF2B5EF4-FFF2-40B4-BE49-F238E27FC236}">
                  <a16:creationId xmlns:a16="http://schemas.microsoft.com/office/drawing/2014/main" id="{00000000-0008-0000-12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4</xdr:row>
          <xdr:rowOff>19050</xdr:rowOff>
        </xdr:from>
        <xdr:to>
          <xdr:col>10</xdr:col>
          <xdr:colOff>57150</xdr:colOff>
          <xdr:row>4</xdr:row>
          <xdr:rowOff>247650</xdr:rowOff>
        </xdr:to>
        <xdr:sp macro="" textlink="">
          <xdr:nvSpPr>
            <xdr:cNvPr id="26630" name="Option Button 6" hidden="1">
              <a:extLst>
                <a:ext uri="{63B3BB69-23CF-44E3-9099-C40C66FF867C}">
                  <a14:compatExt spid="_x0000_s26630"/>
                </a:ext>
                <a:ext uri="{FF2B5EF4-FFF2-40B4-BE49-F238E27FC236}">
                  <a16:creationId xmlns:a16="http://schemas.microsoft.com/office/drawing/2014/main" id="{00000000-0008-0000-12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4</xdr:row>
          <xdr:rowOff>19050</xdr:rowOff>
        </xdr:from>
        <xdr:to>
          <xdr:col>11</xdr:col>
          <xdr:colOff>123825</xdr:colOff>
          <xdr:row>4</xdr:row>
          <xdr:rowOff>247650</xdr:rowOff>
        </xdr:to>
        <xdr:sp macro="" textlink="">
          <xdr:nvSpPr>
            <xdr:cNvPr id="26631" name="Option Button 7" hidden="1">
              <a:extLst>
                <a:ext uri="{63B3BB69-23CF-44E3-9099-C40C66FF867C}">
                  <a14:compatExt spid="_x0000_s26631"/>
                </a:ext>
                <a:ext uri="{FF2B5EF4-FFF2-40B4-BE49-F238E27FC236}">
                  <a16:creationId xmlns:a16="http://schemas.microsoft.com/office/drawing/2014/main" id="{00000000-0008-0000-12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9</xdr:row>
          <xdr:rowOff>0</xdr:rowOff>
        </xdr:from>
        <xdr:to>
          <xdr:col>12</xdr:col>
          <xdr:colOff>0</xdr:colOff>
          <xdr:row>10</xdr:row>
          <xdr:rowOff>0</xdr:rowOff>
        </xdr:to>
        <xdr:sp macro="" textlink="">
          <xdr:nvSpPr>
            <xdr:cNvPr id="26633" name="Group Box 9" hidden="1">
              <a:extLst>
                <a:ext uri="{63B3BB69-23CF-44E3-9099-C40C66FF867C}">
                  <a14:compatExt spid="_x0000_s26633"/>
                </a:ext>
                <a:ext uri="{FF2B5EF4-FFF2-40B4-BE49-F238E27FC236}">
                  <a16:creationId xmlns:a16="http://schemas.microsoft.com/office/drawing/2014/main" id="{00000000-0008-0000-1200-00000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9</xdr:row>
          <xdr:rowOff>38100</xdr:rowOff>
        </xdr:from>
        <xdr:to>
          <xdr:col>6</xdr:col>
          <xdr:colOff>66675</xdr:colOff>
          <xdr:row>9</xdr:row>
          <xdr:rowOff>257175</xdr:rowOff>
        </xdr:to>
        <xdr:sp macro="" textlink="">
          <xdr:nvSpPr>
            <xdr:cNvPr id="26634" name="Option Button 10" hidden="1">
              <a:extLst>
                <a:ext uri="{63B3BB69-23CF-44E3-9099-C40C66FF867C}">
                  <a14:compatExt spid="_x0000_s26634"/>
                </a:ext>
                <a:ext uri="{FF2B5EF4-FFF2-40B4-BE49-F238E27FC236}">
                  <a16:creationId xmlns:a16="http://schemas.microsoft.com/office/drawing/2014/main" id="{00000000-0008-0000-12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9</xdr:row>
          <xdr:rowOff>38100</xdr:rowOff>
        </xdr:from>
        <xdr:to>
          <xdr:col>7</xdr:col>
          <xdr:colOff>180975</xdr:colOff>
          <xdr:row>9</xdr:row>
          <xdr:rowOff>257175</xdr:rowOff>
        </xdr:to>
        <xdr:sp macro="" textlink="">
          <xdr:nvSpPr>
            <xdr:cNvPr id="26635" name="Option Button 11" hidden="1">
              <a:extLst>
                <a:ext uri="{63B3BB69-23CF-44E3-9099-C40C66FF867C}">
                  <a14:compatExt spid="_x0000_s26635"/>
                </a:ext>
                <a:ext uri="{FF2B5EF4-FFF2-40B4-BE49-F238E27FC236}">
                  <a16:creationId xmlns:a16="http://schemas.microsoft.com/office/drawing/2014/main" id="{00000000-0008-0000-12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9</xdr:row>
          <xdr:rowOff>38100</xdr:rowOff>
        </xdr:from>
        <xdr:to>
          <xdr:col>8</xdr:col>
          <xdr:colOff>238125</xdr:colOff>
          <xdr:row>9</xdr:row>
          <xdr:rowOff>257175</xdr:rowOff>
        </xdr:to>
        <xdr:sp macro="" textlink="">
          <xdr:nvSpPr>
            <xdr:cNvPr id="26636" name="Option Button 12" hidden="1">
              <a:extLst>
                <a:ext uri="{63B3BB69-23CF-44E3-9099-C40C66FF867C}">
                  <a14:compatExt spid="_x0000_s26636"/>
                </a:ext>
                <a:ext uri="{FF2B5EF4-FFF2-40B4-BE49-F238E27FC236}">
                  <a16:creationId xmlns:a16="http://schemas.microsoft.com/office/drawing/2014/main" id="{00000000-0008-0000-12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9</xdr:row>
          <xdr:rowOff>38100</xdr:rowOff>
        </xdr:from>
        <xdr:to>
          <xdr:col>10</xdr:col>
          <xdr:colOff>57150</xdr:colOff>
          <xdr:row>9</xdr:row>
          <xdr:rowOff>257175</xdr:rowOff>
        </xdr:to>
        <xdr:sp macro="" textlink="">
          <xdr:nvSpPr>
            <xdr:cNvPr id="26637" name="Option Button 13" hidden="1">
              <a:extLst>
                <a:ext uri="{63B3BB69-23CF-44E3-9099-C40C66FF867C}">
                  <a14:compatExt spid="_x0000_s26637"/>
                </a:ext>
                <a:ext uri="{FF2B5EF4-FFF2-40B4-BE49-F238E27FC236}">
                  <a16:creationId xmlns:a16="http://schemas.microsoft.com/office/drawing/2014/main" id="{00000000-0008-0000-12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9</xdr:row>
          <xdr:rowOff>38100</xdr:rowOff>
        </xdr:from>
        <xdr:to>
          <xdr:col>11</xdr:col>
          <xdr:colOff>123825</xdr:colOff>
          <xdr:row>9</xdr:row>
          <xdr:rowOff>257175</xdr:rowOff>
        </xdr:to>
        <xdr:sp macro="" textlink="">
          <xdr:nvSpPr>
            <xdr:cNvPr id="26638" name="Option Button 14" hidden="1">
              <a:extLst>
                <a:ext uri="{63B3BB69-23CF-44E3-9099-C40C66FF867C}">
                  <a14:compatExt spid="_x0000_s26638"/>
                </a:ext>
                <a:ext uri="{FF2B5EF4-FFF2-40B4-BE49-F238E27FC236}">
                  <a16:creationId xmlns:a16="http://schemas.microsoft.com/office/drawing/2014/main" id="{00000000-0008-0000-12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8</xdr:row>
          <xdr:rowOff>0</xdr:rowOff>
        </xdr:from>
        <xdr:to>
          <xdr:col>12</xdr:col>
          <xdr:colOff>0</xdr:colOff>
          <xdr:row>9</xdr:row>
          <xdr:rowOff>0</xdr:rowOff>
        </xdr:to>
        <xdr:sp macro="" textlink="">
          <xdr:nvSpPr>
            <xdr:cNvPr id="26640" name="Group Box 16" hidden="1">
              <a:extLst>
                <a:ext uri="{63B3BB69-23CF-44E3-9099-C40C66FF867C}">
                  <a14:compatExt spid="_x0000_s26640"/>
                </a:ext>
                <a:ext uri="{FF2B5EF4-FFF2-40B4-BE49-F238E27FC236}">
                  <a16:creationId xmlns:a16="http://schemas.microsoft.com/office/drawing/2014/main" id="{00000000-0008-0000-1200-000010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8</xdr:row>
          <xdr:rowOff>9525</xdr:rowOff>
        </xdr:from>
        <xdr:to>
          <xdr:col>6</xdr:col>
          <xdr:colOff>66675</xdr:colOff>
          <xdr:row>9</xdr:row>
          <xdr:rowOff>0</xdr:rowOff>
        </xdr:to>
        <xdr:sp macro="" textlink="">
          <xdr:nvSpPr>
            <xdr:cNvPr id="26641" name="Option Button 17" hidden="1">
              <a:extLst>
                <a:ext uri="{63B3BB69-23CF-44E3-9099-C40C66FF867C}">
                  <a14:compatExt spid="_x0000_s26641"/>
                </a:ext>
                <a:ext uri="{FF2B5EF4-FFF2-40B4-BE49-F238E27FC236}">
                  <a16:creationId xmlns:a16="http://schemas.microsoft.com/office/drawing/2014/main" id="{00000000-0008-0000-12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8</xdr:row>
          <xdr:rowOff>9525</xdr:rowOff>
        </xdr:from>
        <xdr:to>
          <xdr:col>7</xdr:col>
          <xdr:colOff>180975</xdr:colOff>
          <xdr:row>9</xdr:row>
          <xdr:rowOff>0</xdr:rowOff>
        </xdr:to>
        <xdr:sp macro="" textlink="">
          <xdr:nvSpPr>
            <xdr:cNvPr id="26642" name="Option Button 18" hidden="1">
              <a:extLst>
                <a:ext uri="{63B3BB69-23CF-44E3-9099-C40C66FF867C}">
                  <a14:compatExt spid="_x0000_s26642"/>
                </a:ext>
                <a:ext uri="{FF2B5EF4-FFF2-40B4-BE49-F238E27FC236}">
                  <a16:creationId xmlns:a16="http://schemas.microsoft.com/office/drawing/2014/main" id="{00000000-0008-0000-12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8</xdr:row>
          <xdr:rowOff>9525</xdr:rowOff>
        </xdr:from>
        <xdr:to>
          <xdr:col>8</xdr:col>
          <xdr:colOff>238125</xdr:colOff>
          <xdr:row>9</xdr:row>
          <xdr:rowOff>0</xdr:rowOff>
        </xdr:to>
        <xdr:sp macro="" textlink="">
          <xdr:nvSpPr>
            <xdr:cNvPr id="26643" name="Option Button 19" hidden="1">
              <a:extLst>
                <a:ext uri="{63B3BB69-23CF-44E3-9099-C40C66FF867C}">
                  <a14:compatExt spid="_x0000_s26643"/>
                </a:ext>
                <a:ext uri="{FF2B5EF4-FFF2-40B4-BE49-F238E27FC236}">
                  <a16:creationId xmlns:a16="http://schemas.microsoft.com/office/drawing/2014/main" id="{00000000-0008-0000-12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8</xdr:row>
          <xdr:rowOff>9525</xdr:rowOff>
        </xdr:from>
        <xdr:to>
          <xdr:col>10</xdr:col>
          <xdr:colOff>57150</xdr:colOff>
          <xdr:row>9</xdr:row>
          <xdr:rowOff>0</xdr:rowOff>
        </xdr:to>
        <xdr:sp macro="" textlink="">
          <xdr:nvSpPr>
            <xdr:cNvPr id="26644" name="Option Button 20" hidden="1">
              <a:extLst>
                <a:ext uri="{63B3BB69-23CF-44E3-9099-C40C66FF867C}">
                  <a14:compatExt spid="_x0000_s26644"/>
                </a:ext>
                <a:ext uri="{FF2B5EF4-FFF2-40B4-BE49-F238E27FC236}">
                  <a16:creationId xmlns:a16="http://schemas.microsoft.com/office/drawing/2014/main" id="{00000000-0008-0000-12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8</xdr:row>
          <xdr:rowOff>9525</xdr:rowOff>
        </xdr:from>
        <xdr:to>
          <xdr:col>11</xdr:col>
          <xdr:colOff>123825</xdr:colOff>
          <xdr:row>9</xdr:row>
          <xdr:rowOff>0</xdr:rowOff>
        </xdr:to>
        <xdr:sp macro="" textlink="">
          <xdr:nvSpPr>
            <xdr:cNvPr id="26645" name="Option Button 21" hidden="1">
              <a:extLst>
                <a:ext uri="{63B3BB69-23CF-44E3-9099-C40C66FF867C}">
                  <a14:compatExt spid="_x0000_s26645"/>
                </a:ext>
                <a:ext uri="{FF2B5EF4-FFF2-40B4-BE49-F238E27FC236}">
                  <a16:creationId xmlns:a16="http://schemas.microsoft.com/office/drawing/2014/main" id="{00000000-0008-0000-12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12</xdr:col>
          <xdr:colOff>0</xdr:colOff>
          <xdr:row>8</xdr:row>
          <xdr:rowOff>0</xdr:rowOff>
        </xdr:to>
        <xdr:sp macro="" textlink="">
          <xdr:nvSpPr>
            <xdr:cNvPr id="26647" name="Group Box 23" hidden="1">
              <a:extLst>
                <a:ext uri="{63B3BB69-23CF-44E3-9099-C40C66FF867C}">
                  <a14:compatExt spid="_x0000_s26647"/>
                </a:ext>
                <a:ext uri="{FF2B5EF4-FFF2-40B4-BE49-F238E27FC236}">
                  <a16:creationId xmlns:a16="http://schemas.microsoft.com/office/drawing/2014/main" id="{00000000-0008-0000-1200-00001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7</xdr:row>
          <xdr:rowOff>28575</xdr:rowOff>
        </xdr:from>
        <xdr:to>
          <xdr:col>6</xdr:col>
          <xdr:colOff>66675</xdr:colOff>
          <xdr:row>7</xdr:row>
          <xdr:rowOff>247650</xdr:rowOff>
        </xdr:to>
        <xdr:sp macro="" textlink="">
          <xdr:nvSpPr>
            <xdr:cNvPr id="26648" name="Option Button 24" hidden="1">
              <a:extLst>
                <a:ext uri="{63B3BB69-23CF-44E3-9099-C40C66FF867C}">
                  <a14:compatExt spid="_x0000_s26648"/>
                </a:ext>
                <a:ext uri="{FF2B5EF4-FFF2-40B4-BE49-F238E27FC236}">
                  <a16:creationId xmlns:a16="http://schemas.microsoft.com/office/drawing/2014/main" id="{00000000-0008-0000-12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7</xdr:row>
          <xdr:rowOff>28575</xdr:rowOff>
        </xdr:from>
        <xdr:to>
          <xdr:col>7</xdr:col>
          <xdr:colOff>180975</xdr:colOff>
          <xdr:row>7</xdr:row>
          <xdr:rowOff>247650</xdr:rowOff>
        </xdr:to>
        <xdr:sp macro="" textlink="">
          <xdr:nvSpPr>
            <xdr:cNvPr id="26649" name="Option Button 25" hidden="1">
              <a:extLst>
                <a:ext uri="{63B3BB69-23CF-44E3-9099-C40C66FF867C}">
                  <a14:compatExt spid="_x0000_s26649"/>
                </a:ext>
                <a:ext uri="{FF2B5EF4-FFF2-40B4-BE49-F238E27FC236}">
                  <a16:creationId xmlns:a16="http://schemas.microsoft.com/office/drawing/2014/main" id="{00000000-0008-0000-12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7</xdr:row>
          <xdr:rowOff>28575</xdr:rowOff>
        </xdr:from>
        <xdr:to>
          <xdr:col>8</xdr:col>
          <xdr:colOff>238125</xdr:colOff>
          <xdr:row>7</xdr:row>
          <xdr:rowOff>247650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2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7</xdr:row>
          <xdr:rowOff>28575</xdr:rowOff>
        </xdr:from>
        <xdr:to>
          <xdr:col>10</xdr:col>
          <xdr:colOff>57150</xdr:colOff>
          <xdr:row>7</xdr:row>
          <xdr:rowOff>247650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2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7</xdr:row>
          <xdr:rowOff>28575</xdr:rowOff>
        </xdr:from>
        <xdr:to>
          <xdr:col>11</xdr:col>
          <xdr:colOff>123825</xdr:colOff>
          <xdr:row>7</xdr:row>
          <xdr:rowOff>247650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2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xdr:row>
          <xdr:rowOff>0</xdr:rowOff>
        </xdr:from>
        <xdr:to>
          <xdr:col>12</xdr:col>
          <xdr:colOff>0</xdr:colOff>
          <xdr:row>7</xdr:row>
          <xdr:rowOff>0</xdr:rowOff>
        </xdr:to>
        <xdr:sp macro="" textlink="">
          <xdr:nvSpPr>
            <xdr:cNvPr id="26654" name="Group Box 30" hidden="1">
              <a:extLst>
                <a:ext uri="{63B3BB69-23CF-44E3-9099-C40C66FF867C}">
                  <a14:compatExt spid="_x0000_s26654"/>
                </a:ext>
                <a:ext uri="{FF2B5EF4-FFF2-40B4-BE49-F238E27FC236}">
                  <a16:creationId xmlns:a16="http://schemas.microsoft.com/office/drawing/2014/main" id="{00000000-0008-0000-1200-00001E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6</xdr:row>
          <xdr:rowOff>66675</xdr:rowOff>
        </xdr:from>
        <xdr:to>
          <xdr:col>6</xdr:col>
          <xdr:colOff>66675</xdr:colOff>
          <xdr:row>6</xdr:row>
          <xdr:rowOff>285750</xdr:rowOff>
        </xdr:to>
        <xdr:sp macro="" textlink="">
          <xdr:nvSpPr>
            <xdr:cNvPr id="26655" name="Option Button 31" hidden="1">
              <a:extLst>
                <a:ext uri="{63B3BB69-23CF-44E3-9099-C40C66FF867C}">
                  <a14:compatExt spid="_x0000_s26655"/>
                </a:ext>
                <a:ext uri="{FF2B5EF4-FFF2-40B4-BE49-F238E27FC236}">
                  <a16:creationId xmlns:a16="http://schemas.microsoft.com/office/drawing/2014/main" id="{00000000-0008-0000-12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6</xdr:row>
          <xdr:rowOff>66675</xdr:rowOff>
        </xdr:from>
        <xdr:to>
          <xdr:col>7</xdr:col>
          <xdr:colOff>180975</xdr:colOff>
          <xdr:row>6</xdr:row>
          <xdr:rowOff>285750</xdr:rowOff>
        </xdr:to>
        <xdr:sp macro="" textlink="">
          <xdr:nvSpPr>
            <xdr:cNvPr id="26656" name="Option Button 32" hidden="1">
              <a:extLst>
                <a:ext uri="{63B3BB69-23CF-44E3-9099-C40C66FF867C}">
                  <a14:compatExt spid="_x0000_s26656"/>
                </a:ext>
                <a:ext uri="{FF2B5EF4-FFF2-40B4-BE49-F238E27FC236}">
                  <a16:creationId xmlns:a16="http://schemas.microsoft.com/office/drawing/2014/main" id="{00000000-0008-0000-12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6</xdr:row>
          <xdr:rowOff>66675</xdr:rowOff>
        </xdr:from>
        <xdr:to>
          <xdr:col>8</xdr:col>
          <xdr:colOff>238125</xdr:colOff>
          <xdr:row>6</xdr:row>
          <xdr:rowOff>285750</xdr:rowOff>
        </xdr:to>
        <xdr:sp macro="" textlink="">
          <xdr:nvSpPr>
            <xdr:cNvPr id="26657" name="Option Button 33" hidden="1">
              <a:extLst>
                <a:ext uri="{63B3BB69-23CF-44E3-9099-C40C66FF867C}">
                  <a14:compatExt spid="_x0000_s26657"/>
                </a:ext>
                <a:ext uri="{FF2B5EF4-FFF2-40B4-BE49-F238E27FC236}">
                  <a16:creationId xmlns:a16="http://schemas.microsoft.com/office/drawing/2014/main" id="{00000000-0008-0000-12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6</xdr:row>
          <xdr:rowOff>66675</xdr:rowOff>
        </xdr:from>
        <xdr:to>
          <xdr:col>10</xdr:col>
          <xdr:colOff>57150</xdr:colOff>
          <xdr:row>6</xdr:row>
          <xdr:rowOff>285750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2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6</xdr:row>
          <xdr:rowOff>66675</xdr:rowOff>
        </xdr:from>
        <xdr:to>
          <xdr:col>11</xdr:col>
          <xdr:colOff>123825</xdr:colOff>
          <xdr:row>6</xdr:row>
          <xdr:rowOff>285750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2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xdr:row>
          <xdr:rowOff>0</xdr:rowOff>
        </xdr:from>
        <xdr:to>
          <xdr:col>12</xdr:col>
          <xdr:colOff>0</xdr:colOff>
          <xdr:row>6</xdr:row>
          <xdr:rowOff>0</xdr:rowOff>
        </xdr:to>
        <xdr:sp macro="" textlink="">
          <xdr:nvSpPr>
            <xdr:cNvPr id="26661" name="Group Box 37" hidden="1">
              <a:extLst>
                <a:ext uri="{63B3BB69-23CF-44E3-9099-C40C66FF867C}">
                  <a14:compatExt spid="_x0000_s26661"/>
                </a:ext>
                <a:ext uri="{FF2B5EF4-FFF2-40B4-BE49-F238E27FC236}">
                  <a16:creationId xmlns:a16="http://schemas.microsoft.com/office/drawing/2014/main" id="{00000000-0008-0000-1200-00002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5</xdr:row>
          <xdr:rowOff>28575</xdr:rowOff>
        </xdr:from>
        <xdr:to>
          <xdr:col>6</xdr:col>
          <xdr:colOff>66675</xdr:colOff>
          <xdr:row>6</xdr:row>
          <xdr:rowOff>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2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5</xdr:row>
          <xdr:rowOff>28575</xdr:rowOff>
        </xdr:from>
        <xdr:to>
          <xdr:col>7</xdr:col>
          <xdr:colOff>180975</xdr:colOff>
          <xdr:row>6</xdr:row>
          <xdr:rowOff>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2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5</xdr:row>
          <xdr:rowOff>28575</xdr:rowOff>
        </xdr:from>
        <xdr:to>
          <xdr:col>8</xdr:col>
          <xdr:colOff>238125</xdr:colOff>
          <xdr:row>6</xdr:row>
          <xdr:rowOff>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2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5</xdr:row>
          <xdr:rowOff>28575</xdr:rowOff>
        </xdr:from>
        <xdr:to>
          <xdr:col>10</xdr:col>
          <xdr:colOff>57150</xdr:colOff>
          <xdr:row>6</xdr:row>
          <xdr:rowOff>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2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5</xdr:row>
          <xdr:rowOff>28575</xdr:rowOff>
        </xdr:from>
        <xdr:to>
          <xdr:col>11</xdr:col>
          <xdr:colOff>123825</xdr:colOff>
          <xdr:row>6</xdr:row>
          <xdr:rowOff>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2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10</xdr:row>
          <xdr:rowOff>0</xdr:rowOff>
        </xdr:from>
        <xdr:to>
          <xdr:col>12</xdr:col>
          <xdr:colOff>0</xdr:colOff>
          <xdr:row>11</xdr:row>
          <xdr:rowOff>0</xdr:rowOff>
        </xdr:to>
        <xdr:sp macro="" textlink="">
          <xdr:nvSpPr>
            <xdr:cNvPr id="26668" name="Group Box 44" hidden="1">
              <a:extLst>
                <a:ext uri="{63B3BB69-23CF-44E3-9099-C40C66FF867C}">
                  <a14:compatExt spid="_x0000_s26668"/>
                </a:ext>
                <a:ext uri="{FF2B5EF4-FFF2-40B4-BE49-F238E27FC236}">
                  <a16:creationId xmlns:a16="http://schemas.microsoft.com/office/drawing/2014/main" id="{00000000-0008-0000-1200-00002C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10</xdr:row>
          <xdr:rowOff>38100</xdr:rowOff>
        </xdr:from>
        <xdr:to>
          <xdr:col>6</xdr:col>
          <xdr:colOff>66675</xdr:colOff>
          <xdr:row>10</xdr:row>
          <xdr:rowOff>257175</xdr:rowOff>
        </xdr:to>
        <xdr:sp macro="" textlink="">
          <xdr:nvSpPr>
            <xdr:cNvPr id="26669" name="Option Button 45" hidden="1">
              <a:extLst>
                <a:ext uri="{63B3BB69-23CF-44E3-9099-C40C66FF867C}">
                  <a14:compatExt spid="_x0000_s26669"/>
                </a:ext>
                <a:ext uri="{FF2B5EF4-FFF2-40B4-BE49-F238E27FC236}">
                  <a16:creationId xmlns:a16="http://schemas.microsoft.com/office/drawing/2014/main" id="{00000000-0008-0000-12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10</xdr:row>
          <xdr:rowOff>38100</xdr:rowOff>
        </xdr:from>
        <xdr:to>
          <xdr:col>8</xdr:col>
          <xdr:colOff>142875</xdr:colOff>
          <xdr:row>10</xdr:row>
          <xdr:rowOff>257175</xdr:rowOff>
        </xdr:to>
        <xdr:sp macro="" textlink="">
          <xdr:nvSpPr>
            <xdr:cNvPr id="26670" name="Option Button 46" hidden="1">
              <a:extLst>
                <a:ext uri="{63B3BB69-23CF-44E3-9099-C40C66FF867C}">
                  <a14:compatExt spid="_x0000_s26670"/>
                </a:ext>
                <a:ext uri="{FF2B5EF4-FFF2-40B4-BE49-F238E27FC236}">
                  <a16:creationId xmlns:a16="http://schemas.microsoft.com/office/drawing/2014/main" id="{00000000-0008-0000-12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13</xdr:row>
          <xdr:rowOff>104775</xdr:rowOff>
        </xdr:from>
        <xdr:to>
          <xdr:col>6</xdr:col>
          <xdr:colOff>142875</xdr:colOff>
          <xdr:row>18</xdr:row>
          <xdr:rowOff>38100</xdr:rowOff>
        </xdr:to>
        <xdr:sp macro="" textlink="">
          <xdr:nvSpPr>
            <xdr:cNvPr id="26671" name="Object 47" hidden="1">
              <a:extLst>
                <a:ext uri="{63B3BB69-23CF-44E3-9099-C40C66FF867C}">
                  <a14:compatExt spid="_x0000_s26671"/>
                </a:ext>
                <a:ext uri="{FF2B5EF4-FFF2-40B4-BE49-F238E27FC236}">
                  <a16:creationId xmlns:a16="http://schemas.microsoft.com/office/drawing/2014/main" id="{00000000-0008-0000-1200-00002F6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12</xdr:col>
          <xdr:colOff>0</xdr:colOff>
          <xdr:row>5</xdr:row>
          <xdr:rowOff>0</xdr:rowOff>
        </xdr:to>
        <xdr:sp macro="" textlink="">
          <xdr:nvSpPr>
            <xdr:cNvPr id="34818" name="Group Box 2" hidden="1">
              <a:extLst>
                <a:ext uri="{63B3BB69-23CF-44E3-9099-C40C66FF867C}">
                  <a14:compatExt spid="_x0000_s34818"/>
                </a:ext>
                <a:ext uri="{FF2B5EF4-FFF2-40B4-BE49-F238E27FC236}">
                  <a16:creationId xmlns:a16="http://schemas.microsoft.com/office/drawing/2014/main" id="{00000000-0008-0000-1300-000002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4</xdr:row>
          <xdr:rowOff>19050</xdr:rowOff>
        </xdr:from>
        <xdr:to>
          <xdr:col>6</xdr:col>
          <xdr:colOff>104775</xdr:colOff>
          <xdr:row>4</xdr:row>
          <xdr:rowOff>257175</xdr:rowOff>
        </xdr:to>
        <xdr:sp macro="" textlink="">
          <xdr:nvSpPr>
            <xdr:cNvPr id="34819" name="Option Button 3" hidden="1">
              <a:extLst>
                <a:ext uri="{63B3BB69-23CF-44E3-9099-C40C66FF867C}">
                  <a14:compatExt spid="_x0000_s34819"/>
                </a:ext>
                <a:ext uri="{FF2B5EF4-FFF2-40B4-BE49-F238E27FC236}">
                  <a16:creationId xmlns:a16="http://schemas.microsoft.com/office/drawing/2014/main" id="{00000000-0008-0000-13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4</xdr:row>
          <xdr:rowOff>19050</xdr:rowOff>
        </xdr:from>
        <xdr:to>
          <xdr:col>7</xdr:col>
          <xdr:colOff>161925</xdr:colOff>
          <xdr:row>4</xdr:row>
          <xdr:rowOff>257175</xdr:rowOff>
        </xdr:to>
        <xdr:sp macro="" textlink="">
          <xdr:nvSpPr>
            <xdr:cNvPr id="34820" name="Option Button 4" hidden="1">
              <a:extLst>
                <a:ext uri="{63B3BB69-23CF-44E3-9099-C40C66FF867C}">
                  <a14:compatExt spid="_x0000_s34820"/>
                </a:ext>
                <a:ext uri="{FF2B5EF4-FFF2-40B4-BE49-F238E27FC236}">
                  <a16:creationId xmlns:a16="http://schemas.microsoft.com/office/drawing/2014/main" id="{00000000-0008-0000-13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4</xdr:row>
          <xdr:rowOff>19050</xdr:rowOff>
        </xdr:from>
        <xdr:to>
          <xdr:col>9</xdr:col>
          <xdr:colOff>0</xdr:colOff>
          <xdr:row>4</xdr:row>
          <xdr:rowOff>257175</xdr:rowOff>
        </xdr:to>
        <xdr:sp macro="" textlink="">
          <xdr:nvSpPr>
            <xdr:cNvPr id="34821" name="Option Button 5" hidden="1">
              <a:extLst>
                <a:ext uri="{63B3BB69-23CF-44E3-9099-C40C66FF867C}">
                  <a14:compatExt spid="_x0000_s34821"/>
                </a:ext>
                <a:ext uri="{FF2B5EF4-FFF2-40B4-BE49-F238E27FC236}">
                  <a16:creationId xmlns:a16="http://schemas.microsoft.com/office/drawing/2014/main" id="{00000000-0008-0000-13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9525</xdr:colOff>
          <xdr:row>4</xdr:row>
          <xdr:rowOff>19050</xdr:rowOff>
        </xdr:from>
        <xdr:to>
          <xdr:col>10</xdr:col>
          <xdr:colOff>76200</xdr:colOff>
          <xdr:row>4</xdr:row>
          <xdr:rowOff>257175</xdr:rowOff>
        </xdr:to>
        <xdr:sp macro="" textlink="">
          <xdr:nvSpPr>
            <xdr:cNvPr id="34822" name="Option Button 6" hidden="1">
              <a:extLst>
                <a:ext uri="{63B3BB69-23CF-44E3-9099-C40C66FF867C}">
                  <a14:compatExt spid="_x0000_s34822"/>
                </a:ext>
                <a:ext uri="{FF2B5EF4-FFF2-40B4-BE49-F238E27FC236}">
                  <a16:creationId xmlns:a16="http://schemas.microsoft.com/office/drawing/2014/main" id="{00000000-0008-0000-13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4</xdr:row>
          <xdr:rowOff>19050</xdr:rowOff>
        </xdr:from>
        <xdr:to>
          <xdr:col>11</xdr:col>
          <xdr:colOff>142875</xdr:colOff>
          <xdr:row>4</xdr:row>
          <xdr:rowOff>257175</xdr:rowOff>
        </xdr:to>
        <xdr:sp macro="" textlink="">
          <xdr:nvSpPr>
            <xdr:cNvPr id="34823" name="Option Button 7" hidden="1">
              <a:extLst>
                <a:ext uri="{63B3BB69-23CF-44E3-9099-C40C66FF867C}">
                  <a14:compatExt spid="_x0000_s34823"/>
                </a:ext>
                <a:ext uri="{FF2B5EF4-FFF2-40B4-BE49-F238E27FC236}">
                  <a16:creationId xmlns:a16="http://schemas.microsoft.com/office/drawing/2014/main" id="{00000000-0008-0000-13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xdr:row>
          <xdr:rowOff>0</xdr:rowOff>
        </xdr:from>
        <xdr:to>
          <xdr:col>12</xdr:col>
          <xdr:colOff>0</xdr:colOff>
          <xdr:row>6</xdr:row>
          <xdr:rowOff>0</xdr:rowOff>
        </xdr:to>
        <xdr:sp macro="" textlink="">
          <xdr:nvSpPr>
            <xdr:cNvPr id="34825" name="Group Box 9" hidden="1">
              <a:extLst>
                <a:ext uri="{63B3BB69-23CF-44E3-9099-C40C66FF867C}">
                  <a14:compatExt spid="_x0000_s34825"/>
                </a:ext>
                <a:ext uri="{FF2B5EF4-FFF2-40B4-BE49-F238E27FC236}">
                  <a16:creationId xmlns:a16="http://schemas.microsoft.com/office/drawing/2014/main" id="{00000000-0008-0000-1300-000009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5</xdr:row>
          <xdr:rowOff>9525</xdr:rowOff>
        </xdr:from>
        <xdr:to>
          <xdr:col>6</xdr:col>
          <xdr:colOff>76200</xdr:colOff>
          <xdr:row>6</xdr:row>
          <xdr:rowOff>0</xdr:rowOff>
        </xdr:to>
        <xdr:sp macro="" textlink="">
          <xdr:nvSpPr>
            <xdr:cNvPr id="34826" name="Option Button 10" hidden="1">
              <a:extLst>
                <a:ext uri="{63B3BB69-23CF-44E3-9099-C40C66FF867C}">
                  <a14:compatExt spid="_x0000_s34826"/>
                </a:ext>
                <a:ext uri="{FF2B5EF4-FFF2-40B4-BE49-F238E27FC236}">
                  <a16:creationId xmlns:a16="http://schemas.microsoft.com/office/drawing/2014/main" id="{00000000-0008-0000-1300-00000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5</xdr:row>
          <xdr:rowOff>9525</xdr:rowOff>
        </xdr:from>
        <xdr:to>
          <xdr:col>7</xdr:col>
          <xdr:colOff>161925</xdr:colOff>
          <xdr:row>6</xdr:row>
          <xdr:rowOff>0</xdr:rowOff>
        </xdr:to>
        <xdr:sp macro="" textlink="">
          <xdr:nvSpPr>
            <xdr:cNvPr id="34827" name="Option Button 11" hidden="1">
              <a:extLst>
                <a:ext uri="{63B3BB69-23CF-44E3-9099-C40C66FF867C}">
                  <a14:compatExt spid="_x0000_s34827"/>
                </a:ext>
                <a:ext uri="{FF2B5EF4-FFF2-40B4-BE49-F238E27FC236}">
                  <a16:creationId xmlns:a16="http://schemas.microsoft.com/office/drawing/2014/main" id="{00000000-0008-0000-13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5</xdr:row>
          <xdr:rowOff>9525</xdr:rowOff>
        </xdr:from>
        <xdr:to>
          <xdr:col>8</xdr:col>
          <xdr:colOff>238125</xdr:colOff>
          <xdr:row>6</xdr:row>
          <xdr:rowOff>0</xdr:rowOff>
        </xdr:to>
        <xdr:sp macro="" textlink="">
          <xdr:nvSpPr>
            <xdr:cNvPr id="34828" name="Option Button 12" hidden="1">
              <a:extLst>
                <a:ext uri="{63B3BB69-23CF-44E3-9099-C40C66FF867C}">
                  <a14:compatExt spid="_x0000_s34828"/>
                </a:ext>
                <a:ext uri="{FF2B5EF4-FFF2-40B4-BE49-F238E27FC236}">
                  <a16:creationId xmlns:a16="http://schemas.microsoft.com/office/drawing/2014/main" id="{00000000-0008-0000-13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9525</xdr:colOff>
          <xdr:row>5</xdr:row>
          <xdr:rowOff>9525</xdr:rowOff>
        </xdr:from>
        <xdr:to>
          <xdr:col>10</xdr:col>
          <xdr:colOff>66675</xdr:colOff>
          <xdr:row>6</xdr:row>
          <xdr:rowOff>0</xdr:rowOff>
        </xdr:to>
        <xdr:sp macro="" textlink="">
          <xdr:nvSpPr>
            <xdr:cNvPr id="34829" name="Option Button 13" hidden="1">
              <a:extLst>
                <a:ext uri="{63B3BB69-23CF-44E3-9099-C40C66FF867C}">
                  <a14:compatExt spid="_x0000_s34829"/>
                </a:ext>
                <a:ext uri="{FF2B5EF4-FFF2-40B4-BE49-F238E27FC236}">
                  <a16:creationId xmlns:a16="http://schemas.microsoft.com/office/drawing/2014/main" id="{00000000-0008-0000-1300-00000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5</xdr:row>
          <xdr:rowOff>9525</xdr:rowOff>
        </xdr:from>
        <xdr:to>
          <xdr:col>11</xdr:col>
          <xdr:colOff>123825</xdr:colOff>
          <xdr:row>6</xdr:row>
          <xdr:rowOff>0</xdr:rowOff>
        </xdr:to>
        <xdr:sp macro="" textlink="">
          <xdr:nvSpPr>
            <xdr:cNvPr id="34830" name="Option Button 14" hidden="1">
              <a:extLst>
                <a:ext uri="{63B3BB69-23CF-44E3-9099-C40C66FF867C}">
                  <a14:compatExt spid="_x0000_s34830"/>
                </a:ext>
                <a:ext uri="{FF2B5EF4-FFF2-40B4-BE49-F238E27FC236}">
                  <a16:creationId xmlns:a16="http://schemas.microsoft.com/office/drawing/2014/main" id="{00000000-0008-0000-1300-00000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15</xdr:col>
          <xdr:colOff>0</xdr:colOff>
          <xdr:row>8</xdr:row>
          <xdr:rowOff>0</xdr:rowOff>
        </xdr:to>
        <xdr:sp macro="" textlink="">
          <xdr:nvSpPr>
            <xdr:cNvPr id="34832" name="Group Box 16" hidden="1">
              <a:extLst>
                <a:ext uri="{63B3BB69-23CF-44E3-9099-C40C66FF867C}">
                  <a14:compatExt spid="_x0000_s34832"/>
                </a:ext>
                <a:ext uri="{FF2B5EF4-FFF2-40B4-BE49-F238E27FC236}">
                  <a16:creationId xmlns:a16="http://schemas.microsoft.com/office/drawing/2014/main" id="{00000000-0008-0000-1300-000010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7</xdr:row>
          <xdr:rowOff>114300</xdr:rowOff>
        </xdr:from>
        <xdr:to>
          <xdr:col>6</xdr:col>
          <xdr:colOff>76200</xdr:colOff>
          <xdr:row>7</xdr:row>
          <xdr:rowOff>333375</xdr:rowOff>
        </xdr:to>
        <xdr:sp macro="" textlink="">
          <xdr:nvSpPr>
            <xdr:cNvPr id="34833" name="Option Button 17" hidden="1">
              <a:extLst>
                <a:ext uri="{63B3BB69-23CF-44E3-9099-C40C66FF867C}">
                  <a14:compatExt spid="_x0000_s34833"/>
                </a:ext>
                <a:ext uri="{FF2B5EF4-FFF2-40B4-BE49-F238E27FC236}">
                  <a16:creationId xmlns:a16="http://schemas.microsoft.com/office/drawing/2014/main" id="{00000000-0008-0000-1300-00001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7</xdr:row>
          <xdr:rowOff>114300</xdr:rowOff>
        </xdr:from>
        <xdr:to>
          <xdr:col>8</xdr:col>
          <xdr:colOff>123825</xdr:colOff>
          <xdr:row>7</xdr:row>
          <xdr:rowOff>333375</xdr:rowOff>
        </xdr:to>
        <xdr:sp macro="" textlink="">
          <xdr:nvSpPr>
            <xdr:cNvPr id="34834" name="Option Button 18" hidden="1">
              <a:extLst>
                <a:ext uri="{63B3BB69-23CF-44E3-9099-C40C66FF867C}">
                  <a14:compatExt spid="_x0000_s34834"/>
                </a:ext>
                <a:ext uri="{FF2B5EF4-FFF2-40B4-BE49-F238E27FC236}">
                  <a16:creationId xmlns:a16="http://schemas.microsoft.com/office/drawing/2014/main" id="{00000000-0008-0000-1300-00001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xdr:row>
          <xdr:rowOff>0</xdr:rowOff>
        </xdr:from>
        <xdr:to>
          <xdr:col>12</xdr:col>
          <xdr:colOff>0</xdr:colOff>
          <xdr:row>7</xdr:row>
          <xdr:rowOff>0</xdr:rowOff>
        </xdr:to>
        <xdr:sp macro="" textlink="">
          <xdr:nvSpPr>
            <xdr:cNvPr id="34836" name="Group Box 20" hidden="1">
              <a:extLst>
                <a:ext uri="{63B3BB69-23CF-44E3-9099-C40C66FF867C}">
                  <a14:compatExt spid="_x0000_s34836"/>
                </a:ext>
                <a:ext uri="{FF2B5EF4-FFF2-40B4-BE49-F238E27FC236}">
                  <a16:creationId xmlns:a16="http://schemas.microsoft.com/office/drawing/2014/main" id="{00000000-0008-0000-1300-000014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6</xdr:row>
          <xdr:rowOff>47625</xdr:rowOff>
        </xdr:from>
        <xdr:to>
          <xdr:col>6</xdr:col>
          <xdr:colOff>76200</xdr:colOff>
          <xdr:row>7</xdr:row>
          <xdr:rowOff>0</xdr:rowOff>
        </xdr:to>
        <xdr:sp macro="" textlink="">
          <xdr:nvSpPr>
            <xdr:cNvPr id="34837" name="Option Button 21" hidden="1">
              <a:extLst>
                <a:ext uri="{63B3BB69-23CF-44E3-9099-C40C66FF867C}">
                  <a14:compatExt spid="_x0000_s34837"/>
                </a:ext>
                <a:ext uri="{FF2B5EF4-FFF2-40B4-BE49-F238E27FC236}">
                  <a16:creationId xmlns:a16="http://schemas.microsoft.com/office/drawing/2014/main" id="{00000000-0008-0000-1300-00001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6</xdr:row>
          <xdr:rowOff>47625</xdr:rowOff>
        </xdr:from>
        <xdr:to>
          <xdr:col>7</xdr:col>
          <xdr:colOff>161925</xdr:colOff>
          <xdr:row>7</xdr:row>
          <xdr:rowOff>0</xdr:rowOff>
        </xdr:to>
        <xdr:sp macro="" textlink="">
          <xdr:nvSpPr>
            <xdr:cNvPr id="34838" name="Option Button 22" hidden="1">
              <a:extLst>
                <a:ext uri="{63B3BB69-23CF-44E3-9099-C40C66FF867C}">
                  <a14:compatExt spid="_x0000_s34838"/>
                </a:ext>
                <a:ext uri="{FF2B5EF4-FFF2-40B4-BE49-F238E27FC236}">
                  <a16:creationId xmlns:a16="http://schemas.microsoft.com/office/drawing/2014/main" id="{00000000-0008-0000-1300-00001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6</xdr:row>
          <xdr:rowOff>47625</xdr:rowOff>
        </xdr:from>
        <xdr:to>
          <xdr:col>8</xdr:col>
          <xdr:colOff>238125</xdr:colOff>
          <xdr:row>7</xdr:row>
          <xdr:rowOff>0</xdr:rowOff>
        </xdr:to>
        <xdr:sp macro="" textlink="">
          <xdr:nvSpPr>
            <xdr:cNvPr id="34839" name="Option Button 23" hidden="1">
              <a:extLst>
                <a:ext uri="{63B3BB69-23CF-44E3-9099-C40C66FF867C}">
                  <a14:compatExt spid="_x0000_s34839"/>
                </a:ext>
                <a:ext uri="{FF2B5EF4-FFF2-40B4-BE49-F238E27FC236}">
                  <a16:creationId xmlns:a16="http://schemas.microsoft.com/office/drawing/2014/main" id="{00000000-0008-0000-1300-00001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9525</xdr:colOff>
          <xdr:row>6</xdr:row>
          <xdr:rowOff>47625</xdr:rowOff>
        </xdr:from>
        <xdr:to>
          <xdr:col>10</xdr:col>
          <xdr:colOff>66675</xdr:colOff>
          <xdr:row>7</xdr:row>
          <xdr:rowOff>0</xdr:rowOff>
        </xdr:to>
        <xdr:sp macro="" textlink="">
          <xdr:nvSpPr>
            <xdr:cNvPr id="34840" name="Option Button 24" hidden="1">
              <a:extLst>
                <a:ext uri="{63B3BB69-23CF-44E3-9099-C40C66FF867C}">
                  <a14:compatExt spid="_x0000_s34840"/>
                </a:ext>
                <a:ext uri="{FF2B5EF4-FFF2-40B4-BE49-F238E27FC236}">
                  <a16:creationId xmlns:a16="http://schemas.microsoft.com/office/drawing/2014/main" id="{00000000-0008-0000-1300-00001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6</xdr:row>
          <xdr:rowOff>47625</xdr:rowOff>
        </xdr:from>
        <xdr:to>
          <xdr:col>11</xdr:col>
          <xdr:colOff>123825</xdr:colOff>
          <xdr:row>7</xdr:row>
          <xdr:rowOff>0</xdr:rowOff>
        </xdr:to>
        <xdr:sp macro="" textlink="">
          <xdr:nvSpPr>
            <xdr:cNvPr id="34841" name="Option Button 25" hidden="1">
              <a:extLst>
                <a:ext uri="{63B3BB69-23CF-44E3-9099-C40C66FF867C}">
                  <a14:compatExt spid="_x0000_s34841"/>
                </a:ext>
                <a:ext uri="{FF2B5EF4-FFF2-40B4-BE49-F238E27FC236}">
                  <a16:creationId xmlns:a16="http://schemas.microsoft.com/office/drawing/2014/main" id="{00000000-0008-0000-1300-00001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xdr:row>
          <xdr:rowOff>47625</xdr:rowOff>
        </xdr:from>
        <xdr:to>
          <xdr:col>11</xdr:col>
          <xdr:colOff>438150</xdr:colOff>
          <xdr:row>7</xdr:row>
          <xdr:rowOff>0</xdr:rowOff>
        </xdr:to>
        <xdr:sp macro="" textlink="">
          <xdr:nvSpPr>
            <xdr:cNvPr id="34842" name="Option Button 26" hidden="1">
              <a:extLst>
                <a:ext uri="{63B3BB69-23CF-44E3-9099-C40C66FF867C}">
                  <a14:compatExt spid="_x0000_s34842"/>
                </a:ext>
                <a:ext uri="{FF2B5EF4-FFF2-40B4-BE49-F238E27FC236}">
                  <a16:creationId xmlns:a16="http://schemas.microsoft.com/office/drawing/2014/main" id="{00000000-0008-0000-1300-00001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xdr:row>
          <xdr:rowOff>85725</xdr:rowOff>
        </xdr:from>
        <xdr:to>
          <xdr:col>7</xdr:col>
          <xdr:colOff>133350</xdr:colOff>
          <xdr:row>15</xdr:row>
          <xdr:rowOff>142875</xdr:rowOff>
        </xdr:to>
        <xdr:sp macro="" textlink="">
          <xdr:nvSpPr>
            <xdr:cNvPr id="34843" name="Object 27" hidden="1">
              <a:extLst>
                <a:ext uri="{63B3BB69-23CF-44E3-9099-C40C66FF867C}">
                  <a14:compatExt spid="_x0000_s34843"/>
                </a:ext>
                <a:ext uri="{FF2B5EF4-FFF2-40B4-BE49-F238E27FC236}">
                  <a16:creationId xmlns:a16="http://schemas.microsoft.com/office/drawing/2014/main" id="{00000000-0008-0000-1300-00001B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66675</xdr:colOff>
          <xdr:row>3</xdr:row>
          <xdr:rowOff>104775</xdr:rowOff>
        </xdr:from>
        <xdr:to>
          <xdr:col>4</xdr:col>
          <xdr:colOff>47625</xdr:colOff>
          <xdr:row>3</xdr:row>
          <xdr:rowOff>323850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4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9525</xdr:rowOff>
        </xdr:from>
        <xdr:to>
          <xdr:col>4</xdr:col>
          <xdr:colOff>38100</xdr:colOff>
          <xdr:row>14</xdr:row>
          <xdr:rowOff>9525</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4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xdr:row>
          <xdr:rowOff>76200</xdr:rowOff>
        </xdr:from>
        <xdr:to>
          <xdr:col>4</xdr:col>
          <xdr:colOff>38100</xdr:colOff>
          <xdr:row>10</xdr:row>
          <xdr:rowOff>295275</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4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47625</xdr:rowOff>
        </xdr:from>
        <xdr:to>
          <xdr:col>4</xdr:col>
          <xdr:colOff>28575</xdr:colOff>
          <xdr:row>25</xdr:row>
          <xdr:rowOff>266700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4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14</xdr:row>
          <xdr:rowOff>0</xdr:rowOff>
        </xdr:from>
        <xdr:to>
          <xdr:col>15</xdr:col>
          <xdr:colOff>0</xdr:colOff>
          <xdr:row>19</xdr:row>
          <xdr:rowOff>0</xdr:rowOff>
        </xdr:to>
        <xdr:grpSp>
          <xdr:nvGrpSpPr>
            <xdr:cNvPr id="79570" name="Group 5">
              <a:extLst>
                <a:ext uri="{FF2B5EF4-FFF2-40B4-BE49-F238E27FC236}">
                  <a16:creationId xmlns:a16="http://schemas.microsoft.com/office/drawing/2014/main" id="{00000000-0008-0000-1400-0000D2360100}"/>
                </a:ext>
              </a:extLst>
            </xdr:cNvPr>
            <xdr:cNvGrpSpPr>
              <a:grpSpLocks/>
            </xdr:cNvGrpSpPr>
          </xdr:nvGrpSpPr>
          <xdr:grpSpPr bwMode="auto">
            <a:xfrm>
              <a:off x="1293813" y="4357688"/>
              <a:ext cx="3714750" cy="1508125"/>
              <a:chOff x="136" y="446"/>
              <a:chExt cx="415" cy="180"/>
            </a:xfrm>
          </xdr:grpSpPr>
          <xdr:sp macro="" textlink="">
            <xdr:nvSpPr>
              <xdr:cNvPr id="25606" name="Group Box 6" hidden="1">
                <a:extLst>
                  <a:ext uri="{63B3BB69-23CF-44E3-9099-C40C66FF867C}">
                    <a14:compatExt spid="_x0000_s25606"/>
                  </a:ext>
                  <a:ext uri="{FF2B5EF4-FFF2-40B4-BE49-F238E27FC236}">
                    <a16:creationId xmlns:a16="http://schemas.microsoft.com/office/drawing/2014/main" id="{00000000-0008-0000-1400-000006640000}"/>
                  </a:ext>
                </a:extLst>
              </xdr:cNvPr>
              <xdr:cNvSpPr/>
            </xdr:nvSpPr>
            <xdr:spPr bwMode="auto">
              <a:xfrm>
                <a:off x="136" y="446"/>
                <a:ext cx="415" cy="180"/>
              </a:xfrm>
              <a:prstGeom prst="rect">
                <a:avLst/>
              </a:prstGeom>
              <a:noFill/>
              <a:ln w="9525">
                <a:miter lim="800000"/>
                <a:headEnd/>
                <a:tailEnd/>
              </a:ln>
              <a:extLst>
                <a:ext uri="{909E8E84-426E-40DD-AFC4-6F175D3DCCD1}">
                  <a14:hiddenFill>
                    <a:noFill/>
                  </a14:hiddenFill>
                </a:ext>
              </a:extLst>
            </xdr:spPr>
          </xdr:sp>
          <xdr:sp macro="" textlink="">
            <xdr:nvSpPr>
              <xdr:cNvPr id="25607" name="Option Button 7" hidden="1">
                <a:extLst>
                  <a:ext uri="{63B3BB69-23CF-44E3-9099-C40C66FF867C}">
                    <a14:compatExt spid="_x0000_s25607"/>
                  </a:ext>
                  <a:ext uri="{FF2B5EF4-FFF2-40B4-BE49-F238E27FC236}">
                    <a16:creationId xmlns:a16="http://schemas.microsoft.com/office/drawing/2014/main" id="{00000000-0008-0000-1400-000007640000}"/>
                  </a:ext>
                </a:extLst>
              </xdr:cNvPr>
              <xdr:cNvSpPr/>
            </xdr:nvSpPr>
            <xdr:spPr bwMode="auto">
              <a:xfrm>
                <a:off x="143" y="45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8" name="Option Button 8" hidden="1">
                <a:extLst>
                  <a:ext uri="{63B3BB69-23CF-44E3-9099-C40C66FF867C}">
                    <a14:compatExt spid="_x0000_s25608"/>
                  </a:ext>
                  <a:ext uri="{FF2B5EF4-FFF2-40B4-BE49-F238E27FC236}">
                    <a16:creationId xmlns:a16="http://schemas.microsoft.com/office/drawing/2014/main" id="{00000000-0008-0000-1400-000008640000}"/>
                  </a:ext>
                </a:extLst>
              </xdr:cNvPr>
              <xdr:cNvSpPr/>
            </xdr:nvSpPr>
            <xdr:spPr bwMode="auto">
              <a:xfrm>
                <a:off x="143" y="49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9" name="Option Button 9" hidden="1">
                <a:extLst>
                  <a:ext uri="{63B3BB69-23CF-44E3-9099-C40C66FF867C}">
                    <a14:compatExt spid="_x0000_s25609"/>
                  </a:ext>
                  <a:ext uri="{FF2B5EF4-FFF2-40B4-BE49-F238E27FC236}">
                    <a16:creationId xmlns:a16="http://schemas.microsoft.com/office/drawing/2014/main" id="{00000000-0008-0000-1400-000009640000}"/>
                  </a:ext>
                </a:extLst>
              </xdr:cNvPr>
              <xdr:cNvSpPr/>
            </xdr:nvSpPr>
            <xdr:spPr bwMode="auto">
              <a:xfrm>
                <a:off x="143" y="52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0" name="Option Button 10" hidden="1">
                <a:extLst>
                  <a:ext uri="{63B3BB69-23CF-44E3-9099-C40C66FF867C}">
                    <a14:compatExt spid="_x0000_s25610"/>
                  </a:ext>
                  <a:ext uri="{FF2B5EF4-FFF2-40B4-BE49-F238E27FC236}">
                    <a16:creationId xmlns:a16="http://schemas.microsoft.com/office/drawing/2014/main" id="{00000000-0008-0000-1400-00000A640000}"/>
                  </a:ext>
                </a:extLst>
              </xdr:cNvPr>
              <xdr:cNvSpPr/>
            </xdr:nvSpPr>
            <xdr:spPr bwMode="auto">
              <a:xfrm>
                <a:off x="143" y="56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1" name="Option Button 11" hidden="1">
                <a:extLst>
                  <a:ext uri="{63B3BB69-23CF-44E3-9099-C40C66FF867C}">
                    <a14:compatExt spid="_x0000_s25611"/>
                  </a:ext>
                  <a:ext uri="{FF2B5EF4-FFF2-40B4-BE49-F238E27FC236}">
                    <a16:creationId xmlns:a16="http://schemas.microsoft.com/office/drawing/2014/main" id="{00000000-0008-0000-1400-00000B640000}"/>
                  </a:ext>
                </a:extLst>
              </xdr:cNvPr>
              <xdr:cNvSpPr/>
            </xdr:nvSpPr>
            <xdr:spPr bwMode="auto">
              <a:xfrm>
                <a:off x="143" y="59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15</xdr:col>
          <xdr:colOff>0</xdr:colOff>
          <xdr:row>10</xdr:row>
          <xdr:rowOff>0</xdr:rowOff>
        </xdr:to>
        <xdr:grpSp>
          <xdr:nvGrpSpPr>
            <xdr:cNvPr id="79571" name="Group 12">
              <a:extLst>
                <a:ext uri="{FF2B5EF4-FFF2-40B4-BE49-F238E27FC236}">
                  <a16:creationId xmlns:a16="http://schemas.microsoft.com/office/drawing/2014/main" id="{00000000-0008-0000-1400-0000D3360100}"/>
                </a:ext>
              </a:extLst>
            </xdr:cNvPr>
            <xdr:cNvGrpSpPr>
              <a:grpSpLocks/>
            </xdr:cNvGrpSpPr>
          </xdr:nvGrpSpPr>
          <xdr:grpSpPr bwMode="auto">
            <a:xfrm>
              <a:off x="1293813" y="2087563"/>
              <a:ext cx="3714750" cy="1023937"/>
              <a:chOff x="136" y="194"/>
              <a:chExt cx="415" cy="108"/>
            </a:xfrm>
          </xdr:grpSpPr>
          <xdr:sp macro="" textlink="">
            <xdr:nvSpPr>
              <xdr:cNvPr id="25613" name="Group Box 13" hidden="1">
                <a:extLst>
                  <a:ext uri="{63B3BB69-23CF-44E3-9099-C40C66FF867C}">
                    <a14:compatExt spid="_x0000_s25613"/>
                  </a:ext>
                  <a:ext uri="{FF2B5EF4-FFF2-40B4-BE49-F238E27FC236}">
                    <a16:creationId xmlns:a16="http://schemas.microsoft.com/office/drawing/2014/main" id="{00000000-0008-0000-1400-00000D640000}"/>
                  </a:ext>
                </a:extLst>
              </xdr:cNvPr>
              <xdr:cNvSpPr/>
            </xdr:nvSpPr>
            <xdr:spPr bwMode="auto">
              <a:xfrm>
                <a:off x="136" y="194"/>
                <a:ext cx="415" cy="108"/>
              </a:xfrm>
              <a:prstGeom prst="rect">
                <a:avLst/>
              </a:prstGeom>
              <a:noFill/>
              <a:ln w="9525">
                <a:miter lim="800000"/>
                <a:headEnd/>
                <a:tailEnd/>
              </a:ln>
              <a:extLst>
                <a:ext uri="{909E8E84-426E-40DD-AFC4-6F175D3DCCD1}">
                  <a14:hiddenFill>
                    <a:noFill/>
                  </a14:hiddenFill>
                </a:ext>
              </a:extLst>
            </xdr:spPr>
          </xdr:sp>
          <xdr:sp macro="" textlink="">
            <xdr:nvSpPr>
              <xdr:cNvPr id="25614" name="Option Button 14" hidden="1">
                <a:extLst>
                  <a:ext uri="{63B3BB69-23CF-44E3-9099-C40C66FF867C}">
                    <a14:compatExt spid="_x0000_s25614"/>
                  </a:ext>
                  <a:ext uri="{FF2B5EF4-FFF2-40B4-BE49-F238E27FC236}">
                    <a16:creationId xmlns:a16="http://schemas.microsoft.com/office/drawing/2014/main" id="{00000000-0008-0000-1400-00000E640000}"/>
                  </a:ext>
                </a:extLst>
              </xdr:cNvPr>
              <xdr:cNvSpPr/>
            </xdr:nvSpPr>
            <xdr:spPr bwMode="auto">
              <a:xfrm>
                <a:off x="142" y="20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5" name="Option Button 15" hidden="1">
                <a:extLst>
                  <a:ext uri="{63B3BB69-23CF-44E3-9099-C40C66FF867C}">
                    <a14:compatExt spid="_x0000_s25615"/>
                  </a:ext>
                  <a:ext uri="{FF2B5EF4-FFF2-40B4-BE49-F238E27FC236}">
                    <a16:creationId xmlns:a16="http://schemas.microsoft.com/office/drawing/2014/main" id="{00000000-0008-0000-1400-00000F640000}"/>
                  </a:ext>
                </a:extLst>
              </xdr:cNvPr>
              <xdr:cNvSpPr/>
            </xdr:nvSpPr>
            <xdr:spPr bwMode="auto">
              <a:xfrm>
                <a:off x="142" y="24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6" name="Option Button 16" hidden="1">
                <a:extLst>
                  <a:ext uri="{63B3BB69-23CF-44E3-9099-C40C66FF867C}">
                    <a14:compatExt spid="_x0000_s25616"/>
                  </a:ext>
                  <a:ext uri="{FF2B5EF4-FFF2-40B4-BE49-F238E27FC236}">
                    <a16:creationId xmlns:a16="http://schemas.microsoft.com/office/drawing/2014/main" id="{00000000-0008-0000-1400-000010640000}"/>
                  </a:ext>
                </a:extLst>
              </xdr:cNvPr>
              <xdr:cNvSpPr/>
            </xdr:nvSpPr>
            <xdr:spPr bwMode="auto">
              <a:xfrm>
                <a:off x="142" y="27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20</xdr:row>
          <xdr:rowOff>0</xdr:rowOff>
        </xdr:from>
        <xdr:to>
          <xdr:col>15</xdr:col>
          <xdr:colOff>9525</xdr:colOff>
          <xdr:row>25</xdr:row>
          <xdr:rowOff>0</xdr:rowOff>
        </xdr:to>
        <xdr:grpSp>
          <xdr:nvGrpSpPr>
            <xdr:cNvPr id="79572" name="Group 17">
              <a:extLst>
                <a:ext uri="{FF2B5EF4-FFF2-40B4-BE49-F238E27FC236}">
                  <a16:creationId xmlns:a16="http://schemas.microsoft.com/office/drawing/2014/main" id="{00000000-0008-0000-1400-0000D4360100}"/>
                </a:ext>
              </a:extLst>
            </xdr:cNvPr>
            <xdr:cNvGrpSpPr>
              <a:grpSpLocks/>
            </xdr:cNvGrpSpPr>
          </xdr:nvGrpSpPr>
          <xdr:grpSpPr bwMode="auto">
            <a:xfrm>
              <a:off x="1293813" y="6096000"/>
              <a:ext cx="3724275" cy="2508250"/>
              <a:chOff x="136" y="702"/>
              <a:chExt cx="415" cy="219"/>
            </a:xfrm>
          </xdr:grpSpPr>
          <xdr:sp macro="" textlink="">
            <xdr:nvSpPr>
              <xdr:cNvPr id="25618" name="Group Box 18" hidden="1">
                <a:extLst>
                  <a:ext uri="{63B3BB69-23CF-44E3-9099-C40C66FF867C}">
                    <a14:compatExt spid="_x0000_s25618"/>
                  </a:ext>
                  <a:ext uri="{FF2B5EF4-FFF2-40B4-BE49-F238E27FC236}">
                    <a16:creationId xmlns:a16="http://schemas.microsoft.com/office/drawing/2014/main" id="{00000000-0008-0000-1400-000012640000}"/>
                  </a:ext>
                </a:extLst>
              </xdr:cNvPr>
              <xdr:cNvSpPr/>
            </xdr:nvSpPr>
            <xdr:spPr bwMode="auto">
              <a:xfrm>
                <a:off x="136" y="702"/>
                <a:ext cx="415" cy="219"/>
              </a:xfrm>
              <a:prstGeom prst="rect">
                <a:avLst/>
              </a:prstGeom>
              <a:noFill/>
              <a:ln w="9525">
                <a:miter lim="800000"/>
                <a:headEnd/>
                <a:tailEnd/>
              </a:ln>
              <a:extLst>
                <a:ext uri="{909E8E84-426E-40DD-AFC4-6F175D3DCCD1}">
                  <a14:hiddenFill>
                    <a:noFill/>
                  </a14:hiddenFill>
                </a:ext>
              </a:extLst>
            </xdr:spPr>
          </xdr:sp>
          <xdr:sp macro="" textlink="">
            <xdr:nvSpPr>
              <xdr:cNvPr id="25619" name="Option Button 19" hidden="1">
                <a:extLst>
                  <a:ext uri="{63B3BB69-23CF-44E3-9099-C40C66FF867C}">
                    <a14:compatExt spid="_x0000_s25619"/>
                  </a:ext>
                  <a:ext uri="{FF2B5EF4-FFF2-40B4-BE49-F238E27FC236}">
                    <a16:creationId xmlns:a16="http://schemas.microsoft.com/office/drawing/2014/main" id="{00000000-0008-0000-1400-000013640000}"/>
                  </a:ext>
                </a:extLst>
              </xdr:cNvPr>
              <xdr:cNvSpPr/>
            </xdr:nvSpPr>
            <xdr:spPr bwMode="auto">
              <a:xfrm>
                <a:off x="142" y="70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0" name="Option Button 20" hidden="1">
                <a:extLst>
                  <a:ext uri="{63B3BB69-23CF-44E3-9099-C40C66FF867C}">
                    <a14:compatExt spid="_x0000_s25620"/>
                  </a:ext>
                  <a:ext uri="{FF2B5EF4-FFF2-40B4-BE49-F238E27FC236}">
                    <a16:creationId xmlns:a16="http://schemas.microsoft.com/office/drawing/2014/main" id="{00000000-0008-0000-1400-000014640000}"/>
                  </a:ext>
                </a:extLst>
              </xdr:cNvPr>
              <xdr:cNvSpPr/>
            </xdr:nvSpPr>
            <xdr:spPr bwMode="auto">
              <a:xfrm>
                <a:off x="142" y="74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1" name="Option Button 21" hidden="1">
                <a:extLst>
                  <a:ext uri="{63B3BB69-23CF-44E3-9099-C40C66FF867C}">
                    <a14:compatExt spid="_x0000_s25621"/>
                  </a:ext>
                  <a:ext uri="{FF2B5EF4-FFF2-40B4-BE49-F238E27FC236}">
                    <a16:creationId xmlns:a16="http://schemas.microsoft.com/office/drawing/2014/main" id="{00000000-0008-0000-1400-000015640000}"/>
                  </a:ext>
                </a:extLst>
              </xdr:cNvPr>
              <xdr:cNvSpPr/>
            </xdr:nvSpPr>
            <xdr:spPr bwMode="auto">
              <a:xfrm>
                <a:off x="142" y="78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2" name="Option Button 22" hidden="1">
                <a:extLst>
                  <a:ext uri="{63B3BB69-23CF-44E3-9099-C40C66FF867C}">
                    <a14:compatExt spid="_x0000_s25622"/>
                  </a:ext>
                  <a:ext uri="{FF2B5EF4-FFF2-40B4-BE49-F238E27FC236}">
                    <a16:creationId xmlns:a16="http://schemas.microsoft.com/office/drawing/2014/main" id="{00000000-0008-0000-1400-000016640000}"/>
                  </a:ext>
                </a:extLst>
              </xdr:cNvPr>
              <xdr:cNvSpPr/>
            </xdr:nvSpPr>
            <xdr:spPr bwMode="auto">
              <a:xfrm>
                <a:off x="142" y="83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3" name="Option Button 23" hidden="1">
                <a:extLst>
                  <a:ext uri="{63B3BB69-23CF-44E3-9099-C40C66FF867C}">
                    <a14:compatExt spid="_x0000_s25623"/>
                  </a:ext>
                  <a:ext uri="{FF2B5EF4-FFF2-40B4-BE49-F238E27FC236}">
                    <a16:creationId xmlns:a16="http://schemas.microsoft.com/office/drawing/2014/main" id="{00000000-0008-0000-1400-000017640000}"/>
                  </a:ext>
                </a:extLst>
              </xdr:cNvPr>
              <xdr:cNvSpPr/>
            </xdr:nvSpPr>
            <xdr:spPr bwMode="auto">
              <a:xfrm>
                <a:off x="142" y="88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66675</xdr:rowOff>
        </xdr:from>
        <xdr:to>
          <xdr:col>1</xdr:col>
          <xdr:colOff>1076325</xdr:colOff>
          <xdr:row>36</xdr:row>
          <xdr:rowOff>200025</xdr:rowOff>
        </xdr:to>
        <xdr:sp macro="" textlink="">
          <xdr:nvSpPr>
            <xdr:cNvPr id="25624" name="Object 24" hidden="1">
              <a:extLst>
                <a:ext uri="{63B3BB69-23CF-44E3-9099-C40C66FF867C}">
                  <a14:compatExt spid="_x0000_s25624"/>
                </a:ext>
                <a:ext uri="{FF2B5EF4-FFF2-40B4-BE49-F238E27FC236}">
                  <a16:creationId xmlns:a16="http://schemas.microsoft.com/office/drawing/2014/main" id="{00000000-0008-0000-1400-000018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30</xdr:row>
          <xdr:rowOff>0</xdr:rowOff>
        </xdr:from>
        <xdr:to>
          <xdr:col>4</xdr:col>
          <xdr:colOff>9525</xdr:colOff>
          <xdr:row>37</xdr:row>
          <xdr:rowOff>0</xdr:rowOff>
        </xdr:to>
        <xdr:grpSp>
          <xdr:nvGrpSpPr>
            <xdr:cNvPr id="79573" name="Group 25">
              <a:extLst>
                <a:ext uri="{FF2B5EF4-FFF2-40B4-BE49-F238E27FC236}">
                  <a16:creationId xmlns:a16="http://schemas.microsoft.com/office/drawing/2014/main" id="{00000000-0008-0000-1400-0000D5360100}"/>
                </a:ext>
              </a:extLst>
            </xdr:cNvPr>
            <xdr:cNvGrpSpPr>
              <a:grpSpLocks/>
            </xdr:cNvGrpSpPr>
          </xdr:nvGrpSpPr>
          <xdr:grpSpPr bwMode="auto">
            <a:xfrm>
              <a:off x="1293813" y="10366375"/>
              <a:ext cx="334962" cy="2389188"/>
              <a:chOff x="136" y="1085"/>
              <a:chExt cx="35" cy="253"/>
            </a:xfrm>
          </xdr:grpSpPr>
          <xdr:sp macro="" textlink="">
            <xdr:nvSpPr>
              <xdr:cNvPr id="25626" name="Group Box 26" hidden="1">
                <a:extLst>
                  <a:ext uri="{63B3BB69-23CF-44E3-9099-C40C66FF867C}">
                    <a14:compatExt spid="_x0000_s25626"/>
                  </a:ext>
                  <a:ext uri="{FF2B5EF4-FFF2-40B4-BE49-F238E27FC236}">
                    <a16:creationId xmlns:a16="http://schemas.microsoft.com/office/drawing/2014/main" id="{00000000-0008-0000-1400-00001A640000}"/>
                  </a:ext>
                </a:extLst>
              </xdr:cNvPr>
              <xdr:cNvSpPr/>
            </xdr:nvSpPr>
            <xdr:spPr bwMode="auto">
              <a:xfrm>
                <a:off x="136" y="1085"/>
                <a:ext cx="34" cy="253"/>
              </a:xfrm>
              <a:prstGeom prst="rect">
                <a:avLst/>
              </a:prstGeom>
              <a:noFill/>
              <a:ln w="9525">
                <a:miter lim="800000"/>
                <a:headEnd/>
                <a:tailEnd/>
              </a:ln>
              <a:extLst>
                <a:ext uri="{909E8E84-426E-40DD-AFC4-6F175D3DCCD1}">
                  <a14:hiddenFill>
                    <a:noFill/>
                  </a14:hiddenFill>
                </a:ext>
              </a:extLst>
            </xdr:spPr>
          </xdr:sp>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400-00001B640000}"/>
                  </a:ext>
                </a:extLst>
              </xdr:cNvPr>
              <xdr:cNvSpPr/>
            </xdr:nvSpPr>
            <xdr:spPr bwMode="auto">
              <a:xfrm>
                <a:off x="139" y="110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400-00001C640000}"/>
                  </a:ext>
                </a:extLst>
              </xdr:cNvPr>
              <xdr:cNvSpPr/>
            </xdr:nvSpPr>
            <xdr:spPr bwMode="auto">
              <a:xfrm>
                <a:off x="139" y="1135"/>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400-00001D640000}"/>
                  </a:ext>
                </a:extLst>
              </xdr:cNvPr>
              <xdr:cNvSpPr/>
            </xdr:nvSpPr>
            <xdr:spPr bwMode="auto">
              <a:xfrm>
                <a:off x="139" y="117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0" name="Option Button 30" hidden="1">
                <a:extLst>
                  <a:ext uri="{63B3BB69-23CF-44E3-9099-C40C66FF867C}">
                    <a14:compatExt spid="_x0000_s25630"/>
                  </a:ext>
                  <a:ext uri="{FF2B5EF4-FFF2-40B4-BE49-F238E27FC236}">
                    <a16:creationId xmlns:a16="http://schemas.microsoft.com/office/drawing/2014/main" id="{00000000-0008-0000-1400-00001E640000}"/>
                  </a:ext>
                </a:extLst>
              </xdr:cNvPr>
              <xdr:cNvSpPr/>
            </xdr:nvSpPr>
            <xdr:spPr bwMode="auto">
              <a:xfrm>
                <a:off x="139" y="120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1" name="Option Button 31" hidden="1">
                <a:extLst>
                  <a:ext uri="{63B3BB69-23CF-44E3-9099-C40C66FF867C}">
                    <a14:compatExt spid="_x0000_s25631"/>
                  </a:ext>
                  <a:ext uri="{FF2B5EF4-FFF2-40B4-BE49-F238E27FC236}">
                    <a16:creationId xmlns:a16="http://schemas.microsoft.com/office/drawing/2014/main" id="{00000000-0008-0000-1400-00001F640000}"/>
                  </a:ext>
                </a:extLst>
              </xdr:cNvPr>
              <xdr:cNvSpPr/>
            </xdr:nvSpPr>
            <xdr:spPr bwMode="auto">
              <a:xfrm>
                <a:off x="139" y="124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2" name="Option Button 32" hidden="1">
                <a:extLst>
                  <a:ext uri="{63B3BB69-23CF-44E3-9099-C40C66FF867C}">
                    <a14:compatExt spid="_x0000_s25632"/>
                  </a:ext>
                  <a:ext uri="{FF2B5EF4-FFF2-40B4-BE49-F238E27FC236}">
                    <a16:creationId xmlns:a16="http://schemas.microsoft.com/office/drawing/2014/main" id="{00000000-0008-0000-1400-000020640000}"/>
                  </a:ext>
                </a:extLst>
              </xdr:cNvPr>
              <xdr:cNvSpPr/>
            </xdr:nvSpPr>
            <xdr:spPr bwMode="auto">
              <a:xfrm>
                <a:off x="139" y="127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3" name="Option Button 33" hidden="1">
                <a:extLst>
                  <a:ext uri="{63B3BB69-23CF-44E3-9099-C40C66FF867C}">
                    <a14:compatExt spid="_x0000_s25633"/>
                  </a:ext>
                  <a:ext uri="{FF2B5EF4-FFF2-40B4-BE49-F238E27FC236}">
                    <a16:creationId xmlns:a16="http://schemas.microsoft.com/office/drawing/2014/main" id="{00000000-0008-0000-1400-000021640000}"/>
                  </a:ext>
                </a:extLst>
              </xdr:cNvPr>
              <xdr:cNvSpPr/>
            </xdr:nvSpPr>
            <xdr:spPr bwMode="auto">
              <a:xfrm>
                <a:off x="139" y="131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76200</xdr:rowOff>
        </xdr:from>
        <xdr:to>
          <xdr:col>4</xdr:col>
          <xdr:colOff>38100</xdr:colOff>
          <xdr:row>11</xdr:row>
          <xdr:rowOff>295275</xdr:rowOff>
        </xdr:to>
        <xdr:sp macro="" textlink="">
          <xdr:nvSpPr>
            <xdr:cNvPr id="25634" name="Check Box 34" hidden="1">
              <a:extLst>
                <a:ext uri="{63B3BB69-23CF-44E3-9099-C40C66FF867C}">
                  <a14:compatExt spid="_x0000_s25634"/>
                </a:ext>
                <a:ext uri="{FF2B5EF4-FFF2-40B4-BE49-F238E27FC236}">
                  <a16:creationId xmlns:a16="http://schemas.microsoft.com/office/drawing/2014/main" id="{00000000-0008-0000-14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104775</xdr:rowOff>
        </xdr:from>
        <xdr:to>
          <xdr:col>4</xdr:col>
          <xdr:colOff>9525</xdr:colOff>
          <xdr:row>37</xdr:row>
          <xdr:rowOff>323850</xdr:rowOff>
        </xdr:to>
        <xdr:sp macro="" textlink="">
          <xdr:nvSpPr>
            <xdr:cNvPr id="26027" name="Check Box 427" hidden="1">
              <a:extLst>
                <a:ext uri="{63B3BB69-23CF-44E3-9099-C40C66FF867C}">
                  <a14:compatExt spid="_x0000_s26027"/>
                </a:ext>
                <a:ext uri="{FF2B5EF4-FFF2-40B4-BE49-F238E27FC236}">
                  <a16:creationId xmlns:a16="http://schemas.microsoft.com/office/drawing/2014/main" id="{00000000-0008-0000-1400-0000AB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42</xdr:row>
          <xdr:rowOff>247650</xdr:rowOff>
        </xdr:from>
        <xdr:to>
          <xdr:col>7</xdr:col>
          <xdr:colOff>95250</xdr:colOff>
          <xdr:row>43</xdr:row>
          <xdr:rowOff>200025</xdr:rowOff>
        </xdr:to>
        <xdr:sp macro="" textlink="">
          <xdr:nvSpPr>
            <xdr:cNvPr id="51216" name="Check Box 16" hidden="1">
              <a:extLst>
                <a:ext uri="{63B3BB69-23CF-44E3-9099-C40C66FF867C}">
                  <a14:compatExt spid="_x0000_s51216"/>
                </a:ext>
                <a:ext uri="{FF2B5EF4-FFF2-40B4-BE49-F238E27FC236}">
                  <a16:creationId xmlns:a16="http://schemas.microsoft.com/office/drawing/2014/main" id="{00000000-0008-0000-0200-00001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114300</xdr:rowOff>
        </xdr:from>
        <xdr:to>
          <xdr:col>7</xdr:col>
          <xdr:colOff>95250</xdr:colOff>
          <xdr:row>44</xdr:row>
          <xdr:rowOff>114300</xdr:rowOff>
        </xdr:to>
        <xdr:sp macro="" textlink="">
          <xdr:nvSpPr>
            <xdr:cNvPr id="51217" name="Check Box 17" hidden="1">
              <a:extLst>
                <a:ext uri="{63B3BB69-23CF-44E3-9099-C40C66FF867C}">
                  <a14:compatExt spid="_x0000_s51217"/>
                </a:ext>
                <a:ext uri="{FF2B5EF4-FFF2-40B4-BE49-F238E27FC236}">
                  <a16:creationId xmlns:a16="http://schemas.microsoft.com/office/drawing/2014/main" id="{00000000-0008-0000-0200-00001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152400</xdr:rowOff>
        </xdr:from>
        <xdr:to>
          <xdr:col>7</xdr:col>
          <xdr:colOff>95250</xdr:colOff>
          <xdr:row>45</xdr:row>
          <xdr:rowOff>104775</xdr:rowOff>
        </xdr:to>
        <xdr:sp macro="" textlink="">
          <xdr:nvSpPr>
            <xdr:cNvPr id="51218" name="Check Box 18" hidden="1">
              <a:extLst>
                <a:ext uri="{63B3BB69-23CF-44E3-9099-C40C66FF867C}">
                  <a14:compatExt spid="_x0000_s51218"/>
                </a:ext>
                <a:ext uri="{FF2B5EF4-FFF2-40B4-BE49-F238E27FC236}">
                  <a16:creationId xmlns:a16="http://schemas.microsoft.com/office/drawing/2014/main" id="{00000000-0008-0000-0200-00001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43657</xdr:colOff>
      <xdr:row>80</xdr:row>
      <xdr:rowOff>3969</xdr:rowOff>
    </xdr:from>
    <xdr:to>
      <xdr:col>10</xdr:col>
      <xdr:colOff>234157</xdr:colOff>
      <xdr:row>80</xdr:row>
      <xdr:rowOff>218282</xdr:rowOff>
    </xdr:to>
    <xdr:sp macro="" textlink="">
      <xdr:nvSpPr>
        <xdr:cNvPr id="6" name="Arrow: Down 5">
          <a:extLst>
            <a:ext uri="{FF2B5EF4-FFF2-40B4-BE49-F238E27FC236}">
              <a16:creationId xmlns:a16="http://schemas.microsoft.com/office/drawing/2014/main" id="{00000000-0008-0000-0200-000006000000}"/>
            </a:ext>
          </a:extLst>
        </xdr:cNvPr>
        <xdr:cNvSpPr/>
      </xdr:nvSpPr>
      <xdr:spPr bwMode="auto">
        <a:xfrm rot="5400000">
          <a:off x="3375025" y="15341601"/>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31751</xdr:colOff>
      <xdr:row>83</xdr:row>
      <xdr:rowOff>23812</xdr:rowOff>
    </xdr:from>
    <xdr:to>
      <xdr:col>10</xdr:col>
      <xdr:colOff>246064</xdr:colOff>
      <xdr:row>83</xdr:row>
      <xdr:rowOff>214312</xdr:rowOff>
    </xdr:to>
    <xdr:sp macro="" textlink="">
      <xdr:nvSpPr>
        <xdr:cNvPr id="7" name="Arrow: Down 6">
          <a:extLst>
            <a:ext uri="{FF2B5EF4-FFF2-40B4-BE49-F238E27FC236}">
              <a16:creationId xmlns:a16="http://schemas.microsoft.com/office/drawing/2014/main" id="{00000000-0008-0000-0200-000007000000}"/>
            </a:ext>
          </a:extLst>
        </xdr:cNvPr>
        <xdr:cNvSpPr/>
      </xdr:nvSpPr>
      <xdr:spPr bwMode="auto">
        <a:xfrm>
          <a:off x="3108326" y="1603533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15875</xdr:colOff>
      <xdr:row>88</xdr:row>
      <xdr:rowOff>23812</xdr:rowOff>
    </xdr:from>
    <xdr:to>
      <xdr:col>10</xdr:col>
      <xdr:colOff>230188</xdr:colOff>
      <xdr:row>88</xdr:row>
      <xdr:rowOff>214312</xdr:rowOff>
    </xdr:to>
    <xdr:sp macro="" textlink="">
      <xdr:nvSpPr>
        <xdr:cNvPr id="8" name="Arrow: Down 7">
          <a:extLst>
            <a:ext uri="{FF2B5EF4-FFF2-40B4-BE49-F238E27FC236}">
              <a16:creationId xmlns:a16="http://schemas.microsoft.com/office/drawing/2014/main" id="{00000000-0008-0000-0200-000008000000}"/>
            </a:ext>
          </a:extLst>
        </xdr:cNvPr>
        <xdr:cNvSpPr/>
      </xdr:nvSpPr>
      <xdr:spPr bwMode="auto">
        <a:xfrm>
          <a:off x="3092450" y="1717833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6</xdr:col>
          <xdr:colOff>19050</xdr:colOff>
          <xdr:row>45</xdr:row>
          <xdr:rowOff>190500</xdr:rowOff>
        </xdr:from>
        <xdr:to>
          <xdr:col>6</xdr:col>
          <xdr:colOff>209550</xdr:colOff>
          <xdr:row>46</xdr:row>
          <xdr:rowOff>142875</xdr:rowOff>
        </xdr:to>
        <xdr:sp macro="" textlink="">
          <xdr:nvSpPr>
            <xdr:cNvPr id="51311" name="Check Box 111" hidden="1">
              <a:extLst>
                <a:ext uri="{63B3BB69-23CF-44E3-9099-C40C66FF867C}">
                  <a14:compatExt spid="_x0000_s51311"/>
                </a:ext>
                <a:ext uri="{FF2B5EF4-FFF2-40B4-BE49-F238E27FC236}">
                  <a16:creationId xmlns:a16="http://schemas.microsoft.com/office/drawing/2014/main" id="{00000000-0008-0000-0200-00006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9525</xdr:rowOff>
        </xdr:from>
        <xdr:to>
          <xdr:col>15</xdr:col>
          <xdr:colOff>0</xdr:colOff>
          <xdr:row>9</xdr:row>
          <xdr:rowOff>361950</xdr:rowOff>
        </xdr:to>
        <xdr:sp macro="" textlink="">
          <xdr:nvSpPr>
            <xdr:cNvPr id="36865" name="Group Box 1" hidden="1">
              <a:extLst>
                <a:ext uri="{63B3BB69-23CF-44E3-9099-C40C66FF867C}">
                  <a14:compatExt spid="_x0000_s36865"/>
                </a:ext>
                <a:ext uri="{FF2B5EF4-FFF2-40B4-BE49-F238E27FC236}">
                  <a16:creationId xmlns:a16="http://schemas.microsoft.com/office/drawing/2014/main" id="{00000000-0008-0000-1500-000001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4</xdr:row>
          <xdr:rowOff>47625</xdr:rowOff>
        </xdr:from>
        <xdr:to>
          <xdr:col>4</xdr:col>
          <xdr:colOff>38100</xdr:colOff>
          <xdr:row>4</xdr:row>
          <xdr:rowOff>266700</xdr:rowOff>
        </xdr:to>
        <xdr:sp macro="" textlink="">
          <xdr:nvSpPr>
            <xdr:cNvPr id="36866" name="Option Button 2" hidden="1">
              <a:extLst>
                <a:ext uri="{63B3BB69-23CF-44E3-9099-C40C66FF867C}">
                  <a14:compatExt spid="_x0000_s36866"/>
                </a:ext>
                <a:ext uri="{FF2B5EF4-FFF2-40B4-BE49-F238E27FC236}">
                  <a16:creationId xmlns:a16="http://schemas.microsoft.com/office/drawing/2014/main" id="{00000000-0008-0000-15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5</xdr:row>
          <xdr:rowOff>76200</xdr:rowOff>
        </xdr:from>
        <xdr:to>
          <xdr:col>4</xdr:col>
          <xdr:colOff>38100</xdr:colOff>
          <xdr:row>5</xdr:row>
          <xdr:rowOff>295275</xdr:rowOff>
        </xdr:to>
        <xdr:sp macro="" textlink="">
          <xdr:nvSpPr>
            <xdr:cNvPr id="36867" name="Option Button 3" hidden="1">
              <a:extLst>
                <a:ext uri="{63B3BB69-23CF-44E3-9099-C40C66FF867C}">
                  <a14:compatExt spid="_x0000_s36867"/>
                </a:ext>
                <a:ext uri="{FF2B5EF4-FFF2-40B4-BE49-F238E27FC236}">
                  <a16:creationId xmlns:a16="http://schemas.microsoft.com/office/drawing/2014/main" id="{00000000-0008-0000-15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6</xdr:row>
          <xdr:rowOff>85725</xdr:rowOff>
        </xdr:from>
        <xdr:to>
          <xdr:col>4</xdr:col>
          <xdr:colOff>38100</xdr:colOff>
          <xdr:row>6</xdr:row>
          <xdr:rowOff>304800</xdr:rowOff>
        </xdr:to>
        <xdr:sp macro="" textlink="">
          <xdr:nvSpPr>
            <xdr:cNvPr id="36868" name="Option Button 4" hidden="1">
              <a:extLst>
                <a:ext uri="{63B3BB69-23CF-44E3-9099-C40C66FF867C}">
                  <a14:compatExt spid="_x0000_s36868"/>
                </a:ext>
                <a:ext uri="{FF2B5EF4-FFF2-40B4-BE49-F238E27FC236}">
                  <a16:creationId xmlns:a16="http://schemas.microsoft.com/office/drawing/2014/main" id="{00000000-0008-0000-15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7</xdr:row>
          <xdr:rowOff>95250</xdr:rowOff>
        </xdr:from>
        <xdr:to>
          <xdr:col>4</xdr:col>
          <xdr:colOff>38100</xdr:colOff>
          <xdr:row>7</xdr:row>
          <xdr:rowOff>314325</xdr:rowOff>
        </xdr:to>
        <xdr:sp macro="" textlink="">
          <xdr:nvSpPr>
            <xdr:cNvPr id="36869" name="Option Button 5" hidden="1">
              <a:extLst>
                <a:ext uri="{63B3BB69-23CF-44E3-9099-C40C66FF867C}">
                  <a14:compatExt spid="_x0000_s36869"/>
                </a:ext>
                <a:ext uri="{FF2B5EF4-FFF2-40B4-BE49-F238E27FC236}">
                  <a16:creationId xmlns:a16="http://schemas.microsoft.com/office/drawing/2014/main" id="{00000000-0008-0000-15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8</xdr:row>
          <xdr:rowOff>95250</xdr:rowOff>
        </xdr:from>
        <xdr:to>
          <xdr:col>4</xdr:col>
          <xdr:colOff>38100</xdr:colOff>
          <xdr:row>8</xdr:row>
          <xdr:rowOff>314325</xdr:rowOff>
        </xdr:to>
        <xdr:sp macro="" textlink="">
          <xdr:nvSpPr>
            <xdr:cNvPr id="36870" name="Option Button 6" hidden="1">
              <a:extLst>
                <a:ext uri="{63B3BB69-23CF-44E3-9099-C40C66FF867C}">
                  <a14:compatExt spid="_x0000_s36870"/>
                </a:ext>
                <a:ext uri="{FF2B5EF4-FFF2-40B4-BE49-F238E27FC236}">
                  <a16:creationId xmlns:a16="http://schemas.microsoft.com/office/drawing/2014/main" id="{00000000-0008-0000-15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9</xdr:row>
          <xdr:rowOff>76200</xdr:rowOff>
        </xdr:from>
        <xdr:to>
          <xdr:col>4</xdr:col>
          <xdr:colOff>38100</xdr:colOff>
          <xdr:row>9</xdr:row>
          <xdr:rowOff>295275</xdr:rowOff>
        </xdr:to>
        <xdr:sp macro="" textlink="">
          <xdr:nvSpPr>
            <xdr:cNvPr id="36871" name="Option Button 7" hidden="1">
              <a:extLst>
                <a:ext uri="{63B3BB69-23CF-44E3-9099-C40C66FF867C}">
                  <a14:compatExt spid="_x0000_s36871"/>
                </a:ext>
                <a:ext uri="{FF2B5EF4-FFF2-40B4-BE49-F238E27FC236}">
                  <a16:creationId xmlns:a16="http://schemas.microsoft.com/office/drawing/2014/main" id="{00000000-0008-0000-15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3</xdr:row>
          <xdr:rowOff>0</xdr:rowOff>
        </xdr:from>
        <xdr:to>
          <xdr:col>12</xdr:col>
          <xdr:colOff>0</xdr:colOff>
          <xdr:row>6</xdr:row>
          <xdr:rowOff>0</xdr:rowOff>
        </xdr:to>
        <xdr:grpSp>
          <xdr:nvGrpSpPr>
            <xdr:cNvPr id="85290" name="Group 34">
              <a:extLst>
                <a:ext uri="{FF2B5EF4-FFF2-40B4-BE49-F238E27FC236}">
                  <a16:creationId xmlns:a16="http://schemas.microsoft.com/office/drawing/2014/main" id="{00000000-0008-0000-1600-00002A4D0100}"/>
                </a:ext>
              </a:extLst>
            </xdr:cNvPr>
            <xdr:cNvGrpSpPr>
              <a:grpSpLocks/>
            </xdr:cNvGrpSpPr>
          </xdr:nvGrpSpPr>
          <xdr:grpSpPr bwMode="auto">
            <a:xfrm>
              <a:off x="95250" y="508000"/>
              <a:ext cx="3873500" cy="833438"/>
              <a:chOff x="10" y="33"/>
              <a:chExt cx="410" cy="88"/>
            </a:xfrm>
          </xdr:grpSpPr>
          <xdr:sp macro="" textlink="">
            <xdr:nvSpPr>
              <xdr:cNvPr id="32769" name="Option Button 1" hidden="1">
                <a:extLst>
                  <a:ext uri="{63B3BB69-23CF-44E3-9099-C40C66FF867C}">
                    <a14:compatExt spid="_x0000_s32769"/>
                  </a:ext>
                  <a:ext uri="{FF2B5EF4-FFF2-40B4-BE49-F238E27FC236}">
                    <a16:creationId xmlns:a16="http://schemas.microsoft.com/office/drawing/2014/main" id="{00000000-0008-0000-1600-000001800000}"/>
                  </a:ext>
                </a:extLst>
              </xdr:cNvPr>
              <xdr:cNvSpPr/>
            </xdr:nvSpPr>
            <xdr:spPr bwMode="auto">
              <a:xfrm>
                <a:off x="374" y="36"/>
                <a:ext cx="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71" name="Group Box 3" hidden="1">
                <a:extLst>
                  <a:ext uri="{63B3BB69-23CF-44E3-9099-C40C66FF867C}">
                    <a14:compatExt spid="_x0000_s32771"/>
                  </a:ext>
                  <a:ext uri="{FF2B5EF4-FFF2-40B4-BE49-F238E27FC236}">
                    <a16:creationId xmlns:a16="http://schemas.microsoft.com/office/drawing/2014/main" id="{00000000-0008-0000-1600-000003800000}"/>
                  </a:ext>
                </a:extLst>
              </xdr:cNvPr>
              <xdr:cNvSpPr/>
            </xdr:nvSpPr>
            <xdr:spPr bwMode="auto">
              <a:xfrm>
                <a:off x="10" y="33"/>
                <a:ext cx="410" cy="88"/>
              </a:xfrm>
              <a:prstGeom prst="rect">
                <a:avLst/>
              </a:prstGeom>
              <a:noFill/>
              <a:ln w="9525">
                <a:miter lim="800000"/>
                <a:headEnd/>
                <a:tailEnd/>
              </a:ln>
              <a:extLst>
                <a:ext uri="{909E8E84-426E-40DD-AFC4-6F175D3DCCD1}">
                  <a14:hiddenFill>
                    <a:noFill/>
                  </a14:hiddenFill>
                </a:ext>
              </a:extLst>
            </xdr:spPr>
          </xdr:sp>
          <xdr:sp macro="" textlink="">
            <xdr:nvSpPr>
              <xdr:cNvPr id="32772" name="Option Button 4" hidden="1">
                <a:extLst>
                  <a:ext uri="{63B3BB69-23CF-44E3-9099-C40C66FF867C}">
                    <a14:compatExt spid="_x0000_s32772"/>
                  </a:ext>
                  <a:ext uri="{FF2B5EF4-FFF2-40B4-BE49-F238E27FC236}">
                    <a16:creationId xmlns:a16="http://schemas.microsoft.com/office/drawing/2014/main" id="{00000000-0008-0000-1600-000004800000}"/>
                  </a:ext>
                </a:extLst>
              </xdr:cNvPr>
              <xdr:cNvSpPr/>
            </xdr:nvSpPr>
            <xdr:spPr bwMode="auto">
              <a:xfrm>
                <a:off x="141" y="7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73" name="Option Button 5" hidden="1">
                <a:extLst>
                  <a:ext uri="{63B3BB69-23CF-44E3-9099-C40C66FF867C}">
                    <a14:compatExt spid="_x0000_s32773"/>
                  </a:ext>
                  <a:ext uri="{FF2B5EF4-FFF2-40B4-BE49-F238E27FC236}">
                    <a16:creationId xmlns:a16="http://schemas.microsoft.com/office/drawing/2014/main" id="{00000000-0008-0000-1600-000005800000}"/>
                  </a:ext>
                </a:extLst>
              </xdr:cNvPr>
              <xdr:cNvSpPr/>
            </xdr:nvSpPr>
            <xdr:spPr bwMode="auto">
              <a:xfrm>
                <a:off x="223" y="7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74" name="Option Button 6" hidden="1">
                <a:extLst>
                  <a:ext uri="{63B3BB69-23CF-44E3-9099-C40C66FF867C}">
                    <a14:compatExt spid="_x0000_s32774"/>
                  </a:ext>
                  <a:ext uri="{FF2B5EF4-FFF2-40B4-BE49-F238E27FC236}">
                    <a16:creationId xmlns:a16="http://schemas.microsoft.com/office/drawing/2014/main" id="{00000000-0008-0000-1600-000006800000}"/>
                  </a:ext>
                </a:extLst>
              </xdr:cNvPr>
              <xdr:cNvSpPr/>
            </xdr:nvSpPr>
            <xdr:spPr bwMode="auto">
              <a:xfrm>
                <a:off x="306" y="71"/>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75" name="Option Button 7" hidden="1">
                <a:extLst>
                  <a:ext uri="{63B3BB69-23CF-44E3-9099-C40C66FF867C}">
                    <a14:compatExt spid="_x0000_s32775"/>
                  </a:ext>
                  <a:ext uri="{FF2B5EF4-FFF2-40B4-BE49-F238E27FC236}">
                    <a16:creationId xmlns:a16="http://schemas.microsoft.com/office/drawing/2014/main" id="{00000000-0008-0000-1600-000007800000}"/>
                  </a:ext>
                </a:extLst>
              </xdr:cNvPr>
              <xdr:cNvSpPr/>
            </xdr:nvSpPr>
            <xdr:spPr bwMode="auto">
              <a:xfrm>
                <a:off x="141" y="97"/>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76" name="Option Button 8" hidden="1">
                <a:extLst>
                  <a:ext uri="{63B3BB69-23CF-44E3-9099-C40C66FF867C}">
                    <a14:compatExt spid="_x0000_s32776"/>
                  </a:ext>
                  <a:ext uri="{FF2B5EF4-FFF2-40B4-BE49-F238E27FC236}">
                    <a16:creationId xmlns:a16="http://schemas.microsoft.com/office/drawing/2014/main" id="{00000000-0008-0000-1600-000008800000}"/>
                  </a:ext>
                </a:extLst>
              </xdr:cNvPr>
              <xdr:cNvSpPr/>
            </xdr:nvSpPr>
            <xdr:spPr bwMode="auto">
              <a:xfrm>
                <a:off x="223" y="97"/>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77" name="Option Button 9" hidden="1">
                <a:extLst>
                  <a:ext uri="{63B3BB69-23CF-44E3-9099-C40C66FF867C}">
                    <a14:compatExt spid="_x0000_s32777"/>
                  </a:ext>
                  <a:ext uri="{FF2B5EF4-FFF2-40B4-BE49-F238E27FC236}">
                    <a16:creationId xmlns:a16="http://schemas.microsoft.com/office/drawing/2014/main" id="{00000000-0008-0000-1600-000009800000}"/>
                  </a:ext>
                </a:extLst>
              </xdr:cNvPr>
              <xdr:cNvSpPr/>
            </xdr:nvSpPr>
            <xdr:spPr bwMode="auto">
              <a:xfrm>
                <a:off x="306" y="97"/>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10</xdr:row>
          <xdr:rowOff>0</xdr:rowOff>
        </xdr:from>
        <xdr:to>
          <xdr:col>12</xdr:col>
          <xdr:colOff>0</xdr:colOff>
          <xdr:row>15</xdr:row>
          <xdr:rowOff>0</xdr:rowOff>
        </xdr:to>
        <xdr:grpSp>
          <xdr:nvGrpSpPr>
            <xdr:cNvPr id="85291" name="Group 36">
              <a:extLst>
                <a:ext uri="{FF2B5EF4-FFF2-40B4-BE49-F238E27FC236}">
                  <a16:creationId xmlns:a16="http://schemas.microsoft.com/office/drawing/2014/main" id="{00000000-0008-0000-1600-00002B4D0100}"/>
                </a:ext>
              </a:extLst>
            </xdr:cNvPr>
            <xdr:cNvGrpSpPr>
              <a:grpSpLocks/>
            </xdr:cNvGrpSpPr>
          </xdr:nvGrpSpPr>
          <xdr:grpSpPr bwMode="auto">
            <a:xfrm>
              <a:off x="95250" y="2420938"/>
              <a:ext cx="3873500" cy="1325562"/>
              <a:chOff x="10" y="225"/>
              <a:chExt cx="409" cy="130"/>
            </a:xfrm>
          </xdr:grpSpPr>
          <xdr:sp macro="" textlink="">
            <xdr:nvSpPr>
              <xdr:cNvPr id="32787" name="Option Button 19" hidden="1">
                <a:extLst>
                  <a:ext uri="{63B3BB69-23CF-44E3-9099-C40C66FF867C}">
                    <a14:compatExt spid="_x0000_s32787"/>
                  </a:ext>
                  <a:ext uri="{FF2B5EF4-FFF2-40B4-BE49-F238E27FC236}">
                    <a16:creationId xmlns:a16="http://schemas.microsoft.com/office/drawing/2014/main" id="{00000000-0008-0000-1600-000013800000}"/>
                  </a:ext>
                </a:extLst>
              </xdr:cNvPr>
              <xdr:cNvSpPr/>
            </xdr:nvSpPr>
            <xdr:spPr bwMode="auto">
              <a:xfrm>
                <a:off x="375" y="227"/>
                <a:ext cx="3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89" name="Group Box 21" hidden="1">
                <a:extLst>
                  <a:ext uri="{63B3BB69-23CF-44E3-9099-C40C66FF867C}">
                    <a14:compatExt spid="_x0000_s32789"/>
                  </a:ext>
                  <a:ext uri="{FF2B5EF4-FFF2-40B4-BE49-F238E27FC236}">
                    <a16:creationId xmlns:a16="http://schemas.microsoft.com/office/drawing/2014/main" id="{00000000-0008-0000-1600-000015800000}"/>
                  </a:ext>
                </a:extLst>
              </xdr:cNvPr>
              <xdr:cNvSpPr/>
            </xdr:nvSpPr>
            <xdr:spPr bwMode="auto">
              <a:xfrm>
                <a:off x="10" y="225"/>
                <a:ext cx="409" cy="130"/>
              </a:xfrm>
              <a:prstGeom prst="rect">
                <a:avLst/>
              </a:prstGeom>
              <a:noFill/>
              <a:ln w="9525">
                <a:miter lim="800000"/>
                <a:headEnd/>
                <a:tailEnd/>
              </a:ln>
              <a:extLst>
                <a:ext uri="{909E8E84-426E-40DD-AFC4-6F175D3DCCD1}">
                  <a14:hiddenFill>
                    <a:noFill/>
                  </a14:hiddenFill>
                </a:ext>
              </a:extLst>
            </xdr:spPr>
          </xdr:sp>
          <xdr:sp macro="" textlink="">
            <xdr:nvSpPr>
              <xdr:cNvPr id="32790" name="Option Button 22" hidden="1">
                <a:extLst>
                  <a:ext uri="{63B3BB69-23CF-44E3-9099-C40C66FF867C}">
                    <a14:compatExt spid="_x0000_s32790"/>
                  </a:ext>
                  <a:ext uri="{FF2B5EF4-FFF2-40B4-BE49-F238E27FC236}">
                    <a16:creationId xmlns:a16="http://schemas.microsoft.com/office/drawing/2014/main" id="{00000000-0008-0000-1600-000016800000}"/>
                  </a:ext>
                </a:extLst>
              </xdr:cNvPr>
              <xdr:cNvSpPr/>
            </xdr:nvSpPr>
            <xdr:spPr bwMode="auto">
              <a:xfrm>
                <a:off x="141" y="25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1" name="Option Button 23" hidden="1">
                <a:extLst>
                  <a:ext uri="{63B3BB69-23CF-44E3-9099-C40C66FF867C}">
                    <a14:compatExt spid="_x0000_s32791"/>
                  </a:ext>
                  <a:ext uri="{FF2B5EF4-FFF2-40B4-BE49-F238E27FC236}">
                    <a16:creationId xmlns:a16="http://schemas.microsoft.com/office/drawing/2014/main" id="{00000000-0008-0000-1600-000017800000}"/>
                  </a:ext>
                </a:extLst>
              </xdr:cNvPr>
              <xdr:cNvSpPr/>
            </xdr:nvSpPr>
            <xdr:spPr bwMode="auto">
              <a:xfrm>
                <a:off x="223" y="25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2" name="Option Button 24" hidden="1">
                <a:extLst>
                  <a:ext uri="{63B3BB69-23CF-44E3-9099-C40C66FF867C}">
                    <a14:compatExt spid="_x0000_s32792"/>
                  </a:ext>
                  <a:ext uri="{FF2B5EF4-FFF2-40B4-BE49-F238E27FC236}">
                    <a16:creationId xmlns:a16="http://schemas.microsoft.com/office/drawing/2014/main" id="{00000000-0008-0000-1600-000018800000}"/>
                  </a:ext>
                </a:extLst>
              </xdr:cNvPr>
              <xdr:cNvSpPr/>
            </xdr:nvSpPr>
            <xdr:spPr bwMode="auto">
              <a:xfrm>
                <a:off x="306" y="25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3" name="Option Button 25" hidden="1">
                <a:extLst>
                  <a:ext uri="{63B3BB69-23CF-44E3-9099-C40C66FF867C}">
                    <a14:compatExt spid="_x0000_s32793"/>
                  </a:ext>
                  <a:ext uri="{FF2B5EF4-FFF2-40B4-BE49-F238E27FC236}">
                    <a16:creationId xmlns:a16="http://schemas.microsoft.com/office/drawing/2014/main" id="{00000000-0008-0000-1600-000019800000}"/>
                  </a:ext>
                </a:extLst>
              </xdr:cNvPr>
              <xdr:cNvSpPr/>
            </xdr:nvSpPr>
            <xdr:spPr bwMode="auto">
              <a:xfrm>
                <a:off x="141" y="279"/>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600-00001A800000}"/>
                  </a:ext>
                </a:extLst>
              </xdr:cNvPr>
              <xdr:cNvSpPr/>
            </xdr:nvSpPr>
            <xdr:spPr bwMode="auto">
              <a:xfrm>
                <a:off x="223" y="279"/>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600-00001B800000}"/>
                  </a:ext>
                </a:extLst>
              </xdr:cNvPr>
              <xdr:cNvSpPr/>
            </xdr:nvSpPr>
            <xdr:spPr bwMode="auto">
              <a:xfrm>
                <a:off x="306" y="279"/>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600-00001C800000}"/>
                  </a:ext>
                </a:extLst>
              </xdr:cNvPr>
              <xdr:cNvSpPr/>
            </xdr:nvSpPr>
            <xdr:spPr bwMode="auto">
              <a:xfrm>
                <a:off x="141" y="3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600-00001D800000}"/>
                  </a:ext>
                </a:extLst>
              </xdr:cNvPr>
              <xdr:cNvSpPr/>
            </xdr:nvSpPr>
            <xdr:spPr bwMode="auto">
              <a:xfrm>
                <a:off x="223" y="3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8" name="Option Button 30" hidden="1">
                <a:extLst>
                  <a:ext uri="{63B3BB69-23CF-44E3-9099-C40C66FF867C}">
                    <a14:compatExt spid="_x0000_s32798"/>
                  </a:ext>
                  <a:ext uri="{FF2B5EF4-FFF2-40B4-BE49-F238E27FC236}">
                    <a16:creationId xmlns:a16="http://schemas.microsoft.com/office/drawing/2014/main" id="{00000000-0008-0000-1600-00001E800000}"/>
                  </a:ext>
                </a:extLst>
              </xdr:cNvPr>
              <xdr:cNvSpPr/>
            </xdr:nvSpPr>
            <xdr:spPr bwMode="auto">
              <a:xfrm>
                <a:off x="306" y="30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9" name="Option Button 31" hidden="1">
                <a:extLst>
                  <a:ext uri="{63B3BB69-23CF-44E3-9099-C40C66FF867C}">
                    <a14:compatExt spid="_x0000_s32799"/>
                  </a:ext>
                  <a:ext uri="{FF2B5EF4-FFF2-40B4-BE49-F238E27FC236}">
                    <a16:creationId xmlns:a16="http://schemas.microsoft.com/office/drawing/2014/main" id="{00000000-0008-0000-1600-00001F800000}"/>
                  </a:ext>
                </a:extLst>
              </xdr:cNvPr>
              <xdr:cNvSpPr/>
            </xdr:nvSpPr>
            <xdr:spPr bwMode="auto">
              <a:xfrm>
                <a:off x="141" y="331"/>
                <a:ext cx="13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Meets Class 4 criteria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9525</xdr:rowOff>
        </xdr:from>
        <xdr:to>
          <xdr:col>6</xdr:col>
          <xdr:colOff>161925</xdr:colOff>
          <xdr:row>18</xdr:row>
          <xdr:rowOff>200025</xdr:rowOff>
        </xdr:to>
        <xdr:sp macro="" textlink="">
          <xdr:nvSpPr>
            <xdr:cNvPr id="32800" name="Object 32" hidden="1">
              <a:extLst>
                <a:ext uri="{63B3BB69-23CF-44E3-9099-C40C66FF867C}">
                  <a14:compatExt spid="_x0000_s32800"/>
                </a:ext>
                <a:ext uri="{FF2B5EF4-FFF2-40B4-BE49-F238E27FC236}">
                  <a16:creationId xmlns:a16="http://schemas.microsoft.com/office/drawing/2014/main" id="{00000000-0008-0000-1600-0000208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6</xdr:row>
          <xdr:rowOff>0</xdr:rowOff>
        </xdr:from>
        <xdr:to>
          <xdr:col>12</xdr:col>
          <xdr:colOff>0</xdr:colOff>
          <xdr:row>10</xdr:row>
          <xdr:rowOff>0</xdr:rowOff>
        </xdr:to>
        <xdr:grpSp>
          <xdr:nvGrpSpPr>
            <xdr:cNvPr id="85292" name="Group 35">
              <a:extLst>
                <a:ext uri="{FF2B5EF4-FFF2-40B4-BE49-F238E27FC236}">
                  <a16:creationId xmlns:a16="http://schemas.microsoft.com/office/drawing/2014/main" id="{00000000-0008-0000-1600-00002C4D0100}"/>
                </a:ext>
              </a:extLst>
            </xdr:cNvPr>
            <xdr:cNvGrpSpPr>
              <a:grpSpLocks/>
            </xdr:cNvGrpSpPr>
          </xdr:nvGrpSpPr>
          <xdr:grpSpPr bwMode="auto">
            <a:xfrm>
              <a:off x="95250" y="1341438"/>
              <a:ext cx="3873500" cy="1079500"/>
              <a:chOff x="10" y="121"/>
              <a:chExt cx="409" cy="104"/>
            </a:xfrm>
          </xdr:grpSpPr>
          <xdr:sp macro="" textlink="">
            <xdr:nvSpPr>
              <xdr:cNvPr id="32778" name="Option Button 10" hidden="1">
                <a:extLst>
                  <a:ext uri="{63B3BB69-23CF-44E3-9099-C40C66FF867C}">
                    <a14:compatExt spid="_x0000_s32778"/>
                  </a:ext>
                  <a:ext uri="{FF2B5EF4-FFF2-40B4-BE49-F238E27FC236}">
                    <a16:creationId xmlns:a16="http://schemas.microsoft.com/office/drawing/2014/main" id="{00000000-0008-0000-1600-00000A800000}"/>
                  </a:ext>
                </a:extLst>
              </xdr:cNvPr>
              <xdr:cNvSpPr/>
            </xdr:nvSpPr>
            <xdr:spPr bwMode="auto">
              <a:xfrm>
                <a:off x="376" y="123"/>
                <a:ext cx="3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80" name="Group Box 12" hidden="1">
                <a:extLst>
                  <a:ext uri="{63B3BB69-23CF-44E3-9099-C40C66FF867C}">
                    <a14:compatExt spid="_x0000_s32780"/>
                  </a:ext>
                  <a:ext uri="{FF2B5EF4-FFF2-40B4-BE49-F238E27FC236}">
                    <a16:creationId xmlns:a16="http://schemas.microsoft.com/office/drawing/2014/main" id="{00000000-0008-0000-1600-00000C800000}"/>
                  </a:ext>
                </a:extLst>
              </xdr:cNvPr>
              <xdr:cNvSpPr/>
            </xdr:nvSpPr>
            <xdr:spPr bwMode="auto">
              <a:xfrm>
                <a:off x="10" y="121"/>
                <a:ext cx="409" cy="104"/>
              </a:xfrm>
              <a:prstGeom prst="rect">
                <a:avLst/>
              </a:prstGeom>
              <a:noFill/>
              <a:ln w="9525">
                <a:miter lim="800000"/>
                <a:headEnd/>
                <a:tailEnd/>
              </a:ln>
              <a:extLst>
                <a:ext uri="{909E8E84-426E-40DD-AFC4-6F175D3DCCD1}">
                  <a14:hiddenFill>
                    <a:noFill/>
                  </a14:hiddenFill>
                </a:ext>
              </a:extLst>
            </xdr:spPr>
          </xdr:sp>
          <xdr:sp macro="" textlink="">
            <xdr:nvSpPr>
              <xdr:cNvPr id="32781" name="Option Button 13" hidden="1">
                <a:extLst>
                  <a:ext uri="{63B3BB69-23CF-44E3-9099-C40C66FF867C}">
                    <a14:compatExt spid="_x0000_s32781"/>
                  </a:ext>
                  <a:ext uri="{FF2B5EF4-FFF2-40B4-BE49-F238E27FC236}">
                    <a16:creationId xmlns:a16="http://schemas.microsoft.com/office/drawing/2014/main" id="{00000000-0008-0000-1600-00000D800000}"/>
                  </a:ext>
                </a:extLst>
              </xdr:cNvPr>
              <xdr:cNvSpPr/>
            </xdr:nvSpPr>
            <xdr:spPr bwMode="auto">
              <a:xfrm>
                <a:off x="141" y="17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82" name="Option Button 14" hidden="1">
                <a:extLst>
                  <a:ext uri="{63B3BB69-23CF-44E3-9099-C40C66FF867C}">
                    <a14:compatExt spid="_x0000_s32782"/>
                  </a:ext>
                  <a:ext uri="{FF2B5EF4-FFF2-40B4-BE49-F238E27FC236}">
                    <a16:creationId xmlns:a16="http://schemas.microsoft.com/office/drawing/2014/main" id="{00000000-0008-0000-1600-00000E800000}"/>
                  </a:ext>
                </a:extLst>
              </xdr:cNvPr>
              <xdr:cNvSpPr/>
            </xdr:nvSpPr>
            <xdr:spPr bwMode="auto">
              <a:xfrm>
                <a:off x="223" y="17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83" name="Option Button 15" hidden="1">
                <a:extLst>
                  <a:ext uri="{63B3BB69-23CF-44E3-9099-C40C66FF867C}">
                    <a14:compatExt spid="_x0000_s32783"/>
                  </a:ext>
                  <a:ext uri="{FF2B5EF4-FFF2-40B4-BE49-F238E27FC236}">
                    <a16:creationId xmlns:a16="http://schemas.microsoft.com/office/drawing/2014/main" id="{00000000-0008-0000-1600-00000F800000}"/>
                  </a:ext>
                </a:extLst>
              </xdr:cNvPr>
              <xdr:cNvSpPr/>
            </xdr:nvSpPr>
            <xdr:spPr bwMode="auto">
              <a:xfrm>
                <a:off x="306" y="17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84" name="Option Button 16" hidden="1">
                <a:extLst>
                  <a:ext uri="{63B3BB69-23CF-44E3-9099-C40C66FF867C}">
                    <a14:compatExt spid="_x0000_s32784"/>
                  </a:ext>
                  <a:ext uri="{FF2B5EF4-FFF2-40B4-BE49-F238E27FC236}">
                    <a16:creationId xmlns:a16="http://schemas.microsoft.com/office/drawing/2014/main" id="{00000000-0008-0000-1600-000010800000}"/>
                  </a:ext>
                </a:extLst>
              </xdr:cNvPr>
              <xdr:cNvSpPr/>
            </xdr:nvSpPr>
            <xdr:spPr bwMode="auto">
              <a:xfrm>
                <a:off x="141" y="20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85" name="Option Button 17" hidden="1">
                <a:extLst>
                  <a:ext uri="{63B3BB69-23CF-44E3-9099-C40C66FF867C}">
                    <a14:compatExt spid="_x0000_s32785"/>
                  </a:ext>
                  <a:ext uri="{FF2B5EF4-FFF2-40B4-BE49-F238E27FC236}">
                    <a16:creationId xmlns:a16="http://schemas.microsoft.com/office/drawing/2014/main" id="{00000000-0008-0000-1600-000011800000}"/>
                  </a:ext>
                </a:extLst>
              </xdr:cNvPr>
              <xdr:cNvSpPr/>
            </xdr:nvSpPr>
            <xdr:spPr bwMode="auto">
              <a:xfrm>
                <a:off x="223" y="20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86" name="Option Button 18" hidden="1">
                <a:extLst>
                  <a:ext uri="{63B3BB69-23CF-44E3-9099-C40C66FF867C}">
                    <a14:compatExt spid="_x0000_s32786"/>
                  </a:ext>
                  <a:ext uri="{FF2B5EF4-FFF2-40B4-BE49-F238E27FC236}">
                    <a16:creationId xmlns:a16="http://schemas.microsoft.com/office/drawing/2014/main" id="{00000000-0008-0000-1600-000012800000}"/>
                  </a:ext>
                </a:extLst>
              </xdr:cNvPr>
              <xdr:cNvSpPr/>
            </xdr:nvSpPr>
            <xdr:spPr bwMode="auto">
              <a:xfrm>
                <a:off x="306" y="201"/>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801" name="Option Button 33" hidden="1">
                <a:extLst>
                  <a:ext uri="{63B3BB69-23CF-44E3-9099-C40C66FF867C}">
                    <a14:compatExt spid="_x0000_s32801"/>
                  </a:ext>
                  <a:ext uri="{FF2B5EF4-FFF2-40B4-BE49-F238E27FC236}">
                    <a16:creationId xmlns:a16="http://schemas.microsoft.com/office/drawing/2014/main" id="{00000000-0008-0000-1600-000021800000}"/>
                  </a:ext>
                </a:extLst>
              </xdr:cNvPr>
              <xdr:cNvSpPr/>
            </xdr:nvSpPr>
            <xdr:spPr bwMode="auto">
              <a:xfrm>
                <a:off x="141" y="150"/>
                <a:ext cx="16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Class 1 symptoms are present</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295275</xdr:rowOff>
        </xdr:from>
        <xdr:to>
          <xdr:col>14</xdr:col>
          <xdr:colOff>962025</xdr:colOff>
          <xdr:row>8</xdr:row>
          <xdr:rowOff>0</xdr:rowOff>
        </xdr:to>
        <xdr:sp macro="" textlink="">
          <xdr:nvSpPr>
            <xdr:cNvPr id="29697" name="Group Box 1" hidden="1">
              <a:extLst>
                <a:ext uri="{63B3BB69-23CF-44E3-9099-C40C66FF867C}">
                  <a14:compatExt spid="_x0000_s29697"/>
                </a:ext>
                <a:ext uri="{FF2B5EF4-FFF2-40B4-BE49-F238E27FC236}">
                  <a16:creationId xmlns:a16="http://schemas.microsoft.com/office/drawing/2014/main" id="{00000000-0008-0000-1700-000001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xdr:row>
          <xdr:rowOff>47625</xdr:rowOff>
        </xdr:from>
        <xdr:to>
          <xdr:col>4</xdr:col>
          <xdr:colOff>57150</xdr:colOff>
          <xdr:row>4</xdr:row>
          <xdr:rowOff>9525</xdr:rowOff>
        </xdr:to>
        <xdr:sp macro="" textlink="">
          <xdr:nvSpPr>
            <xdr:cNvPr id="29698" name="Option Button 2" hidden="1">
              <a:extLst>
                <a:ext uri="{63B3BB69-23CF-44E3-9099-C40C66FF867C}">
                  <a14:compatExt spid="_x0000_s29698"/>
                </a:ext>
                <a:ext uri="{FF2B5EF4-FFF2-40B4-BE49-F238E27FC236}">
                  <a16:creationId xmlns:a16="http://schemas.microsoft.com/office/drawing/2014/main" id="{00000000-0008-0000-17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xdr:row>
          <xdr:rowOff>180975</xdr:rowOff>
        </xdr:from>
        <xdr:to>
          <xdr:col>4</xdr:col>
          <xdr:colOff>57150</xdr:colOff>
          <xdr:row>4</xdr:row>
          <xdr:rowOff>400050</xdr:rowOff>
        </xdr:to>
        <xdr:sp macro="" textlink="">
          <xdr:nvSpPr>
            <xdr:cNvPr id="29699" name="Option Button 3" hidden="1">
              <a:extLst>
                <a:ext uri="{63B3BB69-23CF-44E3-9099-C40C66FF867C}">
                  <a14:compatExt spid="_x0000_s29699"/>
                </a:ext>
                <a:ext uri="{FF2B5EF4-FFF2-40B4-BE49-F238E27FC236}">
                  <a16:creationId xmlns:a16="http://schemas.microsoft.com/office/drawing/2014/main" id="{00000000-0008-0000-17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xdr:row>
          <xdr:rowOff>142875</xdr:rowOff>
        </xdr:from>
        <xdr:to>
          <xdr:col>4</xdr:col>
          <xdr:colOff>57150</xdr:colOff>
          <xdr:row>5</xdr:row>
          <xdr:rowOff>390525</xdr:rowOff>
        </xdr:to>
        <xdr:sp macro="" textlink="">
          <xdr:nvSpPr>
            <xdr:cNvPr id="29700" name="Option Button 4" hidden="1">
              <a:extLst>
                <a:ext uri="{63B3BB69-23CF-44E3-9099-C40C66FF867C}">
                  <a14:compatExt spid="_x0000_s29700"/>
                </a:ext>
                <a:ext uri="{FF2B5EF4-FFF2-40B4-BE49-F238E27FC236}">
                  <a16:creationId xmlns:a16="http://schemas.microsoft.com/office/drawing/2014/main" id="{00000000-0008-0000-17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xdr:row>
          <xdr:rowOff>333375</xdr:rowOff>
        </xdr:from>
        <xdr:to>
          <xdr:col>4</xdr:col>
          <xdr:colOff>57150</xdr:colOff>
          <xdr:row>6</xdr:row>
          <xdr:rowOff>552450</xdr:rowOff>
        </xdr:to>
        <xdr:sp macro="" textlink="">
          <xdr:nvSpPr>
            <xdr:cNvPr id="29701" name="Option Button 5" hidden="1">
              <a:extLst>
                <a:ext uri="{63B3BB69-23CF-44E3-9099-C40C66FF867C}">
                  <a14:compatExt spid="_x0000_s29701"/>
                </a:ext>
                <a:ext uri="{FF2B5EF4-FFF2-40B4-BE49-F238E27FC236}">
                  <a16:creationId xmlns:a16="http://schemas.microsoft.com/office/drawing/2014/main" id="{00000000-0008-0000-17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14</xdr:col>
          <xdr:colOff>962025</xdr:colOff>
          <xdr:row>13</xdr:row>
          <xdr:rowOff>9525</xdr:rowOff>
        </xdr:to>
        <xdr:sp macro="" textlink="">
          <xdr:nvSpPr>
            <xdr:cNvPr id="29702" name="Group Box 6" hidden="1">
              <a:extLst>
                <a:ext uri="{63B3BB69-23CF-44E3-9099-C40C66FF867C}">
                  <a14:compatExt spid="_x0000_s29702"/>
                </a:ext>
                <a:ext uri="{FF2B5EF4-FFF2-40B4-BE49-F238E27FC236}">
                  <a16:creationId xmlns:a16="http://schemas.microsoft.com/office/drawing/2014/main" id="{00000000-0008-0000-1700-00000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28575</xdr:rowOff>
        </xdr:from>
        <xdr:to>
          <xdr:col>4</xdr:col>
          <xdr:colOff>38100</xdr:colOff>
          <xdr:row>8</xdr:row>
          <xdr:rowOff>247650</xdr:rowOff>
        </xdr:to>
        <xdr:sp macro="" textlink="">
          <xdr:nvSpPr>
            <xdr:cNvPr id="29703" name="Option Button 7" hidden="1">
              <a:extLst>
                <a:ext uri="{63B3BB69-23CF-44E3-9099-C40C66FF867C}">
                  <a14:compatExt spid="_x0000_s29703"/>
                </a:ext>
                <a:ext uri="{FF2B5EF4-FFF2-40B4-BE49-F238E27FC236}">
                  <a16:creationId xmlns:a16="http://schemas.microsoft.com/office/drawing/2014/main" id="{00000000-0008-0000-17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xdr:row>
          <xdr:rowOff>161925</xdr:rowOff>
        </xdr:from>
        <xdr:to>
          <xdr:col>4</xdr:col>
          <xdr:colOff>47625</xdr:colOff>
          <xdr:row>10</xdr:row>
          <xdr:rowOff>0</xdr:rowOff>
        </xdr:to>
        <xdr:sp macro="" textlink="">
          <xdr:nvSpPr>
            <xdr:cNvPr id="29704" name="Option Button 8" hidden="1">
              <a:extLst>
                <a:ext uri="{63B3BB69-23CF-44E3-9099-C40C66FF867C}">
                  <a14:compatExt spid="_x0000_s29704"/>
                </a:ext>
                <a:ext uri="{FF2B5EF4-FFF2-40B4-BE49-F238E27FC236}">
                  <a16:creationId xmlns:a16="http://schemas.microsoft.com/office/drawing/2014/main" id="{00000000-0008-0000-17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xdr:row>
          <xdr:rowOff>161925</xdr:rowOff>
        </xdr:from>
        <xdr:to>
          <xdr:col>4</xdr:col>
          <xdr:colOff>47625</xdr:colOff>
          <xdr:row>10</xdr:row>
          <xdr:rowOff>381000</xdr:rowOff>
        </xdr:to>
        <xdr:sp macro="" textlink="">
          <xdr:nvSpPr>
            <xdr:cNvPr id="29705" name="Option Button 9" hidden="1">
              <a:extLst>
                <a:ext uri="{63B3BB69-23CF-44E3-9099-C40C66FF867C}">
                  <a14:compatExt spid="_x0000_s29705"/>
                </a:ext>
                <a:ext uri="{FF2B5EF4-FFF2-40B4-BE49-F238E27FC236}">
                  <a16:creationId xmlns:a16="http://schemas.microsoft.com/office/drawing/2014/main" id="{00000000-0008-0000-17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171450</xdr:rowOff>
        </xdr:from>
        <xdr:to>
          <xdr:col>4</xdr:col>
          <xdr:colOff>47625</xdr:colOff>
          <xdr:row>11</xdr:row>
          <xdr:rowOff>390525</xdr:rowOff>
        </xdr:to>
        <xdr:sp macro="" textlink="">
          <xdr:nvSpPr>
            <xdr:cNvPr id="29706" name="Option Button 10" hidden="1">
              <a:extLst>
                <a:ext uri="{63B3BB69-23CF-44E3-9099-C40C66FF867C}">
                  <a14:compatExt spid="_x0000_s29706"/>
                </a:ext>
                <a:ext uri="{FF2B5EF4-FFF2-40B4-BE49-F238E27FC236}">
                  <a16:creationId xmlns:a16="http://schemas.microsoft.com/office/drawing/2014/main" id="{00000000-0008-0000-17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180975</xdr:rowOff>
        </xdr:from>
        <xdr:to>
          <xdr:col>4</xdr:col>
          <xdr:colOff>47625</xdr:colOff>
          <xdr:row>12</xdr:row>
          <xdr:rowOff>400050</xdr:rowOff>
        </xdr:to>
        <xdr:sp macro="" textlink="">
          <xdr:nvSpPr>
            <xdr:cNvPr id="29707" name="Option Button 11" hidden="1">
              <a:extLst>
                <a:ext uri="{63B3BB69-23CF-44E3-9099-C40C66FF867C}">
                  <a14:compatExt spid="_x0000_s29707"/>
                </a:ext>
                <a:ext uri="{FF2B5EF4-FFF2-40B4-BE49-F238E27FC236}">
                  <a16:creationId xmlns:a16="http://schemas.microsoft.com/office/drawing/2014/main" id="{00000000-0008-0000-17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xdr:row>
          <xdr:rowOff>9525</xdr:rowOff>
        </xdr:from>
        <xdr:to>
          <xdr:col>14</xdr:col>
          <xdr:colOff>962025</xdr:colOff>
          <xdr:row>15</xdr:row>
          <xdr:rowOff>9525</xdr:rowOff>
        </xdr:to>
        <xdr:sp macro="" textlink="">
          <xdr:nvSpPr>
            <xdr:cNvPr id="29708" name="Group Box 12" hidden="1">
              <a:extLst>
                <a:ext uri="{63B3BB69-23CF-44E3-9099-C40C66FF867C}">
                  <a14:compatExt spid="_x0000_s29708"/>
                </a:ext>
                <a:ext uri="{FF2B5EF4-FFF2-40B4-BE49-F238E27FC236}">
                  <a16:creationId xmlns:a16="http://schemas.microsoft.com/office/drawing/2014/main" id="{00000000-0008-0000-1700-00000C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57150</xdr:rowOff>
        </xdr:from>
        <xdr:to>
          <xdr:col>4</xdr:col>
          <xdr:colOff>38100</xdr:colOff>
          <xdr:row>13</xdr:row>
          <xdr:rowOff>276225</xdr:rowOff>
        </xdr:to>
        <xdr:sp macro="" textlink="">
          <xdr:nvSpPr>
            <xdr:cNvPr id="29709" name="Option Button 13" hidden="1">
              <a:extLst>
                <a:ext uri="{63B3BB69-23CF-44E3-9099-C40C66FF867C}">
                  <a14:compatExt spid="_x0000_s29709"/>
                </a:ext>
                <a:ext uri="{FF2B5EF4-FFF2-40B4-BE49-F238E27FC236}">
                  <a16:creationId xmlns:a16="http://schemas.microsoft.com/office/drawing/2014/main" id="{00000000-0008-0000-17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400050</xdr:rowOff>
        </xdr:from>
        <xdr:to>
          <xdr:col>4</xdr:col>
          <xdr:colOff>38100</xdr:colOff>
          <xdr:row>15</xdr:row>
          <xdr:rowOff>9525</xdr:rowOff>
        </xdr:to>
        <xdr:sp macro="" textlink="">
          <xdr:nvSpPr>
            <xdr:cNvPr id="29710" name="Option Button 14" hidden="1">
              <a:extLst>
                <a:ext uri="{63B3BB69-23CF-44E3-9099-C40C66FF867C}">
                  <a14:compatExt spid="_x0000_s29710"/>
                </a:ext>
                <a:ext uri="{FF2B5EF4-FFF2-40B4-BE49-F238E27FC236}">
                  <a16:creationId xmlns:a16="http://schemas.microsoft.com/office/drawing/2014/main" id="{00000000-0008-0000-17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xdr:row>
          <xdr:rowOff>333375</xdr:rowOff>
        </xdr:from>
        <xdr:to>
          <xdr:col>4</xdr:col>
          <xdr:colOff>57150</xdr:colOff>
          <xdr:row>7</xdr:row>
          <xdr:rowOff>552450</xdr:rowOff>
        </xdr:to>
        <xdr:sp macro="" textlink="">
          <xdr:nvSpPr>
            <xdr:cNvPr id="29711" name="Option Button 15" hidden="1">
              <a:extLst>
                <a:ext uri="{63B3BB69-23CF-44E3-9099-C40C66FF867C}">
                  <a14:compatExt spid="_x0000_s29711"/>
                </a:ext>
                <a:ext uri="{FF2B5EF4-FFF2-40B4-BE49-F238E27FC236}">
                  <a16:creationId xmlns:a16="http://schemas.microsoft.com/office/drawing/2014/main" id="{00000000-0008-0000-17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295275</xdr:rowOff>
        </xdr:from>
        <xdr:to>
          <xdr:col>14</xdr:col>
          <xdr:colOff>800100</xdr:colOff>
          <xdr:row>6</xdr:row>
          <xdr:rowOff>352425</xdr:rowOff>
        </xdr:to>
        <xdr:sp macro="" textlink="">
          <xdr:nvSpPr>
            <xdr:cNvPr id="28673" name="Group Box 1" hidden="1">
              <a:extLst>
                <a:ext uri="{63B3BB69-23CF-44E3-9099-C40C66FF867C}">
                  <a14:compatExt spid="_x0000_s28673"/>
                </a:ext>
                <a:ext uri="{FF2B5EF4-FFF2-40B4-BE49-F238E27FC236}">
                  <a16:creationId xmlns:a16="http://schemas.microsoft.com/office/drawing/2014/main" id="{00000000-0008-0000-1800-00000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xdr:row>
          <xdr:rowOff>28575</xdr:rowOff>
        </xdr:from>
        <xdr:to>
          <xdr:col>4</xdr:col>
          <xdr:colOff>28575</xdr:colOff>
          <xdr:row>3</xdr:row>
          <xdr:rowOff>247650</xdr:rowOff>
        </xdr:to>
        <xdr:sp macro="" textlink="">
          <xdr:nvSpPr>
            <xdr:cNvPr id="28674" name="Option Button 2" hidden="1">
              <a:extLst>
                <a:ext uri="{63B3BB69-23CF-44E3-9099-C40C66FF867C}">
                  <a14:compatExt spid="_x0000_s28674"/>
                </a:ext>
                <a:ext uri="{FF2B5EF4-FFF2-40B4-BE49-F238E27FC236}">
                  <a16:creationId xmlns:a16="http://schemas.microsoft.com/office/drawing/2014/main" id="{00000000-0008-0000-18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xdr:row>
          <xdr:rowOff>19050</xdr:rowOff>
        </xdr:from>
        <xdr:to>
          <xdr:col>4</xdr:col>
          <xdr:colOff>28575</xdr:colOff>
          <xdr:row>4</xdr:row>
          <xdr:rowOff>238125</xdr:rowOff>
        </xdr:to>
        <xdr:sp macro="" textlink="">
          <xdr:nvSpPr>
            <xdr:cNvPr id="28675" name="Option Button 3" hidden="1">
              <a:extLst>
                <a:ext uri="{63B3BB69-23CF-44E3-9099-C40C66FF867C}">
                  <a14:compatExt spid="_x0000_s28675"/>
                </a:ext>
                <a:ext uri="{FF2B5EF4-FFF2-40B4-BE49-F238E27FC236}">
                  <a16:creationId xmlns:a16="http://schemas.microsoft.com/office/drawing/2014/main" id="{00000000-0008-0000-18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xdr:row>
          <xdr:rowOff>19050</xdr:rowOff>
        </xdr:from>
        <xdr:to>
          <xdr:col>4</xdr:col>
          <xdr:colOff>28575</xdr:colOff>
          <xdr:row>5</xdr:row>
          <xdr:rowOff>238125</xdr:rowOff>
        </xdr:to>
        <xdr:sp macro="" textlink="">
          <xdr:nvSpPr>
            <xdr:cNvPr id="28676" name="Option Button 4" hidden="1">
              <a:extLst>
                <a:ext uri="{63B3BB69-23CF-44E3-9099-C40C66FF867C}">
                  <a14:compatExt spid="_x0000_s28676"/>
                </a:ext>
                <a:ext uri="{FF2B5EF4-FFF2-40B4-BE49-F238E27FC236}">
                  <a16:creationId xmlns:a16="http://schemas.microsoft.com/office/drawing/2014/main" id="{00000000-0008-0000-18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xdr:row>
          <xdr:rowOff>66675</xdr:rowOff>
        </xdr:from>
        <xdr:to>
          <xdr:col>4</xdr:col>
          <xdr:colOff>38100</xdr:colOff>
          <xdr:row>6</xdr:row>
          <xdr:rowOff>285750</xdr:rowOff>
        </xdr:to>
        <xdr:sp macro="" textlink="">
          <xdr:nvSpPr>
            <xdr:cNvPr id="28677" name="Option Button 5" hidden="1">
              <a:extLst>
                <a:ext uri="{63B3BB69-23CF-44E3-9099-C40C66FF867C}">
                  <a14:compatExt spid="_x0000_s28677"/>
                </a:ext>
                <a:ext uri="{FF2B5EF4-FFF2-40B4-BE49-F238E27FC236}">
                  <a16:creationId xmlns:a16="http://schemas.microsoft.com/office/drawing/2014/main" id="{00000000-0008-0000-18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10</xdr:row>
          <xdr:rowOff>114300</xdr:rowOff>
        </xdr:from>
        <xdr:to>
          <xdr:col>1</xdr:col>
          <xdr:colOff>1190625</xdr:colOff>
          <xdr:row>10</xdr:row>
          <xdr:rowOff>923925</xdr:rowOff>
        </xdr:to>
        <xdr:sp macro="" textlink="">
          <xdr:nvSpPr>
            <xdr:cNvPr id="28678" name="Object 6" hidden="1">
              <a:extLst>
                <a:ext uri="{63B3BB69-23CF-44E3-9099-C40C66FF867C}">
                  <a14:compatExt spid="_x0000_s28678"/>
                </a:ext>
                <a:ext uri="{FF2B5EF4-FFF2-40B4-BE49-F238E27FC236}">
                  <a16:creationId xmlns:a16="http://schemas.microsoft.com/office/drawing/2014/main" id="{00000000-0008-0000-1800-0000067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xdr:row>
          <xdr:rowOff>38100</xdr:rowOff>
        </xdr:from>
        <xdr:to>
          <xdr:col>4</xdr:col>
          <xdr:colOff>47625</xdr:colOff>
          <xdr:row>26</xdr:row>
          <xdr:rowOff>257175</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8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xdr:row>
          <xdr:rowOff>57150</xdr:rowOff>
        </xdr:from>
        <xdr:to>
          <xdr:col>4</xdr:col>
          <xdr:colOff>38100</xdr:colOff>
          <xdr:row>38</xdr:row>
          <xdr:rowOff>9525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8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9525</xdr:rowOff>
        </xdr:from>
        <xdr:to>
          <xdr:col>14</xdr:col>
          <xdr:colOff>800100</xdr:colOff>
          <xdr:row>11</xdr:row>
          <xdr:rowOff>1038225</xdr:rowOff>
        </xdr:to>
        <xdr:sp macro="" textlink="">
          <xdr:nvSpPr>
            <xdr:cNvPr id="28681" name="Group Box 9" hidden="1">
              <a:extLst>
                <a:ext uri="{63B3BB69-23CF-44E3-9099-C40C66FF867C}">
                  <a14:compatExt spid="_x0000_s28681"/>
                </a:ext>
                <a:ext uri="{FF2B5EF4-FFF2-40B4-BE49-F238E27FC236}">
                  <a16:creationId xmlns:a16="http://schemas.microsoft.com/office/drawing/2014/main" id="{00000000-0008-0000-1800-00000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47625</xdr:rowOff>
        </xdr:from>
        <xdr:to>
          <xdr:col>4</xdr:col>
          <xdr:colOff>38100</xdr:colOff>
          <xdr:row>7</xdr:row>
          <xdr:rowOff>266700</xdr:rowOff>
        </xdr:to>
        <xdr:sp macro="" textlink="">
          <xdr:nvSpPr>
            <xdr:cNvPr id="28682" name="Option Button 10" hidden="1">
              <a:extLst>
                <a:ext uri="{63B3BB69-23CF-44E3-9099-C40C66FF867C}">
                  <a14:compatExt spid="_x0000_s28682"/>
                </a:ext>
                <a:ext uri="{FF2B5EF4-FFF2-40B4-BE49-F238E27FC236}">
                  <a16:creationId xmlns:a16="http://schemas.microsoft.com/office/drawing/2014/main" id="{00000000-0008-0000-18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323850</xdr:rowOff>
        </xdr:from>
        <xdr:to>
          <xdr:col>4</xdr:col>
          <xdr:colOff>38100</xdr:colOff>
          <xdr:row>8</xdr:row>
          <xdr:rowOff>542925</xdr:rowOff>
        </xdr:to>
        <xdr:sp macro="" textlink="">
          <xdr:nvSpPr>
            <xdr:cNvPr id="28683" name="Option Button 11" hidden="1">
              <a:extLst>
                <a:ext uri="{63B3BB69-23CF-44E3-9099-C40C66FF867C}">
                  <a14:compatExt spid="_x0000_s28683"/>
                </a:ext>
                <a:ext uri="{FF2B5EF4-FFF2-40B4-BE49-F238E27FC236}">
                  <a16:creationId xmlns:a16="http://schemas.microsoft.com/office/drawing/2014/main" id="{00000000-0008-0000-18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361950</xdr:rowOff>
        </xdr:from>
        <xdr:to>
          <xdr:col>4</xdr:col>
          <xdr:colOff>38100</xdr:colOff>
          <xdr:row>9</xdr:row>
          <xdr:rowOff>581025</xdr:rowOff>
        </xdr:to>
        <xdr:sp macro="" textlink="">
          <xdr:nvSpPr>
            <xdr:cNvPr id="28684" name="Option Button 12" hidden="1">
              <a:extLst>
                <a:ext uri="{63B3BB69-23CF-44E3-9099-C40C66FF867C}">
                  <a14:compatExt spid="_x0000_s28684"/>
                </a:ext>
                <a:ext uri="{FF2B5EF4-FFF2-40B4-BE49-F238E27FC236}">
                  <a16:creationId xmlns:a16="http://schemas.microsoft.com/office/drawing/2014/main" id="{00000000-0008-0000-18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xdr:row>
          <xdr:rowOff>428625</xdr:rowOff>
        </xdr:from>
        <xdr:to>
          <xdr:col>4</xdr:col>
          <xdr:colOff>38100</xdr:colOff>
          <xdr:row>10</xdr:row>
          <xdr:rowOff>647700</xdr:rowOff>
        </xdr:to>
        <xdr:sp macro="" textlink="">
          <xdr:nvSpPr>
            <xdr:cNvPr id="28685" name="Option Button 13" hidden="1">
              <a:extLst>
                <a:ext uri="{63B3BB69-23CF-44E3-9099-C40C66FF867C}">
                  <a14:compatExt spid="_x0000_s28685"/>
                </a:ext>
                <a:ext uri="{FF2B5EF4-FFF2-40B4-BE49-F238E27FC236}">
                  <a16:creationId xmlns:a16="http://schemas.microsoft.com/office/drawing/2014/main" id="{00000000-0008-0000-18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428625</xdr:rowOff>
        </xdr:from>
        <xdr:to>
          <xdr:col>4</xdr:col>
          <xdr:colOff>38100</xdr:colOff>
          <xdr:row>11</xdr:row>
          <xdr:rowOff>647700</xdr:rowOff>
        </xdr:to>
        <xdr:sp macro="" textlink="">
          <xdr:nvSpPr>
            <xdr:cNvPr id="28686" name="Option Button 14" hidden="1">
              <a:extLst>
                <a:ext uri="{63B3BB69-23CF-44E3-9099-C40C66FF867C}">
                  <a14:compatExt spid="_x0000_s28686"/>
                </a:ext>
                <a:ext uri="{FF2B5EF4-FFF2-40B4-BE49-F238E27FC236}">
                  <a16:creationId xmlns:a16="http://schemas.microsoft.com/office/drawing/2014/main" id="{00000000-0008-0000-18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9525</xdr:rowOff>
        </xdr:from>
        <xdr:to>
          <xdr:col>14</xdr:col>
          <xdr:colOff>800100</xdr:colOff>
          <xdr:row>17</xdr:row>
          <xdr:rowOff>9525</xdr:rowOff>
        </xdr:to>
        <xdr:sp macro="" textlink="">
          <xdr:nvSpPr>
            <xdr:cNvPr id="28687" name="Group Box 15" hidden="1">
              <a:extLst>
                <a:ext uri="{63B3BB69-23CF-44E3-9099-C40C66FF867C}">
                  <a14:compatExt spid="_x0000_s28687"/>
                </a:ext>
                <a:ext uri="{FF2B5EF4-FFF2-40B4-BE49-F238E27FC236}">
                  <a16:creationId xmlns:a16="http://schemas.microsoft.com/office/drawing/2014/main" id="{00000000-0008-0000-1800-00000F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xdr:row>
          <xdr:rowOff>47625</xdr:rowOff>
        </xdr:from>
        <xdr:to>
          <xdr:col>4</xdr:col>
          <xdr:colOff>38100</xdr:colOff>
          <xdr:row>13</xdr:row>
          <xdr:rowOff>0</xdr:rowOff>
        </xdr:to>
        <xdr:sp macro="" textlink="">
          <xdr:nvSpPr>
            <xdr:cNvPr id="28688" name="Option Button 16" hidden="1">
              <a:extLst>
                <a:ext uri="{63B3BB69-23CF-44E3-9099-C40C66FF867C}">
                  <a14:compatExt spid="_x0000_s28688"/>
                </a:ext>
                <a:ext uri="{FF2B5EF4-FFF2-40B4-BE49-F238E27FC236}">
                  <a16:creationId xmlns:a16="http://schemas.microsoft.com/office/drawing/2014/main" id="{00000000-0008-0000-18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428625</xdr:rowOff>
        </xdr:from>
        <xdr:to>
          <xdr:col>4</xdr:col>
          <xdr:colOff>38100</xdr:colOff>
          <xdr:row>13</xdr:row>
          <xdr:rowOff>647700</xdr:rowOff>
        </xdr:to>
        <xdr:sp macro="" textlink="">
          <xdr:nvSpPr>
            <xdr:cNvPr id="28689" name="Option Button 17" hidden="1">
              <a:extLst>
                <a:ext uri="{63B3BB69-23CF-44E3-9099-C40C66FF867C}">
                  <a14:compatExt spid="_x0000_s28689"/>
                </a:ext>
                <a:ext uri="{FF2B5EF4-FFF2-40B4-BE49-F238E27FC236}">
                  <a16:creationId xmlns:a16="http://schemas.microsoft.com/office/drawing/2014/main" id="{00000000-0008-0000-18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390525</xdr:rowOff>
        </xdr:from>
        <xdr:to>
          <xdr:col>4</xdr:col>
          <xdr:colOff>38100</xdr:colOff>
          <xdr:row>14</xdr:row>
          <xdr:rowOff>609600</xdr:rowOff>
        </xdr:to>
        <xdr:sp macro="" textlink="">
          <xdr:nvSpPr>
            <xdr:cNvPr id="28690" name="Option Button 18" hidden="1">
              <a:extLst>
                <a:ext uri="{63B3BB69-23CF-44E3-9099-C40C66FF867C}">
                  <a14:compatExt spid="_x0000_s28690"/>
                </a:ext>
                <a:ext uri="{FF2B5EF4-FFF2-40B4-BE49-F238E27FC236}">
                  <a16:creationId xmlns:a16="http://schemas.microsoft.com/office/drawing/2014/main" id="{00000000-0008-0000-18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xdr:row>
          <xdr:rowOff>466725</xdr:rowOff>
        </xdr:from>
        <xdr:to>
          <xdr:col>4</xdr:col>
          <xdr:colOff>38100</xdr:colOff>
          <xdr:row>15</xdr:row>
          <xdr:rowOff>685800</xdr:rowOff>
        </xdr:to>
        <xdr:sp macro="" textlink="">
          <xdr:nvSpPr>
            <xdr:cNvPr id="28691" name="Option Button 19" hidden="1">
              <a:extLst>
                <a:ext uri="{63B3BB69-23CF-44E3-9099-C40C66FF867C}">
                  <a14:compatExt spid="_x0000_s28691"/>
                </a:ext>
                <a:ext uri="{FF2B5EF4-FFF2-40B4-BE49-F238E27FC236}">
                  <a16:creationId xmlns:a16="http://schemas.microsoft.com/office/drawing/2014/main" id="{00000000-0008-0000-18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600075</xdr:rowOff>
        </xdr:from>
        <xdr:to>
          <xdr:col>4</xdr:col>
          <xdr:colOff>38100</xdr:colOff>
          <xdr:row>16</xdr:row>
          <xdr:rowOff>819150</xdr:rowOff>
        </xdr:to>
        <xdr:sp macro="" textlink="">
          <xdr:nvSpPr>
            <xdr:cNvPr id="28692" name="Option Button 20" hidden="1">
              <a:extLst>
                <a:ext uri="{63B3BB69-23CF-44E3-9099-C40C66FF867C}">
                  <a14:compatExt spid="_x0000_s28692"/>
                </a:ext>
                <a:ext uri="{FF2B5EF4-FFF2-40B4-BE49-F238E27FC236}">
                  <a16:creationId xmlns:a16="http://schemas.microsoft.com/office/drawing/2014/main" id="{00000000-0008-0000-18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9525</xdr:rowOff>
        </xdr:from>
        <xdr:to>
          <xdr:col>14</xdr:col>
          <xdr:colOff>800100</xdr:colOff>
          <xdr:row>21</xdr:row>
          <xdr:rowOff>19050</xdr:rowOff>
        </xdr:to>
        <xdr:sp macro="" textlink="">
          <xdr:nvSpPr>
            <xdr:cNvPr id="28693" name="Group Box 21" hidden="1">
              <a:extLst>
                <a:ext uri="{63B3BB69-23CF-44E3-9099-C40C66FF867C}">
                  <a14:compatExt spid="_x0000_s28693"/>
                </a:ext>
                <a:ext uri="{FF2B5EF4-FFF2-40B4-BE49-F238E27FC236}">
                  <a16:creationId xmlns:a16="http://schemas.microsoft.com/office/drawing/2014/main" id="{00000000-0008-0000-1800-00001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xdr:row>
          <xdr:rowOff>47625</xdr:rowOff>
        </xdr:from>
        <xdr:to>
          <xdr:col>4</xdr:col>
          <xdr:colOff>38100</xdr:colOff>
          <xdr:row>18</xdr:row>
          <xdr:rowOff>0</xdr:rowOff>
        </xdr:to>
        <xdr:sp macro="" textlink="">
          <xdr:nvSpPr>
            <xdr:cNvPr id="28694" name="Option Button 22" hidden="1">
              <a:extLst>
                <a:ext uri="{63B3BB69-23CF-44E3-9099-C40C66FF867C}">
                  <a14:compatExt spid="_x0000_s28694"/>
                </a:ext>
                <a:ext uri="{FF2B5EF4-FFF2-40B4-BE49-F238E27FC236}">
                  <a16:creationId xmlns:a16="http://schemas.microsoft.com/office/drawing/2014/main" id="{00000000-0008-0000-18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xdr:row>
          <xdr:rowOff>276225</xdr:rowOff>
        </xdr:from>
        <xdr:to>
          <xdr:col>4</xdr:col>
          <xdr:colOff>38100</xdr:colOff>
          <xdr:row>18</xdr:row>
          <xdr:rowOff>495300</xdr:rowOff>
        </xdr:to>
        <xdr:sp macro="" textlink="">
          <xdr:nvSpPr>
            <xdr:cNvPr id="28695" name="Option Button 23" hidden="1">
              <a:extLst>
                <a:ext uri="{63B3BB69-23CF-44E3-9099-C40C66FF867C}">
                  <a14:compatExt spid="_x0000_s28695"/>
                </a:ext>
                <a:ext uri="{FF2B5EF4-FFF2-40B4-BE49-F238E27FC236}">
                  <a16:creationId xmlns:a16="http://schemas.microsoft.com/office/drawing/2014/main" id="{00000000-0008-0000-18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xdr:row>
          <xdr:rowOff>390525</xdr:rowOff>
        </xdr:from>
        <xdr:to>
          <xdr:col>4</xdr:col>
          <xdr:colOff>38100</xdr:colOff>
          <xdr:row>19</xdr:row>
          <xdr:rowOff>609600</xdr:rowOff>
        </xdr:to>
        <xdr:sp macro="" textlink="">
          <xdr:nvSpPr>
            <xdr:cNvPr id="28696" name="Option Button 24" hidden="1">
              <a:extLst>
                <a:ext uri="{63B3BB69-23CF-44E3-9099-C40C66FF867C}">
                  <a14:compatExt spid="_x0000_s28696"/>
                </a:ext>
                <a:ext uri="{FF2B5EF4-FFF2-40B4-BE49-F238E27FC236}">
                  <a16:creationId xmlns:a16="http://schemas.microsoft.com/office/drawing/2014/main" id="{00000000-0008-0000-18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333375</xdr:rowOff>
        </xdr:from>
        <xdr:to>
          <xdr:col>4</xdr:col>
          <xdr:colOff>38100</xdr:colOff>
          <xdr:row>20</xdr:row>
          <xdr:rowOff>552450</xdr:rowOff>
        </xdr:to>
        <xdr:sp macro="" textlink="">
          <xdr:nvSpPr>
            <xdr:cNvPr id="28697" name="Option Button 25" hidden="1">
              <a:extLst>
                <a:ext uri="{63B3BB69-23CF-44E3-9099-C40C66FF867C}">
                  <a14:compatExt spid="_x0000_s28697"/>
                </a:ext>
                <a:ext uri="{FF2B5EF4-FFF2-40B4-BE49-F238E27FC236}">
                  <a16:creationId xmlns:a16="http://schemas.microsoft.com/office/drawing/2014/main" id="{00000000-0008-0000-18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19050</xdr:rowOff>
        </xdr:from>
        <xdr:to>
          <xdr:col>14</xdr:col>
          <xdr:colOff>800100</xdr:colOff>
          <xdr:row>26</xdr:row>
          <xdr:rowOff>0</xdr:rowOff>
        </xdr:to>
        <xdr:sp macro="" textlink="">
          <xdr:nvSpPr>
            <xdr:cNvPr id="28698" name="Group Box 26" hidden="1">
              <a:extLst>
                <a:ext uri="{63B3BB69-23CF-44E3-9099-C40C66FF867C}">
                  <a14:compatExt spid="_x0000_s28698"/>
                </a:ext>
                <a:ext uri="{FF2B5EF4-FFF2-40B4-BE49-F238E27FC236}">
                  <a16:creationId xmlns:a16="http://schemas.microsoft.com/office/drawing/2014/main" id="{00000000-0008-0000-1800-00001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57150</xdr:rowOff>
        </xdr:from>
        <xdr:to>
          <xdr:col>4</xdr:col>
          <xdr:colOff>38100</xdr:colOff>
          <xdr:row>22</xdr:row>
          <xdr:rowOff>9525</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8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504825</xdr:rowOff>
        </xdr:from>
        <xdr:to>
          <xdr:col>4</xdr:col>
          <xdr:colOff>38100</xdr:colOff>
          <xdr:row>22</xdr:row>
          <xdr:rowOff>723900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8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323850</xdr:rowOff>
        </xdr:from>
        <xdr:to>
          <xdr:col>4</xdr:col>
          <xdr:colOff>38100</xdr:colOff>
          <xdr:row>23</xdr:row>
          <xdr:rowOff>542925</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8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342900</xdr:rowOff>
        </xdr:from>
        <xdr:to>
          <xdr:col>4</xdr:col>
          <xdr:colOff>38100</xdr:colOff>
          <xdr:row>24</xdr:row>
          <xdr:rowOff>561975</xdr:rowOff>
        </xdr:to>
        <xdr:sp macro="" textlink="">
          <xdr:nvSpPr>
            <xdr:cNvPr id="28702" name="Option Button 30" hidden="1">
              <a:extLst>
                <a:ext uri="{63B3BB69-23CF-44E3-9099-C40C66FF867C}">
                  <a14:compatExt spid="_x0000_s28702"/>
                </a:ext>
                <a:ext uri="{FF2B5EF4-FFF2-40B4-BE49-F238E27FC236}">
                  <a16:creationId xmlns:a16="http://schemas.microsoft.com/office/drawing/2014/main" id="{00000000-0008-0000-18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xdr:row>
          <xdr:rowOff>361950</xdr:rowOff>
        </xdr:from>
        <xdr:to>
          <xdr:col>4</xdr:col>
          <xdr:colOff>38100</xdr:colOff>
          <xdr:row>25</xdr:row>
          <xdr:rowOff>581025</xdr:rowOff>
        </xdr:to>
        <xdr:sp macro="" textlink="">
          <xdr:nvSpPr>
            <xdr:cNvPr id="28703" name="Option Button 31" hidden="1">
              <a:extLst>
                <a:ext uri="{63B3BB69-23CF-44E3-9099-C40C66FF867C}">
                  <a14:compatExt spid="_x0000_s28703"/>
                </a:ext>
                <a:ext uri="{FF2B5EF4-FFF2-40B4-BE49-F238E27FC236}">
                  <a16:creationId xmlns:a16="http://schemas.microsoft.com/office/drawing/2014/main" id="{00000000-0008-0000-18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19050</xdr:rowOff>
        </xdr:from>
        <xdr:to>
          <xdr:col>14</xdr:col>
          <xdr:colOff>800100</xdr:colOff>
          <xdr:row>32</xdr:row>
          <xdr:rowOff>19050</xdr:rowOff>
        </xdr:to>
        <xdr:sp macro="" textlink="">
          <xdr:nvSpPr>
            <xdr:cNvPr id="28704" name="Group Box 32" hidden="1">
              <a:extLst>
                <a:ext uri="{63B3BB69-23CF-44E3-9099-C40C66FF867C}">
                  <a14:compatExt spid="_x0000_s28704"/>
                </a:ext>
                <a:ext uri="{FF2B5EF4-FFF2-40B4-BE49-F238E27FC236}">
                  <a16:creationId xmlns:a16="http://schemas.microsoft.com/office/drawing/2014/main" id="{00000000-0008-0000-1800-000020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xdr:row>
          <xdr:rowOff>66675</xdr:rowOff>
        </xdr:from>
        <xdr:to>
          <xdr:col>4</xdr:col>
          <xdr:colOff>47625</xdr:colOff>
          <xdr:row>28</xdr:row>
          <xdr:rowOff>28575</xdr:rowOff>
        </xdr:to>
        <xdr:sp macro="" textlink="">
          <xdr:nvSpPr>
            <xdr:cNvPr id="28705" name="Option Button 33" hidden="1">
              <a:extLst>
                <a:ext uri="{63B3BB69-23CF-44E3-9099-C40C66FF867C}">
                  <a14:compatExt spid="_x0000_s28705"/>
                </a:ext>
                <a:ext uri="{FF2B5EF4-FFF2-40B4-BE49-F238E27FC236}">
                  <a16:creationId xmlns:a16="http://schemas.microsoft.com/office/drawing/2014/main" id="{00000000-0008-0000-18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47625</xdr:rowOff>
        </xdr:from>
        <xdr:to>
          <xdr:col>4</xdr:col>
          <xdr:colOff>47625</xdr:colOff>
          <xdr:row>29</xdr:row>
          <xdr:rowOff>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8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xdr:row>
          <xdr:rowOff>76200</xdr:rowOff>
        </xdr:from>
        <xdr:to>
          <xdr:col>4</xdr:col>
          <xdr:colOff>47625</xdr:colOff>
          <xdr:row>29</xdr:row>
          <xdr:rowOff>295275</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8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xdr:row>
          <xdr:rowOff>76200</xdr:rowOff>
        </xdr:from>
        <xdr:to>
          <xdr:col>4</xdr:col>
          <xdr:colOff>47625</xdr:colOff>
          <xdr:row>30</xdr:row>
          <xdr:rowOff>295275</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8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31</xdr:row>
          <xdr:rowOff>85725</xdr:rowOff>
        </xdr:from>
        <xdr:to>
          <xdr:col>4</xdr:col>
          <xdr:colOff>47625</xdr:colOff>
          <xdr:row>31</xdr:row>
          <xdr:rowOff>304800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8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19050</xdr:rowOff>
        </xdr:from>
        <xdr:to>
          <xdr:col>14</xdr:col>
          <xdr:colOff>800100</xdr:colOff>
          <xdr:row>37</xdr:row>
          <xdr:rowOff>28575</xdr:rowOff>
        </xdr:to>
        <xdr:sp macro="" textlink="">
          <xdr:nvSpPr>
            <xdr:cNvPr id="28710" name="Group Box 38" hidden="1">
              <a:extLst>
                <a:ext uri="{63B3BB69-23CF-44E3-9099-C40C66FF867C}">
                  <a14:compatExt spid="_x0000_s28710"/>
                </a:ext>
                <a:ext uri="{FF2B5EF4-FFF2-40B4-BE49-F238E27FC236}">
                  <a16:creationId xmlns:a16="http://schemas.microsoft.com/office/drawing/2014/main" id="{00000000-0008-0000-1800-00002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xdr:row>
          <xdr:rowOff>66675</xdr:rowOff>
        </xdr:from>
        <xdr:to>
          <xdr:col>4</xdr:col>
          <xdr:colOff>47625</xdr:colOff>
          <xdr:row>33</xdr:row>
          <xdr:rowOff>28575</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8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xdr:row>
          <xdr:rowOff>352425</xdr:rowOff>
        </xdr:from>
        <xdr:to>
          <xdr:col>4</xdr:col>
          <xdr:colOff>47625</xdr:colOff>
          <xdr:row>33</xdr:row>
          <xdr:rowOff>571500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8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xdr:row>
          <xdr:rowOff>514350</xdr:rowOff>
        </xdr:from>
        <xdr:to>
          <xdr:col>4</xdr:col>
          <xdr:colOff>47625</xdr:colOff>
          <xdr:row>34</xdr:row>
          <xdr:rowOff>733425</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8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35</xdr:row>
          <xdr:rowOff>514350</xdr:rowOff>
        </xdr:from>
        <xdr:to>
          <xdr:col>4</xdr:col>
          <xdr:colOff>47625</xdr:colOff>
          <xdr:row>35</xdr:row>
          <xdr:rowOff>733425</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8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36</xdr:row>
          <xdr:rowOff>514350</xdr:rowOff>
        </xdr:from>
        <xdr:to>
          <xdr:col>4</xdr:col>
          <xdr:colOff>47625</xdr:colOff>
          <xdr:row>36</xdr:row>
          <xdr:rowOff>733425</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8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28575</xdr:rowOff>
        </xdr:from>
        <xdr:to>
          <xdr:col>14</xdr:col>
          <xdr:colOff>800100</xdr:colOff>
          <xdr:row>42</xdr:row>
          <xdr:rowOff>47625</xdr:rowOff>
        </xdr:to>
        <xdr:sp macro="" textlink="">
          <xdr:nvSpPr>
            <xdr:cNvPr id="28716" name="Group Box 44" hidden="1">
              <a:extLst>
                <a:ext uri="{63B3BB69-23CF-44E3-9099-C40C66FF867C}">
                  <a14:compatExt spid="_x0000_s28716"/>
                </a:ext>
                <a:ext uri="{FF2B5EF4-FFF2-40B4-BE49-F238E27FC236}">
                  <a16:creationId xmlns:a16="http://schemas.microsoft.com/office/drawing/2014/main" id="{00000000-0008-0000-1800-00002C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38</xdr:row>
          <xdr:rowOff>76200</xdr:rowOff>
        </xdr:from>
        <xdr:to>
          <xdr:col>4</xdr:col>
          <xdr:colOff>47625</xdr:colOff>
          <xdr:row>39</xdr:row>
          <xdr:rowOff>38100</xdr:rowOff>
        </xdr:to>
        <xdr:sp macro="" textlink="">
          <xdr:nvSpPr>
            <xdr:cNvPr id="28717" name="Option Button 45" hidden="1">
              <a:extLst>
                <a:ext uri="{63B3BB69-23CF-44E3-9099-C40C66FF867C}">
                  <a14:compatExt spid="_x0000_s28717"/>
                </a:ext>
                <a:ext uri="{FF2B5EF4-FFF2-40B4-BE49-F238E27FC236}">
                  <a16:creationId xmlns:a16="http://schemas.microsoft.com/office/drawing/2014/main" id="{00000000-0008-0000-18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39</xdr:row>
          <xdr:rowOff>57150</xdr:rowOff>
        </xdr:from>
        <xdr:to>
          <xdr:col>4</xdr:col>
          <xdr:colOff>47625</xdr:colOff>
          <xdr:row>40</xdr:row>
          <xdr:rowOff>9525</xdr:rowOff>
        </xdr:to>
        <xdr:sp macro="" textlink="">
          <xdr:nvSpPr>
            <xdr:cNvPr id="28718" name="Option Button 46" hidden="1">
              <a:extLst>
                <a:ext uri="{63B3BB69-23CF-44E3-9099-C40C66FF867C}">
                  <a14:compatExt spid="_x0000_s28718"/>
                </a:ext>
                <a:ext uri="{FF2B5EF4-FFF2-40B4-BE49-F238E27FC236}">
                  <a16:creationId xmlns:a16="http://schemas.microsoft.com/office/drawing/2014/main" id="{00000000-0008-0000-18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40</xdr:row>
          <xdr:rowOff>57150</xdr:rowOff>
        </xdr:from>
        <xdr:to>
          <xdr:col>4</xdr:col>
          <xdr:colOff>47625</xdr:colOff>
          <xdr:row>41</xdr:row>
          <xdr:rowOff>9525</xdr:rowOff>
        </xdr:to>
        <xdr:sp macro="" textlink="">
          <xdr:nvSpPr>
            <xdr:cNvPr id="28719" name="Option Button 47" hidden="1">
              <a:extLst>
                <a:ext uri="{63B3BB69-23CF-44E3-9099-C40C66FF867C}">
                  <a14:compatExt spid="_x0000_s28719"/>
                </a:ext>
                <a:ext uri="{FF2B5EF4-FFF2-40B4-BE49-F238E27FC236}">
                  <a16:creationId xmlns:a16="http://schemas.microsoft.com/office/drawing/2014/main" id="{00000000-0008-0000-18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41</xdr:row>
          <xdr:rowOff>57150</xdr:rowOff>
        </xdr:from>
        <xdr:to>
          <xdr:col>4</xdr:col>
          <xdr:colOff>47625</xdr:colOff>
          <xdr:row>42</xdr:row>
          <xdr:rowOff>9525</xdr:rowOff>
        </xdr:to>
        <xdr:sp macro="" textlink="">
          <xdr:nvSpPr>
            <xdr:cNvPr id="28720" name="Option Button 48" hidden="1">
              <a:extLst>
                <a:ext uri="{63B3BB69-23CF-44E3-9099-C40C66FF867C}">
                  <a14:compatExt spid="_x0000_s28720"/>
                </a:ext>
                <a:ext uri="{FF2B5EF4-FFF2-40B4-BE49-F238E27FC236}">
                  <a16:creationId xmlns:a16="http://schemas.microsoft.com/office/drawing/2014/main" id="{00000000-0008-0000-18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42</xdr:row>
          <xdr:rowOff>47625</xdr:rowOff>
        </xdr:from>
        <xdr:to>
          <xdr:col>14</xdr:col>
          <xdr:colOff>800100</xdr:colOff>
          <xdr:row>47</xdr:row>
          <xdr:rowOff>57150</xdr:rowOff>
        </xdr:to>
        <xdr:sp macro="" textlink="">
          <xdr:nvSpPr>
            <xdr:cNvPr id="28721" name="Group Box 49" hidden="1">
              <a:extLst>
                <a:ext uri="{63B3BB69-23CF-44E3-9099-C40C66FF867C}">
                  <a14:compatExt spid="_x0000_s28721"/>
                </a:ext>
                <a:ext uri="{FF2B5EF4-FFF2-40B4-BE49-F238E27FC236}">
                  <a16:creationId xmlns:a16="http://schemas.microsoft.com/office/drawing/2014/main" id="{00000000-0008-0000-1800-00003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42</xdr:row>
          <xdr:rowOff>95250</xdr:rowOff>
        </xdr:from>
        <xdr:to>
          <xdr:col>4</xdr:col>
          <xdr:colOff>47625</xdr:colOff>
          <xdr:row>43</xdr:row>
          <xdr:rowOff>47625</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8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43</xdr:row>
          <xdr:rowOff>209550</xdr:rowOff>
        </xdr:from>
        <xdr:to>
          <xdr:col>4</xdr:col>
          <xdr:colOff>47625</xdr:colOff>
          <xdr:row>43</xdr:row>
          <xdr:rowOff>428625</xdr:rowOff>
        </xdr:to>
        <xdr:sp macro="" textlink="">
          <xdr:nvSpPr>
            <xdr:cNvPr id="28723" name="Option Button 51" hidden="1">
              <a:extLst>
                <a:ext uri="{63B3BB69-23CF-44E3-9099-C40C66FF867C}">
                  <a14:compatExt spid="_x0000_s28723"/>
                </a:ext>
                <a:ext uri="{FF2B5EF4-FFF2-40B4-BE49-F238E27FC236}">
                  <a16:creationId xmlns:a16="http://schemas.microsoft.com/office/drawing/2014/main" id="{00000000-0008-0000-18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44</xdr:row>
          <xdr:rowOff>190500</xdr:rowOff>
        </xdr:from>
        <xdr:to>
          <xdr:col>4</xdr:col>
          <xdr:colOff>47625</xdr:colOff>
          <xdr:row>44</xdr:row>
          <xdr:rowOff>409575</xdr:rowOff>
        </xdr:to>
        <xdr:sp macro="" textlink="">
          <xdr:nvSpPr>
            <xdr:cNvPr id="28724" name="Option Button 52" hidden="1">
              <a:extLst>
                <a:ext uri="{63B3BB69-23CF-44E3-9099-C40C66FF867C}">
                  <a14:compatExt spid="_x0000_s28724"/>
                </a:ext>
                <a:ext uri="{FF2B5EF4-FFF2-40B4-BE49-F238E27FC236}">
                  <a16:creationId xmlns:a16="http://schemas.microsoft.com/office/drawing/2014/main" id="{00000000-0008-0000-18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45</xdr:row>
          <xdr:rowOff>142875</xdr:rowOff>
        </xdr:from>
        <xdr:to>
          <xdr:col>4</xdr:col>
          <xdr:colOff>47625</xdr:colOff>
          <xdr:row>45</xdr:row>
          <xdr:rowOff>361950</xdr:rowOff>
        </xdr:to>
        <xdr:sp macro="" textlink="">
          <xdr:nvSpPr>
            <xdr:cNvPr id="28725" name="Option Button 53" hidden="1">
              <a:extLst>
                <a:ext uri="{63B3BB69-23CF-44E3-9099-C40C66FF867C}">
                  <a14:compatExt spid="_x0000_s28725"/>
                </a:ext>
                <a:ext uri="{FF2B5EF4-FFF2-40B4-BE49-F238E27FC236}">
                  <a16:creationId xmlns:a16="http://schemas.microsoft.com/office/drawing/2014/main" id="{00000000-0008-0000-18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46</xdr:row>
          <xdr:rowOff>133350</xdr:rowOff>
        </xdr:from>
        <xdr:to>
          <xdr:col>4</xdr:col>
          <xdr:colOff>47625</xdr:colOff>
          <xdr:row>46</xdr:row>
          <xdr:rowOff>352425</xdr:rowOff>
        </xdr:to>
        <xdr:sp macro="" textlink="">
          <xdr:nvSpPr>
            <xdr:cNvPr id="28726" name="Option Button 54" hidden="1">
              <a:extLst>
                <a:ext uri="{63B3BB69-23CF-44E3-9099-C40C66FF867C}">
                  <a14:compatExt spid="_x0000_s28726"/>
                </a:ext>
                <a:ext uri="{FF2B5EF4-FFF2-40B4-BE49-F238E27FC236}">
                  <a16:creationId xmlns:a16="http://schemas.microsoft.com/office/drawing/2014/main" id="{00000000-0008-0000-18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xdr:row>
          <xdr:rowOff>57150</xdr:rowOff>
        </xdr:from>
        <xdr:to>
          <xdr:col>14</xdr:col>
          <xdr:colOff>800100</xdr:colOff>
          <xdr:row>50</xdr:row>
          <xdr:rowOff>57150</xdr:rowOff>
        </xdr:to>
        <xdr:sp macro="" textlink="">
          <xdr:nvSpPr>
            <xdr:cNvPr id="28727" name="Group Box 55" hidden="1">
              <a:extLst>
                <a:ext uri="{63B3BB69-23CF-44E3-9099-C40C66FF867C}">
                  <a14:compatExt spid="_x0000_s28727"/>
                </a:ext>
                <a:ext uri="{FF2B5EF4-FFF2-40B4-BE49-F238E27FC236}">
                  <a16:creationId xmlns:a16="http://schemas.microsoft.com/office/drawing/2014/main" id="{00000000-0008-0000-1800-00003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xdr:row>
          <xdr:rowOff>95250</xdr:rowOff>
        </xdr:from>
        <xdr:to>
          <xdr:col>4</xdr:col>
          <xdr:colOff>38100</xdr:colOff>
          <xdr:row>48</xdr:row>
          <xdr:rowOff>47625</xdr:rowOff>
        </xdr:to>
        <xdr:sp macro="" textlink="">
          <xdr:nvSpPr>
            <xdr:cNvPr id="28728" name="Option Button 56" hidden="1">
              <a:extLst>
                <a:ext uri="{63B3BB69-23CF-44E3-9099-C40C66FF867C}">
                  <a14:compatExt spid="_x0000_s28728"/>
                </a:ext>
                <a:ext uri="{FF2B5EF4-FFF2-40B4-BE49-F238E27FC236}">
                  <a16:creationId xmlns:a16="http://schemas.microsoft.com/office/drawing/2014/main" id="{00000000-0008-0000-18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133350</xdr:rowOff>
        </xdr:from>
        <xdr:to>
          <xdr:col>4</xdr:col>
          <xdr:colOff>38100</xdr:colOff>
          <xdr:row>49</xdr:row>
          <xdr:rowOff>9525</xdr:rowOff>
        </xdr:to>
        <xdr:sp macro="" textlink="">
          <xdr:nvSpPr>
            <xdr:cNvPr id="28729" name="Option Button 57" hidden="1">
              <a:extLst>
                <a:ext uri="{63B3BB69-23CF-44E3-9099-C40C66FF867C}">
                  <a14:compatExt spid="_x0000_s28729"/>
                </a:ext>
                <a:ext uri="{FF2B5EF4-FFF2-40B4-BE49-F238E27FC236}">
                  <a16:creationId xmlns:a16="http://schemas.microsoft.com/office/drawing/2014/main" id="{00000000-0008-0000-18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xdr:row>
          <xdr:rowOff>104775</xdr:rowOff>
        </xdr:from>
        <xdr:to>
          <xdr:col>4</xdr:col>
          <xdr:colOff>38100</xdr:colOff>
          <xdr:row>49</xdr:row>
          <xdr:rowOff>323850</xdr:rowOff>
        </xdr:to>
        <xdr:sp macro="" textlink="">
          <xdr:nvSpPr>
            <xdr:cNvPr id="28730" name="Option Button 58" hidden="1">
              <a:extLst>
                <a:ext uri="{63B3BB69-23CF-44E3-9099-C40C66FF867C}">
                  <a14:compatExt spid="_x0000_s28730"/>
                </a:ext>
                <a:ext uri="{FF2B5EF4-FFF2-40B4-BE49-F238E27FC236}">
                  <a16:creationId xmlns:a16="http://schemas.microsoft.com/office/drawing/2014/main" id="{00000000-0008-0000-18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xdr:row>
          <xdr:rowOff>28575</xdr:rowOff>
        </xdr:from>
        <xdr:to>
          <xdr:col>14</xdr:col>
          <xdr:colOff>800100</xdr:colOff>
          <xdr:row>57</xdr:row>
          <xdr:rowOff>19050</xdr:rowOff>
        </xdr:to>
        <xdr:sp macro="" textlink="">
          <xdr:nvSpPr>
            <xdr:cNvPr id="28731" name="Group Box 59" hidden="1">
              <a:extLst>
                <a:ext uri="{63B3BB69-23CF-44E3-9099-C40C66FF867C}">
                  <a14:compatExt spid="_x0000_s28731"/>
                </a:ext>
                <a:ext uri="{FF2B5EF4-FFF2-40B4-BE49-F238E27FC236}">
                  <a16:creationId xmlns:a16="http://schemas.microsoft.com/office/drawing/2014/main" id="{00000000-0008-0000-1800-00003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50</xdr:row>
          <xdr:rowOff>66675</xdr:rowOff>
        </xdr:from>
        <xdr:to>
          <xdr:col>4</xdr:col>
          <xdr:colOff>28575</xdr:colOff>
          <xdr:row>51</xdr:row>
          <xdr:rowOff>19050</xdr:rowOff>
        </xdr:to>
        <xdr:sp macro="" textlink="">
          <xdr:nvSpPr>
            <xdr:cNvPr id="28732" name="Option Button 60" hidden="1">
              <a:extLst>
                <a:ext uri="{63B3BB69-23CF-44E3-9099-C40C66FF867C}">
                  <a14:compatExt spid="_x0000_s28732"/>
                </a:ext>
                <a:ext uri="{FF2B5EF4-FFF2-40B4-BE49-F238E27FC236}">
                  <a16:creationId xmlns:a16="http://schemas.microsoft.com/office/drawing/2014/main" id="{00000000-0008-0000-18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52</xdr:row>
          <xdr:rowOff>76200</xdr:rowOff>
        </xdr:from>
        <xdr:to>
          <xdr:col>6</xdr:col>
          <xdr:colOff>238125</xdr:colOff>
          <xdr:row>53</xdr:row>
          <xdr:rowOff>28575</xdr:rowOff>
        </xdr:to>
        <xdr:sp macro="" textlink="">
          <xdr:nvSpPr>
            <xdr:cNvPr id="28733" name="Option Button 61" hidden="1">
              <a:extLst>
                <a:ext uri="{63B3BB69-23CF-44E3-9099-C40C66FF867C}">
                  <a14:compatExt spid="_x0000_s28733"/>
                </a:ext>
                <a:ext uri="{FF2B5EF4-FFF2-40B4-BE49-F238E27FC236}">
                  <a16:creationId xmlns:a16="http://schemas.microsoft.com/office/drawing/2014/main" id="{00000000-0008-0000-18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52</xdr:row>
          <xdr:rowOff>76200</xdr:rowOff>
        </xdr:from>
        <xdr:to>
          <xdr:col>10</xdr:col>
          <xdr:colOff>161925</xdr:colOff>
          <xdr:row>53</xdr:row>
          <xdr:rowOff>28575</xdr:rowOff>
        </xdr:to>
        <xdr:sp macro="" textlink="">
          <xdr:nvSpPr>
            <xdr:cNvPr id="28734" name="Option Button 62" hidden="1">
              <a:extLst>
                <a:ext uri="{63B3BB69-23CF-44E3-9099-C40C66FF867C}">
                  <a14:compatExt spid="_x0000_s28734"/>
                </a:ext>
                <a:ext uri="{FF2B5EF4-FFF2-40B4-BE49-F238E27FC236}">
                  <a16:creationId xmlns:a16="http://schemas.microsoft.com/office/drawing/2014/main" id="{00000000-0008-0000-18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52</xdr:row>
          <xdr:rowOff>76200</xdr:rowOff>
        </xdr:from>
        <xdr:to>
          <xdr:col>14</xdr:col>
          <xdr:colOff>19050</xdr:colOff>
          <xdr:row>53</xdr:row>
          <xdr:rowOff>28575</xdr:rowOff>
        </xdr:to>
        <xdr:sp macro="" textlink="">
          <xdr:nvSpPr>
            <xdr:cNvPr id="28735" name="Option Button 63" hidden="1">
              <a:extLst>
                <a:ext uri="{63B3BB69-23CF-44E3-9099-C40C66FF867C}">
                  <a14:compatExt spid="_x0000_s28735"/>
                </a:ext>
                <a:ext uri="{FF2B5EF4-FFF2-40B4-BE49-F238E27FC236}">
                  <a16:creationId xmlns:a16="http://schemas.microsoft.com/office/drawing/2014/main" id="{00000000-0008-0000-18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54</xdr:row>
          <xdr:rowOff>76200</xdr:rowOff>
        </xdr:from>
        <xdr:to>
          <xdr:col>6</xdr:col>
          <xdr:colOff>238125</xdr:colOff>
          <xdr:row>55</xdr:row>
          <xdr:rowOff>28575</xdr:rowOff>
        </xdr:to>
        <xdr:sp macro="" textlink="">
          <xdr:nvSpPr>
            <xdr:cNvPr id="28736" name="Option Button 64" hidden="1">
              <a:extLst>
                <a:ext uri="{63B3BB69-23CF-44E3-9099-C40C66FF867C}">
                  <a14:compatExt spid="_x0000_s28736"/>
                </a:ext>
                <a:ext uri="{FF2B5EF4-FFF2-40B4-BE49-F238E27FC236}">
                  <a16:creationId xmlns:a16="http://schemas.microsoft.com/office/drawing/2014/main" id="{00000000-0008-0000-18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54</xdr:row>
          <xdr:rowOff>76200</xdr:rowOff>
        </xdr:from>
        <xdr:to>
          <xdr:col>10</xdr:col>
          <xdr:colOff>161925</xdr:colOff>
          <xdr:row>55</xdr:row>
          <xdr:rowOff>28575</xdr:rowOff>
        </xdr:to>
        <xdr:sp macro="" textlink="">
          <xdr:nvSpPr>
            <xdr:cNvPr id="28737" name="Option Button 65" hidden="1">
              <a:extLst>
                <a:ext uri="{63B3BB69-23CF-44E3-9099-C40C66FF867C}">
                  <a14:compatExt spid="_x0000_s28737"/>
                </a:ext>
                <a:ext uri="{FF2B5EF4-FFF2-40B4-BE49-F238E27FC236}">
                  <a16:creationId xmlns:a16="http://schemas.microsoft.com/office/drawing/2014/main" id="{00000000-0008-0000-18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54</xdr:row>
          <xdr:rowOff>76200</xdr:rowOff>
        </xdr:from>
        <xdr:to>
          <xdr:col>14</xdr:col>
          <xdr:colOff>19050</xdr:colOff>
          <xdr:row>55</xdr:row>
          <xdr:rowOff>28575</xdr:rowOff>
        </xdr:to>
        <xdr:sp macro="" textlink="">
          <xdr:nvSpPr>
            <xdr:cNvPr id="28738" name="Option Button 66" hidden="1">
              <a:extLst>
                <a:ext uri="{63B3BB69-23CF-44E3-9099-C40C66FF867C}">
                  <a14:compatExt spid="_x0000_s28738"/>
                </a:ext>
                <a:ext uri="{FF2B5EF4-FFF2-40B4-BE49-F238E27FC236}">
                  <a16:creationId xmlns:a16="http://schemas.microsoft.com/office/drawing/2014/main" id="{00000000-0008-0000-18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56</xdr:row>
          <xdr:rowOff>66675</xdr:rowOff>
        </xdr:from>
        <xdr:to>
          <xdr:col>6</xdr:col>
          <xdr:colOff>238125</xdr:colOff>
          <xdr:row>57</xdr:row>
          <xdr:rowOff>19050</xdr:rowOff>
        </xdr:to>
        <xdr:sp macro="" textlink="">
          <xdr:nvSpPr>
            <xdr:cNvPr id="28739" name="Option Button 67" hidden="1">
              <a:extLst>
                <a:ext uri="{63B3BB69-23CF-44E3-9099-C40C66FF867C}">
                  <a14:compatExt spid="_x0000_s28739"/>
                </a:ext>
                <a:ext uri="{FF2B5EF4-FFF2-40B4-BE49-F238E27FC236}">
                  <a16:creationId xmlns:a16="http://schemas.microsoft.com/office/drawing/2014/main" id="{00000000-0008-0000-18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56</xdr:row>
          <xdr:rowOff>66675</xdr:rowOff>
        </xdr:from>
        <xdr:to>
          <xdr:col>10</xdr:col>
          <xdr:colOff>161925</xdr:colOff>
          <xdr:row>57</xdr:row>
          <xdr:rowOff>19050</xdr:rowOff>
        </xdr:to>
        <xdr:sp macro="" textlink="">
          <xdr:nvSpPr>
            <xdr:cNvPr id="28740" name="Option Button 68" hidden="1">
              <a:extLst>
                <a:ext uri="{63B3BB69-23CF-44E3-9099-C40C66FF867C}">
                  <a14:compatExt spid="_x0000_s28740"/>
                </a:ext>
                <a:ext uri="{FF2B5EF4-FFF2-40B4-BE49-F238E27FC236}">
                  <a16:creationId xmlns:a16="http://schemas.microsoft.com/office/drawing/2014/main" id="{00000000-0008-0000-18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56</xdr:row>
          <xdr:rowOff>66675</xdr:rowOff>
        </xdr:from>
        <xdr:to>
          <xdr:col>14</xdr:col>
          <xdr:colOff>19050</xdr:colOff>
          <xdr:row>57</xdr:row>
          <xdr:rowOff>19050</xdr:rowOff>
        </xdr:to>
        <xdr:sp macro="" textlink="">
          <xdr:nvSpPr>
            <xdr:cNvPr id="28741" name="Option Button 69" hidden="1">
              <a:extLst>
                <a:ext uri="{63B3BB69-23CF-44E3-9099-C40C66FF867C}">
                  <a14:compatExt spid="_x0000_s28741"/>
                </a:ext>
                <a:ext uri="{FF2B5EF4-FFF2-40B4-BE49-F238E27FC236}">
                  <a16:creationId xmlns:a16="http://schemas.microsoft.com/office/drawing/2014/main" id="{00000000-0008-0000-18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57</xdr:row>
          <xdr:rowOff>19050</xdr:rowOff>
        </xdr:from>
        <xdr:to>
          <xdr:col>14</xdr:col>
          <xdr:colOff>800100</xdr:colOff>
          <xdr:row>61</xdr:row>
          <xdr:rowOff>9525</xdr:rowOff>
        </xdr:to>
        <xdr:sp macro="" textlink="">
          <xdr:nvSpPr>
            <xdr:cNvPr id="28742" name="Group Box 70" hidden="1">
              <a:extLst>
                <a:ext uri="{63B3BB69-23CF-44E3-9099-C40C66FF867C}">
                  <a14:compatExt spid="_x0000_s28742"/>
                </a:ext>
                <a:ext uri="{FF2B5EF4-FFF2-40B4-BE49-F238E27FC236}">
                  <a16:creationId xmlns:a16="http://schemas.microsoft.com/office/drawing/2014/main" id="{00000000-0008-0000-1800-00004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57</xdr:row>
          <xdr:rowOff>104775</xdr:rowOff>
        </xdr:from>
        <xdr:to>
          <xdr:col>4</xdr:col>
          <xdr:colOff>38100</xdr:colOff>
          <xdr:row>58</xdr:row>
          <xdr:rowOff>66675</xdr:rowOff>
        </xdr:to>
        <xdr:sp macro="" textlink="">
          <xdr:nvSpPr>
            <xdr:cNvPr id="28743" name="Option Button 71" hidden="1">
              <a:extLst>
                <a:ext uri="{63B3BB69-23CF-44E3-9099-C40C66FF867C}">
                  <a14:compatExt spid="_x0000_s28743"/>
                </a:ext>
                <a:ext uri="{FF2B5EF4-FFF2-40B4-BE49-F238E27FC236}">
                  <a16:creationId xmlns:a16="http://schemas.microsoft.com/office/drawing/2014/main" id="{00000000-0008-0000-18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58</xdr:row>
          <xdr:rowOff>466725</xdr:rowOff>
        </xdr:from>
        <xdr:to>
          <xdr:col>4</xdr:col>
          <xdr:colOff>38100</xdr:colOff>
          <xdr:row>58</xdr:row>
          <xdr:rowOff>685800</xdr:rowOff>
        </xdr:to>
        <xdr:sp macro="" textlink="">
          <xdr:nvSpPr>
            <xdr:cNvPr id="28744" name="Option Button 72" hidden="1">
              <a:extLst>
                <a:ext uri="{63B3BB69-23CF-44E3-9099-C40C66FF867C}">
                  <a14:compatExt spid="_x0000_s28744"/>
                </a:ext>
                <a:ext uri="{FF2B5EF4-FFF2-40B4-BE49-F238E27FC236}">
                  <a16:creationId xmlns:a16="http://schemas.microsoft.com/office/drawing/2014/main" id="{00000000-0008-0000-18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59</xdr:row>
          <xdr:rowOff>247650</xdr:rowOff>
        </xdr:from>
        <xdr:to>
          <xdr:col>4</xdr:col>
          <xdr:colOff>38100</xdr:colOff>
          <xdr:row>59</xdr:row>
          <xdr:rowOff>466725</xdr:rowOff>
        </xdr:to>
        <xdr:sp macro="" textlink="">
          <xdr:nvSpPr>
            <xdr:cNvPr id="28745" name="Option Button 73" hidden="1">
              <a:extLst>
                <a:ext uri="{63B3BB69-23CF-44E3-9099-C40C66FF867C}">
                  <a14:compatExt spid="_x0000_s28745"/>
                </a:ext>
                <a:ext uri="{FF2B5EF4-FFF2-40B4-BE49-F238E27FC236}">
                  <a16:creationId xmlns:a16="http://schemas.microsoft.com/office/drawing/2014/main" id="{00000000-0008-0000-18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60</xdr:row>
          <xdr:rowOff>400050</xdr:rowOff>
        </xdr:from>
        <xdr:to>
          <xdr:col>4</xdr:col>
          <xdr:colOff>38100</xdr:colOff>
          <xdr:row>60</xdr:row>
          <xdr:rowOff>619125</xdr:rowOff>
        </xdr:to>
        <xdr:sp macro="" textlink="">
          <xdr:nvSpPr>
            <xdr:cNvPr id="28746" name="Option Button 74" hidden="1">
              <a:extLst>
                <a:ext uri="{63B3BB69-23CF-44E3-9099-C40C66FF867C}">
                  <a14:compatExt spid="_x0000_s28746"/>
                </a:ext>
                <a:ext uri="{FF2B5EF4-FFF2-40B4-BE49-F238E27FC236}">
                  <a16:creationId xmlns:a16="http://schemas.microsoft.com/office/drawing/2014/main" id="{00000000-0008-0000-18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xdr:row>
          <xdr:rowOff>0</xdr:rowOff>
        </xdr:from>
        <xdr:to>
          <xdr:col>14</xdr:col>
          <xdr:colOff>819150</xdr:colOff>
          <xdr:row>7</xdr:row>
          <xdr:rowOff>0</xdr:rowOff>
        </xdr:to>
        <xdr:sp macro="" textlink="">
          <xdr:nvSpPr>
            <xdr:cNvPr id="27649" name="Group Box 1" hidden="1">
              <a:extLst>
                <a:ext uri="{63B3BB69-23CF-44E3-9099-C40C66FF867C}">
                  <a14:compatExt spid="_x0000_s27649"/>
                </a:ext>
                <a:ext uri="{FF2B5EF4-FFF2-40B4-BE49-F238E27FC236}">
                  <a16:creationId xmlns:a16="http://schemas.microsoft.com/office/drawing/2014/main" id="{00000000-0008-0000-1900-00000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xdr:row>
          <xdr:rowOff>38100</xdr:rowOff>
        </xdr:from>
        <xdr:to>
          <xdr:col>4</xdr:col>
          <xdr:colOff>28575</xdr:colOff>
          <xdr:row>3</xdr:row>
          <xdr:rowOff>257175</xdr:rowOff>
        </xdr:to>
        <xdr:sp macro="" textlink="">
          <xdr:nvSpPr>
            <xdr:cNvPr id="27650" name="Option Button 2" hidden="1">
              <a:extLst>
                <a:ext uri="{63B3BB69-23CF-44E3-9099-C40C66FF867C}">
                  <a14:compatExt spid="_x0000_s27650"/>
                </a:ext>
                <a:ext uri="{FF2B5EF4-FFF2-40B4-BE49-F238E27FC236}">
                  <a16:creationId xmlns:a16="http://schemas.microsoft.com/office/drawing/2014/main" id="{00000000-0008-0000-19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xdr:row>
          <xdr:rowOff>47625</xdr:rowOff>
        </xdr:from>
        <xdr:to>
          <xdr:col>4</xdr:col>
          <xdr:colOff>28575</xdr:colOff>
          <xdr:row>4</xdr:row>
          <xdr:rowOff>266700</xdr:rowOff>
        </xdr:to>
        <xdr:sp macro="" textlink="">
          <xdr:nvSpPr>
            <xdr:cNvPr id="27651" name="Option Button 3" hidden="1">
              <a:extLst>
                <a:ext uri="{63B3BB69-23CF-44E3-9099-C40C66FF867C}">
                  <a14:compatExt spid="_x0000_s27651"/>
                </a:ext>
                <a:ext uri="{FF2B5EF4-FFF2-40B4-BE49-F238E27FC236}">
                  <a16:creationId xmlns:a16="http://schemas.microsoft.com/office/drawing/2014/main" id="{00000000-0008-0000-19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xdr:row>
          <xdr:rowOff>47625</xdr:rowOff>
        </xdr:from>
        <xdr:to>
          <xdr:col>4</xdr:col>
          <xdr:colOff>28575</xdr:colOff>
          <xdr:row>5</xdr:row>
          <xdr:rowOff>266700</xdr:rowOff>
        </xdr:to>
        <xdr:sp macro="" textlink="">
          <xdr:nvSpPr>
            <xdr:cNvPr id="27652" name="Option Button 4" hidden="1">
              <a:extLst>
                <a:ext uri="{63B3BB69-23CF-44E3-9099-C40C66FF867C}">
                  <a14:compatExt spid="_x0000_s27652"/>
                </a:ext>
                <a:ext uri="{FF2B5EF4-FFF2-40B4-BE49-F238E27FC236}">
                  <a16:creationId xmlns:a16="http://schemas.microsoft.com/office/drawing/2014/main" id="{00000000-0008-0000-19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47625</xdr:rowOff>
        </xdr:from>
        <xdr:to>
          <xdr:col>4</xdr:col>
          <xdr:colOff>28575</xdr:colOff>
          <xdr:row>6</xdr:row>
          <xdr:rowOff>266700</xdr:rowOff>
        </xdr:to>
        <xdr:sp macro="" textlink="">
          <xdr:nvSpPr>
            <xdr:cNvPr id="27653" name="Option Button 5" hidden="1">
              <a:extLst>
                <a:ext uri="{63B3BB69-23CF-44E3-9099-C40C66FF867C}">
                  <a14:compatExt spid="_x0000_s27653"/>
                </a:ext>
                <a:ext uri="{FF2B5EF4-FFF2-40B4-BE49-F238E27FC236}">
                  <a16:creationId xmlns:a16="http://schemas.microsoft.com/office/drawing/2014/main" id="{00000000-0008-0000-19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14</xdr:col>
          <xdr:colOff>819150</xdr:colOff>
          <xdr:row>10</xdr:row>
          <xdr:rowOff>0</xdr:rowOff>
        </xdr:to>
        <xdr:sp macro="" textlink="">
          <xdr:nvSpPr>
            <xdr:cNvPr id="27654" name="Group Box 6" hidden="1">
              <a:extLst>
                <a:ext uri="{63B3BB69-23CF-44E3-9099-C40C66FF867C}">
                  <a14:compatExt spid="_x0000_s27654"/>
                </a:ext>
                <a:ext uri="{FF2B5EF4-FFF2-40B4-BE49-F238E27FC236}">
                  <a16:creationId xmlns:a16="http://schemas.microsoft.com/office/drawing/2014/main" id="{00000000-0008-0000-1900-00000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47625</xdr:rowOff>
        </xdr:from>
        <xdr:to>
          <xdr:col>4</xdr:col>
          <xdr:colOff>38100</xdr:colOff>
          <xdr:row>8</xdr:row>
          <xdr:rowOff>0</xdr:rowOff>
        </xdr:to>
        <xdr:sp macro="" textlink="">
          <xdr:nvSpPr>
            <xdr:cNvPr id="27655" name="Option Button 7" hidden="1">
              <a:extLst>
                <a:ext uri="{63B3BB69-23CF-44E3-9099-C40C66FF867C}">
                  <a14:compatExt spid="_x0000_s27655"/>
                </a:ext>
                <a:ext uri="{FF2B5EF4-FFF2-40B4-BE49-F238E27FC236}">
                  <a16:creationId xmlns:a16="http://schemas.microsoft.com/office/drawing/2014/main" id="{00000000-0008-0000-19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323850</xdr:rowOff>
        </xdr:from>
        <xdr:to>
          <xdr:col>4</xdr:col>
          <xdr:colOff>38100</xdr:colOff>
          <xdr:row>8</xdr:row>
          <xdr:rowOff>542925</xdr:rowOff>
        </xdr:to>
        <xdr:sp macro="" textlink="">
          <xdr:nvSpPr>
            <xdr:cNvPr id="27656" name="Option Button 8" hidden="1">
              <a:extLst>
                <a:ext uri="{63B3BB69-23CF-44E3-9099-C40C66FF867C}">
                  <a14:compatExt spid="_x0000_s27656"/>
                </a:ext>
                <a:ext uri="{FF2B5EF4-FFF2-40B4-BE49-F238E27FC236}">
                  <a16:creationId xmlns:a16="http://schemas.microsoft.com/office/drawing/2014/main" id="{00000000-0008-0000-19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400050</xdr:rowOff>
        </xdr:from>
        <xdr:to>
          <xdr:col>4</xdr:col>
          <xdr:colOff>38100</xdr:colOff>
          <xdr:row>9</xdr:row>
          <xdr:rowOff>619125</xdr:rowOff>
        </xdr:to>
        <xdr:sp macro="" textlink="">
          <xdr:nvSpPr>
            <xdr:cNvPr id="27657" name="Option Button 9" hidden="1">
              <a:extLst>
                <a:ext uri="{63B3BB69-23CF-44E3-9099-C40C66FF867C}">
                  <a14:compatExt spid="_x0000_s27657"/>
                </a:ext>
                <a:ext uri="{FF2B5EF4-FFF2-40B4-BE49-F238E27FC236}">
                  <a16:creationId xmlns:a16="http://schemas.microsoft.com/office/drawing/2014/main" id="{00000000-0008-0000-19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14</xdr:col>
          <xdr:colOff>819150</xdr:colOff>
          <xdr:row>13</xdr:row>
          <xdr:rowOff>333375</xdr:rowOff>
        </xdr:to>
        <xdr:sp macro="" textlink="">
          <xdr:nvSpPr>
            <xdr:cNvPr id="27658" name="Group Box 10" hidden="1">
              <a:extLst>
                <a:ext uri="{63B3BB69-23CF-44E3-9099-C40C66FF867C}">
                  <a14:compatExt spid="_x0000_s27658"/>
                </a:ext>
                <a:ext uri="{FF2B5EF4-FFF2-40B4-BE49-F238E27FC236}">
                  <a16:creationId xmlns:a16="http://schemas.microsoft.com/office/drawing/2014/main" id="{00000000-0008-0000-1900-00000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xdr:row>
          <xdr:rowOff>38100</xdr:rowOff>
        </xdr:from>
        <xdr:to>
          <xdr:col>4</xdr:col>
          <xdr:colOff>47625</xdr:colOff>
          <xdr:row>10</xdr:row>
          <xdr:rowOff>257175</xdr:rowOff>
        </xdr:to>
        <xdr:sp macro="" textlink="">
          <xdr:nvSpPr>
            <xdr:cNvPr id="27659" name="Option Button 11" hidden="1">
              <a:extLst>
                <a:ext uri="{63B3BB69-23CF-44E3-9099-C40C66FF867C}">
                  <a14:compatExt spid="_x0000_s27659"/>
                </a:ext>
                <a:ext uri="{FF2B5EF4-FFF2-40B4-BE49-F238E27FC236}">
                  <a16:creationId xmlns:a16="http://schemas.microsoft.com/office/drawing/2014/main" id="{00000000-0008-0000-19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28575</xdr:rowOff>
        </xdr:from>
        <xdr:to>
          <xdr:col>4</xdr:col>
          <xdr:colOff>47625</xdr:colOff>
          <xdr:row>11</xdr:row>
          <xdr:rowOff>247650</xdr:rowOff>
        </xdr:to>
        <xdr:sp macro="" textlink="">
          <xdr:nvSpPr>
            <xdr:cNvPr id="27660" name="Option Button 12" hidden="1">
              <a:extLst>
                <a:ext uri="{63B3BB69-23CF-44E3-9099-C40C66FF867C}">
                  <a14:compatExt spid="_x0000_s27660"/>
                </a:ext>
                <a:ext uri="{FF2B5EF4-FFF2-40B4-BE49-F238E27FC236}">
                  <a16:creationId xmlns:a16="http://schemas.microsoft.com/office/drawing/2014/main" id="{00000000-0008-0000-19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66675</xdr:rowOff>
        </xdr:from>
        <xdr:to>
          <xdr:col>4</xdr:col>
          <xdr:colOff>47625</xdr:colOff>
          <xdr:row>12</xdr:row>
          <xdr:rowOff>285750</xdr:rowOff>
        </xdr:to>
        <xdr:sp macro="" textlink="">
          <xdr:nvSpPr>
            <xdr:cNvPr id="27661" name="Option Button 13" hidden="1">
              <a:extLst>
                <a:ext uri="{63B3BB69-23CF-44E3-9099-C40C66FF867C}">
                  <a14:compatExt spid="_x0000_s27661"/>
                </a:ext>
                <a:ext uri="{FF2B5EF4-FFF2-40B4-BE49-F238E27FC236}">
                  <a16:creationId xmlns:a16="http://schemas.microsoft.com/office/drawing/2014/main" id="{00000000-0008-0000-19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xdr:row>
          <xdr:rowOff>9525</xdr:rowOff>
        </xdr:from>
        <xdr:to>
          <xdr:col>4</xdr:col>
          <xdr:colOff>47625</xdr:colOff>
          <xdr:row>13</xdr:row>
          <xdr:rowOff>228600</xdr:rowOff>
        </xdr:to>
        <xdr:sp macro="" textlink="">
          <xdr:nvSpPr>
            <xdr:cNvPr id="27662" name="Option Button 14" hidden="1">
              <a:extLst>
                <a:ext uri="{63B3BB69-23CF-44E3-9099-C40C66FF867C}">
                  <a14:compatExt spid="_x0000_s27662"/>
                </a:ext>
                <a:ext uri="{FF2B5EF4-FFF2-40B4-BE49-F238E27FC236}">
                  <a16:creationId xmlns:a16="http://schemas.microsoft.com/office/drawing/2014/main" id="{00000000-0008-0000-19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xdr:row>
          <xdr:rowOff>9525</xdr:rowOff>
        </xdr:from>
        <xdr:to>
          <xdr:col>14</xdr:col>
          <xdr:colOff>819150</xdr:colOff>
          <xdr:row>17</xdr:row>
          <xdr:rowOff>9525</xdr:rowOff>
        </xdr:to>
        <xdr:sp macro="" textlink="">
          <xdr:nvSpPr>
            <xdr:cNvPr id="27663" name="Group Box 15" hidden="1">
              <a:extLst>
                <a:ext uri="{63B3BB69-23CF-44E3-9099-C40C66FF867C}">
                  <a14:compatExt spid="_x0000_s27663"/>
                </a:ext>
                <a:ext uri="{FF2B5EF4-FFF2-40B4-BE49-F238E27FC236}">
                  <a16:creationId xmlns:a16="http://schemas.microsoft.com/office/drawing/2014/main" id="{00000000-0008-0000-1900-00000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57150</xdr:rowOff>
        </xdr:from>
        <xdr:to>
          <xdr:col>4</xdr:col>
          <xdr:colOff>38100</xdr:colOff>
          <xdr:row>15</xdr:row>
          <xdr:rowOff>9525</xdr:rowOff>
        </xdr:to>
        <xdr:sp macro="" textlink="">
          <xdr:nvSpPr>
            <xdr:cNvPr id="27664" name="Option Button 16" hidden="1">
              <a:extLst>
                <a:ext uri="{63B3BB69-23CF-44E3-9099-C40C66FF867C}">
                  <a14:compatExt spid="_x0000_s27664"/>
                </a:ext>
                <a:ext uri="{FF2B5EF4-FFF2-40B4-BE49-F238E27FC236}">
                  <a16:creationId xmlns:a16="http://schemas.microsoft.com/office/drawing/2014/main" id="{00000000-0008-0000-19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xdr:row>
          <xdr:rowOff>47625</xdr:rowOff>
        </xdr:from>
        <xdr:to>
          <xdr:col>4</xdr:col>
          <xdr:colOff>38100</xdr:colOff>
          <xdr:row>16</xdr:row>
          <xdr:rowOff>0</xdr:rowOff>
        </xdr:to>
        <xdr:sp macro="" textlink="">
          <xdr:nvSpPr>
            <xdr:cNvPr id="27665" name="Option Button 17" hidden="1">
              <a:extLst>
                <a:ext uri="{63B3BB69-23CF-44E3-9099-C40C66FF867C}">
                  <a14:compatExt spid="_x0000_s27665"/>
                </a:ext>
                <a:ext uri="{FF2B5EF4-FFF2-40B4-BE49-F238E27FC236}">
                  <a16:creationId xmlns:a16="http://schemas.microsoft.com/office/drawing/2014/main" id="{00000000-0008-0000-19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38100</xdr:rowOff>
        </xdr:from>
        <xdr:to>
          <xdr:col>4</xdr:col>
          <xdr:colOff>38100</xdr:colOff>
          <xdr:row>16</xdr:row>
          <xdr:rowOff>257175</xdr:rowOff>
        </xdr:to>
        <xdr:sp macro="" textlink="">
          <xdr:nvSpPr>
            <xdr:cNvPr id="27666" name="Option Button 18" hidden="1">
              <a:extLst>
                <a:ext uri="{63B3BB69-23CF-44E3-9099-C40C66FF867C}">
                  <a14:compatExt spid="_x0000_s27666"/>
                </a:ext>
                <a:ext uri="{FF2B5EF4-FFF2-40B4-BE49-F238E27FC236}">
                  <a16:creationId xmlns:a16="http://schemas.microsoft.com/office/drawing/2014/main" id="{00000000-0008-0000-19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9525</xdr:rowOff>
        </xdr:from>
        <xdr:to>
          <xdr:col>14</xdr:col>
          <xdr:colOff>819150</xdr:colOff>
          <xdr:row>20</xdr:row>
          <xdr:rowOff>333375</xdr:rowOff>
        </xdr:to>
        <xdr:sp macro="" textlink="">
          <xdr:nvSpPr>
            <xdr:cNvPr id="27667" name="Group Box 19" hidden="1">
              <a:extLst>
                <a:ext uri="{63B3BB69-23CF-44E3-9099-C40C66FF867C}">
                  <a14:compatExt spid="_x0000_s27667"/>
                </a:ext>
                <a:ext uri="{FF2B5EF4-FFF2-40B4-BE49-F238E27FC236}">
                  <a16:creationId xmlns:a16="http://schemas.microsoft.com/office/drawing/2014/main" id="{00000000-0008-0000-1900-00001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57150</xdr:rowOff>
        </xdr:from>
        <xdr:to>
          <xdr:col>4</xdr:col>
          <xdr:colOff>28575</xdr:colOff>
          <xdr:row>18</xdr:row>
          <xdr:rowOff>19050</xdr:rowOff>
        </xdr:to>
        <xdr:sp macro="" textlink="">
          <xdr:nvSpPr>
            <xdr:cNvPr id="27668" name="Option Button 20" hidden="1">
              <a:extLst>
                <a:ext uri="{63B3BB69-23CF-44E3-9099-C40C66FF867C}">
                  <a14:compatExt spid="_x0000_s27668"/>
                </a:ext>
                <a:ext uri="{FF2B5EF4-FFF2-40B4-BE49-F238E27FC236}">
                  <a16:creationId xmlns:a16="http://schemas.microsoft.com/office/drawing/2014/main" id="{00000000-0008-0000-19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18</xdr:row>
          <xdr:rowOff>47625</xdr:rowOff>
        </xdr:from>
        <xdr:to>
          <xdr:col>4</xdr:col>
          <xdr:colOff>28575</xdr:colOff>
          <xdr:row>18</xdr:row>
          <xdr:rowOff>266700</xdr:rowOff>
        </xdr:to>
        <xdr:sp macro="" textlink="">
          <xdr:nvSpPr>
            <xdr:cNvPr id="27669" name="Option Button 21" hidden="1">
              <a:extLst>
                <a:ext uri="{63B3BB69-23CF-44E3-9099-C40C66FF867C}">
                  <a14:compatExt spid="_x0000_s27669"/>
                </a:ext>
                <a:ext uri="{FF2B5EF4-FFF2-40B4-BE49-F238E27FC236}">
                  <a16:creationId xmlns:a16="http://schemas.microsoft.com/office/drawing/2014/main" id="{00000000-0008-0000-19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xdr:row>
          <xdr:rowOff>76200</xdr:rowOff>
        </xdr:from>
        <xdr:to>
          <xdr:col>4</xdr:col>
          <xdr:colOff>28575</xdr:colOff>
          <xdr:row>19</xdr:row>
          <xdr:rowOff>295275</xdr:rowOff>
        </xdr:to>
        <xdr:sp macro="" textlink="">
          <xdr:nvSpPr>
            <xdr:cNvPr id="27670" name="Option Button 22" hidden="1">
              <a:extLst>
                <a:ext uri="{63B3BB69-23CF-44E3-9099-C40C66FF867C}">
                  <a14:compatExt spid="_x0000_s27670"/>
                </a:ext>
                <a:ext uri="{FF2B5EF4-FFF2-40B4-BE49-F238E27FC236}">
                  <a16:creationId xmlns:a16="http://schemas.microsoft.com/office/drawing/2014/main" id="{00000000-0008-0000-19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xdr:row>
          <xdr:rowOff>76200</xdr:rowOff>
        </xdr:from>
        <xdr:to>
          <xdr:col>4</xdr:col>
          <xdr:colOff>28575</xdr:colOff>
          <xdr:row>20</xdr:row>
          <xdr:rowOff>295275</xdr:rowOff>
        </xdr:to>
        <xdr:sp macro="" textlink="">
          <xdr:nvSpPr>
            <xdr:cNvPr id="27671" name="Option Button 23" hidden="1">
              <a:extLst>
                <a:ext uri="{63B3BB69-23CF-44E3-9099-C40C66FF867C}">
                  <a14:compatExt spid="_x0000_s27671"/>
                </a:ext>
                <a:ext uri="{FF2B5EF4-FFF2-40B4-BE49-F238E27FC236}">
                  <a16:creationId xmlns:a16="http://schemas.microsoft.com/office/drawing/2014/main" id="{00000000-0008-0000-19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19050</xdr:rowOff>
        </xdr:from>
        <xdr:to>
          <xdr:col>14</xdr:col>
          <xdr:colOff>819150</xdr:colOff>
          <xdr:row>25</xdr:row>
          <xdr:rowOff>19050</xdr:rowOff>
        </xdr:to>
        <xdr:sp macro="" textlink="">
          <xdr:nvSpPr>
            <xdr:cNvPr id="27672" name="Group Box 24" hidden="1">
              <a:extLst>
                <a:ext uri="{63B3BB69-23CF-44E3-9099-C40C66FF867C}">
                  <a14:compatExt spid="_x0000_s27672"/>
                </a:ext>
                <a:ext uri="{FF2B5EF4-FFF2-40B4-BE49-F238E27FC236}">
                  <a16:creationId xmlns:a16="http://schemas.microsoft.com/office/drawing/2014/main" id="{00000000-0008-0000-1900-00001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66675</xdr:rowOff>
        </xdr:from>
        <xdr:to>
          <xdr:col>4</xdr:col>
          <xdr:colOff>38100</xdr:colOff>
          <xdr:row>22</xdr:row>
          <xdr:rowOff>19050</xdr:rowOff>
        </xdr:to>
        <xdr:sp macro="" textlink="">
          <xdr:nvSpPr>
            <xdr:cNvPr id="27673" name="Option Button 25" hidden="1">
              <a:extLst>
                <a:ext uri="{63B3BB69-23CF-44E3-9099-C40C66FF867C}">
                  <a14:compatExt spid="_x0000_s27673"/>
                </a:ext>
                <a:ext uri="{FF2B5EF4-FFF2-40B4-BE49-F238E27FC236}">
                  <a16:creationId xmlns:a16="http://schemas.microsoft.com/office/drawing/2014/main" id="{00000000-0008-0000-19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76200</xdr:rowOff>
        </xdr:from>
        <xdr:to>
          <xdr:col>4</xdr:col>
          <xdr:colOff>38100</xdr:colOff>
          <xdr:row>22</xdr:row>
          <xdr:rowOff>295275</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9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57150</xdr:rowOff>
        </xdr:from>
        <xdr:to>
          <xdr:col>4</xdr:col>
          <xdr:colOff>38100</xdr:colOff>
          <xdr:row>23</xdr:row>
          <xdr:rowOff>276225</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9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28575</xdr:rowOff>
        </xdr:from>
        <xdr:to>
          <xdr:col>4</xdr:col>
          <xdr:colOff>38100</xdr:colOff>
          <xdr:row>24</xdr:row>
          <xdr:rowOff>247650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9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19050</xdr:rowOff>
        </xdr:from>
        <xdr:to>
          <xdr:col>14</xdr:col>
          <xdr:colOff>819150</xdr:colOff>
          <xdr:row>29</xdr:row>
          <xdr:rowOff>19050</xdr:rowOff>
        </xdr:to>
        <xdr:sp macro="" textlink="">
          <xdr:nvSpPr>
            <xdr:cNvPr id="27677" name="Group Box 29" hidden="1">
              <a:extLst>
                <a:ext uri="{63B3BB69-23CF-44E3-9099-C40C66FF867C}">
                  <a14:compatExt spid="_x0000_s27677"/>
                </a:ext>
                <a:ext uri="{FF2B5EF4-FFF2-40B4-BE49-F238E27FC236}">
                  <a16:creationId xmlns:a16="http://schemas.microsoft.com/office/drawing/2014/main" id="{00000000-0008-0000-1900-00001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xdr:row>
          <xdr:rowOff>57150</xdr:rowOff>
        </xdr:from>
        <xdr:to>
          <xdr:col>4</xdr:col>
          <xdr:colOff>38100</xdr:colOff>
          <xdr:row>26</xdr:row>
          <xdr:rowOff>9525</xdr:rowOff>
        </xdr:to>
        <xdr:sp macro="" textlink="">
          <xdr:nvSpPr>
            <xdr:cNvPr id="27678" name="Option Button 30" hidden="1">
              <a:extLst>
                <a:ext uri="{63B3BB69-23CF-44E3-9099-C40C66FF867C}">
                  <a14:compatExt spid="_x0000_s27678"/>
                </a:ext>
                <a:ext uri="{FF2B5EF4-FFF2-40B4-BE49-F238E27FC236}">
                  <a16:creationId xmlns:a16="http://schemas.microsoft.com/office/drawing/2014/main" id="{00000000-0008-0000-19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xdr:row>
          <xdr:rowOff>66675</xdr:rowOff>
        </xdr:from>
        <xdr:to>
          <xdr:col>4</xdr:col>
          <xdr:colOff>38100</xdr:colOff>
          <xdr:row>26</xdr:row>
          <xdr:rowOff>285750</xdr:rowOff>
        </xdr:to>
        <xdr:sp macro="" textlink="">
          <xdr:nvSpPr>
            <xdr:cNvPr id="27679" name="Option Button 31" hidden="1">
              <a:extLst>
                <a:ext uri="{63B3BB69-23CF-44E3-9099-C40C66FF867C}">
                  <a14:compatExt spid="_x0000_s27679"/>
                </a:ext>
                <a:ext uri="{FF2B5EF4-FFF2-40B4-BE49-F238E27FC236}">
                  <a16:creationId xmlns:a16="http://schemas.microsoft.com/office/drawing/2014/main" id="{00000000-0008-0000-19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66675</xdr:rowOff>
        </xdr:from>
        <xdr:to>
          <xdr:col>4</xdr:col>
          <xdr:colOff>38100</xdr:colOff>
          <xdr:row>27</xdr:row>
          <xdr:rowOff>285750</xdr:rowOff>
        </xdr:to>
        <xdr:sp macro="" textlink="">
          <xdr:nvSpPr>
            <xdr:cNvPr id="27680" name="Option Button 32" hidden="1">
              <a:extLst>
                <a:ext uri="{63B3BB69-23CF-44E3-9099-C40C66FF867C}">
                  <a14:compatExt spid="_x0000_s27680"/>
                </a:ext>
                <a:ext uri="{FF2B5EF4-FFF2-40B4-BE49-F238E27FC236}">
                  <a16:creationId xmlns:a16="http://schemas.microsoft.com/office/drawing/2014/main" id="{00000000-0008-0000-19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28</xdr:row>
          <xdr:rowOff>47625</xdr:rowOff>
        </xdr:from>
        <xdr:to>
          <xdr:col>4</xdr:col>
          <xdr:colOff>38100</xdr:colOff>
          <xdr:row>28</xdr:row>
          <xdr:rowOff>266700</xdr:rowOff>
        </xdr:to>
        <xdr:sp macro="" textlink="">
          <xdr:nvSpPr>
            <xdr:cNvPr id="27681" name="Option Button 33" hidden="1">
              <a:extLst>
                <a:ext uri="{63B3BB69-23CF-44E3-9099-C40C66FF867C}">
                  <a14:compatExt spid="_x0000_s27681"/>
                </a:ext>
                <a:ext uri="{FF2B5EF4-FFF2-40B4-BE49-F238E27FC236}">
                  <a16:creationId xmlns:a16="http://schemas.microsoft.com/office/drawing/2014/main" id="{00000000-0008-0000-19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29</xdr:row>
          <xdr:rowOff>19050</xdr:rowOff>
        </xdr:from>
        <xdr:to>
          <xdr:col>14</xdr:col>
          <xdr:colOff>819150</xdr:colOff>
          <xdr:row>34</xdr:row>
          <xdr:rowOff>9525</xdr:rowOff>
        </xdr:to>
        <xdr:sp macro="" textlink="">
          <xdr:nvSpPr>
            <xdr:cNvPr id="27682" name="Group Box 34" hidden="1">
              <a:extLst>
                <a:ext uri="{63B3BB69-23CF-44E3-9099-C40C66FF867C}">
                  <a14:compatExt spid="_x0000_s27682"/>
                </a:ext>
                <a:ext uri="{FF2B5EF4-FFF2-40B4-BE49-F238E27FC236}">
                  <a16:creationId xmlns:a16="http://schemas.microsoft.com/office/drawing/2014/main" id="{00000000-0008-0000-1900-00002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xdr:row>
          <xdr:rowOff>57150</xdr:rowOff>
        </xdr:from>
        <xdr:to>
          <xdr:col>4</xdr:col>
          <xdr:colOff>38100</xdr:colOff>
          <xdr:row>30</xdr:row>
          <xdr:rowOff>9525</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9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xdr:row>
          <xdr:rowOff>247650</xdr:rowOff>
        </xdr:from>
        <xdr:to>
          <xdr:col>4</xdr:col>
          <xdr:colOff>38100</xdr:colOff>
          <xdr:row>30</xdr:row>
          <xdr:rowOff>466725</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9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xdr:row>
          <xdr:rowOff>200025</xdr:rowOff>
        </xdr:from>
        <xdr:to>
          <xdr:col>4</xdr:col>
          <xdr:colOff>38100</xdr:colOff>
          <xdr:row>31</xdr:row>
          <xdr:rowOff>419100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9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xdr:row>
          <xdr:rowOff>66675</xdr:rowOff>
        </xdr:from>
        <xdr:to>
          <xdr:col>4</xdr:col>
          <xdr:colOff>38100</xdr:colOff>
          <xdr:row>32</xdr:row>
          <xdr:rowOff>285750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9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xdr:row>
          <xdr:rowOff>266700</xdr:rowOff>
        </xdr:from>
        <xdr:to>
          <xdr:col>4</xdr:col>
          <xdr:colOff>38100</xdr:colOff>
          <xdr:row>33</xdr:row>
          <xdr:rowOff>485775</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9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28575</xdr:rowOff>
        </xdr:from>
        <xdr:to>
          <xdr:col>14</xdr:col>
          <xdr:colOff>819150</xdr:colOff>
          <xdr:row>40</xdr:row>
          <xdr:rowOff>28575</xdr:rowOff>
        </xdr:to>
        <xdr:sp macro="" textlink="">
          <xdr:nvSpPr>
            <xdr:cNvPr id="27688" name="Group Box 40" hidden="1">
              <a:extLst>
                <a:ext uri="{63B3BB69-23CF-44E3-9099-C40C66FF867C}">
                  <a14:compatExt spid="_x0000_s27688"/>
                </a:ext>
                <a:ext uri="{FF2B5EF4-FFF2-40B4-BE49-F238E27FC236}">
                  <a16:creationId xmlns:a16="http://schemas.microsoft.com/office/drawing/2014/main" id="{00000000-0008-0000-1900-00002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xdr:row>
          <xdr:rowOff>76200</xdr:rowOff>
        </xdr:from>
        <xdr:to>
          <xdr:col>4</xdr:col>
          <xdr:colOff>38100</xdr:colOff>
          <xdr:row>38</xdr:row>
          <xdr:rowOff>28575</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9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xdr:row>
          <xdr:rowOff>95250</xdr:rowOff>
        </xdr:from>
        <xdr:to>
          <xdr:col>4</xdr:col>
          <xdr:colOff>38100</xdr:colOff>
          <xdr:row>38</xdr:row>
          <xdr:rowOff>314325</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9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95250</xdr:rowOff>
        </xdr:from>
        <xdr:to>
          <xdr:col>4</xdr:col>
          <xdr:colOff>38100</xdr:colOff>
          <xdr:row>39</xdr:row>
          <xdr:rowOff>314325</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9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xdr:row>
          <xdr:rowOff>28575</xdr:rowOff>
        </xdr:from>
        <xdr:to>
          <xdr:col>14</xdr:col>
          <xdr:colOff>819150</xdr:colOff>
          <xdr:row>37</xdr:row>
          <xdr:rowOff>28575</xdr:rowOff>
        </xdr:to>
        <xdr:sp macro="" textlink="">
          <xdr:nvSpPr>
            <xdr:cNvPr id="27692" name="Group Box 44" hidden="1">
              <a:extLst>
                <a:ext uri="{63B3BB69-23CF-44E3-9099-C40C66FF867C}">
                  <a14:compatExt spid="_x0000_s27692"/>
                </a:ext>
                <a:ext uri="{FF2B5EF4-FFF2-40B4-BE49-F238E27FC236}">
                  <a16:creationId xmlns:a16="http://schemas.microsoft.com/office/drawing/2014/main" id="{00000000-0008-0000-1900-00002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66675</xdr:rowOff>
        </xdr:from>
        <xdr:to>
          <xdr:col>4</xdr:col>
          <xdr:colOff>38100</xdr:colOff>
          <xdr:row>35</xdr:row>
          <xdr:rowOff>19050</xdr:rowOff>
        </xdr:to>
        <xdr:sp macro="" textlink="">
          <xdr:nvSpPr>
            <xdr:cNvPr id="27693" name="Option Button 45" hidden="1">
              <a:extLst>
                <a:ext uri="{63B3BB69-23CF-44E3-9099-C40C66FF867C}">
                  <a14:compatExt spid="_x0000_s27693"/>
                </a:ext>
                <a:ext uri="{FF2B5EF4-FFF2-40B4-BE49-F238E27FC236}">
                  <a16:creationId xmlns:a16="http://schemas.microsoft.com/office/drawing/2014/main" id="{00000000-0008-0000-19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xdr:row>
          <xdr:rowOff>180975</xdr:rowOff>
        </xdr:from>
        <xdr:to>
          <xdr:col>4</xdr:col>
          <xdr:colOff>38100</xdr:colOff>
          <xdr:row>35</xdr:row>
          <xdr:rowOff>400050</xdr:rowOff>
        </xdr:to>
        <xdr:sp macro="" textlink="">
          <xdr:nvSpPr>
            <xdr:cNvPr id="27694" name="Option Button 46" hidden="1">
              <a:extLst>
                <a:ext uri="{63B3BB69-23CF-44E3-9099-C40C66FF867C}">
                  <a14:compatExt spid="_x0000_s27694"/>
                </a:ext>
                <a:ext uri="{FF2B5EF4-FFF2-40B4-BE49-F238E27FC236}">
                  <a16:creationId xmlns:a16="http://schemas.microsoft.com/office/drawing/2014/main" id="{00000000-0008-0000-19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xdr:row>
          <xdr:rowOff>200025</xdr:rowOff>
        </xdr:from>
        <xdr:to>
          <xdr:col>4</xdr:col>
          <xdr:colOff>38100</xdr:colOff>
          <xdr:row>36</xdr:row>
          <xdr:rowOff>419100</xdr:rowOff>
        </xdr:to>
        <xdr:sp macro="" textlink="">
          <xdr:nvSpPr>
            <xdr:cNvPr id="27695" name="Option Button 47" hidden="1">
              <a:extLst>
                <a:ext uri="{63B3BB69-23CF-44E3-9099-C40C66FF867C}">
                  <a14:compatExt spid="_x0000_s27695"/>
                </a:ext>
                <a:ext uri="{FF2B5EF4-FFF2-40B4-BE49-F238E27FC236}">
                  <a16:creationId xmlns:a16="http://schemas.microsoft.com/office/drawing/2014/main" id="{00000000-0008-0000-19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5</xdr:row>
          <xdr:rowOff>0</xdr:rowOff>
        </xdr:from>
        <xdr:to>
          <xdr:col>15</xdr:col>
          <xdr:colOff>0</xdr:colOff>
          <xdr:row>11</xdr:row>
          <xdr:rowOff>0</xdr:rowOff>
        </xdr:to>
        <xdr:grpSp>
          <xdr:nvGrpSpPr>
            <xdr:cNvPr id="32614" name="Group 1">
              <a:extLst>
                <a:ext uri="{FF2B5EF4-FFF2-40B4-BE49-F238E27FC236}">
                  <a16:creationId xmlns:a16="http://schemas.microsoft.com/office/drawing/2014/main" id="{00000000-0008-0000-1A00-0000667F0000}"/>
                </a:ext>
              </a:extLst>
            </xdr:cNvPr>
            <xdr:cNvGrpSpPr>
              <a:grpSpLocks/>
            </xdr:cNvGrpSpPr>
          </xdr:nvGrpSpPr>
          <xdr:grpSpPr bwMode="auto">
            <a:xfrm>
              <a:off x="1293813" y="1333500"/>
              <a:ext cx="3929062" cy="2928938"/>
              <a:chOff x="136" y="83"/>
              <a:chExt cx="415" cy="411"/>
            </a:xfrm>
          </xdr:grpSpPr>
          <xdr:sp macro="" textlink="">
            <xdr:nvSpPr>
              <xdr:cNvPr id="31746" name="Group Box 2" hidden="1">
                <a:extLst>
                  <a:ext uri="{63B3BB69-23CF-44E3-9099-C40C66FF867C}">
                    <a14:compatExt spid="_x0000_s31746"/>
                  </a:ext>
                  <a:ext uri="{FF2B5EF4-FFF2-40B4-BE49-F238E27FC236}">
                    <a16:creationId xmlns:a16="http://schemas.microsoft.com/office/drawing/2014/main" id="{00000000-0008-0000-1A00-0000027C0000}"/>
                  </a:ext>
                </a:extLst>
              </xdr:cNvPr>
              <xdr:cNvSpPr/>
            </xdr:nvSpPr>
            <xdr:spPr bwMode="auto">
              <a:xfrm>
                <a:off x="136" y="83"/>
                <a:ext cx="415" cy="411"/>
              </a:xfrm>
              <a:prstGeom prst="rect">
                <a:avLst/>
              </a:prstGeom>
              <a:noFill/>
              <a:ln w="9525">
                <a:miter lim="800000"/>
                <a:headEnd/>
                <a:tailEnd/>
              </a:ln>
              <a:extLst>
                <a:ext uri="{909E8E84-426E-40DD-AFC4-6F175D3DCCD1}">
                  <a14:hiddenFill>
                    <a:noFill/>
                  </a14:hiddenFill>
                </a:ext>
              </a:extLst>
            </xdr:spPr>
          </xdr:sp>
          <xdr:sp macro="" textlink="">
            <xdr:nvSpPr>
              <xdr:cNvPr id="31747" name="Option Button 3" hidden="1">
                <a:extLst>
                  <a:ext uri="{63B3BB69-23CF-44E3-9099-C40C66FF867C}">
                    <a14:compatExt spid="_x0000_s31747"/>
                  </a:ext>
                  <a:ext uri="{FF2B5EF4-FFF2-40B4-BE49-F238E27FC236}">
                    <a16:creationId xmlns:a16="http://schemas.microsoft.com/office/drawing/2014/main" id="{00000000-0008-0000-1A00-0000037C0000}"/>
                  </a:ext>
                </a:extLst>
              </xdr:cNvPr>
              <xdr:cNvSpPr/>
            </xdr:nvSpPr>
            <xdr:spPr bwMode="auto">
              <a:xfrm>
                <a:off x="142" y="8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48" name="Option Button 4" hidden="1">
                <a:extLst>
                  <a:ext uri="{63B3BB69-23CF-44E3-9099-C40C66FF867C}">
                    <a14:compatExt spid="_x0000_s31748"/>
                  </a:ext>
                  <a:ext uri="{FF2B5EF4-FFF2-40B4-BE49-F238E27FC236}">
                    <a16:creationId xmlns:a16="http://schemas.microsoft.com/office/drawing/2014/main" id="{00000000-0008-0000-1A00-0000047C0000}"/>
                  </a:ext>
                </a:extLst>
              </xdr:cNvPr>
              <xdr:cNvSpPr/>
            </xdr:nvSpPr>
            <xdr:spPr bwMode="auto">
              <a:xfrm>
                <a:off x="142" y="13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49" name="Option Button 5" hidden="1">
                <a:extLst>
                  <a:ext uri="{63B3BB69-23CF-44E3-9099-C40C66FF867C}">
                    <a14:compatExt spid="_x0000_s31749"/>
                  </a:ext>
                  <a:ext uri="{FF2B5EF4-FFF2-40B4-BE49-F238E27FC236}">
                    <a16:creationId xmlns:a16="http://schemas.microsoft.com/office/drawing/2014/main" id="{00000000-0008-0000-1A00-0000057C0000}"/>
                  </a:ext>
                </a:extLst>
              </xdr:cNvPr>
              <xdr:cNvSpPr/>
            </xdr:nvSpPr>
            <xdr:spPr bwMode="auto">
              <a:xfrm>
                <a:off x="142" y="20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0" name="Option Button 6" hidden="1">
                <a:extLst>
                  <a:ext uri="{63B3BB69-23CF-44E3-9099-C40C66FF867C}">
                    <a14:compatExt spid="_x0000_s31750"/>
                  </a:ext>
                  <a:ext uri="{FF2B5EF4-FFF2-40B4-BE49-F238E27FC236}">
                    <a16:creationId xmlns:a16="http://schemas.microsoft.com/office/drawing/2014/main" id="{00000000-0008-0000-1A00-0000067C0000}"/>
                  </a:ext>
                </a:extLst>
              </xdr:cNvPr>
              <xdr:cNvSpPr/>
            </xdr:nvSpPr>
            <xdr:spPr bwMode="auto">
              <a:xfrm>
                <a:off x="142" y="27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1" name="Option Button 7" hidden="1">
                <a:extLst>
                  <a:ext uri="{63B3BB69-23CF-44E3-9099-C40C66FF867C}">
                    <a14:compatExt spid="_x0000_s31751"/>
                  </a:ext>
                  <a:ext uri="{FF2B5EF4-FFF2-40B4-BE49-F238E27FC236}">
                    <a16:creationId xmlns:a16="http://schemas.microsoft.com/office/drawing/2014/main" id="{00000000-0008-0000-1A00-0000077C0000}"/>
                  </a:ext>
                </a:extLst>
              </xdr:cNvPr>
              <xdr:cNvSpPr/>
            </xdr:nvSpPr>
            <xdr:spPr bwMode="auto">
              <a:xfrm>
                <a:off x="142" y="355"/>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2" name="Option Button 8" hidden="1">
                <a:extLst>
                  <a:ext uri="{63B3BB69-23CF-44E3-9099-C40C66FF867C}">
                    <a14:compatExt spid="_x0000_s31752"/>
                  </a:ext>
                  <a:ext uri="{FF2B5EF4-FFF2-40B4-BE49-F238E27FC236}">
                    <a16:creationId xmlns:a16="http://schemas.microsoft.com/office/drawing/2014/main" id="{00000000-0008-0000-1A00-0000087C0000}"/>
                  </a:ext>
                </a:extLst>
              </xdr:cNvPr>
              <xdr:cNvSpPr/>
            </xdr:nvSpPr>
            <xdr:spPr bwMode="auto">
              <a:xfrm>
                <a:off x="142" y="44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12</xdr:row>
          <xdr:rowOff>0</xdr:rowOff>
        </xdr:from>
        <xdr:to>
          <xdr:col>15</xdr:col>
          <xdr:colOff>0</xdr:colOff>
          <xdr:row>16</xdr:row>
          <xdr:rowOff>0</xdr:rowOff>
        </xdr:to>
        <xdr:grpSp>
          <xdr:nvGrpSpPr>
            <xdr:cNvPr id="32615" name="Group 15">
              <a:extLst>
                <a:ext uri="{FF2B5EF4-FFF2-40B4-BE49-F238E27FC236}">
                  <a16:creationId xmlns:a16="http://schemas.microsoft.com/office/drawing/2014/main" id="{00000000-0008-0000-1A00-0000677F0000}"/>
                </a:ext>
              </a:extLst>
            </xdr:cNvPr>
            <xdr:cNvGrpSpPr>
              <a:grpSpLocks/>
            </xdr:cNvGrpSpPr>
          </xdr:nvGrpSpPr>
          <xdr:grpSpPr bwMode="auto">
            <a:xfrm>
              <a:off x="1293813" y="4635500"/>
              <a:ext cx="3929062" cy="1262063"/>
              <a:chOff x="136" y="556"/>
              <a:chExt cx="415" cy="120"/>
            </a:xfrm>
          </xdr:grpSpPr>
          <xdr:sp macro="" textlink="">
            <xdr:nvSpPr>
              <xdr:cNvPr id="31754" name="Group Box 10" hidden="1">
                <a:extLst>
                  <a:ext uri="{63B3BB69-23CF-44E3-9099-C40C66FF867C}">
                    <a14:compatExt spid="_x0000_s31754"/>
                  </a:ext>
                  <a:ext uri="{FF2B5EF4-FFF2-40B4-BE49-F238E27FC236}">
                    <a16:creationId xmlns:a16="http://schemas.microsoft.com/office/drawing/2014/main" id="{00000000-0008-0000-1A00-00000A7C0000}"/>
                  </a:ext>
                </a:extLst>
              </xdr:cNvPr>
              <xdr:cNvSpPr/>
            </xdr:nvSpPr>
            <xdr:spPr bwMode="auto">
              <a:xfrm>
                <a:off x="136" y="556"/>
                <a:ext cx="415" cy="120"/>
              </a:xfrm>
              <a:prstGeom prst="rect">
                <a:avLst/>
              </a:prstGeom>
              <a:noFill/>
              <a:ln w="9525">
                <a:miter lim="800000"/>
                <a:headEnd/>
                <a:tailEnd/>
              </a:ln>
              <a:extLst>
                <a:ext uri="{909E8E84-426E-40DD-AFC4-6F175D3DCCD1}">
                  <a14:hiddenFill>
                    <a:noFill/>
                  </a14:hiddenFill>
                </a:ext>
              </a:extLst>
            </xdr:spPr>
          </xdr:sp>
          <xdr:sp macro="" textlink="">
            <xdr:nvSpPr>
              <xdr:cNvPr id="31755" name="Option Button 11" hidden="1">
                <a:extLst>
                  <a:ext uri="{63B3BB69-23CF-44E3-9099-C40C66FF867C}">
                    <a14:compatExt spid="_x0000_s31755"/>
                  </a:ext>
                  <a:ext uri="{FF2B5EF4-FFF2-40B4-BE49-F238E27FC236}">
                    <a16:creationId xmlns:a16="http://schemas.microsoft.com/office/drawing/2014/main" id="{00000000-0008-0000-1A00-00000B7C0000}"/>
                  </a:ext>
                </a:extLst>
              </xdr:cNvPr>
              <xdr:cNvSpPr/>
            </xdr:nvSpPr>
            <xdr:spPr bwMode="auto">
              <a:xfrm>
                <a:off x="143" y="561"/>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6" name="Option Button 12" hidden="1">
                <a:extLst>
                  <a:ext uri="{63B3BB69-23CF-44E3-9099-C40C66FF867C}">
                    <a14:compatExt spid="_x0000_s31756"/>
                  </a:ext>
                  <a:ext uri="{FF2B5EF4-FFF2-40B4-BE49-F238E27FC236}">
                    <a16:creationId xmlns:a16="http://schemas.microsoft.com/office/drawing/2014/main" id="{00000000-0008-0000-1A00-00000C7C0000}"/>
                  </a:ext>
                </a:extLst>
              </xdr:cNvPr>
              <xdr:cNvSpPr/>
            </xdr:nvSpPr>
            <xdr:spPr bwMode="auto">
              <a:xfrm>
                <a:off x="143" y="587"/>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7" name="Option Button 13" hidden="1">
                <a:extLst>
                  <a:ext uri="{63B3BB69-23CF-44E3-9099-C40C66FF867C}">
                    <a14:compatExt spid="_x0000_s31757"/>
                  </a:ext>
                  <a:ext uri="{FF2B5EF4-FFF2-40B4-BE49-F238E27FC236}">
                    <a16:creationId xmlns:a16="http://schemas.microsoft.com/office/drawing/2014/main" id="{00000000-0008-0000-1A00-00000D7C0000}"/>
                  </a:ext>
                </a:extLst>
              </xdr:cNvPr>
              <xdr:cNvSpPr/>
            </xdr:nvSpPr>
            <xdr:spPr bwMode="auto">
              <a:xfrm>
                <a:off x="143" y="618"/>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8" name="Option Button 14" hidden="1">
                <a:extLst>
                  <a:ext uri="{63B3BB69-23CF-44E3-9099-C40C66FF867C}">
                    <a14:compatExt spid="_x0000_s31758"/>
                  </a:ext>
                  <a:ext uri="{FF2B5EF4-FFF2-40B4-BE49-F238E27FC236}">
                    <a16:creationId xmlns:a16="http://schemas.microsoft.com/office/drawing/2014/main" id="{00000000-0008-0000-1A00-00000E7C0000}"/>
                  </a:ext>
                </a:extLst>
              </xdr:cNvPr>
              <xdr:cNvSpPr/>
            </xdr:nvSpPr>
            <xdr:spPr bwMode="auto">
              <a:xfrm>
                <a:off x="143" y="643"/>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xdr:row>
          <xdr:rowOff>0</xdr:rowOff>
        </xdr:from>
        <xdr:to>
          <xdr:col>15</xdr:col>
          <xdr:colOff>0</xdr:colOff>
          <xdr:row>7</xdr:row>
          <xdr:rowOff>0</xdr:rowOff>
        </xdr:to>
        <xdr:grpSp>
          <xdr:nvGrpSpPr>
            <xdr:cNvPr id="31154" name="Group 1">
              <a:extLst>
                <a:ext uri="{FF2B5EF4-FFF2-40B4-BE49-F238E27FC236}">
                  <a16:creationId xmlns:a16="http://schemas.microsoft.com/office/drawing/2014/main" id="{00000000-0008-0000-1B00-0000B2790000}"/>
                </a:ext>
              </a:extLst>
            </xdr:cNvPr>
            <xdr:cNvGrpSpPr>
              <a:grpSpLocks/>
            </xdr:cNvGrpSpPr>
          </xdr:nvGrpSpPr>
          <xdr:grpSpPr bwMode="auto">
            <a:xfrm>
              <a:off x="1293813" y="650875"/>
              <a:ext cx="3929062" cy="1746250"/>
              <a:chOff x="136" y="42"/>
              <a:chExt cx="415" cy="168"/>
            </a:xfrm>
          </xdr:grpSpPr>
          <xdr:sp macro="" textlink="">
            <xdr:nvSpPr>
              <xdr:cNvPr id="30722" name="Option Button 2" hidden="1">
                <a:extLst>
                  <a:ext uri="{63B3BB69-23CF-44E3-9099-C40C66FF867C}">
                    <a14:compatExt spid="_x0000_s30722"/>
                  </a:ext>
                  <a:ext uri="{FF2B5EF4-FFF2-40B4-BE49-F238E27FC236}">
                    <a16:creationId xmlns:a16="http://schemas.microsoft.com/office/drawing/2014/main" id="{00000000-0008-0000-1B00-000002780000}"/>
                  </a:ext>
                </a:extLst>
              </xdr:cNvPr>
              <xdr:cNvSpPr/>
            </xdr:nvSpPr>
            <xdr:spPr bwMode="auto">
              <a:xfrm>
                <a:off x="142" y="5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3" name="Option Button 3" hidden="1">
                <a:extLst>
                  <a:ext uri="{63B3BB69-23CF-44E3-9099-C40C66FF867C}">
                    <a14:compatExt spid="_x0000_s30723"/>
                  </a:ext>
                  <a:ext uri="{FF2B5EF4-FFF2-40B4-BE49-F238E27FC236}">
                    <a16:creationId xmlns:a16="http://schemas.microsoft.com/office/drawing/2014/main" id="{00000000-0008-0000-1B00-000003780000}"/>
                  </a:ext>
                </a:extLst>
              </xdr:cNvPr>
              <xdr:cNvSpPr/>
            </xdr:nvSpPr>
            <xdr:spPr bwMode="auto">
              <a:xfrm>
                <a:off x="142" y="9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4" name="Option Button 4" hidden="1">
                <a:extLst>
                  <a:ext uri="{63B3BB69-23CF-44E3-9099-C40C66FF867C}">
                    <a14:compatExt spid="_x0000_s30724"/>
                  </a:ext>
                  <a:ext uri="{FF2B5EF4-FFF2-40B4-BE49-F238E27FC236}">
                    <a16:creationId xmlns:a16="http://schemas.microsoft.com/office/drawing/2014/main" id="{00000000-0008-0000-1B00-000004780000}"/>
                  </a:ext>
                </a:extLst>
              </xdr:cNvPr>
              <xdr:cNvSpPr/>
            </xdr:nvSpPr>
            <xdr:spPr bwMode="auto">
              <a:xfrm>
                <a:off x="142" y="13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5" name="Option Button 5" hidden="1">
                <a:extLst>
                  <a:ext uri="{63B3BB69-23CF-44E3-9099-C40C66FF867C}">
                    <a14:compatExt spid="_x0000_s30725"/>
                  </a:ext>
                  <a:ext uri="{FF2B5EF4-FFF2-40B4-BE49-F238E27FC236}">
                    <a16:creationId xmlns:a16="http://schemas.microsoft.com/office/drawing/2014/main" id="{00000000-0008-0000-1B00-000005780000}"/>
                  </a:ext>
                </a:extLst>
              </xdr:cNvPr>
              <xdr:cNvSpPr/>
            </xdr:nvSpPr>
            <xdr:spPr bwMode="auto">
              <a:xfrm>
                <a:off x="142" y="17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6" name="Group Box 6" hidden="1">
                <a:extLst>
                  <a:ext uri="{63B3BB69-23CF-44E3-9099-C40C66FF867C}">
                    <a14:compatExt spid="_x0000_s30726"/>
                  </a:ext>
                  <a:ext uri="{FF2B5EF4-FFF2-40B4-BE49-F238E27FC236}">
                    <a16:creationId xmlns:a16="http://schemas.microsoft.com/office/drawing/2014/main" id="{00000000-0008-0000-1B00-000006780000}"/>
                  </a:ext>
                </a:extLst>
              </xdr:cNvPr>
              <xdr:cNvSpPr/>
            </xdr:nvSpPr>
            <xdr:spPr bwMode="auto">
              <a:xfrm>
                <a:off x="136" y="42"/>
                <a:ext cx="415" cy="1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42</xdr:row>
          <xdr:rowOff>104775</xdr:rowOff>
        </xdr:from>
        <xdr:to>
          <xdr:col>5</xdr:col>
          <xdr:colOff>95250</xdr:colOff>
          <xdr:row>44</xdr:row>
          <xdr:rowOff>19050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400-00000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161925</xdr:rowOff>
        </xdr:from>
        <xdr:to>
          <xdr:col>5</xdr:col>
          <xdr:colOff>95250</xdr:colOff>
          <xdr:row>45</xdr:row>
          <xdr:rowOff>28575</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400-00000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133350</xdr:rowOff>
        </xdr:from>
        <xdr:to>
          <xdr:col>5</xdr:col>
          <xdr:colOff>95250</xdr:colOff>
          <xdr:row>47</xdr:row>
          <xdr:rowOff>28575</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400-00000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142875</xdr:rowOff>
        </xdr:from>
        <xdr:to>
          <xdr:col>5</xdr:col>
          <xdr:colOff>95250</xdr:colOff>
          <xdr:row>46</xdr:row>
          <xdr:rowOff>28575</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400-00000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52</xdr:row>
          <xdr:rowOff>123825</xdr:rowOff>
        </xdr:from>
        <xdr:to>
          <xdr:col>5</xdr:col>
          <xdr:colOff>66675</xdr:colOff>
          <xdr:row>54</xdr:row>
          <xdr:rowOff>19050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400-00000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53</xdr:row>
          <xdr:rowOff>180975</xdr:rowOff>
        </xdr:from>
        <xdr:to>
          <xdr:col>5</xdr:col>
          <xdr:colOff>66675</xdr:colOff>
          <xdr:row>55</xdr:row>
          <xdr:rowOff>19050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400-00000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142875</xdr:rowOff>
        </xdr:from>
        <xdr:to>
          <xdr:col>5</xdr:col>
          <xdr:colOff>95250</xdr:colOff>
          <xdr:row>106</xdr:row>
          <xdr:rowOff>38100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400-00000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128</xdr:row>
          <xdr:rowOff>123825</xdr:rowOff>
        </xdr:from>
        <xdr:to>
          <xdr:col>4</xdr:col>
          <xdr:colOff>57150</xdr:colOff>
          <xdr:row>130</xdr:row>
          <xdr:rowOff>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400-00000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129</xdr:row>
          <xdr:rowOff>152400</xdr:rowOff>
        </xdr:from>
        <xdr:to>
          <xdr:col>4</xdr:col>
          <xdr:colOff>57150</xdr:colOff>
          <xdr:row>130</xdr:row>
          <xdr:rowOff>180975</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400-00000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130</xdr:row>
          <xdr:rowOff>161925</xdr:rowOff>
        </xdr:from>
        <xdr:to>
          <xdr:col>4</xdr:col>
          <xdr:colOff>57150</xdr:colOff>
          <xdr:row>132</xdr:row>
          <xdr:rowOff>0</xdr:rowOff>
        </xdr:to>
        <xdr:sp macro="" textlink="">
          <xdr:nvSpPr>
            <xdr:cNvPr id="48141" name="Check Box 13" hidden="1">
              <a:extLst>
                <a:ext uri="{63B3BB69-23CF-44E3-9099-C40C66FF867C}">
                  <a14:compatExt spid="_x0000_s48141"/>
                </a:ext>
                <a:ext uri="{FF2B5EF4-FFF2-40B4-BE49-F238E27FC236}">
                  <a16:creationId xmlns:a16="http://schemas.microsoft.com/office/drawing/2014/main" id="{00000000-0008-0000-0400-00000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204</xdr:row>
          <xdr:rowOff>123825</xdr:rowOff>
        </xdr:from>
        <xdr:to>
          <xdr:col>4</xdr:col>
          <xdr:colOff>57150</xdr:colOff>
          <xdr:row>206</xdr:row>
          <xdr:rowOff>0</xdr:rowOff>
        </xdr:to>
        <xdr:sp macro="" textlink="">
          <xdr:nvSpPr>
            <xdr:cNvPr id="48146" name="Check Box 18" hidden="1">
              <a:extLst>
                <a:ext uri="{63B3BB69-23CF-44E3-9099-C40C66FF867C}">
                  <a14:compatExt spid="_x0000_s48146"/>
                </a:ext>
                <a:ext uri="{FF2B5EF4-FFF2-40B4-BE49-F238E27FC236}">
                  <a16:creationId xmlns:a16="http://schemas.microsoft.com/office/drawing/2014/main" id="{00000000-0008-0000-0400-00001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205</xdr:row>
          <xdr:rowOff>152400</xdr:rowOff>
        </xdr:from>
        <xdr:to>
          <xdr:col>4</xdr:col>
          <xdr:colOff>57150</xdr:colOff>
          <xdr:row>206</xdr:row>
          <xdr:rowOff>180975</xdr:rowOff>
        </xdr:to>
        <xdr:sp macro="" textlink="">
          <xdr:nvSpPr>
            <xdr:cNvPr id="48147" name="Check Box 19" hidden="1">
              <a:extLst>
                <a:ext uri="{63B3BB69-23CF-44E3-9099-C40C66FF867C}">
                  <a14:compatExt spid="_x0000_s48147"/>
                </a:ext>
                <a:ext uri="{FF2B5EF4-FFF2-40B4-BE49-F238E27FC236}">
                  <a16:creationId xmlns:a16="http://schemas.microsoft.com/office/drawing/2014/main" id="{00000000-0008-0000-0400-00001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206</xdr:row>
          <xdr:rowOff>161925</xdr:rowOff>
        </xdr:from>
        <xdr:to>
          <xdr:col>4</xdr:col>
          <xdr:colOff>57150</xdr:colOff>
          <xdr:row>208</xdr:row>
          <xdr:rowOff>0</xdr:rowOff>
        </xdr:to>
        <xdr:sp macro="" textlink="">
          <xdr:nvSpPr>
            <xdr:cNvPr id="48148" name="Check Box 20" hidden="1">
              <a:extLst>
                <a:ext uri="{63B3BB69-23CF-44E3-9099-C40C66FF867C}">
                  <a14:compatExt spid="_x0000_s48148"/>
                </a:ext>
                <a:ext uri="{FF2B5EF4-FFF2-40B4-BE49-F238E27FC236}">
                  <a16:creationId xmlns:a16="http://schemas.microsoft.com/office/drawing/2014/main" id="{00000000-0008-0000-0400-00001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280</xdr:row>
          <xdr:rowOff>123825</xdr:rowOff>
        </xdr:from>
        <xdr:to>
          <xdr:col>4</xdr:col>
          <xdr:colOff>66675</xdr:colOff>
          <xdr:row>282</xdr:row>
          <xdr:rowOff>0</xdr:rowOff>
        </xdr:to>
        <xdr:sp macro="" textlink="">
          <xdr:nvSpPr>
            <xdr:cNvPr id="48153" name="Check Box 25" hidden="1">
              <a:extLst>
                <a:ext uri="{63B3BB69-23CF-44E3-9099-C40C66FF867C}">
                  <a14:compatExt spid="_x0000_s48153"/>
                </a:ext>
                <a:ext uri="{FF2B5EF4-FFF2-40B4-BE49-F238E27FC236}">
                  <a16:creationId xmlns:a16="http://schemas.microsoft.com/office/drawing/2014/main" id="{00000000-0008-0000-0400-00001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281</xdr:row>
          <xdr:rowOff>152400</xdr:rowOff>
        </xdr:from>
        <xdr:to>
          <xdr:col>4</xdr:col>
          <xdr:colOff>66675</xdr:colOff>
          <xdr:row>282</xdr:row>
          <xdr:rowOff>180975</xdr:rowOff>
        </xdr:to>
        <xdr:sp macro="" textlink="">
          <xdr:nvSpPr>
            <xdr:cNvPr id="48154" name="Check Box 26" hidden="1">
              <a:extLst>
                <a:ext uri="{63B3BB69-23CF-44E3-9099-C40C66FF867C}">
                  <a14:compatExt spid="_x0000_s48154"/>
                </a:ext>
                <a:ext uri="{FF2B5EF4-FFF2-40B4-BE49-F238E27FC236}">
                  <a16:creationId xmlns:a16="http://schemas.microsoft.com/office/drawing/2014/main" id="{00000000-0008-0000-0400-00001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282</xdr:row>
          <xdr:rowOff>161925</xdr:rowOff>
        </xdr:from>
        <xdr:to>
          <xdr:col>4</xdr:col>
          <xdr:colOff>66675</xdr:colOff>
          <xdr:row>284</xdr:row>
          <xdr:rowOff>0</xdr:rowOff>
        </xdr:to>
        <xdr:sp macro="" textlink="">
          <xdr:nvSpPr>
            <xdr:cNvPr id="48155" name="Check Box 27" hidden="1">
              <a:extLst>
                <a:ext uri="{63B3BB69-23CF-44E3-9099-C40C66FF867C}">
                  <a14:compatExt spid="_x0000_s48155"/>
                </a:ext>
                <a:ext uri="{FF2B5EF4-FFF2-40B4-BE49-F238E27FC236}">
                  <a16:creationId xmlns:a16="http://schemas.microsoft.com/office/drawing/2014/main" id="{00000000-0008-0000-0400-00001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356</xdr:row>
          <xdr:rowOff>9525</xdr:rowOff>
        </xdr:from>
        <xdr:to>
          <xdr:col>4</xdr:col>
          <xdr:colOff>76200</xdr:colOff>
          <xdr:row>357</xdr:row>
          <xdr:rowOff>38100</xdr:rowOff>
        </xdr:to>
        <xdr:sp macro="" textlink="">
          <xdr:nvSpPr>
            <xdr:cNvPr id="48160" name="Check Box 32" hidden="1">
              <a:extLst>
                <a:ext uri="{63B3BB69-23CF-44E3-9099-C40C66FF867C}">
                  <a14:compatExt spid="_x0000_s48160"/>
                </a:ext>
                <a:ext uri="{FF2B5EF4-FFF2-40B4-BE49-F238E27FC236}">
                  <a16:creationId xmlns:a16="http://schemas.microsoft.com/office/drawing/2014/main" id="{00000000-0008-0000-0400-00002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357</xdr:row>
          <xdr:rowOff>0</xdr:rowOff>
        </xdr:from>
        <xdr:to>
          <xdr:col>4</xdr:col>
          <xdr:colOff>76200</xdr:colOff>
          <xdr:row>358</xdr:row>
          <xdr:rowOff>28575</xdr:rowOff>
        </xdr:to>
        <xdr:sp macro="" textlink="">
          <xdr:nvSpPr>
            <xdr:cNvPr id="48161" name="Check Box 33" hidden="1">
              <a:extLst>
                <a:ext uri="{63B3BB69-23CF-44E3-9099-C40C66FF867C}">
                  <a14:compatExt spid="_x0000_s48161"/>
                </a:ext>
                <a:ext uri="{FF2B5EF4-FFF2-40B4-BE49-F238E27FC236}">
                  <a16:creationId xmlns:a16="http://schemas.microsoft.com/office/drawing/2014/main" id="{00000000-0008-0000-0400-00002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358</xdr:row>
          <xdr:rowOff>9525</xdr:rowOff>
        </xdr:from>
        <xdr:to>
          <xdr:col>4</xdr:col>
          <xdr:colOff>76200</xdr:colOff>
          <xdr:row>359</xdr:row>
          <xdr:rowOff>38100</xdr:rowOff>
        </xdr:to>
        <xdr:sp macro="" textlink="">
          <xdr:nvSpPr>
            <xdr:cNvPr id="48162" name="Check Box 34" hidden="1">
              <a:extLst>
                <a:ext uri="{63B3BB69-23CF-44E3-9099-C40C66FF867C}">
                  <a14:compatExt spid="_x0000_s48162"/>
                </a:ext>
                <a:ext uri="{FF2B5EF4-FFF2-40B4-BE49-F238E27FC236}">
                  <a16:creationId xmlns:a16="http://schemas.microsoft.com/office/drawing/2014/main" id="{00000000-0008-0000-0400-00002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385</xdr:row>
          <xdr:rowOff>38100</xdr:rowOff>
        </xdr:from>
        <xdr:to>
          <xdr:col>7</xdr:col>
          <xdr:colOff>238125</xdr:colOff>
          <xdr:row>386</xdr:row>
          <xdr:rowOff>28575</xdr:rowOff>
        </xdr:to>
        <xdr:sp macro="" textlink="">
          <xdr:nvSpPr>
            <xdr:cNvPr id="48163" name="Check Box 35" hidden="1">
              <a:extLst>
                <a:ext uri="{63B3BB69-23CF-44E3-9099-C40C66FF867C}">
                  <a14:compatExt spid="_x0000_s48163"/>
                </a:ext>
                <a:ext uri="{FF2B5EF4-FFF2-40B4-BE49-F238E27FC236}">
                  <a16:creationId xmlns:a16="http://schemas.microsoft.com/office/drawing/2014/main" id="{00000000-0008-0000-0400-00002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386</xdr:row>
          <xdr:rowOff>38100</xdr:rowOff>
        </xdr:from>
        <xdr:to>
          <xdr:col>7</xdr:col>
          <xdr:colOff>238125</xdr:colOff>
          <xdr:row>387</xdr:row>
          <xdr:rowOff>28575</xdr:rowOff>
        </xdr:to>
        <xdr:sp macro="" textlink="">
          <xdr:nvSpPr>
            <xdr:cNvPr id="48164" name="Check Box 36" hidden="1">
              <a:extLst>
                <a:ext uri="{63B3BB69-23CF-44E3-9099-C40C66FF867C}">
                  <a14:compatExt spid="_x0000_s48164"/>
                </a:ext>
                <a:ext uri="{FF2B5EF4-FFF2-40B4-BE49-F238E27FC236}">
                  <a16:creationId xmlns:a16="http://schemas.microsoft.com/office/drawing/2014/main" id="{00000000-0008-0000-0400-00002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387</xdr:row>
          <xdr:rowOff>38100</xdr:rowOff>
        </xdr:from>
        <xdr:to>
          <xdr:col>7</xdr:col>
          <xdr:colOff>238125</xdr:colOff>
          <xdr:row>388</xdr:row>
          <xdr:rowOff>28575</xdr:rowOff>
        </xdr:to>
        <xdr:sp macro="" textlink="">
          <xdr:nvSpPr>
            <xdr:cNvPr id="48165" name="Check Box 37" hidden="1">
              <a:extLst>
                <a:ext uri="{63B3BB69-23CF-44E3-9099-C40C66FF867C}">
                  <a14:compatExt spid="_x0000_s48165"/>
                </a:ext>
                <a:ext uri="{FF2B5EF4-FFF2-40B4-BE49-F238E27FC236}">
                  <a16:creationId xmlns:a16="http://schemas.microsoft.com/office/drawing/2014/main" id="{00000000-0008-0000-0400-00002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388</xdr:row>
          <xdr:rowOff>38100</xdr:rowOff>
        </xdr:from>
        <xdr:to>
          <xdr:col>7</xdr:col>
          <xdr:colOff>238125</xdr:colOff>
          <xdr:row>389</xdr:row>
          <xdr:rowOff>28575</xdr:rowOff>
        </xdr:to>
        <xdr:sp macro="" textlink="">
          <xdr:nvSpPr>
            <xdr:cNvPr id="48166" name="Check Box 38" hidden="1">
              <a:extLst>
                <a:ext uri="{63B3BB69-23CF-44E3-9099-C40C66FF867C}">
                  <a14:compatExt spid="_x0000_s48166"/>
                </a:ext>
                <a:ext uri="{FF2B5EF4-FFF2-40B4-BE49-F238E27FC236}">
                  <a16:creationId xmlns:a16="http://schemas.microsoft.com/office/drawing/2014/main" id="{00000000-0008-0000-0400-00002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389</xdr:row>
          <xdr:rowOff>38100</xdr:rowOff>
        </xdr:from>
        <xdr:to>
          <xdr:col>7</xdr:col>
          <xdr:colOff>238125</xdr:colOff>
          <xdr:row>390</xdr:row>
          <xdr:rowOff>38100</xdr:rowOff>
        </xdr:to>
        <xdr:sp macro="" textlink="">
          <xdr:nvSpPr>
            <xdr:cNvPr id="48167" name="Check Box 39" hidden="1">
              <a:extLst>
                <a:ext uri="{63B3BB69-23CF-44E3-9099-C40C66FF867C}">
                  <a14:compatExt spid="_x0000_s48167"/>
                </a:ext>
                <a:ext uri="{FF2B5EF4-FFF2-40B4-BE49-F238E27FC236}">
                  <a16:creationId xmlns:a16="http://schemas.microsoft.com/office/drawing/2014/main" id="{00000000-0008-0000-0400-00002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384</xdr:row>
          <xdr:rowOff>0</xdr:rowOff>
        </xdr:from>
        <xdr:to>
          <xdr:col>15</xdr:col>
          <xdr:colOff>0</xdr:colOff>
          <xdr:row>385</xdr:row>
          <xdr:rowOff>0</xdr:rowOff>
        </xdr:to>
        <xdr:grpSp>
          <xdr:nvGrpSpPr>
            <xdr:cNvPr id="90661" name="Group 40">
              <a:extLst>
                <a:ext uri="{FF2B5EF4-FFF2-40B4-BE49-F238E27FC236}">
                  <a16:creationId xmlns:a16="http://schemas.microsoft.com/office/drawing/2014/main" id="{00000000-0008-0000-0400-000025620100}"/>
                </a:ext>
              </a:extLst>
            </xdr:cNvPr>
            <xdr:cNvGrpSpPr>
              <a:grpSpLocks/>
            </xdr:cNvGrpSpPr>
          </xdr:nvGrpSpPr>
          <xdr:grpSpPr bwMode="auto">
            <a:xfrm>
              <a:off x="103188" y="71755000"/>
              <a:ext cx="5302250" cy="269875"/>
              <a:chOff x="11" y="6774"/>
              <a:chExt cx="554" cy="26"/>
            </a:xfrm>
          </xdr:grpSpPr>
          <xdr:sp macro="" textlink="">
            <xdr:nvSpPr>
              <xdr:cNvPr id="48169" name="Group Box 41" hidden="1">
                <a:extLst>
                  <a:ext uri="{63B3BB69-23CF-44E3-9099-C40C66FF867C}">
                    <a14:compatExt spid="_x0000_s48169"/>
                  </a:ext>
                  <a:ext uri="{FF2B5EF4-FFF2-40B4-BE49-F238E27FC236}">
                    <a16:creationId xmlns:a16="http://schemas.microsoft.com/office/drawing/2014/main" id="{00000000-0008-0000-0400-000029BC0000}"/>
                  </a:ext>
                </a:extLst>
              </xdr:cNvPr>
              <xdr:cNvSpPr/>
            </xdr:nvSpPr>
            <xdr:spPr bwMode="auto">
              <a:xfrm>
                <a:off x="11" y="6774"/>
                <a:ext cx="554" cy="26"/>
              </a:xfrm>
              <a:prstGeom prst="rect">
                <a:avLst/>
              </a:prstGeom>
              <a:noFill/>
              <a:ln w="9525">
                <a:miter lim="800000"/>
                <a:headEnd/>
                <a:tailEnd/>
              </a:ln>
              <a:extLst>
                <a:ext uri="{909E8E84-426E-40DD-AFC4-6F175D3DCCD1}">
                  <a14:hiddenFill>
                    <a:noFill/>
                  </a14:hiddenFill>
                </a:ext>
              </a:extLst>
            </xdr:spPr>
          </xdr:sp>
          <xdr:sp macro="" textlink="">
            <xdr:nvSpPr>
              <xdr:cNvPr id="48170" name="Option Button 42" hidden="1">
                <a:extLst>
                  <a:ext uri="{63B3BB69-23CF-44E3-9099-C40C66FF867C}">
                    <a14:compatExt spid="_x0000_s48170"/>
                  </a:ext>
                  <a:ext uri="{FF2B5EF4-FFF2-40B4-BE49-F238E27FC236}">
                    <a16:creationId xmlns:a16="http://schemas.microsoft.com/office/drawing/2014/main" id="{00000000-0008-0000-0400-00002ABC0000}"/>
                  </a:ext>
                </a:extLst>
              </xdr:cNvPr>
              <xdr:cNvSpPr/>
            </xdr:nvSpPr>
            <xdr:spPr bwMode="auto">
              <a:xfrm>
                <a:off x="12" y="6775"/>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71" name="Option Button 43" hidden="1">
                <a:extLst>
                  <a:ext uri="{63B3BB69-23CF-44E3-9099-C40C66FF867C}">
                    <a14:compatExt spid="_x0000_s48171"/>
                  </a:ext>
                  <a:ext uri="{FF2B5EF4-FFF2-40B4-BE49-F238E27FC236}">
                    <a16:creationId xmlns:a16="http://schemas.microsoft.com/office/drawing/2014/main" id="{00000000-0008-0000-0400-00002BBC0000}"/>
                  </a:ext>
                </a:extLst>
              </xdr:cNvPr>
              <xdr:cNvSpPr/>
            </xdr:nvSpPr>
            <xdr:spPr bwMode="auto">
              <a:xfrm>
                <a:off x="72" y="6775"/>
                <a:ext cx="19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Loss of the hand at the carpal bones</a:t>
                </a:r>
              </a:p>
            </xdr:txBody>
          </xdr:sp>
          <xdr:sp macro="" textlink="">
            <xdr:nvSpPr>
              <xdr:cNvPr id="48172" name="Option Button 44" hidden="1">
                <a:extLst>
                  <a:ext uri="{63B3BB69-23CF-44E3-9099-C40C66FF867C}">
                    <a14:compatExt spid="_x0000_s48172"/>
                  </a:ext>
                  <a:ext uri="{FF2B5EF4-FFF2-40B4-BE49-F238E27FC236}">
                    <a16:creationId xmlns:a16="http://schemas.microsoft.com/office/drawing/2014/main" id="{00000000-0008-0000-0400-00002CBC0000}"/>
                  </a:ext>
                </a:extLst>
              </xdr:cNvPr>
              <xdr:cNvSpPr/>
            </xdr:nvSpPr>
            <xdr:spPr bwMode="auto">
              <a:xfrm>
                <a:off x="280" y="6774"/>
                <a:ext cx="2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Loss of the forearm at or proximal to the wrist joint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15</xdr:col>
          <xdr:colOff>0</xdr:colOff>
          <xdr:row>412</xdr:row>
          <xdr:rowOff>0</xdr:rowOff>
        </xdr:to>
        <xdr:grpSp>
          <xdr:nvGrpSpPr>
            <xdr:cNvPr id="90662" name="Group 45">
              <a:extLst>
                <a:ext uri="{FF2B5EF4-FFF2-40B4-BE49-F238E27FC236}">
                  <a16:creationId xmlns:a16="http://schemas.microsoft.com/office/drawing/2014/main" id="{00000000-0008-0000-0400-000026620100}"/>
                </a:ext>
              </a:extLst>
            </xdr:cNvPr>
            <xdr:cNvGrpSpPr>
              <a:grpSpLocks/>
            </xdr:cNvGrpSpPr>
          </xdr:nvGrpSpPr>
          <xdr:grpSpPr bwMode="auto">
            <a:xfrm>
              <a:off x="1595438" y="77089000"/>
              <a:ext cx="3810000" cy="246063"/>
              <a:chOff x="168" y="7315"/>
              <a:chExt cx="398" cy="26"/>
            </a:xfrm>
          </xdr:grpSpPr>
          <xdr:sp macro="" textlink="">
            <xdr:nvSpPr>
              <xdr:cNvPr id="48174" name="Group Box 46" hidden="1">
                <a:extLst>
                  <a:ext uri="{63B3BB69-23CF-44E3-9099-C40C66FF867C}">
                    <a14:compatExt spid="_x0000_s48174"/>
                  </a:ext>
                  <a:ext uri="{FF2B5EF4-FFF2-40B4-BE49-F238E27FC236}">
                    <a16:creationId xmlns:a16="http://schemas.microsoft.com/office/drawing/2014/main" id="{00000000-0008-0000-0400-00002EBC0000}"/>
                  </a:ext>
                </a:extLst>
              </xdr:cNvPr>
              <xdr:cNvSpPr/>
            </xdr:nvSpPr>
            <xdr:spPr bwMode="auto">
              <a:xfrm>
                <a:off x="168" y="7315"/>
                <a:ext cx="398" cy="26"/>
              </a:xfrm>
              <a:prstGeom prst="rect">
                <a:avLst/>
              </a:prstGeom>
              <a:noFill/>
              <a:ln w="9525">
                <a:miter lim="800000"/>
                <a:headEnd/>
                <a:tailEnd/>
              </a:ln>
              <a:extLst>
                <a:ext uri="{909E8E84-426E-40DD-AFC4-6F175D3DCCD1}">
                  <a14:hiddenFill>
                    <a:noFill/>
                  </a14:hiddenFill>
                </a:ext>
              </a:extLst>
            </xdr:spPr>
          </xdr:sp>
          <xdr:sp macro="" textlink="">
            <xdr:nvSpPr>
              <xdr:cNvPr id="48175" name="Option Button 47" hidden="1">
                <a:extLst>
                  <a:ext uri="{63B3BB69-23CF-44E3-9099-C40C66FF867C}">
                    <a14:compatExt spid="_x0000_s48175"/>
                  </a:ext>
                  <a:ext uri="{FF2B5EF4-FFF2-40B4-BE49-F238E27FC236}">
                    <a16:creationId xmlns:a16="http://schemas.microsoft.com/office/drawing/2014/main" id="{00000000-0008-0000-0400-00002FBC0000}"/>
                  </a:ext>
                </a:extLst>
              </xdr:cNvPr>
              <xdr:cNvSpPr/>
            </xdr:nvSpPr>
            <xdr:spPr bwMode="auto">
              <a:xfrm>
                <a:off x="168" y="7317"/>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76" name="Option Button 48" hidden="1">
                <a:extLst>
                  <a:ext uri="{63B3BB69-23CF-44E3-9099-C40C66FF867C}">
                    <a14:compatExt spid="_x0000_s48176"/>
                  </a:ext>
                  <a:ext uri="{FF2B5EF4-FFF2-40B4-BE49-F238E27FC236}">
                    <a16:creationId xmlns:a16="http://schemas.microsoft.com/office/drawing/2014/main" id="{00000000-0008-0000-0400-000030BC0000}"/>
                  </a:ext>
                </a:extLst>
              </xdr:cNvPr>
              <xdr:cNvSpPr/>
            </xdr:nvSpPr>
            <xdr:spPr bwMode="auto">
              <a:xfrm>
                <a:off x="251" y="7317"/>
                <a:ext cx="13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8177" name="Option Button 49" hidden="1">
                <a:extLst>
                  <a:ext uri="{63B3BB69-23CF-44E3-9099-C40C66FF867C}">
                    <a14:compatExt spid="_x0000_s48177"/>
                  </a:ext>
                  <a:ext uri="{FF2B5EF4-FFF2-40B4-BE49-F238E27FC236}">
                    <a16:creationId xmlns:a16="http://schemas.microsoft.com/office/drawing/2014/main" id="{00000000-0008-0000-0400-000031BC0000}"/>
                  </a:ext>
                </a:extLst>
              </xdr:cNvPr>
              <xdr:cNvSpPr/>
            </xdr:nvSpPr>
            <xdr:spPr bwMode="auto">
              <a:xfrm>
                <a:off x="414" y="7317"/>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15</xdr:col>
          <xdr:colOff>0</xdr:colOff>
          <xdr:row>413</xdr:row>
          <xdr:rowOff>0</xdr:rowOff>
        </xdr:to>
        <xdr:grpSp>
          <xdr:nvGrpSpPr>
            <xdr:cNvPr id="90663" name="Group 50">
              <a:extLst>
                <a:ext uri="{FF2B5EF4-FFF2-40B4-BE49-F238E27FC236}">
                  <a16:creationId xmlns:a16="http://schemas.microsoft.com/office/drawing/2014/main" id="{00000000-0008-0000-0400-000027620100}"/>
                </a:ext>
              </a:extLst>
            </xdr:cNvPr>
            <xdr:cNvGrpSpPr>
              <a:grpSpLocks/>
            </xdr:cNvGrpSpPr>
          </xdr:nvGrpSpPr>
          <xdr:grpSpPr bwMode="auto">
            <a:xfrm>
              <a:off x="1595438" y="77335063"/>
              <a:ext cx="3810000" cy="246062"/>
              <a:chOff x="168" y="7341"/>
              <a:chExt cx="398" cy="26"/>
            </a:xfrm>
          </xdr:grpSpPr>
          <xdr:sp macro="" textlink="">
            <xdr:nvSpPr>
              <xdr:cNvPr id="48179" name="Group Box 51" hidden="1">
                <a:extLst>
                  <a:ext uri="{63B3BB69-23CF-44E3-9099-C40C66FF867C}">
                    <a14:compatExt spid="_x0000_s48179"/>
                  </a:ext>
                  <a:ext uri="{FF2B5EF4-FFF2-40B4-BE49-F238E27FC236}">
                    <a16:creationId xmlns:a16="http://schemas.microsoft.com/office/drawing/2014/main" id="{00000000-0008-0000-0400-000033BC0000}"/>
                  </a:ext>
                </a:extLst>
              </xdr:cNvPr>
              <xdr:cNvSpPr/>
            </xdr:nvSpPr>
            <xdr:spPr bwMode="auto">
              <a:xfrm>
                <a:off x="168" y="7341"/>
                <a:ext cx="398" cy="26"/>
              </a:xfrm>
              <a:prstGeom prst="rect">
                <a:avLst/>
              </a:prstGeom>
              <a:noFill/>
              <a:ln w="9525">
                <a:miter lim="800000"/>
                <a:headEnd/>
                <a:tailEnd/>
              </a:ln>
              <a:extLst>
                <a:ext uri="{909E8E84-426E-40DD-AFC4-6F175D3DCCD1}">
                  <a14:hiddenFill>
                    <a:noFill/>
                  </a14:hiddenFill>
                </a:ext>
              </a:extLst>
            </xdr:spPr>
          </xdr:sp>
          <xdr:sp macro="" textlink="">
            <xdr:nvSpPr>
              <xdr:cNvPr id="48180" name="Option Button 52" hidden="1">
                <a:extLst>
                  <a:ext uri="{63B3BB69-23CF-44E3-9099-C40C66FF867C}">
                    <a14:compatExt spid="_x0000_s48180"/>
                  </a:ext>
                  <a:ext uri="{FF2B5EF4-FFF2-40B4-BE49-F238E27FC236}">
                    <a16:creationId xmlns:a16="http://schemas.microsoft.com/office/drawing/2014/main" id="{00000000-0008-0000-0400-000034BC0000}"/>
                  </a:ext>
                </a:extLst>
              </xdr:cNvPr>
              <xdr:cNvSpPr/>
            </xdr:nvSpPr>
            <xdr:spPr bwMode="auto">
              <a:xfrm>
                <a:off x="168" y="7343"/>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81" name="Option Button 53" hidden="1">
                <a:extLst>
                  <a:ext uri="{63B3BB69-23CF-44E3-9099-C40C66FF867C}">
                    <a14:compatExt spid="_x0000_s48181"/>
                  </a:ext>
                  <a:ext uri="{FF2B5EF4-FFF2-40B4-BE49-F238E27FC236}">
                    <a16:creationId xmlns:a16="http://schemas.microsoft.com/office/drawing/2014/main" id="{00000000-0008-0000-0400-000035BC0000}"/>
                  </a:ext>
                </a:extLst>
              </xdr:cNvPr>
              <xdr:cNvSpPr/>
            </xdr:nvSpPr>
            <xdr:spPr bwMode="auto">
              <a:xfrm>
                <a:off x="251" y="7343"/>
                <a:ext cx="13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8182" name="Option Button 54" hidden="1">
                <a:extLst>
                  <a:ext uri="{63B3BB69-23CF-44E3-9099-C40C66FF867C}">
                    <a14:compatExt spid="_x0000_s48182"/>
                  </a:ext>
                  <a:ext uri="{FF2B5EF4-FFF2-40B4-BE49-F238E27FC236}">
                    <a16:creationId xmlns:a16="http://schemas.microsoft.com/office/drawing/2014/main" id="{00000000-0008-0000-0400-000036BC0000}"/>
                  </a:ext>
                </a:extLst>
              </xdr:cNvPr>
              <xdr:cNvSpPr/>
            </xdr:nvSpPr>
            <xdr:spPr bwMode="auto">
              <a:xfrm>
                <a:off x="414" y="7343"/>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414</xdr:row>
          <xdr:rowOff>0</xdr:rowOff>
        </xdr:from>
        <xdr:to>
          <xdr:col>15</xdr:col>
          <xdr:colOff>0</xdr:colOff>
          <xdr:row>415</xdr:row>
          <xdr:rowOff>0</xdr:rowOff>
        </xdr:to>
        <xdr:grpSp>
          <xdr:nvGrpSpPr>
            <xdr:cNvPr id="90664" name="Group 55">
              <a:extLst>
                <a:ext uri="{FF2B5EF4-FFF2-40B4-BE49-F238E27FC236}">
                  <a16:creationId xmlns:a16="http://schemas.microsoft.com/office/drawing/2014/main" id="{00000000-0008-0000-0400-000028620100}"/>
                </a:ext>
              </a:extLst>
            </xdr:cNvPr>
            <xdr:cNvGrpSpPr>
              <a:grpSpLocks/>
            </xdr:cNvGrpSpPr>
          </xdr:nvGrpSpPr>
          <xdr:grpSpPr bwMode="auto">
            <a:xfrm>
              <a:off x="1595438" y="77811313"/>
              <a:ext cx="3810000" cy="246062"/>
              <a:chOff x="169" y="7437"/>
              <a:chExt cx="397" cy="26"/>
            </a:xfrm>
          </xdr:grpSpPr>
          <xdr:sp macro="" textlink="">
            <xdr:nvSpPr>
              <xdr:cNvPr id="48184" name="Group Box 56" hidden="1">
                <a:extLst>
                  <a:ext uri="{63B3BB69-23CF-44E3-9099-C40C66FF867C}">
                    <a14:compatExt spid="_x0000_s48184"/>
                  </a:ext>
                  <a:ext uri="{FF2B5EF4-FFF2-40B4-BE49-F238E27FC236}">
                    <a16:creationId xmlns:a16="http://schemas.microsoft.com/office/drawing/2014/main" id="{00000000-0008-0000-0400-000038BC0000}"/>
                  </a:ext>
                </a:extLst>
              </xdr:cNvPr>
              <xdr:cNvSpPr/>
            </xdr:nvSpPr>
            <xdr:spPr bwMode="auto">
              <a:xfrm>
                <a:off x="169" y="7437"/>
                <a:ext cx="397" cy="26"/>
              </a:xfrm>
              <a:prstGeom prst="rect">
                <a:avLst/>
              </a:prstGeom>
              <a:noFill/>
              <a:ln w="9525">
                <a:miter lim="800000"/>
                <a:headEnd/>
                <a:tailEnd/>
              </a:ln>
              <a:extLst>
                <a:ext uri="{909E8E84-426E-40DD-AFC4-6F175D3DCCD1}">
                  <a14:hiddenFill>
                    <a:noFill/>
                  </a14:hiddenFill>
                </a:ext>
              </a:extLst>
            </xdr:spPr>
          </xdr:sp>
          <xdr:sp macro="" textlink="">
            <xdr:nvSpPr>
              <xdr:cNvPr id="48185" name="Option Button 57" hidden="1">
                <a:extLst>
                  <a:ext uri="{63B3BB69-23CF-44E3-9099-C40C66FF867C}">
                    <a14:compatExt spid="_x0000_s48185"/>
                  </a:ext>
                  <a:ext uri="{FF2B5EF4-FFF2-40B4-BE49-F238E27FC236}">
                    <a16:creationId xmlns:a16="http://schemas.microsoft.com/office/drawing/2014/main" id="{00000000-0008-0000-0400-000039BC0000}"/>
                  </a:ext>
                </a:extLst>
              </xdr:cNvPr>
              <xdr:cNvSpPr/>
            </xdr:nvSpPr>
            <xdr:spPr bwMode="auto">
              <a:xfrm>
                <a:off x="169" y="7439"/>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86" name="Option Button 58" hidden="1">
                <a:extLst>
                  <a:ext uri="{63B3BB69-23CF-44E3-9099-C40C66FF867C}">
                    <a14:compatExt spid="_x0000_s48186"/>
                  </a:ext>
                  <a:ext uri="{FF2B5EF4-FFF2-40B4-BE49-F238E27FC236}">
                    <a16:creationId xmlns:a16="http://schemas.microsoft.com/office/drawing/2014/main" id="{00000000-0008-0000-0400-00003ABC0000}"/>
                  </a:ext>
                </a:extLst>
              </xdr:cNvPr>
              <xdr:cNvSpPr/>
            </xdr:nvSpPr>
            <xdr:spPr bwMode="auto">
              <a:xfrm>
                <a:off x="251"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8187" name="Option Button 59" hidden="1">
                <a:extLst>
                  <a:ext uri="{63B3BB69-23CF-44E3-9099-C40C66FF867C}">
                    <a14:compatExt spid="_x0000_s48187"/>
                  </a:ext>
                  <a:ext uri="{FF2B5EF4-FFF2-40B4-BE49-F238E27FC236}">
                    <a16:creationId xmlns:a16="http://schemas.microsoft.com/office/drawing/2014/main" id="{00000000-0008-0000-0400-00003BBC0000}"/>
                  </a:ext>
                </a:extLst>
              </xdr:cNvPr>
              <xdr:cNvSpPr/>
            </xdr:nvSpPr>
            <xdr:spPr bwMode="auto">
              <a:xfrm>
                <a:off x="413"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415</xdr:row>
          <xdr:rowOff>0</xdr:rowOff>
        </xdr:from>
        <xdr:to>
          <xdr:col>15</xdr:col>
          <xdr:colOff>0</xdr:colOff>
          <xdr:row>416</xdr:row>
          <xdr:rowOff>0</xdr:rowOff>
        </xdr:to>
        <xdr:grpSp>
          <xdr:nvGrpSpPr>
            <xdr:cNvPr id="90665" name="Group 60">
              <a:extLst>
                <a:ext uri="{FF2B5EF4-FFF2-40B4-BE49-F238E27FC236}">
                  <a16:creationId xmlns:a16="http://schemas.microsoft.com/office/drawing/2014/main" id="{00000000-0008-0000-0400-000029620100}"/>
                </a:ext>
              </a:extLst>
            </xdr:cNvPr>
            <xdr:cNvGrpSpPr>
              <a:grpSpLocks/>
            </xdr:cNvGrpSpPr>
          </xdr:nvGrpSpPr>
          <xdr:grpSpPr bwMode="auto">
            <a:xfrm>
              <a:off x="1595438" y="78057375"/>
              <a:ext cx="3810000" cy="246063"/>
              <a:chOff x="169" y="7463"/>
              <a:chExt cx="397" cy="26"/>
            </a:xfrm>
          </xdr:grpSpPr>
          <xdr:sp macro="" textlink="">
            <xdr:nvSpPr>
              <xdr:cNvPr id="48189" name="Group Box 61" hidden="1">
                <a:extLst>
                  <a:ext uri="{63B3BB69-23CF-44E3-9099-C40C66FF867C}">
                    <a14:compatExt spid="_x0000_s48189"/>
                  </a:ext>
                  <a:ext uri="{FF2B5EF4-FFF2-40B4-BE49-F238E27FC236}">
                    <a16:creationId xmlns:a16="http://schemas.microsoft.com/office/drawing/2014/main" id="{00000000-0008-0000-0400-00003DBC0000}"/>
                  </a:ext>
                </a:extLst>
              </xdr:cNvPr>
              <xdr:cNvSpPr/>
            </xdr:nvSpPr>
            <xdr:spPr bwMode="auto">
              <a:xfrm>
                <a:off x="169" y="7463"/>
                <a:ext cx="397" cy="26"/>
              </a:xfrm>
              <a:prstGeom prst="rect">
                <a:avLst/>
              </a:prstGeom>
              <a:noFill/>
              <a:ln w="9525">
                <a:miter lim="800000"/>
                <a:headEnd/>
                <a:tailEnd/>
              </a:ln>
              <a:extLst>
                <a:ext uri="{909E8E84-426E-40DD-AFC4-6F175D3DCCD1}">
                  <a14:hiddenFill>
                    <a:noFill/>
                  </a14:hiddenFill>
                </a:ext>
              </a:extLst>
            </xdr:spPr>
          </xdr:sp>
          <xdr:sp macro="" textlink="">
            <xdr:nvSpPr>
              <xdr:cNvPr id="48190" name="Option Button 62" hidden="1">
                <a:extLst>
                  <a:ext uri="{63B3BB69-23CF-44E3-9099-C40C66FF867C}">
                    <a14:compatExt spid="_x0000_s48190"/>
                  </a:ext>
                  <a:ext uri="{FF2B5EF4-FFF2-40B4-BE49-F238E27FC236}">
                    <a16:creationId xmlns:a16="http://schemas.microsoft.com/office/drawing/2014/main" id="{00000000-0008-0000-0400-00003EBC0000}"/>
                  </a:ext>
                </a:extLst>
              </xdr:cNvPr>
              <xdr:cNvSpPr/>
            </xdr:nvSpPr>
            <xdr:spPr bwMode="auto">
              <a:xfrm>
                <a:off x="169" y="746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91" name="Option Button 63" hidden="1">
                <a:extLst>
                  <a:ext uri="{63B3BB69-23CF-44E3-9099-C40C66FF867C}">
                    <a14:compatExt spid="_x0000_s48191"/>
                  </a:ext>
                  <a:ext uri="{FF2B5EF4-FFF2-40B4-BE49-F238E27FC236}">
                    <a16:creationId xmlns:a16="http://schemas.microsoft.com/office/drawing/2014/main" id="{00000000-0008-0000-0400-00003FBC0000}"/>
                  </a:ext>
                </a:extLst>
              </xdr:cNvPr>
              <xdr:cNvSpPr/>
            </xdr:nvSpPr>
            <xdr:spPr bwMode="auto">
              <a:xfrm>
                <a:off x="251" y="7465"/>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8192" name="Option Button 64" hidden="1">
                <a:extLst>
                  <a:ext uri="{63B3BB69-23CF-44E3-9099-C40C66FF867C}">
                    <a14:compatExt spid="_x0000_s48192"/>
                  </a:ext>
                  <a:ext uri="{FF2B5EF4-FFF2-40B4-BE49-F238E27FC236}">
                    <a16:creationId xmlns:a16="http://schemas.microsoft.com/office/drawing/2014/main" id="{00000000-0008-0000-0400-000040BC0000}"/>
                  </a:ext>
                </a:extLst>
              </xdr:cNvPr>
              <xdr:cNvSpPr/>
            </xdr:nvSpPr>
            <xdr:spPr bwMode="auto">
              <a:xfrm>
                <a:off x="413" y="7465"/>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421</xdr:row>
          <xdr:rowOff>19050</xdr:rowOff>
        </xdr:from>
        <xdr:to>
          <xdr:col>7</xdr:col>
          <xdr:colOff>219075</xdr:colOff>
          <xdr:row>422</xdr:row>
          <xdr:rowOff>9525</xdr:rowOff>
        </xdr:to>
        <xdr:sp macro="" textlink="">
          <xdr:nvSpPr>
            <xdr:cNvPr id="48193" name="Check Box 65" hidden="1">
              <a:extLst>
                <a:ext uri="{63B3BB69-23CF-44E3-9099-C40C66FF867C}">
                  <a14:compatExt spid="_x0000_s48193"/>
                </a:ext>
                <a:ext uri="{FF2B5EF4-FFF2-40B4-BE49-F238E27FC236}">
                  <a16:creationId xmlns:a16="http://schemas.microsoft.com/office/drawing/2014/main" id="{00000000-0008-0000-0400-00004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448</xdr:row>
          <xdr:rowOff>180975</xdr:rowOff>
        </xdr:from>
        <xdr:to>
          <xdr:col>5</xdr:col>
          <xdr:colOff>104775</xdr:colOff>
          <xdr:row>450</xdr:row>
          <xdr:rowOff>19050</xdr:rowOff>
        </xdr:to>
        <xdr:sp macro="" textlink="">
          <xdr:nvSpPr>
            <xdr:cNvPr id="48195" name="Check Box 67" hidden="1">
              <a:extLst>
                <a:ext uri="{63B3BB69-23CF-44E3-9099-C40C66FF867C}">
                  <a14:compatExt spid="_x0000_s48195"/>
                </a:ext>
                <a:ext uri="{FF2B5EF4-FFF2-40B4-BE49-F238E27FC236}">
                  <a16:creationId xmlns:a16="http://schemas.microsoft.com/office/drawing/2014/main" id="{00000000-0008-0000-0400-00004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449</xdr:row>
          <xdr:rowOff>171450</xdr:rowOff>
        </xdr:from>
        <xdr:to>
          <xdr:col>5</xdr:col>
          <xdr:colOff>104775</xdr:colOff>
          <xdr:row>451</xdr:row>
          <xdr:rowOff>9525</xdr:rowOff>
        </xdr:to>
        <xdr:sp macro="" textlink="">
          <xdr:nvSpPr>
            <xdr:cNvPr id="48196" name="Check Box 68" hidden="1">
              <a:extLst>
                <a:ext uri="{63B3BB69-23CF-44E3-9099-C40C66FF867C}">
                  <a14:compatExt spid="_x0000_s48196"/>
                </a:ext>
                <a:ext uri="{FF2B5EF4-FFF2-40B4-BE49-F238E27FC236}">
                  <a16:creationId xmlns:a16="http://schemas.microsoft.com/office/drawing/2014/main" id="{00000000-0008-0000-0400-00004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450</xdr:row>
          <xdr:rowOff>161925</xdr:rowOff>
        </xdr:from>
        <xdr:to>
          <xdr:col>5</xdr:col>
          <xdr:colOff>104775</xdr:colOff>
          <xdr:row>452</xdr:row>
          <xdr:rowOff>0</xdr:rowOff>
        </xdr:to>
        <xdr:sp macro="" textlink="">
          <xdr:nvSpPr>
            <xdr:cNvPr id="48197" name="Check Box 69" hidden="1">
              <a:extLst>
                <a:ext uri="{63B3BB69-23CF-44E3-9099-C40C66FF867C}">
                  <a14:compatExt spid="_x0000_s48197"/>
                </a:ext>
                <a:ext uri="{FF2B5EF4-FFF2-40B4-BE49-F238E27FC236}">
                  <a16:creationId xmlns:a16="http://schemas.microsoft.com/office/drawing/2014/main" id="{00000000-0008-0000-0400-00004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451</xdr:row>
          <xdr:rowOff>152400</xdr:rowOff>
        </xdr:from>
        <xdr:to>
          <xdr:col>5</xdr:col>
          <xdr:colOff>104775</xdr:colOff>
          <xdr:row>452</xdr:row>
          <xdr:rowOff>180975</xdr:rowOff>
        </xdr:to>
        <xdr:sp macro="" textlink="">
          <xdr:nvSpPr>
            <xdr:cNvPr id="48198" name="Check Box 70" hidden="1">
              <a:extLst>
                <a:ext uri="{63B3BB69-23CF-44E3-9099-C40C66FF867C}">
                  <a14:compatExt spid="_x0000_s48198"/>
                </a:ext>
                <a:ext uri="{FF2B5EF4-FFF2-40B4-BE49-F238E27FC236}">
                  <a16:creationId xmlns:a16="http://schemas.microsoft.com/office/drawing/2014/main" id="{00000000-0008-0000-0400-00004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452</xdr:row>
          <xdr:rowOff>161925</xdr:rowOff>
        </xdr:from>
        <xdr:to>
          <xdr:col>5</xdr:col>
          <xdr:colOff>104775</xdr:colOff>
          <xdr:row>454</xdr:row>
          <xdr:rowOff>0</xdr:rowOff>
        </xdr:to>
        <xdr:sp macro="" textlink="">
          <xdr:nvSpPr>
            <xdr:cNvPr id="48199" name="Check Box 71" hidden="1">
              <a:extLst>
                <a:ext uri="{63B3BB69-23CF-44E3-9099-C40C66FF867C}">
                  <a14:compatExt spid="_x0000_s48199"/>
                </a:ext>
                <a:ext uri="{FF2B5EF4-FFF2-40B4-BE49-F238E27FC236}">
                  <a16:creationId xmlns:a16="http://schemas.microsoft.com/office/drawing/2014/main" id="{00000000-0008-0000-0400-00004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456</xdr:row>
          <xdr:rowOff>190500</xdr:rowOff>
        </xdr:from>
        <xdr:to>
          <xdr:col>5</xdr:col>
          <xdr:colOff>104775</xdr:colOff>
          <xdr:row>458</xdr:row>
          <xdr:rowOff>0</xdr:rowOff>
        </xdr:to>
        <xdr:sp macro="" textlink="">
          <xdr:nvSpPr>
            <xdr:cNvPr id="48200" name="Check Box 72" hidden="1">
              <a:extLst>
                <a:ext uri="{63B3BB69-23CF-44E3-9099-C40C66FF867C}">
                  <a14:compatExt spid="_x0000_s48200"/>
                </a:ext>
                <a:ext uri="{FF2B5EF4-FFF2-40B4-BE49-F238E27FC236}">
                  <a16:creationId xmlns:a16="http://schemas.microsoft.com/office/drawing/2014/main" id="{00000000-0008-0000-0400-00004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457</xdr:row>
          <xdr:rowOff>333375</xdr:rowOff>
        </xdr:from>
        <xdr:to>
          <xdr:col>5</xdr:col>
          <xdr:colOff>104775</xdr:colOff>
          <xdr:row>459</xdr:row>
          <xdr:rowOff>19050</xdr:rowOff>
        </xdr:to>
        <xdr:sp macro="" textlink="">
          <xdr:nvSpPr>
            <xdr:cNvPr id="48201" name="Check Box 73" hidden="1">
              <a:extLst>
                <a:ext uri="{63B3BB69-23CF-44E3-9099-C40C66FF867C}">
                  <a14:compatExt spid="_x0000_s48201"/>
                </a:ext>
                <a:ext uri="{FF2B5EF4-FFF2-40B4-BE49-F238E27FC236}">
                  <a16:creationId xmlns:a16="http://schemas.microsoft.com/office/drawing/2014/main" id="{00000000-0008-0000-0400-00004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458</xdr:row>
          <xdr:rowOff>171450</xdr:rowOff>
        </xdr:from>
        <xdr:to>
          <xdr:col>5</xdr:col>
          <xdr:colOff>104775</xdr:colOff>
          <xdr:row>460</xdr:row>
          <xdr:rowOff>9525</xdr:rowOff>
        </xdr:to>
        <xdr:sp macro="" textlink="">
          <xdr:nvSpPr>
            <xdr:cNvPr id="48202" name="Check Box 74" hidden="1">
              <a:extLst>
                <a:ext uri="{63B3BB69-23CF-44E3-9099-C40C66FF867C}">
                  <a14:compatExt spid="_x0000_s48202"/>
                </a:ext>
                <a:ext uri="{FF2B5EF4-FFF2-40B4-BE49-F238E27FC236}">
                  <a16:creationId xmlns:a16="http://schemas.microsoft.com/office/drawing/2014/main" id="{00000000-0008-0000-0400-00004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459</xdr:row>
          <xdr:rowOff>161925</xdr:rowOff>
        </xdr:from>
        <xdr:to>
          <xdr:col>5</xdr:col>
          <xdr:colOff>104775</xdr:colOff>
          <xdr:row>461</xdr:row>
          <xdr:rowOff>0</xdr:rowOff>
        </xdr:to>
        <xdr:sp macro="" textlink="">
          <xdr:nvSpPr>
            <xdr:cNvPr id="48203" name="Check Box 75" hidden="1">
              <a:extLst>
                <a:ext uri="{63B3BB69-23CF-44E3-9099-C40C66FF867C}">
                  <a14:compatExt spid="_x0000_s48203"/>
                </a:ext>
                <a:ext uri="{FF2B5EF4-FFF2-40B4-BE49-F238E27FC236}">
                  <a16:creationId xmlns:a16="http://schemas.microsoft.com/office/drawing/2014/main" id="{00000000-0008-0000-0400-00004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463</xdr:row>
          <xdr:rowOff>28575</xdr:rowOff>
        </xdr:from>
        <xdr:to>
          <xdr:col>5</xdr:col>
          <xdr:colOff>104775</xdr:colOff>
          <xdr:row>464</xdr:row>
          <xdr:rowOff>19050</xdr:rowOff>
        </xdr:to>
        <xdr:sp macro="" textlink="">
          <xdr:nvSpPr>
            <xdr:cNvPr id="48204" name="Check Box 76" hidden="1">
              <a:extLst>
                <a:ext uri="{63B3BB69-23CF-44E3-9099-C40C66FF867C}">
                  <a14:compatExt spid="_x0000_s48204"/>
                </a:ext>
                <a:ext uri="{FF2B5EF4-FFF2-40B4-BE49-F238E27FC236}">
                  <a16:creationId xmlns:a16="http://schemas.microsoft.com/office/drawing/2014/main" id="{00000000-0008-0000-0400-00004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464</xdr:row>
          <xdr:rowOff>19050</xdr:rowOff>
        </xdr:from>
        <xdr:to>
          <xdr:col>5</xdr:col>
          <xdr:colOff>104775</xdr:colOff>
          <xdr:row>465</xdr:row>
          <xdr:rowOff>9525</xdr:rowOff>
        </xdr:to>
        <xdr:sp macro="" textlink="">
          <xdr:nvSpPr>
            <xdr:cNvPr id="48205" name="Check Box 77" hidden="1">
              <a:extLst>
                <a:ext uri="{63B3BB69-23CF-44E3-9099-C40C66FF867C}">
                  <a14:compatExt spid="_x0000_s48205"/>
                </a:ext>
                <a:ext uri="{FF2B5EF4-FFF2-40B4-BE49-F238E27FC236}">
                  <a16:creationId xmlns:a16="http://schemas.microsoft.com/office/drawing/2014/main" id="{00000000-0008-0000-0400-00004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465</xdr:row>
          <xdr:rowOff>19050</xdr:rowOff>
        </xdr:from>
        <xdr:to>
          <xdr:col>5</xdr:col>
          <xdr:colOff>104775</xdr:colOff>
          <xdr:row>466</xdr:row>
          <xdr:rowOff>9525</xdr:rowOff>
        </xdr:to>
        <xdr:sp macro="" textlink="">
          <xdr:nvSpPr>
            <xdr:cNvPr id="48206" name="Check Box 78" hidden="1">
              <a:extLst>
                <a:ext uri="{63B3BB69-23CF-44E3-9099-C40C66FF867C}">
                  <a14:compatExt spid="_x0000_s48206"/>
                </a:ext>
                <a:ext uri="{FF2B5EF4-FFF2-40B4-BE49-F238E27FC236}">
                  <a16:creationId xmlns:a16="http://schemas.microsoft.com/office/drawing/2014/main" id="{00000000-0008-0000-0400-00004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466</xdr:row>
          <xdr:rowOff>19050</xdr:rowOff>
        </xdr:from>
        <xdr:to>
          <xdr:col>5</xdr:col>
          <xdr:colOff>104775</xdr:colOff>
          <xdr:row>467</xdr:row>
          <xdr:rowOff>9525</xdr:rowOff>
        </xdr:to>
        <xdr:sp macro="" textlink="">
          <xdr:nvSpPr>
            <xdr:cNvPr id="48207" name="Check Box 79" hidden="1">
              <a:extLst>
                <a:ext uri="{63B3BB69-23CF-44E3-9099-C40C66FF867C}">
                  <a14:compatExt spid="_x0000_s48207"/>
                </a:ext>
                <a:ext uri="{FF2B5EF4-FFF2-40B4-BE49-F238E27FC236}">
                  <a16:creationId xmlns:a16="http://schemas.microsoft.com/office/drawing/2014/main" id="{00000000-0008-0000-0400-00004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467</xdr:row>
          <xdr:rowOff>19050</xdr:rowOff>
        </xdr:from>
        <xdr:to>
          <xdr:col>5</xdr:col>
          <xdr:colOff>104775</xdr:colOff>
          <xdr:row>468</xdr:row>
          <xdr:rowOff>9525</xdr:rowOff>
        </xdr:to>
        <xdr:sp macro="" textlink="">
          <xdr:nvSpPr>
            <xdr:cNvPr id="48208" name="Check Box 80" hidden="1">
              <a:extLst>
                <a:ext uri="{63B3BB69-23CF-44E3-9099-C40C66FF867C}">
                  <a14:compatExt spid="_x0000_s48208"/>
                </a:ext>
                <a:ext uri="{FF2B5EF4-FFF2-40B4-BE49-F238E27FC236}">
                  <a16:creationId xmlns:a16="http://schemas.microsoft.com/office/drawing/2014/main" id="{00000000-0008-0000-0400-00005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477</xdr:row>
          <xdr:rowOff>190500</xdr:rowOff>
        </xdr:from>
        <xdr:to>
          <xdr:col>5</xdr:col>
          <xdr:colOff>104775</xdr:colOff>
          <xdr:row>479</xdr:row>
          <xdr:rowOff>28575</xdr:rowOff>
        </xdr:to>
        <xdr:sp macro="" textlink="">
          <xdr:nvSpPr>
            <xdr:cNvPr id="48209" name="Check Box 81" hidden="1">
              <a:extLst>
                <a:ext uri="{63B3BB69-23CF-44E3-9099-C40C66FF867C}">
                  <a14:compatExt spid="_x0000_s48209"/>
                </a:ext>
                <a:ext uri="{FF2B5EF4-FFF2-40B4-BE49-F238E27FC236}">
                  <a16:creationId xmlns:a16="http://schemas.microsoft.com/office/drawing/2014/main" id="{00000000-0008-0000-0400-00005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478</xdr:row>
          <xdr:rowOff>180975</xdr:rowOff>
        </xdr:from>
        <xdr:to>
          <xdr:col>5</xdr:col>
          <xdr:colOff>104775</xdr:colOff>
          <xdr:row>480</xdr:row>
          <xdr:rowOff>19050</xdr:rowOff>
        </xdr:to>
        <xdr:sp macro="" textlink="">
          <xdr:nvSpPr>
            <xdr:cNvPr id="48210" name="Check Box 82" hidden="1">
              <a:extLst>
                <a:ext uri="{63B3BB69-23CF-44E3-9099-C40C66FF867C}">
                  <a14:compatExt spid="_x0000_s48210"/>
                </a:ext>
                <a:ext uri="{FF2B5EF4-FFF2-40B4-BE49-F238E27FC236}">
                  <a16:creationId xmlns:a16="http://schemas.microsoft.com/office/drawing/2014/main" id="{00000000-0008-0000-0400-00005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493</xdr:row>
          <xdr:rowOff>190500</xdr:rowOff>
        </xdr:from>
        <xdr:to>
          <xdr:col>5</xdr:col>
          <xdr:colOff>104775</xdr:colOff>
          <xdr:row>495</xdr:row>
          <xdr:rowOff>28575</xdr:rowOff>
        </xdr:to>
        <xdr:sp macro="" textlink="">
          <xdr:nvSpPr>
            <xdr:cNvPr id="48211" name="Check Box 83" hidden="1">
              <a:extLst>
                <a:ext uri="{63B3BB69-23CF-44E3-9099-C40C66FF867C}">
                  <a14:compatExt spid="_x0000_s48211"/>
                </a:ext>
                <a:ext uri="{FF2B5EF4-FFF2-40B4-BE49-F238E27FC236}">
                  <a16:creationId xmlns:a16="http://schemas.microsoft.com/office/drawing/2014/main" id="{00000000-0008-0000-0400-00005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469</xdr:row>
          <xdr:rowOff>152400</xdr:rowOff>
        </xdr:from>
        <xdr:to>
          <xdr:col>5</xdr:col>
          <xdr:colOff>104775</xdr:colOff>
          <xdr:row>471</xdr:row>
          <xdr:rowOff>28575</xdr:rowOff>
        </xdr:to>
        <xdr:sp macro="" textlink="">
          <xdr:nvSpPr>
            <xdr:cNvPr id="48212" name="Check Box 84" hidden="1">
              <a:extLst>
                <a:ext uri="{63B3BB69-23CF-44E3-9099-C40C66FF867C}">
                  <a14:compatExt spid="_x0000_s48212"/>
                </a:ext>
                <a:ext uri="{FF2B5EF4-FFF2-40B4-BE49-F238E27FC236}">
                  <a16:creationId xmlns:a16="http://schemas.microsoft.com/office/drawing/2014/main" id="{00000000-0008-0000-0400-00005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492</xdr:row>
          <xdr:rowOff>171450</xdr:rowOff>
        </xdr:from>
        <xdr:to>
          <xdr:col>5</xdr:col>
          <xdr:colOff>104775</xdr:colOff>
          <xdr:row>494</xdr:row>
          <xdr:rowOff>9525</xdr:rowOff>
        </xdr:to>
        <xdr:sp macro="" textlink="">
          <xdr:nvSpPr>
            <xdr:cNvPr id="48213" name="Check Box 85" hidden="1">
              <a:extLst>
                <a:ext uri="{63B3BB69-23CF-44E3-9099-C40C66FF867C}">
                  <a14:compatExt spid="_x0000_s48213"/>
                </a:ext>
                <a:ext uri="{FF2B5EF4-FFF2-40B4-BE49-F238E27FC236}">
                  <a16:creationId xmlns:a16="http://schemas.microsoft.com/office/drawing/2014/main" id="{00000000-0008-0000-0400-00005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477</xdr:row>
          <xdr:rowOff>28575</xdr:rowOff>
        </xdr:from>
        <xdr:to>
          <xdr:col>5</xdr:col>
          <xdr:colOff>104775</xdr:colOff>
          <xdr:row>478</xdr:row>
          <xdr:rowOff>57150</xdr:rowOff>
        </xdr:to>
        <xdr:sp macro="" textlink="">
          <xdr:nvSpPr>
            <xdr:cNvPr id="48214" name="Check Box 86" hidden="1">
              <a:extLst>
                <a:ext uri="{63B3BB69-23CF-44E3-9099-C40C66FF867C}">
                  <a14:compatExt spid="_x0000_s48214"/>
                </a:ext>
                <a:ext uri="{FF2B5EF4-FFF2-40B4-BE49-F238E27FC236}">
                  <a16:creationId xmlns:a16="http://schemas.microsoft.com/office/drawing/2014/main" id="{00000000-0008-0000-0400-00005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9525</xdr:colOff>
          <xdr:row>463</xdr:row>
          <xdr:rowOff>38100</xdr:rowOff>
        </xdr:from>
        <xdr:to>
          <xdr:col>3</xdr:col>
          <xdr:colOff>257175</xdr:colOff>
          <xdr:row>468</xdr:row>
          <xdr:rowOff>38100</xdr:rowOff>
        </xdr:to>
        <xdr:sp macro="" textlink="">
          <xdr:nvSpPr>
            <xdr:cNvPr id="48216" name="Group Box 88" hidden="1">
              <a:extLst>
                <a:ext uri="{63B3BB69-23CF-44E3-9099-C40C66FF867C}">
                  <a14:compatExt spid="_x0000_s48216"/>
                </a:ext>
                <a:ext uri="{FF2B5EF4-FFF2-40B4-BE49-F238E27FC236}">
                  <a16:creationId xmlns:a16="http://schemas.microsoft.com/office/drawing/2014/main" id="{00000000-0008-0000-0400-00005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464</xdr:row>
          <xdr:rowOff>47625</xdr:rowOff>
        </xdr:from>
        <xdr:to>
          <xdr:col>3</xdr:col>
          <xdr:colOff>238125</xdr:colOff>
          <xdr:row>465</xdr:row>
          <xdr:rowOff>38100</xdr:rowOff>
        </xdr:to>
        <xdr:sp macro="" textlink="">
          <xdr:nvSpPr>
            <xdr:cNvPr id="48217" name="Option Button 89" hidden="1">
              <a:extLst>
                <a:ext uri="{63B3BB69-23CF-44E3-9099-C40C66FF867C}">
                  <a14:compatExt spid="_x0000_s48217"/>
                </a:ext>
                <a:ext uri="{FF2B5EF4-FFF2-40B4-BE49-F238E27FC236}">
                  <a16:creationId xmlns:a16="http://schemas.microsoft.com/office/drawing/2014/main" id="{00000000-0008-0000-0400-000059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465</xdr:row>
          <xdr:rowOff>38100</xdr:rowOff>
        </xdr:from>
        <xdr:to>
          <xdr:col>3</xdr:col>
          <xdr:colOff>238125</xdr:colOff>
          <xdr:row>466</xdr:row>
          <xdr:rowOff>28575</xdr:rowOff>
        </xdr:to>
        <xdr:sp macro="" textlink="">
          <xdr:nvSpPr>
            <xdr:cNvPr id="48218" name="Option Button 90" hidden="1">
              <a:extLst>
                <a:ext uri="{63B3BB69-23CF-44E3-9099-C40C66FF867C}">
                  <a14:compatExt spid="_x0000_s48218"/>
                </a:ext>
                <a:ext uri="{FF2B5EF4-FFF2-40B4-BE49-F238E27FC236}">
                  <a16:creationId xmlns:a16="http://schemas.microsoft.com/office/drawing/2014/main" id="{00000000-0008-0000-0400-00005A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Upper arm, with loss of triceps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466</xdr:row>
          <xdr:rowOff>161925</xdr:rowOff>
        </xdr:from>
        <xdr:to>
          <xdr:col>3</xdr:col>
          <xdr:colOff>238125</xdr:colOff>
          <xdr:row>467</xdr:row>
          <xdr:rowOff>152400</xdr:rowOff>
        </xdr:to>
        <xdr:sp macro="" textlink="">
          <xdr:nvSpPr>
            <xdr:cNvPr id="48219" name="Option Button 91" hidden="1">
              <a:extLst>
                <a:ext uri="{63B3BB69-23CF-44E3-9099-C40C66FF867C}">
                  <a14:compatExt spid="_x0000_s48219"/>
                </a:ext>
                <a:ext uri="{FF2B5EF4-FFF2-40B4-BE49-F238E27FC236}">
                  <a16:creationId xmlns:a16="http://schemas.microsoft.com/office/drawing/2014/main" id="{00000000-0008-0000-0400-00005B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Triceps only (25%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471</xdr:row>
          <xdr:rowOff>171450</xdr:rowOff>
        </xdr:from>
        <xdr:to>
          <xdr:col>5</xdr:col>
          <xdr:colOff>104775</xdr:colOff>
          <xdr:row>473</xdr:row>
          <xdr:rowOff>9525</xdr:rowOff>
        </xdr:to>
        <xdr:sp macro="" textlink="">
          <xdr:nvSpPr>
            <xdr:cNvPr id="48221" name="Check Box 93" hidden="1">
              <a:extLst>
                <a:ext uri="{63B3BB69-23CF-44E3-9099-C40C66FF867C}">
                  <a14:compatExt spid="_x0000_s48221"/>
                </a:ext>
                <a:ext uri="{FF2B5EF4-FFF2-40B4-BE49-F238E27FC236}">
                  <a16:creationId xmlns:a16="http://schemas.microsoft.com/office/drawing/2014/main" id="{00000000-0008-0000-0400-00005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472</xdr:row>
          <xdr:rowOff>171450</xdr:rowOff>
        </xdr:from>
        <xdr:to>
          <xdr:col>5</xdr:col>
          <xdr:colOff>104775</xdr:colOff>
          <xdr:row>474</xdr:row>
          <xdr:rowOff>9525</xdr:rowOff>
        </xdr:to>
        <xdr:sp macro="" textlink="">
          <xdr:nvSpPr>
            <xdr:cNvPr id="48222" name="Check Box 94" hidden="1">
              <a:extLst>
                <a:ext uri="{63B3BB69-23CF-44E3-9099-C40C66FF867C}">
                  <a14:compatExt spid="_x0000_s48222"/>
                </a:ext>
                <a:ext uri="{FF2B5EF4-FFF2-40B4-BE49-F238E27FC236}">
                  <a16:creationId xmlns:a16="http://schemas.microsoft.com/office/drawing/2014/main" id="{00000000-0008-0000-0400-00005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473</xdr:row>
          <xdr:rowOff>171450</xdr:rowOff>
        </xdr:from>
        <xdr:to>
          <xdr:col>5</xdr:col>
          <xdr:colOff>104775</xdr:colOff>
          <xdr:row>475</xdr:row>
          <xdr:rowOff>9525</xdr:rowOff>
        </xdr:to>
        <xdr:sp macro="" textlink="">
          <xdr:nvSpPr>
            <xdr:cNvPr id="48223" name="Check Box 95" hidden="1">
              <a:extLst>
                <a:ext uri="{63B3BB69-23CF-44E3-9099-C40C66FF867C}">
                  <a14:compatExt spid="_x0000_s48223"/>
                </a:ext>
                <a:ext uri="{FF2B5EF4-FFF2-40B4-BE49-F238E27FC236}">
                  <a16:creationId xmlns:a16="http://schemas.microsoft.com/office/drawing/2014/main" id="{00000000-0008-0000-0400-00005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474</xdr:row>
          <xdr:rowOff>161925</xdr:rowOff>
        </xdr:from>
        <xdr:to>
          <xdr:col>5</xdr:col>
          <xdr:colOff>104775</xdr:colOff>
          <xdr:row>476</xdr:row>
          <xdr:rowOff>0</xdr:rowOff>
        </xdr:to>
        <xdr:sp macro="" textlink="">
          <xdr:nvSpPr>
            <xdr:cNvPr id="48224" name="Check Box 96" hidden="1">
              <a:extLst>
                <a:ext uri="{63B3BB69-23CF-44E3-9099-C40C66FF867C}">
                  <a14:compatExt spid="_x0000_s48224"/>
                </a:ext>
                <a:ext uri="{FF2B5EF4-FFF2-40B4-BE49-F238E27FC236}">
                  <a16:creationId xmlns:a16="http://schemas.microsoft.com/office/drawing/2014/main" id="{00000000-0008-0000-0400-00006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475</xdr:row>
          <xdr:rowOff>171450</xdr:rowOff>
        </xdr:from>
        <xdr:to>
          <xdr:col>5</xdr:col>
          <xdr:colOff>104775</xdr:colOff>
          <xdr:row>477</xdr:row>
          <xdr:rowOff>9525</xdr:rowOff>
        </xdr:to>
        <xdr:sp macro="" textlink="">
          <xdr:nvSpPr>
            <xdr:cNvPr id="48225" name="Check Box 97" hidden="1">
              <a:extLst>
                <a:ext uri="{63B3BB69-23CF-44E3-9099-C40C66FF867C}">
                  <a14:compatExt spid="_x0000_s48225"/>
                </a:ext>
                <a:ext uri="{FF2B5EF4-FFF2-40B4-BE49-F238E27FC236}">
                  <a16:creationId xmlns:a16="http://schemas.microsoft.com/office/drawing/2014/main" id="{00000000-0008-0000-0400-00006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476</xdr:row>
          <xdr:rowOff>171450</xdr:rowOff>
        </xdr:from>
        <xdr:to>
          <xdr:col>5</xdr:col>
          <xdr:colOff>104775</xdr:colOff>
          <xdr:row>478</xdr:row>
          <xdr:rowOff>9525</xdr:rowOff>
        </xdr:to>
        <xdr:sp macro="" textlink="">
          <xdr:nvSpPr>
            <xdr:cNvPr id="48226" name="Check Box 98" hidden="1">
              <a:extLst>
                <a:ext uri="{63B3BB69-23CF-44E3-9099-C40C66FF867C}">
                  <a14:compatExt spid="_x0000_s48226"/>
                </a:ext>
                <a:ext uri="{FF2B5EF4-FFF2-40B4-BE49-F238E27FC236}">
                  <a16:creationId xmlns:a16="http://schemas.microsoft.com/office/drawing/2014/main" id="{00000000-0008-0000-0400-00006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481</xdr:row>
          <xdr:rowOff>152400</xdr:rowOff>
        </xdr:from>
        <xdr:to>
          <xdr:col>5</xdr:col>
          <xdr:colOff>104775</xdr:colOff>
          <xdr:row>483</xdr:row>
          <xdr:rowOff>28575</xdr:rowOff>
        </xdr:to>
        <xdr:sp macro="" textlink="">
          <xdr:nvSpPr>
            <xdr:cNvPr id="48227" name="Check Box 99" hidden="1">
              <a:extLst>
                <a:ext uri="{63B3BB69-23CF-44E3-9099-C40C66FF867C}">
                  <a14:compatExt spid="_x0000_s48227"/>
                </a:ext>
                <a:ext uri="{FF2B5EF4-FFF2-40B4-BE49-F238E27FC236}">
                  <a16:creationId xmlns:a16="http://schemas.microsoft.com/office/drawing/2014/main" id="{00000000-0008-0000-0400-00006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482</xdr:row>
          <xdr:rowOff>190500</xdr:rowOff>
        </xdr:from>
        <xdr:to>
          <xdr:col>5</xdr:col>
          <xdr:colOff>104775</xdr:colOff>
          <xdr:row>484</xdr:row>
          <xdr:rowOff>28575</xdr:rowOff>
        </xdr:to>
        <xdr:sp macro="" textlink="">
          <xdr:nvSpPr>
            <xdr:cNvPr id="48228" name="Check Box 100" hidden="1">
              <a:extLst>
                <a:ext uri="{63B3BB69-23CF-44E3-9099-C40C66FF867C}">
                  <a14:compatExt spid="_x0000_s48228"/>
                </a:ext>
                <a:ext uri="{FF2B5EF4-FFF2-40B4-BE49-F238E27FC236}">
                  <a16:creationId xmlns:a16="http://schemas.microsoft.com/office/drawing/2014/main" id="{00000000-0008-0000-0400-00006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483</xdr:row>
          <xdr:rowOff>171450</xdr:rowOff>
        </xdr:from>
        <xdr:to>
          <xdr:col>5</xdr:col>
          <xdr:colOff>104775</xdr:colOff>
          <xdr:row>485</xdr:row>
          <xdr:rowOff>9525</xdr:rowOff>
        </xdr:to>
        <xdr:sp macro="" textlink="">
          <xdr:nvSpPr>
            <xdr:cNvPr id="48229" name="Check Box 101" hidden="1">
              <a:extLst>
                <a:ext uri="{63B3BB69-23CF-44E3-9099-C40C66FF867C}">
                  <a14:compatExt spid="_x0000_s48229"/>
                </a:ext>
                <a:ext uri="{FF2B5EF4-FFF2-40B4-BE49-F238E27FC236}">
                  <a16:creationId xmlns:a16="http://schemas.microsoft.com/office/drawing/2014/main" id="{00000000-0008-0000-0400-00006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484</xdr:row>
          <xdr:rowOff>161925</xdr:rowOff>
        </xdr:from>
        <xdr:to>
          <xdr:col>5</xdr:col>
          <xdr:colOff>104775</xdr:colOff>
          <xdr:row>486</xdr:row>
          <xdr:rowOff>0</xdr:rowOff>
        </xdr:to>
        <xdr:sp macro="" textlink="">
          <xdr:nvSpPr>
            <xdr:cNvPr id="48230" name="Check Box 102" hidden="1">
              <a:extLst>
                <a:ext uri="{63B3BB69-23CF-44E3-9099-C40C66FF867C}">
                  <a14:compatExt spid="_x0000_s48230"/>
                </a:ext>
                <a:ext uri="{FF2B5EF4-FFF2-40B4-BE49-F238E27FC236}">
                  <a16:creationId xmlns:a16="http://schemas.microsoft.com/office/drawing/2014/main" id="{00000000-0008-0000-0400-00006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485</xdr:row>
          <xdr:rowOff>171450</xdr:rowOff>
        </xdr:from>
        <xdr:to>
          <xdr:col>5</xdr:col>
          <xdr:colOff>104775</xdr:colOff>
          <xdr:row>487</xdr:row>
          <xdr:rowOff>9525</xdr:rowOff>
        </xdr:to>
        <xdr:sp macro="" textlink="">
          <xdr:nvSpPr>
            <xdr:cNvPr id="48231" name="Check Box 103" hidden="1">
              <a:extLst>
                <a:ext uri="{63B3BB69-23CF-44E3-9099-C40C66FF867C}">
                  <a14:compatExt spid="_x0000_s48231"/>
                </a:ext>
                <a:ext uri="{FF2B5EF4-FFF2-40B4-BE49-F238E27FC236}">
                  <a16:creationId xmlns:a16="http://schemas.microsoft.com/office/drawing/2014/main" id="{00000000-0008-0000-0400-00006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486</xdr:row>
          <xdr:rowOff>171450</xdr:rowOff>
        </xdr:from>
        <xdr:to>
          <xdr:col>5</xdr:col>
          <xdr:colOff>104775</xdr:colOff>
          <xdr:row>488</xdr:row>
          <xdr:rowOff>9525</xdr:rowOff>
        </xdr:to>
        <xdr:sp macro="" textlink="">
          <xdr:nvSpPr>
            <xdr:cNvPr id="48232" name="Check Box 104" hidden="1">
              <a:extLst>
                <a:ext uri="{63B3BB69-23CF-44E3-9099-C40C66FF867C}">
                  <a14:compatExt spid="_x0000_s48232"/>
                </a:ext>
                <a:ext uri="{FF2B5EF4-FFF2-40B4-BE49-F238E27FC236}">
                  <a16:creationId xmlns:a16="http://schemas.microsoft.com/office/drawing/2014/main" id="{00000000-0008-0000-0400-00006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487</xdr:row>
          <xdr:rowOff>171450</xdr:rowOff>
        </xdr:from>
        <xdr:to>
          <xdr:col>5</xdr:col>
          <xdr:colOff>104775</xdr:colOff>
          <xdr:row>489</xdr:row>
          <xdr:rowOff>9525</xdr:rowOff>
        </xdr:to>
        <xdr:sp macro="" textlink="">
          <xdr:nvSpPr>
            <xdr:cNvPr id="48233" name="Check Box 105" hidden="1">
              <a:extLst>
                <a:ext uri="{63B3BB69-23CF-44E3-9099-C40C66FF867C}">
                  <a14:compatExt spid="_x0000_s48233"/>
                </a:ext>
                <a:ext uri="{FF2B5EF4-FFF2-40B4-BE49-F238E27FC236}">
                  <a16:creationId xmlns:a16="http://schemas.microsoft.com/office/drawing/2014/main" id="{00000000-0008-0000-0400-00006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488</xdr:row>
          <xdr:rowOff>190500</xdr:rowOff>
        </xdr:from>
        <xdr:to>
          <xdr:col>5</xdr:col>
          <xdr:colOff>104775</xdr:colOff>
          <xdr:row>490</xdr:row>
          <xdr:rowOff>28575</xdr:rowOff>
        </xdr:to>
        <xdr:sp macro="" textlink="">
          <xdr:nvSpPr>
            <xdr:cNvPr id="48234" name="Check Box 106" hidden="1">
              <a:extLst>
                <a:ext uri="{63B3BB69-23CF-44E3-9099-C40C66FF867C}">
                  <a14:compatExt spid="_x0000_s48234"/>
                </a:ext>
                <a:ext uri="{FF2B5EF4-FFF2-40B4-BE49-F238E27FC236}">
                  <a16:creationId xmlns:a16="http://schemas.microsoft.com/office/drawing/2014/main" id="{00000000-0008-0000-0400-00006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489</xdr:row>
          <xdr:rowOff>171450</xdr:rowOff>
        </xdr:from>
        <xdr:to>
          <xdr:col>5</xdr:col>
          <xdr:colOff>104775</xdr:colOff>
          <xdr:row>491</xdr:row>
          <xdr:rowOff>9525</xdr:rowOff>
        </xdr:to>
        <xdr:sp macro="" textlink="">
          <xdr:nvSpPr>
            <xdr:cNvPr id="48235" name="Check Box 107" hidden="1">
              <a:extLst>
                <a:ext uri="{63B3BB69-23CF-44E3-9099-C40C66FF867C}">
                  <a14:compatExt spid="_x0000_s48235"/>
                </a:ext>
                <a:ext uri="{FF2B5EF4-FFF2-40B4-BE49-F238E27FC236}">
                  <a16:creationId xmlns:a16="http://schemas.microsoft.com/office/drawing/2014/main" id="{00000000-0008-0000-0400-00006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490</xdr:row>
          <xdr:rowOff>180975</xdr:rowOff>
        </xdr:from>
        <xdr:to>
          <xdr:col>5</xdr:col>
          <xdr:colOff>104775</xdr:colOff>
          <xdr:row>492</xdr:row>
          <xdr:rowOff>19050</xdr:rowOff>
        </xdr:to>
        <xdr:sp macro="" textlink="">
          <xdr:nvSpPr>
            <xdr:cNvPr id="48236" name="Check Box 108" hidden="1">
              <a:extLst>
                <a:ext uri="{63B3BB69-23CF-44E3-9099-C40C66FF867C}">
                  <a14:compatExt spid="_x0000_s48236"/>
                </a:ext>
                <a:ext uri="{FF2B5EF4-FFF2-40B4-BE49-F238E27FC236}">
                  <a16:creationId xmlns:a16="http://schemas.microsoft.com/office/drawing/2014/main" id="{00000000-0008-0000-0400-00006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491</xdr:row>
          <xdr:rowOff>171450</xdr:rowOff>
        </xdr:from>
        <xdr:to>
          <xdr:col>5</xdr:col>
          <xdr:colOff>104775</xdr:colOff>
          <xdr:row>493</xdr:row>
          <xdr:rowOff>9525</xdr:rowOff>
        </xdr:to>
        <xdr:sp macro="" textlink="">
          <xdr:nvSpPr>
            <xdr:cNvPr id="48237" name="Check Box 109" hidden="1">
              <a:extLst>
                <a:ext uri="{63B3BB69-23CF-44E3-9099-C40C66FF867C}">
                  <a14:compatExt spid="_x0000_s48237"/>
                </a:ext>
                <a:ext uri="{FF2B5EF4-FFF2-40B4-BE49-F238E27FC236}">
                  <a16:creationId xmlns:a16="http://schemas.microsoft.com/office/drawing/2014/main" id="{00000000-0008-0000-0400-00006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482</xdr:row>
          <xdr:rowOff>0</xdr:rowOff>
        </xdr:from>
        <xdr:to>
          <xdr:col>4</xdr:col>
          <xdr:colOff>0</xdr:colOff>
          <xdr:row>495</xdr:row>
          <xdr:rowOff>0</xdr:rowOff>
        </xdr:to>
        <xdr:grpSp>
          <xdr:nvGrpSpPr>
            <xdr:cNvPr id="90666" name="Group 110">
              <a:extLst>
                <a:ext uri="{FF2B5EF4-FFF2-40B4-BE49-F238E27FC236}">
                  <a16:creationId xmlns:a16="http://schemas.microsoft.com/office/drawing/2014/main" id="{00000000-0008-0000-0400-00002A620100}"/>
                </a:ext>
              </a:extLst>
            </xdr:cNvPr>
            <xdr:cNvGrpSpPr>
              <a:grpSpLocks/>
            </xdr:cNvGrpSpPr>
          </xdr:nvGrpSpPr>
          <xdr:grpSpPr bwMode="auto">
            <a:xfrm>
              <a:off x="103188" y="92773500"/>
              <a:ext cx="1984375" cy="2476500"/>
              <a:chOff x="11" y="8643"/>
              <a:chExt cx="208" cy="261"/>
            </a:xfrm>
          </xdr:grpSpPr>
          <xdr:sp macro="" textlink="">
            <xdr:nvSpPr>
              <xdr:cNvPr id="48239" name="Group Box 111" hidden="1">
                <a:extLst>
                  <a:ext uri="{63B3BB69-23CF-44E3-9099-C40C66FF867C}">
                    <a14:compatExt spid="_x0000_s48239"/>
                  </a:ext>
                  <a:ext uri="{FF2B5EF4-FFF2-40B4-BE49-F238E27FC236}">
                    <a16:creationId xmlns:a16="http://schemas.microsoft.com/office/drawing/2014/main" id="{00000000-0008-0000-0400-00006FBC0000}"/>
                  </a:ext>
                </a:extLst>
              </xdr:cNvPr>
              <xdr:cNvSpPr/>
            </xdr:nvSpPr>
            <xdr:spPr bwMode="auto">
              <a:xfrm>
                <a:off x="11" y="8643"/>
                <a:ext cx="208" cy="261"/>
              </a:xfrm>
              <a:prstGeom prst="rect">
                <a:avLst/>
              </a:prstGeom>
              <a:noFill/>
              <a:ln w="9525">
                <a:miter lim="800000"/>
                <a:headEnd/>
                <a:tailEnd/>
              </a:ln>
              <a:extLst>
                <a:ext uri="{909E8E84-426E-40DD-AFC4-6F175D3DCCD1}">
                  <a14:hiddenFill>
                    <a:noFill/>
                  </a14:hiddenFill>
                </a:ext>
              </a:extLst>
            </xdr:spPr>
          </xdr:sp>
          <xdr:sp macro="" textlink="">
            <xdr:nvSpPr>
              <xdr:cNvPr id="48240" name="Option Button 112" hidden="1">
                <a:extLst>
                  <a:ext uri="{63B3BB69-23CF-44E3-9099-C40C66FF867C}">
                    <a14:compatExt spid="_x0000_s48240"/>
                  </a:ext>
                  <a:ext uri="{FF2B5EF4-FFF2-40B4-BE49-F238E27FC236}">
                    <a16:creationId xmlns:a16="http://schemas.microsoft.com/office/drawing/2014/main" id="{00000000-0008-0000-0400-000070BC0000}"/>
                  </a:ext>
                </a:extLst>
              </xdr:cNvPr>
              <xdr:cNvSpPr/>
            </xdr:nvSpPr>
            <xdr:spPr bwMode="auto">
              <a:xfrm>
                <a:off x="14" y="8667"/>
                <a:ext cx="196"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8241" name="Option Button 113" hidden="1">
                <a:extLst>
                  <a:ext uri="{63B3BB69-23CF-44E3-9099-C40C66FF867C}">
                    <a14:compatExt spid="_x0000_s48241"/>
                  </a:ext>
                  <a:ext uri="{FF2B5EF4-FFF2-40B4-BE49-F238E27FC236}">
                    <a16:creationId xmlns:a16="http://schemas.microsoft.com/office/drawing/2014/main" id="{00000000-0008-0000-0400-000071BC0000}"/>
                  </a:ext>
                </a:extLst>
              </xdr:cNvPr>
              <xdr:cNvSpPr/>
            </xdr:nvSpPr>
            <xdr:spPr bwMode="auto">
              <a:xfrm>
                <a:off x="14" y="8697"/>
                <a:ext cx="195" cy="28"/>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mid-forearm (69% forearm)</a:t>
                </a:r>
              </a:p>
            </xdr:txBody>
          </xdr:sp>
          <xdr:sp macro="" textlink="">
            <xdr:nvSpPr>
              <xdr:cNvPr id="48242" name="Option Button 114" hidden="1">
                <a:extLst>
                  <a:ext uri="{63B3BB69-23CF-44E3-9099-C40C66FF867C}">
                    <a14:compatExt spid="_x0000_s48242"/>
                  </a:ext>
                  <a:ext uri="{FF2B5EF4-FFF2-40B4-BE49-F238E27FC236}">
                    <a16:creationId xmlns:a16="http://schemas.microsoft.com/office/drawing/2014/main" id="{00000000-0008-0000-0400-000072BC0000}"/>
                  </a:ext>
                </a:extLst>
              </xdr:cNvPr>
              <xdr:cNvSpPr/>
            </xdr:nvSpPr>
            <xdr:spPr bwMode="auto">
              <a:xfrm>
                <a:off x="14" y="8727"/>
                <a:ext cx="191"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mid-forearm (44%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498</xdr:row>
          <xdr:rowOff>0</xdr:rowOff>
        </xdr:from>
        <xdr:to>
          <xdr:col>4</xdr:col>
          <xdr:colOff>0</xdr:colOff>
          <xdr:row>509</xdr:row>
          <xdr:rowOff>0</xdr:rowOff>
        </xdr:to>
        <xdr:grpSp>
          <xdr:nvGrpSpPr>
            <xdr:cNvPr id="90667" name="Group 115">
              <a:extLst>
                <a:ext uri="{FF2B5EF4-FFF2-40B4-BE49-F238E27FC236}">
                  <a16:creationId xmlns:a16="http://schemas.microsoft.com/office/drawing/2014/main" id="{00000000-0008-0000-0400-00002B620100}"/>
                </a:ext>
              </a:extLst>
            </xdr:cNvPr>
            <xdr:cNvGrpSpPr>
              <a:grpSpLocks/>
            </xdr:cNvGrpSpPr>
          </xdr:nvGrpSpPr>
          <xdr:grpSpPr bwMode="auto">
            <a:xfrm>
              <a:off x="95250" y="95710375"/>
              <a:ext cx="1992313" cy="2397125"/>
              <a:chOff x="10" y="8924"/>
              <a:chExt cx="209" cy="252"/>
            </a:xfrm>
          </xdr:grpSpPr>
          <xdr:sp macro="" textlink="">
            <xdr:nvSpPr>
              <xdr:cNvPr id="48244" name="Group Box 116" hidden="1">
                <a:extLst>
                  <a:ext uri="{63B3BB69-23CF-44E3-9099-C40C66FF867C}">
                    <a14:compatExt spid="_x0000_s48244"/>
                  </a:ext>
                  <a:ext uri="{FF2B5EF4-FFF2-40B4-BE49-F238E27FC236}">
                    <a16:creationId xmlns:a16="http://schemas.microsoft.com/office/drawing/2014/main" id="{00000000-0008-0000-0400-000074BC0000}"/>
                  </a:ext>
                </a:extLst>
              </xdr:cNvPr>
              <xdr:cNvSpPr/>
            </xdr:nvSpPr>
            <xdr:spPr bwMode="auto">
              <a:xfrm>
                <a:off x="10" y="8924"/>
                <a:ext cx="209" cy="252"/>
              </a:xfrm>
              <a:prstGeom prst="rect">
                <a:avLst/>
              </a:prstGeom>
              <a:noFill/>
              <a:ln w="9525">
                <a:miter lim="800000"/>
                <a:headEnd/>
                <a:tailEnd/>
              </a:ln>
              <a:extLst>
                <a:ext uri="{909E8E84-426E-40DD-AFC4-6F175D3DCCD1}">
                  <a14:hiddenFill>
                    <a:noFill/>
                  </a14:hiddenFill>
                </a:ext>
              </a:extLst>
            </xdr:spPr>
          </xdr:sp>
          <xdr:sp macro="" textlink="">
            <xdr:nvSpPr>
              <xdr:cNvPr id="48245" name="Option Button 117" hidden="1">
                <a:extLst>
                  <a:ext uri="{63B3BB69-23CF-44E3-9099-C40C66FF867C}">
                    <a14:compatExt spid="_x0000_s48245"/>
                  </a:ext>
                  <a:ext uri="{FF2B5EF4-FFF2-40B4-BE49-F238E27FC236}">
                    <a16:creationId xmlns:a16="http://schemas.microsoft.com/office/drawing/2014/main" id="{00000000-0008-0000-0400-000075BC0000}"/>
                  </a:ext>
                </a:extLst>
              </xdr:cNvPr>
              <xdr:cNvSpPr/>
            </xdr:nvSpPr>
            <xdr:spPr bwMode="auto">
              <a:xfrm>
                <a:off x="13" y="894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8246" name="Option Button 118" hidden="1">
                <a:extLst>
                  <a:ext uri="{63B3BB69-23CF-44E3-9099-C40C66FF867C}">
                    <a14:compatExt spid="_x0000_s48246"/>
                  </a:ext>
                  <a:ext uri="{FF2B5EF4-FFF2-40B4-BE49-F238E27FC236}">
                    <a16:creationId xmlns:a16="http://schemas.microsoft.com/office/drawing/2014/main" id="{00000000-0008-0000-0400-000076BC0000}"/>
                  </a:ext>
                </a:extLst>
              </xdr:cNvPr>
              <xdr:cNvSpPr/>
            </xdr:nvSpPr>
            <xdr:spPr bwMode="auto">
              <a:xfrm>
                <a:off x="13" y="897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mid-forearm (44% forearm)</a:t>
                </a:r>
              </a:p>
            </xdr:txBody>
          </xdr:sp>
          <xdr:sp macro="" textlink="">
            <xdr:nvSpPr>
              <xdr:cNvPr id="48247" name="Option Button 119" hidden="1">
                <a:extLst>
                  <a:ext uri="{63B3BB69-23CF-44E3-9099-C40C66FF867C}">
                    <a14:compatExt spid="_x0000_s48247"/>
                  </a:ext>
                  <a:ext uri="{FF2B5EF4-FFF2-40B4-BE49-F238E27FC236}">
                    <a16:creationId xmlns:a16="http://schemas.microsoft.com/office/drawing/2014/main" id="{00000000-0008-0000-0400-000077BC0000}"/>
                  </a:ext>
                </a:extLst>
              </xdr:cNvPr>
              <xdr:cNvSpPr/>
            </xdr:nvSpPr>
            <xdr:spPr bwMode="auto">
              <a:xfrm>
                <a:off x="14" y="9007"/>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mid-forearm (31%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498</xdr:row>
          <xdr:rowOff>9525</xdr:rowOff>
        </xdr:from>
        <xdr:to>
          <xdr:col>5</xdr:col>
          <xdr:colOff>104775</xdr:colOff>
          <xdr:row>499</xdr:row>
          <xdr:rowOff>38100</xdr:rowOff>
        </xdr:to>
        <xdr:sp macro="" textlink="">
          <xdr:nvSpPr>
            <xdr:cNvPr id="48248" name="Check Box 120" hidden="1">
              <a:extLst>
                <a:ext uri="{63B3BB69-23CF-44E3-9099-C40C66FF867C}">
                  <a14:compatExt spid="_x0000_s48248"/>
                </a:ext>
                <a:ext uri="{FF2B5EF4-FFF2-40B4-BE49-F238E27FC236}">
                  <a16:creationId xmlns:a16="http://schemas.microsoft.com/office/drawing/2014/main" id="{00000000-0008-0000-0400-00007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499</xdr:row>
          <xdr:rowOff>9525</xdr:rowOff>
        </xdr:from>
        <xdr:to>
          <xdr:col>5</xdr:col>
          <xdr:colOff>104775</xdr:colOff>
          <xdr:row>500</xdr:row>
          <xdr:rowOff>38100</xdr:rowOff>
        </xdr:to>
        <xdr:sp macro="" textlink="">
          <xdr:nvSpPr>
            <xdr:cNvPr id="48249" name="Check Box 121" hidden="1">
              <a:extLst>
                <a:ext uri="{63B3BB69-23CF-44E3-9099-C40C66FF867C}">
                  <a14:compatExt spid="_x0000_s48249"/>
                </a:ext>
                <a:ext uri="{FF2B5EF4-FFF2-40B4-BE49-F238E27FC236}">
                  <a16:creationId xmlns:a16="http://schemas.microsoft.com/office/drawing/2014/main" id="{00000000-0008-0000-0400-00007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499</xdr:row>
          <xdr:rowOff>142875</xdr:rowOff>
        </xdr:from>
        <xdr:to>
          <xdr:col>5</xdr:col>
          <xdr:colOff>104775</xdr:colOff>
          <xdr:row>501</xdr:row>
          <xdr:rowOff>9525</xdr:rowOff>
        </xdr:to>
        <xdr:sp macro="" textlink="">
          <xdr:nvSpPr>
            <xdr:cNvPr id="48250" name="Check Box 122" hidden="1">
              <a:extLst>
                <a:ext uri="{63B3BB69-23CF-44E3-9099-C40C66FF867C}">
                  <a14:compatExt spid="_x0000_s48250"/>
                </a:ext>
                <a:ext uri="{FF2B5EF4-FFF2-40B4-BE49-F238E27FC236}">
                  <a16:creationId xmlns:a16="http://schemas.microsoft.com/office/drawing/2014/main" id="{00000000-0008-0000-0400-00007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501</xdr:row>
          <xdr:rowOff>9525</xdr:rowOff>
        </xdr:from>
        <xdr:to>
          <xdr:col>5</xdr:col>
          <xdr:colOff>104775</xdr:colOff>
          <xdr:row>502</xdr:row>
          <xdr:rowOff>38100</xdr:rowOff>
        </xdr:to>
        <xdr:sp macro="" textlink="">
          <xdr:nvSpPr>
            <xdr:cNvPr id="48251" name="Check Box 123" hidden="1">
              <a:extLst>
                <a:ext uri="{63B3BB69-23CF-44E3-9099-C40C66FF867C}">
                  <a14:compatExt spid="_x0000_s48251"/>
                </a:ext>
                <a:ext uri="{FF2B5EF4-FFF2-40B4-BE49-F238E27FC236}">
                  <a16:creationId xmlns:a16="http://schemas.microsoft.com/office/drawing/2014/main" id="{00000000-0008-0000-0400-00007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502</xdr:row>
          <xdr:rowOff>9525</xdr:rowOff>
        </xdr:from>
        <xdr:to>
          <xdr:col>5</xdr:col>
          <xdr:colOff>104775</xdr:colOff>
          <xdr:row>503</xdr:row>
          <xdr:rowOff>38100</xdr:rowOff>
        </xdr:to>
        <xdr:sp macro="" textlink="">
          <xdr:nvSpPr>
            <xdr:cNvPr id="48252" name="Check Box 124" hidden="1">
              <a:extLst>
                <a:ext uri="{63B3BB69-23CF-44E3-9099-C40C66FF867C}">
                  <a14:compatExt spid="_x0000_s48252"/>
                </a:ext>
                <a:ext uri="{FF2B5EF4-FFF2-40B4-BE49-F238E27FC236}">
                  <a16:creationId xmlns:a16="http://schemas.microsoft.com/office/drawing/2014/main" id="{00000000-0008-0000-0400-00007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503</xdr:row>
          <xdr:rowOff>9525</xdr:rowOff>
        </xdr:from>
        <xdr:to>
          <xdr:col>5</xdr:col>
          <xdr:colOff>104775</xdr:colOff>
          <xdr:row>504</xdr:row>
          <xdr:rowOff>38100</xdr:rowOff>
        </xdr:to>
        <xdr:sp macro="" textlink="">
          <xdr:nvSpPr>
            <xdr:cNvPr id="48253" name="Check Box 125" hidden="1">
              <a:extLst>
                <a:ext uri="{63B3BB69-23CF-44E3-9099-C40C66FF867C}">
                  <a14:compatExt spid="_x0000_s48253"/>
                </a:ext>
                <a:ext uri="{FF2B5EF4-FFF2-40B4-BE49-F238E27FC236}">
                  <a16:creationId xmlns:a16="http://schemas.microsoft.com/office/drawing/2014/main" id="{00000000-0008-0000-0400-00007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504</xdr:row>
          <xdr:rowOff>9525</xdr:rowOff>
        </xdr:from>
        <xdr:to>
          <xdr:col>5</xdr:col>
          <xdr:colOff>104775</xdr:colOff>
          <xdr:row>505</xdr:row>
          <xdr:rowOff>38100</xdr:rowOff>
        </xdr:to>
        <xdr:sp macro="" textlink="">
          <xdr:nvSpPr>
            <xdr:cNvPr id="48254" name="Check Box 126" hidden="1">
              <a:extLst>
                <a:ext uri="{63B3BB69-23CF-44E3-9099-C40C66FF867C}">
                  <a14:compatExt spid="_x0000_s48254"/>
                </a:ext>
                <a:ext uri="{FF2B5EF4-FFF2-40B4-BE49-F238E27FC236}">
                  <a16:creationId xmlns:a16="http://schemas.microsoft.com/office/drawing/2014/main" id="{00000000-0008-0000-0400-00007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505</xdr:row>
          <xdr:rowOff>9525</xdr:rowOff>
        </xdr:from>
        <xdr:to>
          <xdr:col>5</xdr:col>
          <xdr:colOff>104775</xdr:colOff>
          <xdr:row>506</xdr:row>
          <xdr:rowOff>38100</xdr:rowOff>
        </xdr:to>
        <xdr:sp macro="" textlink="">
          <xdr:nvSpPr>
            <xdr:cNvPr id="48255" name="Check Box 127" hidden="1">
              <a:extLst>
                <a:ext uri="{63B3BB69-23CF-44E3-9099-C40C66FF867C}">
                  <a14:compatExt spid="_x0000_s48255"/>
                </a:ext>
                <a:ext uri="{FF2B5EF4-FFF2-40B4-BE49-F238E27FC236}">
                  <a16:creationId xmlns:a16="http://schemas.microsoft.com/office/drawing/2014/main" id="{00000000-0008-0000-0400-00007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506</xdr:row>
          <xdr:rowOff>9525</xdr:rowOff>
        </xdr:from>
        <xdr:to>
          <xdr:col>5</xdr:col>
          <xdr:colOff>104775</xdr:colOff>
          <xdr:row>507</xdr:row>
          <xdr:rowOff>38100</xdr:rowOff>
        </xdr:to>
        <xdr:sp macro="" textlink="">
          <xdr:nvSpPr>
            <xdr:cNvPr id="48256" name="Check Box 128" hidden="1">
              <a:extLst>
                <a:ext uri="{63B3BB69-23CF-44E3-9099-C40C66FF867C}">
                  <a14:compatExt spid="_x0000_s48256"/>
                </a:ext>
                <a:ext uri="{FF2B5EF4-FFF2-40B4-BE49-F238E27FC236}">
                  <a16:creationId xmlns:a16="http://schemas.microsoft.com/office/drawing/2014/main" id="{00000000-0008-0000-0400-00008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507</xdr:row>
          <xdr:rowOff>9525</xdr:rowOff>
        </xdr:from>
        <xdr:to>
          <xdr:col>5</xdr:col>
          <xdr:colOff>104775</xdr:colOff>
          <xdr:row>508</xdr:row>
          <xdr:rowOff>38100</xdr:rowOff>
        </xdr:to>
        <xdr:sp macro="" textlink="">
          <xdr:nvSpPr>
            <xdr:cNvPr id="48257" name="Check Box 129" hidden="1">
              <a:extLst>
                <a:ext uri="{63B3BB69-23CF-44E3-9099-C40C66FF867C}">
                  <a14:compatExt spid="_x0000_s48257"/>
                </a:ext>
                <a:ext uri="{FF2B5EF4-FFF2-40B4-BE49-F238E27FC236}">
                  <a16:creationId xmlns:a16="http://schemas.microsoft.com/office/drawing/2014/main" id="{00000000-0008-0000-0400-00008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507</xdr:row>
          <xdr:rowOff>142875</xdr:rowOff>
        </xdr:from>
        <xdr:to>
          <xdr:col>5</xdr:col>
          <xdr:colOff>104775</xdr:colOff>
          <xdr:row>509</xdr:row>
          <xdr:rowOff>0</xdr:rowOff>
        </xdr:to>
        <xdr:sp macro="" textlink="">
          <xdr:nvSpPr>
            <xdr:cNvPr id="48258" name="Check Box 130" hidden="1">
              <a:extLst>
                <a:ext uri="{63B3BB69-23CF-44E3-9099-C40C66FF867C}">
                  <a14:compatExt spid="_x0000_s48258"/>
                </a:ext>
                <a:ext uri="{FF2B5EF4-FFF2-40B4-BE49-F238E27FC236}">
                  <a16:creationId xmlns:a16="http://schemas.microsoft.com/office/drawing/2014/main" id="{00000000-0008-0000-0400-00008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517</xdr:row>
          <xdr:rowOff>9525</xdr:rowOff>
        </xdr:from>
        <xdr:to>
          <xdr:col>15</xdr:col>
          <xdr:colOff>9525</xdr:colOff>
          <xdr:row>518</xdr:row>
          <xdr:rowOff>0</xdr:rowOff>
        </xdr:to>
        <xdr:sp macro="" textlink="">
          <xdr:nvSpPr>
            <xdr:cNvPr id="48259" name="Group Box 131" hidden="1">
              <a:extLst>
                <a:ext uri="{63B3BB69-23CF-44E3-9099-C40C66FF867C}">
                  <a14:compatExt spid="_x0000_s48259"/>
                </a:ext>
                <a:ext uri="{FF2B5EF4-FFF2-40B4-BE49-F238E27FC236}">
                  <a16:creationId xmlns:a16="http://schemas.microsoft.com/office/drawing/2014/main" id="{00000000-0008-0000-0400-00008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517</xdr:row>
          <xdr:rowOff>38100</xdr:rowOff>
        </xdr:from>
        <xdr:to>
          <xdr:col>13</xdr:col>
          <xdr:colOff>66675</xdr:colOff>
          <xdr:row>518</xdr:row>
          <xdr:rowOff>9525</xdr:rowOff>
        </xdr:to>
        <xdr:sp macro="" textlink="">
          <xdr:nvSpPr>
            <xdr:cNvPr id="48260" name="Option Button 132" hidden="1">
              <a:extLst>
                <a:ext uri="{63B3BB69-23CF-44E3-9099-C40C66FF867C}">
                  <a14:compatExt spid="_x0000_s48260"/>
                </a:ext>
                <a:ext uri="{FF2B5EF4-FFF2-40B4-BE49-F238E27FC236}">
                  <a16:creationId xmlns:a16="http://schemas.microsoft.com/office/drawing/2014/main" id="{00000000-0008-0000-0400-00008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517</xdr:row>
          <xdr:rowOff>38100</xdr:rowOff>
        </xdr:from>
        <xdr:to>
          <xdr:col>14</xdr:col>
          <xdr:colOff>342900</xdr:colOff>
          <xdr:row>518</xdr:row>
          <xdr:rowOff>9525</xdr:rowOff>
        </xdr:to>
        <xdr:sp macro="" textlink="">
          <xdr:nvSpPr>
            <xdr:cNvPr id="48261" name="Option Button 133" hidden="1">
              <a:extLst>
                <a:ext uri="{63B3BB69-23CF-44E3-9099-C40C66FF867C}">
                  <a14:compatExt spid="_x0000_s48261"/>
                </a:ext>
                <a:ext uri="{FF2B5EF4-FFF2-40B4-BE49-F238E27FC236}">
                  <a16:creationId xmlns:a16="http://schemas.microsoft.com/office/drawing/2014/main" id="{00000000-0008-0000-0400-00008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565</xdr:row>
          <xdr:rowOff>19050</xdr:rowOff>
        </xdr:from>
        <xdr:to>
          <xdr:col>15</xdr:col>
          <xdr:colOff>19050</xdr:colOff>
          <xdr:row>566</xdr:row>
          <xdr:rowOff>19050</xdr:rowOff>
        </xdr:to>
        <xdr:sp macro="" textlink="">
          <xdr:nvSpPr>
            <xdr:cNvPr id="48262" name="Group Box 134" hidden="1">
              <a:extLst>
                <a:ext uri="{63B3BB69-23CF-44E3-9099-C40C66FF867C}">
                  <a14:compatExt spid="_x0000_s48262"/>
                </a:ext>
                <a:ext uri="{FF2B5EF4-FFF2-40B4-BE49-F238E27FC236}">
                  <a16:creationId xmlns:a16="http://schemas.microsoft.com/office/drawing/2014/main" id="{00000000-0008-0000-0400-00008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565</xdr:row>
          <xdr:rowOff>28575</xdr:rowOff>
        </xdr:from>
        <xdr:to>
          <xdr:col>1</xdr:col>
          <xdr:colOff>628650</xdr:colOff>
          <xdr:row>566</xdr:row>
          <xdr:rowOff>19050</xdr:rowOff>
        </xdr:to>
        <xdr:sp macro="" textlink="">
          <xdr:nvSpPr>
            <xdr:cNvPr id="48263" name="Option Button 135" hidden="1">
              <a:extLst>
                <a:ext uri="{63B3BB69-23CF-44E3-9099-C40C66FF867C}">
                  <a14:compatExt spid="_x0000_s48263"/>
                </a:ext>
                <a:ext uri="{FF2B5EF4-FFF2-40B4-BE49-F238E27FC236}">
                  <a16:creationId xmlns:a16="http://schemas.microsoft.com/office/drawing/2014/main" id="{00000000-0008-0000-0400-00008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565</xdr:row>
          <xdr:rowOff>28575</xdr:rowOff>
        </xdr:from>
        <xdr:to>
          <xdr:col>14</xdr:col>
          <xdr:colOff>590550</xdr:colOff>
          <xdr:row>566</xdr:row>
          <xdr:rowOff>19050</xdr:rowOff>
        </xdr:to>
        <xdr:sp macro="" textlink="">
          <xdr:nvSpPr>
            <xdr:cNvPr id="48264" name="Option Button 136" hidden="1">
              <a:extLst>
                <a:ext uri="{63B3BB69-23CF-44E3-9099-C40C66FF867C}">
                  <a14:compatExt spid="_x0000_s48264"/>
                </a:ext>
                <a:ext uri="{FF2B5EF4-FFF2-40B4-BE49-F238E27FC236}">
                  <a16:creationId xmlns:a16="http://schemas.microsoft.com/office/drawing/2014/main" id="{00000000-0008-0000-0400-00008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Loss of the arm at or proximal to the elbow joint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586</xdr:row>
          <xdr:rowOff>0</xdr:rowOff>
        </xdr:from>
        <xdr:to>
          <xdr:col>15</xdr:col>
          <xdr:colOff>0</xdr:colOff>
          <xdr:row>587</xdr:row>
          <xdr:rowOff>0</xdr:rowOff>
        </xdr:to>
        <xdr:grpSp>
          <xdr:nvGrpSpPr>
            <xdr:cNvPr id="90668" name="Group 137">
              <a:extLst>
                <a:ext uri="{FF2B5EF4-FFF2-40B4-BE49-F238E27FC236}">
                  <a16:creationId xmlns:a16="http://schemas.microsoft.com/office/drawing/2014/main" id="{00000000-0008-0000-0400-00002C620100}"/>
                </a:ext>
              </a:extLst>
            </xdr:cNvPr>
            <xdr:cNvGrpSpPr>
              <a:grpSpLocks/>
            </xdr:cNvGrpSpPr>
          </xdr:nvGrpSpPr>
          <xdr:grpSpPr bwMode="auto">
            <a:xfrm>
              <a:off x="1595438" y="114061875"/>
              <a:ext cx="3810000" cy="492125"/>
              <a:chOff x="168" y="10650"/>
              <a:chExt cx="398" cy="52"/>
            </a:xfrm>
          </xdr:grpSpPr>
          <xdr:sp macro="" textlink="">
            <xdr:nvSpPr>
              <xdr:cNvPr id="48266" name="Group Box 138" hidden="1">
                <a:extLst>
                  <a:ext uri="{63B3BB69-23CF-44E3-9099-C40C66FF867C}">
                    <a14:compatExt spid="_x0000_s48266"/>
                  </a:ext>
                  <a:ext uri="{FF2B5EF4-FFF2-40B4-BE49-F238E27FC236}">
                    <a16:creationId xmlns:a16="http://schemas.microsoft.com/office/drawing/2014/main" id="{00000000-0008-0000-0400-00008ABC0000}"/>
                  </a:ext>
                </a:extLst>
              </xdr:cNvPr>
              <xdr:cNvSpPr/>
            </xdr:nvSpPr>
            <xdr:spPr bwMode="auto">
              <a:xfrm>
                <a:off x="168" y="10650"/>
                <a:ext cx="398" cy="52"/>
              </a:xfrm>
              <a:prstGeom prst="rect">
                <a:avLst/>
              </a:prstGeom>
              <a:noFill/>
              <a:ln w="9525">
                <a:miter lim="800000"/>
                <a:headEnd/>
                <a:tailEnd/>
              </a:ln>
              <a:extLst>
                <a:ext uri="{909E8E84-426E-40DD-AFC4-6F175D3DCCD1}">
                  <a14:hiddenFill>
                    <a:noFill/>
                  </a14:hiddenFill>
                </a:ext>
              </a:extLst>
            </xdr:spPr>
          </xdr:sp>
          <xdr:sp macro="" textlink="">
            <xdr:nvSpPr>
              <xdr:cNvPr id="48267" name="Option Button 139" hidden="1">
                <a:extLst>
                  <a:ext uri="{63B3BB69-23CF-44E3-9099-C40C66FF867C}">
                    <a14:compatExt spid="_x0000_s48267"/>
                  </a:ext>
                  <a:ext uri="{FF2B5EF4-FFF2-40B4-BE49-F238E27FC236}">
                    <a16:creationId xmlns:a16="http://schemas.microsoft.com/office/drawing/2014/main" id="{00000000-0008-0000-0400-00008BBC0000}"/>
                  </a:ext>
                </a:extLst>
              </xdr:cNvPr>
              <xdr:cNvSpPr/>
            </xdr:nvSpPr>
            <xdr:spPr bwMode="auto">
              <a:xfrm>
                <a:off x="170" y="10663"/>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68" name="Option Button 140" hidden="1">
                <a:extLst>
                  <a:ext uri="{63B3BB69-23CF-44E3-9099-C40C66FF867C}">
                    <a14:compatExt spid="_x0000_s48268"/>
                  </a:ext>
                  <a:ext uri="{FF2B5EF4-FFF2-40B4-BE49-F238E27FC236}">
                    <a16:creationId xmlns:a16="http://schemas.microsoft.com/office/drawing/2014/main" id="{00000000-0008-0000-0400-00008CBC0000}"/>
                  </a:ext>
                </a:extLst>
              </xdr:cNvPr>
              <xdr:cNvSpPr/>
            </xdr:nvSpPr>
            <xdr:spPr bwMode="auto">
              <a:xfrm>
                <a:off x="238" y="10650"/>
                <a:ext cx="26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Prosthetic radial head replacement</a:t>
                </a:r>
              </a:p>
            </xdr:txBody>
          </xdr:sp>
          <xdr:sp macro="" textlink="">
            <xdr:nvSpPr>
              <xdr:cNvPr id="48269" name="Option Button 141" hidden="1">
                <a:extLst>
                  <a:ext uri="{63B3BB69-23CF-44E3-9099-C40C66FF867C}">
                    <a14:compatExt spid="_x0000_s48269"/>
                  </a:ext>
                  <a:ext uri="{FF2B5EF4-FFF2-40B4-BE49-F238E27FC236}">
                    <a16:creationId xmlns:a16="http://schemas.microsoft.com/office/drawing/2014/main" id="{00000000-0008-0000-0400-00008DBC0000}"/>
                  </a:ext>
                </a:extLst>
              </xdr:cNvPr>
              <xdr:cNvSpPr/>
            </xdr:nvSpPr>
            <xdr:spPr bwMode="auto">
              <a:xfrm>
                <a:off x="238" y="10674"/>
                <a:ext cx="3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Radial head resection, without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587</xdr:row>
          <xdr:rowOff>0</xdr:rowOff>
        </xdr:from>
        <xdr:to>
          <xdr:col>15</xdr:col>
          <xdr:colOff>0</xdr:colOff>
          <xdr:row>588</xdr:row>
          <xdr:rowOff>0</xdr:rowOff>
        </xdr:to>
        <xdr:grpSp>
          <xdr:nvGrpSpPr>
            <xdr:cNvPr id="90669" name="Group 142">
              <a:extLst>
                <a:ext uri="{FF2B5EF4-FFF2-40B4-BE49-F238E27FC236}">
                  <a16:creationId xmlns:a16="http://schemas.microsoft.com/office/drawing/2014/main" id="{00000000-0008-0000-0400-00002D620100}"/>
                </a:ext>
              </a:extLst>
            </xdr:cNvPr>
            <xdr:cNvGrpSpPr>
              <a:grpSpLocks/>
            </xdr:cNvGrpSpPr>
          </xdr:nvGrpSpPr>
          <xdr:grpSpPr bwMode="auto">
            <a:xfrm>
              <a:off x="1595438" y="114554000"/>
              <a:ext cx="3810000" cy="246063"/>
              <a:chOff x="168" y="10702"/>
              <a:chExt cx="398" cy="26"/>
            </a:xfrm>
          </xdr:grpSpPr>
          <xdr:sp macro="" textlink="">
            <xdr:nvSpPr>
              <xdr:cNvPr id="48271" name="Group Box 143" hidden="1">
                <a:extLst>
                  <a:ext uri="{63B3BB69-23CF-44E3-9099-C40C66FF867C}">
                    <a14:compatExt spid="_x0000_s48271"/>
                  </a:ext>
                  <a:ext uri="{FF2B5EF4-FFF2-40B4-BE49-F238E27FC236}">
                    <a16:creationId xmlns:a16="http://schemas.microsoft.com/office/drawing/2014/main" id="{00000000-0008-0000-0400-00008FBC0000}"/>
                  </a:ext>
                </a:extLst>
              </xdr:cNvPr>
              <xdr:cNvSpPr/>
            </xdr:nvSpPr>
            <xdr:spPr bwMode="auto">
              <a:xfrm>
                <a:off x="168" y="10702"/>
                <a:ext cx="398" cy="26"/>
              </a:xfrm>
              <a:prstGeom prst="rect">
                <a:avLst/>
              </a:prstGeom>
              <a:noFill/>
              <a:ln w="9525">
                <a:miter lim="800000"/>
                <a:headEnd/>
                <a:tailEnd/>
              </a:ln>
              <a:extLst>
                <a:ext uri="{909E8E84-426E-40DD-AFC4-6F175D3DCCD1}">
                  <a14:hiddenFill>
                    <a:noFill/>
                  </a14:hiddenFill>
                </a:ext>
              </a:extLst>
            </xdr:spPr>
          </xdr:sp>
          <xdr:sp macro="" textlink="">
            <xdr:nvSpPr>
              <xdr:cNvPr id="48272" name="Option Button 144" hidden="1">
                <a:extLst>
                  <a:ext uri="{63B3BB69-23CF-44E3-9099-C40C66FF867C}">
                    <a14:compatExt spid="_x0000_s48272"/>
                  </a:ext>
                  <a:ext uri="{FF2B5EF4-FFF2-40B4-BE49-F238E27FC236}">
                    <a16:creationId xmlns:a16="http://schemas.microsoft.com/office/drawing/2014/main" id="{00000000-0008-0000-0400-000090BC0000}"/>
                  </a:ext>
                </a:extLst>
              </xdr:cNvPr>
              <xdr:cNvSpPr/>
            </xdr:nvSpPr>
            <xdr:spPr bwMode="auto">
              <a:xfrm>
                <a:off x="170" y="10703"/>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73" name="Option Button 145" hidden="1">
                <a:extLst>
                  <a:ext uri="{63B3BB69-23CF-44E3-9099-C40C66FF867C}">
                    <a14:compatExt spid="_x0000_s48273"/>
                  </a:ext>
                  <a:ext uri="{FF2B5EF4-FFF2-40B4-BE49-F238E27FC236}">
                    <a16:creationId xmlns:a16="http://schemas.microsoft.com/office/drawing/2014/main" id="{00000000-0008-0000-0400-000091BC0000}"/>
                  </a:ext>
                </a:extLst>
              </xdr:cNvPr>
              <xdr:cNvSpPr/>
            </xdr:nvSpPr>
            <xdr:spPr bwMode="auto">
              <a:xfrm>
                <a:off x="238" y="10704"/>
                <a:ext cx="29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Prosthetic elbow joint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588</xdr:row>
          <xdr:rowOff>0</xdr:rowOff>
        </xdr:from>
        <xdr:to>
          <xdr:col>15</xdr:col>
          <xdr:colOff>0</xdr:colOff>
          <xdr:row>589</xdr:row>
          <xdr:rowOff>0</xdr:rowOff>
        </xdr:to>
        <xdr:grpSp>
          <xdr:nvGrpSpPr>
            <xdr:cNvPr id="90670" name="Group 146">
              <a:extLst>
                <a:ext uri="{FF2B5EF4-FFF2-40B4-BE49-F238E27FC236}">
                  <a16:creationId xmlns:a16="http://schemas.microsoft.com/office/drawing/2014/main" id="{00000000-0008-0000-0400-00002E620100}"/>
                </a:ext>
              </a:extLst>
            </xdr:cNvPr>
            <xdr:cNvGrpSpPr>
              <a:grpSpLocks/>
            </xdr:cNvGrpSpPr>
          </xdr:nvGrpSpPr>
          <xdr:grpSpPr bwMode="auto">
            <a:xfrm>
              <a:off x="1595438" y="114800063"/>
              <a:ext cx="3810000" cy="246062"/>
              <a:chOff x="168" y="10728"/>
              <a:chExt cx="398" cy="26"/>
            </a:xfrm>
          </xdr:grpSpPr>
          <xdr:sp macro="" textlink="">
            <xdr:nvSpPr>
              <xdr:cNvPr id="48275" name="Group Box 147" hidden="1">
                <a:extLst>
                  <a:ext uri="{63B3BB69-23CF-44E3-9099-C40C66FF867C}">
                    <a14:compatExt spid="_x0000_s48275"/>
                  </a:ext>
                  <a:ext uri="{FF2B5EF4-FFF2-40B4-BE49-F238E27FC236}">
                    <a16:creationId xmlns:a16="http://schemas.microsoft.com/office/drawing/2014/main" id="{00000000-0008-0000-0400-000093BC0000}"/>
                  </a:ext>
                </a:extLst>
              </xdr:cNvPr>
              <xdr:cNvSpPr/>
            </xdr:nvSpPr>
            <xdr:spPr bwMode="auto">
              <a:xfrm>
                <a:off x="168" y="10728"/>
                <a:ext cx="398" cy="26"/>
              </a:xfrm>
              <a:prstGeom prst="rect">
                <a:avLst/>
              </a:prstGeom>
              <a:noFill/>
              <a:ln w="9525">
                <a:miter lim="800000"/>
                <a:headEnd/>
                <a:tailEnd/>
              </a:ln>
              <a:extLst>
                <a:ext uri="{909E8E84-426E-40DD-AFC4-6F175D3DCCD1}">
                  <a14:hiddenFill>
                    <a:noFill/>
                  </a14:hiddenFill>
                </a:ext>
              </a:extLst>
            </xdr:spPr>
          </xdr:sp>
          <xdr:sp macro="" textlink="">
            <xdr:nvSpPr>
              <xdr:cNvPr id="48276" name="Option Button 148" hidden="1">
                <a:extLst>
                  <a:ext uri="{63B3BB69-23CF-44E3-9099-C40C66FF867C}">
                    <a14:compatExt spid="_x0000_s48276"/>
                  </a:ext>
                  <a:ext uri="{FF2B5EF4-FFF2-40B4-BE49-F238E27FC236}">
                    <a16:creationId xmlns:a16="http://schemas.microsoft.com/office/drawing/2014/main" id="{00000000-0008-0000-0400-000094BC0000}"/>
                  </a:ext>
                </a:extLst>
              </xdr:cNvPr>
              <xdr:cNvSpPr/>
            </xdr:nvSpPr>
            <xdr:spPr bwMode="auto">
              <a:xfrm>
                <a:off x="170" y="10729"/>
                <a:ext cx="5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77" name="Option Button 149" hidden="1">
                <a:extLst>
                  <a:ext uri="{63B3BB69-23CF-44E3-9099-C40C66FF867C}">
                    <a14:compatExt spid="_x0000_s48277"/>
                  </a:ext>
                  <a:ext uri="{FF2B5EF4-FFF2-40B4-BE49-F238E27FC236}">
                    <a16:creationId xmlns:a16="http://schemas.microsoft.com/office/drawing/2014/main" id="{00000000-0008-0000-0400-000095BC0000}"/>
                  </a:ext>
                </a:extLst>
              </xdr:cNvPr>
              <xdr:cNvSpPr/>
            </xdr:nvSpPr>
            <xdr:spPr bwMode="auto">
              <a:xfrm>
                <a:off x="238" y="10730"/>
                <a:ext cx="2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Humeral head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595</xdr:row>
          <xdr:rowOff>0</xdr:rowOff>
        </xdr:from>
        <xdr:to>
          <xdr:col>15</xdr:col>
          <xdr:colOff>0</xdr:colOff>
          <xdr:row>596</xdr:row>
          <xdr:rowOff>0</xdr:rowOff>
        </xdr:to>
        <xdr:grpSp>
          <xdr:nvGrpSpPr>
            <xdr:cNvPr id="90671" name="Group 150">
              <a:extLst>
                <a:ext uri="{FF2B5EF4-FFF2-40B4-BE49-F238E27FC236}">
                  <a16:creationId xmlns:a16="http://schemas.microsoft.com/office/drawing/2014/main" id="{00000000-0008-0000-0400-00002F620100}"/>
                </a:ext>
              </a:extLst>
            </xdr:cNvPr>
            <xdr:cNvGrpSpPr>
              <a:grpSpLocks/>
            </xdr:cNvGrpSpPr>
          </xdr:nvGrpSpPr>
          <xdr:grpSpPr bwMode="auto">
            <a:xfrm>
              <a:off x="3841750" y="116482813"/>
              <a:ext cx="1563688" cy="246062"/>
              <a:chOff x="402" y="10927"/>
              <a:chExt cx="164" cy="26"/>
            </a:xfrm>
          </xdr:grpSpPr>
          <xdr:sp macro="" textlink="">
            <xdr:nvSpPr>
              <xdr:cNvPr id="48279" name="Group Box 151" hidden="1">
                <a:extLst>
                  <a:ext uri="{63B3BB69-23CF-44E3-9099-C40C66FF867C}">
                    <a14:compatExt spid="_x0000_s48279"/>
                  </a:ext>
                  <a:ext uri="{FF2B5EF4-FFF2-40B4-BE49-F238E27FC236}">
                    <a16:creationId xmlns:a16="http://schemas.microsoft.com/office/drawing/2014/main" id="{00000000-0008-0000-0400-000097BC0000}"/>
                  </a:ext>
                </a:extLst>
              </xdr:cNvPr>
              <xdr:cNvSpPr/>
            </xdr:nvSpPr>
            <xdr:spPr bwMode="auto">
              <a:xfrm>
                <a:off x="402" y="10927"/>
                <a:ext cx="164" cy="26"/>
              </a:xfrm>
              <a:prstGeom prst="rect">
                <a:avLst/>
              </a:prstGeom>
              <a:noFill/>
              <a:ln w="9525">
                <a:miter lim="800000"/>
                <a:headEnd/>
                <a:tailEnd/>
              </a:ln>
              <a:extLst>
                <a:ext uri="{909E8E84-426E-40DD-AFC4-6F175D3DCCD1}">
                  <a14:hiddenFill>
                    <a:noFill/>
                  </a14:hiddenFill>
                </a:ext>
              </a:extLst>
            </xdr:spPr>
          </xdr:sp>
          <xdr:sp macro="" textlink="">
            <xdr:nvSpPr>
              <xdr:cNvPr id="48280" name="Option Button 152" hidden="1">
                <a:extLst>
                  <a:ext uri="{63B3BB69-23CF-44E3-9099-C40C66FF867C}">
                    <a14:compatExt spid="_x0000_s48280"/>
                  </a:ext>
                  <a:ext uri="{FF2B5EF4-FFF2-40B4-BE49-F238E27FC236}">
                    <a16:creationId xmlns:a16="http://schemas.microsoft.com/office/drawing/2014/main" id="{00000000-0008-0000-0400-000098BC0000}"/>
                  </a:ext>
                </a:extLst>
              </xdr:cNvPr>
              <xdr:cNvSpPr/>
            </xdr:nvSpPr>
            <xdr:spPr bwMode="auto">
              <a:xfrm>
                <a:off x="421"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8281" name="Option Button 153" hidden="1">
                <a:extLst>
                  <a:ext uri="{63B3BB69-23CF-44E3-9099-C40C66FF867C}">
                    <a14:compatExt spid="_x0000_s48281"/>
                  </a:ext>
                  <a:ext uri="{FF2B5EF4-FFF2-40B4-BE49-F238E27FC236}">
                    <a16:creationId xmlns:a16="http://schemas.microsoft.com/office/drawing/2014/main" id="{00000000-0008-0000-0400-000099BC0000}"/>
                  </a:ext>
                </a:extLst>
              </xdr:cNvPr>
              <xdr:cNvSpPr/>
            </xdr:nvSpPr>
            <xdr:spPr bwMode="auto">
              <a:xfrm>
                <a:off x="480"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xdr:row>
          <xdr:rowOff>152400</xdr:rowOff>
        </xdr:from>
        <xdr:to>
          <xdr:col>5</xdr:col>
          <xdr:colOff>95250</xdr:colOff>
          <xdr:row>107</xdr:row>
          <xdr:rowOff>28575</xdr:rowOff>
        </xdr:to>
        <xdr:sp macro="" textlink="">
          <xdr:nvSpPr>
            <xdr:cNvPr id="48299" name="Check Box 171" hidden="1">
              <a:extLst>
                <a:ext uri="{63B3BB69-23CF-44E3-9099-C40C66FF867C}">
                  <a14:compatExt spid="_x0000_s48299"/>
                </a:ext>
                <a:ext uri="{FF2B5EF4-FFF2-40B4-BE49-F238E27FC236}">
                  <a16:creationId xmlns:a16="http://schemas.microsoft.com/office/drawing/2014/main" id="{00000000-0008-0000-0400-0000A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107</xdr:row>
          <xdr:rowOff>133350</xdr:rowOff>
        </xdr:from>
        <xdr:to>
          <xdr:col>5</xdr:col>
          <xdr:colOff>95250</xdr:colOff>
          <xdr:row>109</xdr:row>
          <xdr:rowOff>19050</xdr:rowOff>
        </xdr:to>
        <xdr:sp macro="" textlink="">
          <xdr:nvSpPr>
            <xdr:cNvPr id="48300" name="Check Box 172" hidden="1">
              <a:extLst>
                <a:ext uri="{63B3BB69-23CF-44E3-9099-C40C66FF867C}">
                  <a14:compatExt spid="_x0000_s48300"/>
                </a:ext>
                <a:ext uri="{FF2B5EF4-FFF2-40B4-BE49-F238E27FC236}">
                  <a16:creationId xmlns:a16="http://schemas.microsoft.com/office/drawing/2014/main" id="{00000000-0008-0000-0400-0000A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xdr:row>
          <xdr:rowOff>133350</xdr:rowOff>
        </xdr:from>
        <xdr:to>
          <xdr:col>5</xdr:col>
          <xdr:colOff>95250</xdr:colOff>
          <xdr:row>108</xdr:row>
          <xdr:rowOff>19050</xdr:rowOff>
        </xdr:to>
        <xdr:sp macro="" textlink="">
          <xdr:nvSpPr>
            <xdr:cNvPr id="48301" name="Check Box 173" hidden="1">
              <a:extLst>
                <a:ext uri="{63B3BB69-23CF-44E3-9099-C40C66FF867C}">
                  <a14:compatExt spid="_x0000_s48301"/>
                </a:ext>
                <a:ext uri="{FF2B5EF4-FFF2-40B4-BE49-F238E27FC236}">
                  <a16:creationId xmlns:a16="http://schemas.microsoft.com/office/drawing/2014/main" id="{00000000-0008-0000-0400-0000A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180</xdr:row>
          <xdr:rowOff>133350</xdr:rowOff>
        </xdr:from>
        <xdr:to>
          <xdr:col>5</xdr:col>
          <xdr:colOff>104775</xdr:colOff>
          <xdr:row>182</xdr:row>
          <xdr:rowOff>19050</xdr:rowOff>
        </xdr:to>
        <xdr:sp macro="" textlink="">
          <xdr:nvSpPr>
            <xdr:cNvPr id="48304" name="Check Box 176" hidden="1">
              <a:extLst>
                <a:ext uri="{63B3BB69-23CF-44E3-9099-C40C66FF867C}">
                  <a14:compatExt spid="_x0000_s48304"/>
                </a:ext>
                <a:ext uri="{FF2B5EF4-FFF2-40B4-BE49-F238E27FC236}">
                  <a16:creationId xmlns:a16="http://schemas.microsoft.com/office/drawing/2014/main" id="{00000000-0008-0000-0400-0000B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181</xdr:row>
          <xdr:rowOff>152400</xdr:rowOff>
        </xdr:from>
        <xdr:to>
          <xdr:col>5</xdr:col>
          <xdr:colOff>95250</xdr:colOff>
          <xdr:row>183</xdr:row>
          <xdr:rowOff>28575</xdr:rowOff>
        </xdr:to>
        <xdr:sp macro="" textlink="">
          <xdr:nvSpPr>
            <xdr:cNvPr id="48305" name="Check Box 177" hidden="1">
              <a:extLst>
                <a:ext uri="{63B3BB69-23CF-44E3-9099-C40C66FF867C}">
                  <a14:compatExt spid="_x0000_s48305"/>
                </a:ext>
                <a:ext uri="{FF2B5EF4-FFF2-40B4-BE49-F238E27FC236}">
                  <a16:creationId xmlns:a16="http://schemas.microsoft.com/office/drawing/2014/main" id="{00000000-0008-0000-0400-0000B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183</xdr:row>
          <xdr:rowOff>133350</xdr:rowOff>
        </xdr:from>
        <xdr:to>
          <xdr:col>5</xdr:col>
          <xdr:colOff>95250</xdr:colOff>
          <xdr:row>185</xdr:row>
          <xdr:rowOff>19050</xdr:rowOff>
        </xdr:to>
        <xdr:sp macro="" textlink="">
          <xdr:nvSpPr>
            <xdr:cNvPr id="48306" name="Check Box 178" hidden="1">
              <a:extLst>
                <a:ext uri="{63B3BB69-23CF-44E3-9099-C40C66FF867C}">
                  <a14:compatExt spid="_x0000_s48306"/>
                </a:ext>
                <a:ext uri="{FF2B5EF4-FFF2-40B4-BE49-F238E27FC236}">
                  <a16:creationId xmlns:a16="http://schemas.microsoft.com/office/drawing/2014/main" id="{00000000-0008-0000-0400-0000B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182</xdr:row>
          <xdr:rowOff>133350</xdr:rowOff>
        </xdr:from>
        <xdr:to>
          <xdr:col>5</xdr:col>
          <xdr:colOff>95250</xdr:colOff>
          <xdr:row>184</xdr:row>
          <xdr:rowOff>28575</xdr:rowOff>
        </xdr:to>
        <xdr:sp macro="" textlink="">
          <xdr:nvSpPr>
            <xdr:cNvPr id="48307" name="Check Box 179" hidden="1">
              <a:extLst>
                <a:ext uri="{63B3BB69-23CF-44E3-9099-C40C66FF867C}">
                  <a14:compatExt spid="_x0000_s48307"/>
                </a:ext>
                <a:ext uri="{FF2B5EF4-FFF2-40B4-BE49-F238E27FC236}">
                  <a16:creationId xmlns:a16="http://schemas.microsoft.com/office/drawing/2014/main" id="{00000000-0008-0000-0400-0000B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256</xdr:row>
          <xdr:rowOff>114300</xdr:rowOff>
        </xdr:from>
        <xdr:to>
          <xdr:col>5</xdr:col>
          <xdr:colOff>104775</xdr:colOff>
          <xdr:row>258</xdr:row>
          <xdr:rowOff>28575</xdr:rowOff>
        </xdr:to>
        <xdr:sp macro="" textlink="">
          <xdr:nvSpPr>
            <xdr:cNvPr id="48308" name="Check Box 180" hidden="1">
              <a:extLst>
                <a:ext uri="{63B3BB69-23CF-44E3-9099-C40C66FF867C}">
                  <a14:compatExt spid="_x0000_s48308"/>
                </a:ext>
                <a:ext uri="{FF2B5EF4-FFF2-40B4-BE49-F238E27FC236}">
                  <a16:creationId xmlns:a16="http://schemas.microsoft.com/office/drawing/2014/main" id="{00000000-0008-0000-0400-0000B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257</xdr:row>
          <xdr:rowOff>152400</xdr:rowOff>
        </xdr:from>
        <xdr:to>
          <xdr:col>5</xdr:col>
          <xdr:colOff>95250</xdr:colOff>
          <xdr:row>259</xdr:row>
          <xdr:rowOff>28575</xdr:rowOff>
        </xdr:to>
        <xdr:sp macro="" textlink="">
          <xdr:nvSpPr>
            <xdr:cNvPr id="48309" name="Check Box 181" hidden="1">
              <a:extLst>
                <a:ext uri="{63B3BB69-23CF-44E3-9099-C40C66FF867C}">
                  <a14:compatExt spid="_x0000_s48309"/>
                </a:ext>
                <a:ext uri="{FF2B5EF4-FFF2-40B4-BE49-F238E27FC236}">
                  <a16:creationId xmlns:a16="http://schemas.microsoft.com/office/drawing/2014/main" id="{00000000-0008-0000-0400-0000B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259</xdr:row>
          <xdr:rowOff>133350</xdr:rowOff>
        </xdr:from>
        <xdr:to>
          <xdr:col>5</xdr:col>
          <xdr:colOff>95250</xdr:colOff>
          <xdr:row>261</xdr:row>
          <xdr:rowOff>19050</xdr:rowOff>
        </xdr:to>
        <xdr:sp macro="" textlink="">
          <xdr:nvSpPr>
            <xdr:cNvPr id="48310" name="Check Box 182" hidden="1">
              <a:extLst>
                <a:ext uri="{63B3BB69-23CF-44E3-9099-C40C66FF867C}">
                  <a14:compatExt spid="_x0000_s48310"/>
                </a:ext>
                <a:ext uri="{FF2B5EF4-FFF2-40B4-BE49-F238E27FC236}">
                  <a16:creationId xmlns:a16="http://schemas.microsoft.com/office/drawing/2014/main" id="{00000000-0008-0000-0400-0000B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258</xdr:row>
          <xdr:rowOff>123825</xdr:rowOff>
        </xdr:from>
        <xdr:to>
          <xdr:col>5</xdr:col>
          <xdr:colOff>95250</xdr:colOff>
          <xdr:row>260</xdr:row>
          <xdr:rowOff>19050</xdr:rowOff>
        </xdr:to>
        <xdr:sp macro="" textlink="">
          <xdr:nvSpPr>
            <xdr:cNvPr id="48311" name="Check Box 183" hidden="1">
              <a:extLst>
                <a:ext uri="{63B3BB69-23CF-44E3-9099-C40C66FF867C}">
                  <a14:compatExt spid="_x0000_s48311"/>
                </a:ext>
                <a:ext uri="{FF2B5EF4-FFF2-40B4-BE49-F238E27FC236}">
                  <a16:creationId xmlns:a16="http://schemas.microsoft.com/office/drawing/2014/main" id="{00000000-0008-0000-0400-0000B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331</xdr:row>
          <xdr:rowOff>133350</xdr:rowOff>
        </xdr:from>
        <xdr:to>
          <xdr:col>5</xdr:col>
          <xdr:colOff>104775</xdr:colOff>
          <xdr:row>333</xdr:row>
          <xdr:rowOff>19050</xdr:rowOff>
        </xdr:to>
        <xdr:sp macro="" textlink="">
          <xdr:nvSpPr>
            <xdr:cNvPr id="48312" name="Check Box 184" hidden="1">
              <a:extLst>
                <a:ext uri="{63B3BB69-23CF-44E3-9099-C40C66FF867C}">
                  <a14:compatExt spid="_x0000_s48312"/>
                </a:ext>
                <a:ext uri="{FF2B5EF4-FFF2-40B4-BE49-F238E27FC236}">
                  <a16:creationId xmlns:a16="http://schemas.microsoft.com/office/drawing/2014/main" id="{00000000-0008-0000-0400-0000B8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332</xdr:row>
          <xdr:rowOff>142875</xdr:rowOff>
        </xdr:from>
        <xdr:to>
          <xdr:col>5</xdr:col>
          <xdr:colOff>95250</xdr:colOff>
          <xdr:row>334</xdr:row>
          <xdr:rowOff>19050</xdr:rowOff>
        </xdr:to>
        <xdr:sp macro="" textlink="">
          <xdr:nvSpPr>
            <xdr:cNvPr id="48313" name="Check Box 185" hidden="1">
              <a:extLst>
                <a:ext uri="{63B3BB69-23CF-44E3-9099-C40C66FF867C}">
                  <a14:compatExt spid="_x0000_s48313"/>
                </a:ext>
                <a:ext uri="{FF2B5EF4-FFF2-40B4-BE49-F238E27FC236}">
                  <a16:creationId xmlns:a16="http://schemas.microsoft.com/office/drawing/2014/main" id="{00000000-0008-0000-0400-0000B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334</xdr:row>
          <xdr:rowOff>123825</xdr:rowOff>
        </xdr:from>
        <xdr:to>
          <xdr:col>5</xdr:col>
          <xdr:colOff>95250</xdr:colOff>
          <xdr:row>336</xdr:row>
          <xdr:rowOff>9525</xdr:rowOff>
        </xdr:to>
        <xdr:sp macro="" textlink="">
          <xdr:nvSpPr>
            <xdr:cNvPr id="48314" name="Check Box 186" hidden="1">
              <a:extLst>
                <a:ext uri="{63B3BB69-23CF-44E3-9099-C40C66FF867C}">
                  <a14:compatExt spid="_x0000_s48314"/>
                </a:ext>
                <a:ext uri="{FF2B5EF4-FFF2-40B4-BE49-F238E27FC236}">
                  <a16:creationId xmlns:a16="http://schemas.microsoft.com/office/drawing/2014/main" id="{00000000-0008-0000-0400-0000B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333</xdr:row>
          <xdr:rowOff>114300</xdr:rowOff>
        </xdr:from>
        <xdr:to>
          <xdr:col>5</xdr:col>
          <xdr:colOff>95250</xdr:colOff>
          <xdr:row>335</xdr:row>
          <xdr:rowOff>9525</xdr:rowOff>
        </xdr:to>
        <xdr:sp macro="" textlink="">
          <xdr:nvSpPr>
            <xdr:cNvPr id="48315" name="Check Box 187" hidden="1">
              <a:extLst>
                <a:ext uri="{63B3BB69-23CF-44E3-9099-C40C66FF867C}">
                  <a14:compatExt spid="_x0000_s48315"/>
                </a:ext>
                <a:ext uri="{FF2B5EF4-FFF2-40B4-BE49-F238E27FC236}">
                  <a16:creationId xmlns:a16="http://schemas.microsoft.com/office/drawing/2014/main" id="{00000000-0008-0000-0400-0000B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584</xdr:row>
          <xdr:rowOff>19050</xdr:rowOff>
        </xdr:from>
        <xdr:to>
          <xdr:col>8</xdr:col>
          <xdr:colOff>66675</xdr:colOff>
          <xdr:row>585</xdr:row>
          <xdr:rowOff>9525</xdr:rowOff>
        </xdr:to>
        <xdr:sp macro="" textlink="">
          <xdr:nvSpPr>
            <xdr:cNvPr id="48606" name="Check Box 478" hidden="1">
              <a:extLst>
                <a:ext uri="{63B3BB69-23CF-44E3-9099-C40C66FF867C}">
                  <a14:compatExt spid="_x0000_s48606"/>
                </a:ext>
                <a:ext uri="{FF2B5EF4-FFF2-40B4-BE49-F238E27FC236}">
                  <a16:creationId xmlns:a16="http://schemas.microsoft.com/office/drawing/2014/main" id="{00000000-0008-0000-0400-0000DEB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422</xdr:row>
          <xdr:rowOff>28575</xdr:rowOff>
        </xdr:from>
        <xdr:to>
          <xdr:col>7</xdr:col>
          <xdr:colOff>219075</xdr:colOff>
          <xdr:row>423</xdr:row>
          <xdr:rowOff>19050</xdr:rowOff>
        </xdr:to>
        <xdr:sp macro="" textlink="">
          <xdr:nvSpPr>
            <xdr:cNvPr id="48617" name="Check Box 489" hidden="1">
              <a:extLst>
                <a:ext uri="{63B3BB69-23CF-44E3-9099-C40C66FF867C}">
                  <a14:compatExt spid="_x0000_s48617"/>
                </a:ext>
                <a:ext uri="{FF2B5EF4-FFF2-40B4-BE49-F238E27FC236}">
                  <a16:creationId xmlns:a16="http://schemas.microsoft.com/office/drawing/2014/main" id="{00000000-0008-0000-0400-0000E9B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200025</xdr:colOff>
          <xdr:row>466</xdr:row>
          <xdr:rowOff>9525</xdr:rowOff>
        </xdr:from>
        <xdr:to>
          <xdr:col>1</xdr:col>
          <xdr:colOff>819150</xdr:colOff>
          <xdr:row>466</xdr:row>
          <xdr:rowOff>152400</xdr:rowOff>
        </xdr:to>
        <xdr:sp macro="" textlink="">
          <xdr:nvSpPr>
            <xdr:cNvPr id="48647" name="Label 519" hidden="1">
              <a:extLst>
                <a:ext uri="{63B3BB69-23CF-44E3-9099-C40C66FF867C}">
                  <a14:compatExt spid="_x0000_s48647"/>
                </a:ext>
                <a:ext uri="{FF2B5EF4-FFF2-40B4-BE49-F238E27FC236}">
                  <a16:creationId xmlns:a16="http://schemas.microsoft.com/office/drawing/2014/main" id="{00000000-0008-0000-0400-000007B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cs typeface="Segoe UI"/>
                </a:rPr>
                <a:t>(55%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470</xdr:row>
          <xdr:rowOff>180975</xdr:rowOff>
        </xdr:from>
        <xdr:to>
          <xdr:col>5</xdr:col>
          <xdr:colOff>104775</xdr:colOff>
          <xdr:row>472</xdr:row>
          <xdr:rowOff>19050</xdr:rowOff>
        </xdr:to>
        <xdr:sp macro="" textlink="">
          <xdr:nvSpPr>
            <xdr:cNvPr id="48649" name="Check Box 521" hidden="1">
              <a:extLst>
                <a:ext uri="{63B3BB69-23CF-44E3-9099-C40C66FF867C}">
                  <a14:compatExt spid="_x0000_s48649"/>
                </a:ext>
                <a:ext uri="{FF2B5EF4-FFF2-40B4-BE49-F238E27FC236}">
                  <a16:creationId xmlns:a16="http://schemas.microsoft.com/office/drawing/2014/main" id="{00000000-0008-0000-0400-000009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426</xdr:row>
          <xdr:rowOff>9525</xdr:rowOff>
        </xdr:from>
        <xdr:to>
          <xdr:col>14</xdr:col>
          <xdr:colOff>600075</xdr:colOff>
          <xdr:row>427</xdr:row>
          <xdr:rowOff>9525</xdr:rowOff>
        </xdr:to>
        <xdr:sp macro="" textlink="">
          <xdr:nvSpPr>
            <xdr:cNvPr id="129475" name="Group Box 5571" hidden="1">
              <a:extLst>
                <a:ext uri="{63B3BB69-23CF-44E3-9099-C40C66FF867C}">
                  <a14:compatExt spid="_x0000_s129475"/>
                </a:ext>
                <a:ext uri="{FF2B5EF4-FFF2-40B4-BE49-F238E27FC236}">
                  <a16:creationId xmlns:a16="http://schemas.microsoft.com/office/drawing/2014/main" id="{00000000-0008-0000-0400-0000C3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426</xdr:row>
          <xdr:rowOff>38100</xdr:rowOff>
        </xdr:from>
        <xdr:to>
          <xdr:col>9</xdr:col>
          <xdr:colOff>247650</xdr:colOff>
          <xdr:row>426</xdr:row>
          <xdr:rowOff>257175</xdr:rowOff>
        </xdr:to>
        <xdr:sp macro="" textlink="">
          <xdr:nvSpPr>
            <xdr:cNvPr id="129476" name="Option Button 5572" hidden="1">
              <a:extLst>
                <a:ext uri="{63B3BB69-23CF-44E3-9099-C40C66FF867C}">
                  <a14:compatExt spid="_x0000_s129476"/>
                </a:ext>
                <a:ext uri="{FF2B5EF4-FFF2-40B4-BE49-F238E27FC236}">
                  <a16:creationId xmlns:a16="http://schemas.microsoft.com/office/drawing/2014/main" id="{00000000-0008-0000-0400-0000C4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426</xdr:row>
          <xdr:rowOff>38100</xdr:rowOff>
        </xdr:from>
        <xdr:to>
          <xdr:col>12</xdr:col>
          <xdr:colOff>200025</xdr:colOff>
          <xdr:row>426</xdr:row>
          <xdr:rowOff>257175</xdr:rowOff>
        </xdr:to>
        <xdr:sp macro="" textlink="">
          <xdr:nvSpPr>
            <xdr:cNvPr id="129477" name="Option Button 5573" hidden="1">
              <a:extLst>
                <a:ext uri="{63B3BB69-23CF-44E3-9099-C40C66FF867C}">
                  <a14:compatExt spid="_x0000_s129477"/>
                </a:ext>
                <a:ext uri="{FF2B5EF4-FFF2-40B4-BE49-F238E27FC236}">
                  <a16:creationId xmlns:a16="http://schemas.microsoft.com/office/drawing/2014/main" id="{00000000-0008-0000-0400-0000C5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427</xdr:row>
          <xdr:rowOff>9525</xdr:rowOff>
        </xdr:from>
        <xdr:to>
          <xdr:col>14</xdr:col>
          <xdr:colOff>600075</xdr:colOff>
          <xdr:row>427</xdr:row>
          <xdr:rowOff>257175</xdr:rowOff>
        </xdr:to>
        <xdr:sp macro="" textlink="">
          <xdr:nvSpPr>
            <xdr:cNvPr id="129478" name="Group Box 5574" hidden="1">
              <a:extLst>
                <a:ext uri="{63B3BB69-23CF-44E3-9099-C40C66FF867C}">
                  <a14:compatExt spid="_x0000_s129478"/>
                </a:ext>
                <a:ext uri="{FF2B5EF4-FFF2-40B4-BE49-F238E27FC236}">
                  <a16:creationId xmlns:a16="http://schemas.microsoft.com/office/drawing/2014/main" id="{00000000-0008-0000-0400-0000C6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428</xdr:row>
          <xdr:rowOff>9525</xdr:rowOff>
        </xdr:from>
        <xdr:to>
          <xdr:col>14</xdr:col>
          <xdr:colOff>600075</xdr:colOff>
          <xdr:row>428</xdr:row>
          <xdr:rowOff>257175</xdr:rowOff>
        </xdr:to>
        <xdr:sp macro="" textlink="">
          <xdr:nvSpPr>
            <xdr:cNvPr id="129481" name="Group Box 5577" hidden="1">
              <a:extLst>
                <a:ext uri="{63B3BB69-23CF-44E3-9099-C40C66FF867C}">
                  <a14:compatExt spid="_x0000_s129481"/>
                </a:ext>
                <a:ext uri="{FF2B5EF4-FFF2-40B4-BE49-F238E27FC236}">
                  <a16:creationId xmlns:a16="http://schemas.microsoft.com/office/drawing/2014/main" id="{00000000-0008-0000-0400-0000C9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429</xdr:row>
          <xdr:rowOff>9525</xdr:rowOff>
        </xdr:from>
        <xdr:to>
          <xdr:col>14</xdr:col>
          <xdr:colOff>600075</xdr:colOff>
          <xdr:row>429</xdr:row>
          <xdr:rowOff>257175</xdr:rowOff>
        </xdr:to>
        <xdr:sp macro="" textlink="">
          <xdr:nvSpPr>
            <xdr:cNvPr id="129484" name="Group Box 5580" hidden="1">
              <a:extLst>
                <a:ext uri="{63B3BB69-23CF-44E3-9099-C40C66FF867C}">
                  <a14:compatExt spid="_x0000_s129484"/>
                </a:ext>
                <a:ext uri="{FF2B5EF4-FFF2-40B4-BE49-F238E27FC236}">
                  <a16:creationId xmlns:a16="http://schemas.microsoft.com/office/drawing/2014/main" id="{00000000-0008-0000-0400-0000CC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426</xdr:row>
          <xdr:rowOff>38100</xdr:rowOff>
        </xdr:from>
        <xdr:to>
          <xdr:col>14</xdr:col>
          <xdr:colOff>247650</xdr:colOff>
          <xdr:row>426</xdr:row>
          <xdr:rowOff>257175</xdr:rowOff>
        </xdr:to>
        <xdr:sp macro="" textlink="">
          <xdr:nvSpPr>
            <xdr:cNvPr id="129487" name="Option Button 5583" hidden="1">
              <a:extLst>
                <a:ext uri="{63B3BB69-23CF-44E3-9099-C40C66FF867C}">
                  <a14:compatExt spid="_x0000_s129487"/>
                </a:ext>
                <a:ext uri="{FF2B5EF4-FFF2-40B4-BE49-F238E27FC236}">
                  <a16:creationId xmlns:a16="http://schemas.microsoft.com/office/drawing/2014/main" id="{00000000-0008-0000-0400-0000CF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427</xdr:row>
          <xdr:rowOff>9525</xdr:rowOff>
        </xdr:from>
        <xdr:to>
          <xdr:col>14</xdr:col>
          <xdr:colOff>600075</xdr:colOff>
          <xdr:row>428</xdr:row>
          <xdr:rowOff>9525</xdr:rowOff>
        </xdr:to>
        <xdr:sp macro="" textlink="">
          <xdr:nvSpPr>
            <xdr:cNvPr id="129488" name="Group Box 5584" hidden="1">
              <a:extLst>
                <a:ext uri="{63B3BB69-23CF-44E3-9099-C40C66FF867C}">
                  <a14:compatExt spid="_x0000_s129488"/>
                </a:ext>
                <a:ext uri="{FF2B5EF4-FFF2-40B4-BE49-F238E27FC236}">
                  <a16:creationId xmlns:a16="http://schemas.microsoft.com/office/drawing/2014/main" id="{00000000-0008-0000-0400-0000D0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427</xdr:row>
          <xdr:rowOff>38100</xdr:rowOff>
        </xdr:from>
        <xdr:to>
          <xdr:col>9</xdr:col>
          <xdr:colOff>247650</xdr:colOff>
          <xdr:row>427</xdr:row>
          <xdr:rowOff>257175</xdr:rowOff>
        </xdr:to>
        <xdr:sp macro="" textlink="">
          <xdr:nvSpPr>
            <xdr:cNvPr id="129489" name="Option Button 5585" hidden="1">
              <a:extLst>
                <a:ext uri="{63B3BB69-23CF-44E3-9099-C40C66FF867C}">
                  <a14:compatExt spid="_x0000_s129489"/>
                </a:ext>
                <a:ext uri="{FF2B5EF4-FFF2-40B4-BE49-F238E27FC236}">
                  <a16:creationId xmlns:a16="http://schemas.microsoft.com/office/drawing/2014/main" id="{00000000-0008-0000-0400-0000D1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427</xdr:row>
          <xdr:rowOff>38100</xdr:rowOff>
        </xdr:from>
        <xdr:to>
          <xdr:col>12</xdr:col>
          <xdr:colOff>200025</xdr:colOff>
          <xdr:row>427</xdr:row>
          <xdr:rowOff>257175</xdr:rowOff>
        </xdr:to>
        <xdr:sp macro="" textlink="">
          <xdr:nvSpPr>
            <xdr:cNvPr id="129490" name="Option Button 5586" hidden="1">
              <a:extLst>
                <a:ext uri="{63B3BB69-23CF-44E3-9099-C40C66FF867C}">
                  <a14:compatExt spid="_x0000_s129490"/>
                </a:ext>
                <a:ext uri="{FF2B5EF4-FFF2-40B4-BE49-F238E27FC236}">
                  <a16:creationId xmlns:a16="http://schemas.microsoft.com/office/drawing/2014/main" id="{00000000-0008-0000-0400-0000D2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427</xdr:row>
          <xdr:rowOff>38100</xdr:rowOff>
        </xdr:from>
        <xdr:to>
          <xdr:col>14</xdr:col>
          <xdr:colOff>247650</xdr:colOff>
          <xdr:row>427</xdr:row>
          <xdr:rowOff>257175</xdr:rowOff>
        </xdr:to>
        <xdr:sp macro="" textlink="">
          <xdr:nvSpPr>
            <xdr:cNvPr id="129491" name="Option Button 5587" hidden="1">
              <a:extLst>
                <a:ext uri="{63B3BB69-23CF-44E3-9099-C40C66FF867C}">
                  <a14:compatExt spid="_x0000_s129491"/>
                </a:ext>
                <a:ext uri="{FF2B5EF4-FFF2-40B4-BE49-F238E27FC236}">
                  <a16:creationId xmlns:a16="http://schemas.microsoft.com/office/drawing/2014/main" id="{00000000-0008-0000-0400-0000D3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427</xdr:row>
          <xdr:rowOff>266700</xdr:rowOff>
        </xdr:from>
        <xdr:to>
          <xdr:col>14</xdr:col>
          <xdr:colOff>600075</xdr:colOff>
          <xdr:row>429</xdr:row>
          <xdr:rowOff>9525</xdr:rowOff>
        </xdr:to>
        <xdr:sp macro="" textlink="">
          <xdr:nvSpPr>
            <xdr:cNvPr id="129492" name="Group Box 5588" hidden="1">
              <a:extLst>
                <a:ext uri="{63B3BB69-23CF-44E3-9099-C40C66FF867C}">
                  <a14:compatExt spid="_x0000_s129492"/>
                </a:ext>
                <a:ext uri="{FF2B5EF4-FFF2-40B4-BE49-F238E27FC236}">
                  <a16:creationId xmlns:a16="http://schemas.microsoft.com/office/drawing/2014/main" id="{00000000-0008-0000-0400-0000D4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428</xdr:row>
          <xdr:rowOff>38100</xdr:rowOff>
        </xdr:from>
        <xdr:to>
          <xdr:col>9</xdr:col>
          <xdr:colOff>247650</xdr:colOff>
          <xdr:row>428</xdr:row>
          <xdr:rowOff>257175</xdr:rowOff>
        </xdr:to>
        <xdr:sp macro="" textlink="">
          <xdr:nvSpPr>
            <xdr:cNvPr id="129493" name="Option Button 5589" hidden="1">
              <a:extLst>
                <a:ext uri="{63B3BB69-23CF-44E3-9099-C40C66FF867C}">
                  <a14:compatExt spid="_x0000_s129493"/>
                </a:ext>
                <a:ext uri="{FF2B5EF4-FFF2-40B4-BE49-F238E27FC236}">
                  <a16:creationId xmlns:a16="http://schemas.microsoft.com/office/drawing/2014/main" id="{00000000-0008-0000-0400-0000D5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428</xdr:row>
          <xdr:rowOff>38100</xdr:rowOff>
        </xdr:from>
        <xdr:to>
          <xdr:col>12</xdr:col>
          <xdr:colOff>200025</xdr:colOff>
          <xdr:row>428</xdr:row>
          <xdr:rowOff>257175</xdr:rowOff>
        </xdr:to>
        <xdr:sp macro="" textlink="">
          <xdr:nvSpPr>
            <xdr:cNvPr id="129494" name="Option Button 5590" hidden="1">
              <a:extLst>
                <a:ext uri="{63B3BB69-23CF-44E3-9099-C40C66FF867C}">
                  <a14:compatExt spid="_x0000_s129494"/>
                </a:ext>
                <a:ext uri="{FF2B5EF4-FFF2-40B4-BE49-F238E27FC236}">
                  <a16:creationId xmlns:a16="http://schemas.microsoft.com/office/drawing/2014/main" id="{00000000-0008-0000-0400-0000D6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428</xdr:row>
          <xdr:rowOff>38100</xdr:rowOff>
        </xdr:from>
        <xdr:to>
          <xdr:col>14</xdr:col>
          <xdr:colOff>247650</xdr:colOff>
          <xdr:row>428</xdr:row>
          <xdr:rowOff>257175</xdr:rowOff>
        </xdr:to>
        <xdr:sp macro="" textlink="">
          <xdr:nvSpPr>
            <xdr:cNvPr id="129495" name="Option Button 5591" hidden="1">
              <a:extLst>
                <a:ext uri="{63B3BB69-23CF-44E3-9099-C40C66FF867C}">
                  <a14:compatExt spid="_x0000_s129495"/>
                </a:ext>
                <a:ext uri="{FF2B5EF4-FFF2-40B4-BE49-F238E27FC236}">
                  <a16:creationId xmlns:a16="http://schemas.microsoft.com/office/drawing/2014/main" id="{00000000-0008-0000-0400-0000D7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429</xdr:row>
          <xdr:rowOff>9525</xdr:rowOff>
        </xdr:from>
        <xdr:to>
          <xdr:col>14</xdr:col>
          <xdr:colOff>600075</xdr:colOff>
          <xdr:row>430</xdr:row>
          <xdr:rowOff>19050</xdr:rowOff>
        </xdr:to>
        <xdr:sp macro="" textlink="">
          <xdr:nvSpPr>
            <xdr:cNvPr id="129496" name="Group Box 5592" hidden="1">
              <a:extLst>
                <a:ext uri="{63B3BB69-23CF-44E3-9099-C40C66FF867C}">
                  <a14:compatExt spid="_x0000_s129496"/>
                </a:ext>
                <a:ext uri="{FF2B5EF4-FFF2-40B4-BE49-F238E27FC236}">
                  <a16:creationId xmlns:a16="http://schemas.microsoft.com/office/drawing/2014/main" id="{00000000-0008-0000-0400-0000D8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429</xdr:row>
          <xdr:rowOff>38100</xdr:rowOff>
        </xdr:from>
        <xdr:to>
          <xdr:col>9</xdr:col>
          <xdr:colOff>247650</xdr:colOff>
          <xdr:row>429</xdr:row>
          <xdr:rowOff>257175</xdr:rowOff>
        </xdr:to>
        <xdr:sp macro="" textlink="">
          <xdr:nvSpPr>
            <xdr:cNvPr id="129497" name="Option Button 5593" hidden="1">
              <a:extLst>
                <a:ext uri="{63B3BB69-23CF-44E3-9099-C40C66FF867C}">
                  <a14:compatExt spid="_x0000_s129497"/>
                </a:ext>
                <a:ext uri="{FF2B5EF4-FFF2-40B4-BE49-F238E27FC236}">
                  <a16:creationId xmlns:a16="http://schemas.microsoft.com/office/drawing/2014/main" id="{00000000-0008-0000-0400-0000D9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429</xdr:row>
          <xdr:rowOff>38100</xdr:rowOff>
        </xdr:from>
        <xdr:to>
          <xdr:col>12</xdr:col>
          <xdr:colOff>200025</xdr:colOff>
          <xdr:row>429</xdr:row>
          <xdr:rowOff>257175</xdr:rowOff>
        </xdr:to>
        <xdr:sp macro="" textlink="">
          <xdr:nvSpPr>
            <xdr:cNvPr id="129498" name="Option Button 5594" hidden="1">
              <a:extLst>
                <a:ext uri="{63B3BB69-23CF-44E3-9099-C40C66FF867C}">
                  <a14:compatExt spid="_x0000_s129498"/>
                </a:ext>
                <a:ext uri="{FF2B5EF4-FFF2-40B4-BE49-F238E27FC236}">
                  <a16:creationId xmlns:a16="http://schemas.microsoft.com/office/drawing/2014/main" id="{00000000-0008-0000-0400-0000DA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429</xdr:row>
          <xdr:rowOff>38100</xdr:rowOff>
        </xdr:from>
        <xdr:to>
          <xdr:col>14</xdr:col>
          <xdr:colOff>247650</xdr:colOff>
          <xdr:row>429</xdr:row>
          <xdr:rowOff>257175</xdr:rowOff>
        </xdr:to>
        <xdr:sp macro="" textlink="">
          <xdr:nvSpPr>
            <xdr:cNvPr id="129499" name="Option Button 5595" hidden="1">
              <a:extLst>
                <a:ext uri="{63B3BB69-23CF-44E3-9099-C40C66FF867C}">
                  <a14:compatExt spid="_x0000_s129499"/>
                </a:ext>
                <a:ext uri="{FF2B5EF4-FFF2-40B4-BE49-F238E27FC236}">
                  <a16:creationId xmlns:a16="http://schemas.microsoft.com/office/drawing/2014/main" id="{00000000-0008-0000-0400-0000DB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430</xdr:row>
          <xdr:rowOff>9525</xdr:rowOff>
        </xdr:from>
        <xdr:to>
          <xdr:col>14</xdr:col>
          <xdr:colOff>600075</xdr:colOff>
          <xdr:row>430</xdr:row>
          <xdr:rowOff>257175</xdr:rowOff>
        </xdr:to>
        <xdr:sp macro="" textlink="">
          <xdr:nvSpPr>
            <xdr:cNvPr id="129500" name="Group Box 5596" hidden="1">
              <a:extLst>
                <a:ext uri="{63B3BB69-23CF-44E3-9099-C40C66FF867C}">
                  <a14:compatExt spid="_x0000_s129500"/>
                </a:ext>
                <a:ext uri="{FF2B5EF4-FFF2-40B4-BE49-F238E27FC236}">
                  <a16:creationId xmlns:a16="http://schemas.microsoft.com/office/drawing/2014/main" id="{00000000-0008-0000-0400-0000DC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430</xdr:row>
          <xdr:rowOff>19050</xdr:rowOff>
        </xdr:from>
        <xdr:to>
          <xdr:col>14</xdr:col>
          <xdr:colOff>600075</xdr:colOff>
          <xdr:row>430</xdr:row>
          <xdr:rowOff>257175</xdr:rowOff>
        </xdr:to>
        <xdr:sp macro="" textlink="">
          <xdr:nvSpPr>
            <xdr:cNvPr id="129501" name="Group Box 5597" hidden="1">
              <a:extLst>
                <a:ext uri="{63B3BB69-23CF-44E3-9099-C40C66FF867C}">
                  <a14:compatExt spid="_x0000_s129501"/>
                </a:ext>
                <a:ext uri="{FF2B5EF4-FFF2-40B4-BE49-F238E27FC236}">
                  <a16:creationId xmlns:a16="http://schemas.microsoft.com/office/drawing/2014/main" id="{00000000-0008-0000-0400-0000DD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430</xdr:row>
          <xdr:rowOff>38100</xdr:rowOff>
        </xdr:from>
        <xdr:to>
          <xdr:col>9</xdr:col>
          <xdr:colOff>247650</xdr:colOff>
          <xdr:row>430</xdr:row>
          <xdr:rowOff>257175</xdr:rowOff>
        </xdr:to>
        <xdr:sp macro="" textlink="">
          <xdr:nvSpPr>
            <xdr:cNvPr id="129502" name="Option Button 5598" hidden="1">
              <a:extLst>
                <a:ext uri="{63B3BB69-23CF-44E3-9099-C40C66FF867C}">
                  <a14:compatExt spid="_x0000_s129502"/>
                </a:ext>
                <a:ext uri="{FF2B5EF4-FFF2-40B4-BE49-F238E27FC236}">
                  <a16:creationId xmlns:a16="http://schemas.microsoft.com/office/drawing/2014/main" id="{00000000-0008-0000-0400-0000DE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430</xdr:row>
          <xdr:rowOff>38100</xdr:rowOff>
        </xdr:from>
        <xdr:to>
          <xdr:col>12</xdr:col>
          <xdr:colOff>200025</xdr:colOff>
          <xdr:row>430</xdr:row>
          <xdr:rowOff>257175</xdr:rowOff>
        </xdr:to>
        <xdr:sp macro="" textlink="">
          <xdr:nvSpPr>
            <xdr:cNvPr id="129503" name="Option Button 5599" hidden="1">
              <a:extLst>
                <a:ext uri="{63B3BB69-23CF-44E3-9099-C40C66FF867C}">
                  <a14:compatExt spid="_x0000_s129503"/>
                </a:ext>
                <a:ext uri="{FF2B5EF4-FFF2-40B4-BE49-F238E27FC236}">
                  <a16:creationId xmlns:a16="http://schemas.microsoft.com/office/drawing/2014/main" id="{00000000-0008-0000-0400-0000DF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430</xdr:row>
          <xdr:rowOff>38100</xdr:rowOff>
        </xdr:from>
        <xdr:to>
          <xdr:col>14</xdr:col>
          <xdr:colOff>247650</xdr:colOff>
          <xdr:row>430</xdr:row>
          <xdr:rowOff>257175</xdr:rowOff>
        </xdr:to>
        <xdr:sp macro="" textlink="">
          <xdr:nvSpPr>
            <xdr:cNvPr id="129504" name="Option Button 5600" hidden="1">
              <a:extLst>
                <a:ext uri="{63B3BB69-23CF-44E3-9099-C40C66FF867C}">
                  <a14:compatExt spid="_x0000_s129504"/>
                </a:ext>
                <a:ext uri="{FF2B5EF4-FFF2-40B4-BE49-F238E27FC236}">
                  <a16:creationId xmlns:a16="http://schemas.microsoft.com/office/drawing/2014/main" id="{00000000-0008-0000-0400-0000E0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431</xdr:row>
          <xdr:rowOff>9525</xdr:rowOff>
        </xdr:from>
        <xdr:to>
          <xdr:col>14</xdr:col>
          <xdr:colOff>600075</xdr:colOff>
          <xdr:row>431</xdr:row>
          <xdr:rowOff>257175</xdr:rowOff>
        </xdr:to>
        <xdr:sp macro="" textlink="">
          <xdr:nvSpPr>
            <xdr:cNvPr id="129505" name="Group Box 5601" hidden="1">
              <a:extLst>
                <a:ext uri="{63B3BB69-23CF-44E3-9099-C40C66FF867C}">
                  <a14:compatExt spid="_x0000_s129505"/>
                </a:ext>
                <a:ext uri="{FF2B5EF4-FFF2-40B4-BE49-F238E27FC236}">
                  <a16:creationId xmlns:a16="http://schemas.microsoft.com/office/drawing/2014/main" id="{00000000-0008-0000-0400-0000E1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431</xdr:row>
          <xdr:rowOff>9525</xdr:rowOff>
        </xdr:from>
        <xdr:to>
          <xdr:col>14</xdr:col>
          <xdr:colOff>600075</xdr:colOff>
          <xdr:row>431</xdr:row>
          <xdr:rowOff>257175</xdr:rowOff>
        </xdr:to>
        <xdr:sp macro="" textlink="">
          <xdr:nvSpPr>
            <xdr:cNvPr id="129506" name="Group Box 5602" hidden="1">
              <a:extLst>
                <a:ext uri="{63B3BB69-23CF-44E3-9099-C40C66FF867C}">
                  <a14:compatExt spid="_x0000_s129506"/>
                </a:ext>
                <a:ext uri="{FF2B5EF4-FFF2-40B4-BE49-F238E27FC236}">
                  <a16:creationId xmlns:a16="http://schemas.microsoft.com/office/drawing/2014/main" id="{00000000-0008-0000-0400-0000E2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431</xdr:row>
          <xdr:rowOff>38100</xdr:rowOff>
        </xdr:from>
        <xdr:to>
          <xdr:col>9</xdr:col>
          <xdr:colOff>247650</xdr:colOff>
          <xdr:row>431</xdr:row>
          <xdr:rowOff>257175</xdr:rowOff>
        </xdr:to>
        <xdr:sp macro="" textlink="">
          <xdr:nvSpPr>
            <xdr:cNvPr id="129507" name="Option Button 5603" hidden="1">
              <a:extLst>
                <a:ext uri="{63B3BB69-23CF-44E3-9099-C40C66FF867C}">
                  <a14:compatExt spid="_x0000_s129507"/>
                </a:ext>
                <a:ext uri="{FF2B5EF4-FFF2-40B4-BE49-F238E27FC236}">
                  <a16:creationId xmlns:a16="http://schemas.microsoft.com/office/drawing/2014/main" id="{00000000-0008-0000-0400-0000E3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431</xdr:row>
          <xdr:rowOff>38100</xdr:rowOff>
        </xdr:from>
        <xdr:to>
          <xdr:col>12</xdr:col>
          <xdr:colOff>200025</xdr:colOff>
          <xdr:row>431</xdr:row>
          <xdr:rowOff>257175</xdr:rowOff>
        </xdr:to>
        <xdr:sp macro="" textlink="">
          <xdr:nvSpPr>
            <xdr:cNvPr id="129508" name="Option Button 5604" hidden="1">
              <a:extLst>
                <a:ext uri="{63B3BB69-23CF-44E3-9099-C40C66FF867C}">
                  <a14:compatExt spid="_x0000_s129508"/>
                </a:ext>
                <a:ext uri="{FF2B5EF4-FFF2-40B4-BE49-F238E27FC236}">
                  <a16:creationId xmlns:a16="http://schemas.microsoft.com/office/drawing/2014/main" id="{00000000-0008-0000-0400-0000E4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431</xdr:row>
          <xdr:rowOff>38100</xdr:rowOff>
        </xdr:from>
        <xdr:to>
          <xdr:col>14</xdr:col>
          <xdr:colOff>247650</xdr:colOff>
          <xdr:row>431</xdr:row>
          <xdr:rowOff>257175</xdr:rowOff>
        </xdr:to>
        <xdr:sp macro="" textlink="">
          <xdr:nvSpPr>
            <xdr:cNvPr id="129509" name="Option Button 5605" hidden="1">
              <a:extLst>
                <a:ext uri="{63B3BB69-23CF-44E3-9099-C40C66FF867C}">
                  <a14:compatExt spid="_x0000_s129509"/>
                </a:ext>
                <a:ext uri="{FF2B5EF4-FFF2-40B4-BE49-F238E27FC236}">
                  <a16:creationId xmlns:a16="http://schemas.microsoft.com/office/drawing/2014/main" id="{00000000-0008-0000-0400-0000E5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432</xdr:row>
          <xdr:rowOff>9525</xdr:rowOff>
        </xdr:from>
        <xdr:to>
          <xdr:col>14</xdr:col>
          <xdr:colOff>600075</xdr:colOff>
          <xdr:row>432</xdr:row>
          <xdr:rowOff>257175</xdr:rowOff>
        </xdr:to>
        <xdr:sp macro="" textlink="">
          <xdr:nvSpPr>
            <xdr:cNvPr id="129510" name="Group Box 5606" hidden="1">
              <a:extLst>
                <a:ext uri="{63B3BB69-23CF-44E3-9099-C40C66FF867C}">
                  <a14:compatExt spid="_x0000_s129510"/>
                </a:ext>
                <a:ext uri="{FF2B5EF4-FFF2-40B4-BE49-F238E27FC236}">
                  <a16:creationId xmlns:a16="http://schemas.microsoft.com/office/drawing/2014/main" id="{00000000-0008-0000-0400-0000E6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432</xdr:row>
          <xdr:rowOff>9525</xdr:rowOff>
        </xdr:from>
        <xdr:to>
          <xdr:col>14</xdr:col>
          <xdr:colOff>600075</xdr:colOff>
          <xdr:row>432</xdr:row>
          <xdr:rowOff>257175</xdr:rowOff>
        </xdr:to>
        <xdr:sp macro="" textlink="">
          <xdr:nvSpPr>
            <xdr:cNvPr id="129511" name="Group Box 5607" hidden="1">
              <a:extLst>
                <a:ext uri="{63B3BB69-23CF-44E3-9099-C40C66FF867C}">
                  <a14:compatExt spid="_x0000_s129511"/>
                </a:ext>
                <a:ext uri="{FF2B5EF4-FFF2-40B4-BE49-F238E27FC236}">
                  <a16:creationId xmlns:a16="http://schemas.microsoft.com/office/drawing/2014/main" id="{00000000-0008-0000-0400-0000E7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432</xdr:row>
          <xdr:rowOff>38100</xdr:rowOff>
        </xdr:from>
        <xdr:to>
          <xdr:col>9</xdr:col>
          <xdr:colOff>247650</xdr:colOff>
          <xdr:row>432</xdr:row>
          <xdr:rowOff>257175</xdr:rowOff>
        </xdr:to>
        <xdr:sp macro="" textlink="">
          <xdr:nvSpPr>
            <xdr:cNvPr id="129512" name="Option Button 5608" hidden="1">
              <a:extLst>
                <a:ext uri="{63B3BB69-23CF-44E3-9099-C40C66FF867C}">
                  <a14:compatExt spid="_x0000_s129512"/>
                </a:ext>
                <a:ext uri="{FF2B5EF4-FFF2-40B4-BE49-F238E27FC236}">
                  <a16:creationId xmlns:a16="http://schemas.microsoft.com/office/drawing/2014/main" id="{00000000-0008-0000-0400-0000E8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432</xdr:row>
          <xdr:rowOff>38100</xdr:rowOff>
        </xdr:from>
        <xdr:to>
          <xdr:col>12</xdr:col>
          <xdr:colOff>200025</xdr:colOff>
          <xdr:row>432</xdr:row>
          <xdr:rowOff>257175</xdr:rowOff>
        </xdr:to>
        <xdr:sp macro="" textlink="">
          <xdr:nvSpPr>
            <xdr:cNvPr id="129513" name="Option Button 5609" hidden="1">
              <a:extLst>
                <a:ext uri="{63B3BB69-23CF-44E3-9099-C40C66FF867C}">
                  <a14:compatExt spid="_x0000_s129513"/>
                </a:ext>
                <a:ext uri="{FF2B5EF4-FFF2-40B4-BE49-F238E27FC236}">
                  <a16:creationId xmlns:a16="http://schemas.microsoft.com/office/drawing/2014/main" id="{00000000-0008-0000-0400-0000E9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432</xdr:row>
          <xdr:rowOff>38100</xdr:rowOff>
        </xdr:from>
        <xdr:to>
          <xdr:col>14</xdr:col>
          <xdr:colOff>247650</xdr:colOff>
          <xdr:row>432</xdr:row>
          <xdr:rowOff>257175</xdr:rowOff>
        </xdr:to>
        <xdr:sp macro="" textlink="">
          <xdr:nvSpPr>
            <xdr:cNvPr id="129514" name="Option Button 5610" hidden="1">
              <a:extLst>
                <a:ext uri="{63B3BB69-23CF-44E3-9099-C40C66FF867C}">
                  <a14:compatExt spid="_x0000_s129514"/>
                </a:ext>
                <a:ext uri="{FF2B5EF4-FFF2-40B4-BE49-F238E27FC236}">
                  <a16:creationId xmlns:a16="http://schemas.microsoft.com/office/drawing/2014/main" id="{00000000-0008-0000-0400-0000EA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433</xdr:row>
          <xdr:rowOff>9525</xdr:rowOff>
        </xdr:from>
        <xdr:to>
          <xdr:col>14</xdr:col>
          <xdr:colOff>600075</xdr:colOff>
          <xdr:row>433</xdr:row>
          <xdr:rowOff>257175</xdr:rowOff>
        </xdr:to>
        <xdr:sp macro="" textlink="">
          <xdr:nvSpPr>
            <xdr:cNvPr id="129515" name="Group Box 5611" hidden="1">
              <a:extLst>
                <a:ext uri="{63B3BB69-23CF-44E3-9099-C40C66FF867C}">
                  <a14:compatExt spid="_x0000_s129515"/>
                </a:ext>
                <a:ext uri="{FF2B5EF4-FFF2-40B4-BE49-F238E27FC236}">
                  <a16:creationId xmlns:a16="http://schemas.microsoft.com/office/drawing/2014/main" id="{00000000-0008-0000-0400-0000EB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433</xdr:row>
          <xdr:rowOff>9525</xdr:rowOff>
        </xdr:from>
        <xdr:to>
          <xdr:col>14</xdr:col>
          <xdr:colOff>600075</xdr:colOff>
          <xdr:row>433</xdr:row>
          <xdr:rowOff>257175</xdr:rowOff>
        </xdr:to>
        <xdr:sp macro="" textlink="">
          <xdr:nvSpPr>
            <xdr:cNvPr id="129516" name="Group Box 5612" hidden="1">
              <a:extLst>
                <a:ext uri="{63B3BB69-23CF-44E3-9099-C40C66FF867C}">
                  <a14:compatExt spid="_x0000_s129516"/>
                </a:ext>
                <a:ext uri="{FF2B5EF4-FFF2-40B4-BE49-F238E27FC236}">
                  <a16:creationId xmlns:a16="http://schemas.microsoft.com/office/drawing/2014/main" id="{00000000-0008-0000-0400-0000EC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433</xdr:row>
          <xdr:rowOff>38100</xdr:rowOff>
        </xdr:from>
        <xdr:to>
          <xdr:col>9</xdr:col>
          <xdr:colOff>247650</xdr:colOff>
          <xdr:row>433</xdr:row>
          <xdr:rowOff>257175</xdr:rowOff>
        </xdr:to>
        <xdr:sp macro="" textlink="">
          <xdr:nvSpPr>
            <xdr:cNvPr id="129517" name="Option Button 5613" hidden="1">
              <a:extLst>
                <a:ext uri="{63B3BB69-23CF-44E3-9099-C40C66FF867C}">
                  <a14:compatExt spid="_x0000_s129517"/>
                </a:ext>
                <a:ext uri="{FF2B5EF4-FFF2-40B4-BE49-F238E27FC236}">
                  <a16:creationId xmlns:a16="http://schemas.microsoft.com/office/drawing/2014/main" id="{00000000-0008-0000-0400-0000ED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433</xdr:row>
          <xdr:rowOff>38100</xdr:rowOff>
        </xdr:from>
        <xdr:to>
          <xdr:col>12</xdr:col>
          <xdr:colOff>200025</xdr:colOff>
          <xdr:row>433</xdr:row>
          <xdr:rowOff>257175</xdr:rowOff>
        </xdr:to>
        <xdr:sp macro="" textlink="">
          <xdr:nvSpPr>
            <xdr:cNvPr id="129518" name="Option Button 5614" hidden="1">
              <a:extLst>
                <a:ext uri="{63B3BB69-23CF-44E3-9099-C40C66FF867C}">
                  <a14:compatExt spid="_x0000_s129518"/>
                </a:ext>
                <a:ext uri="{FF2B5EF4-FFF2-40B4-BE49-F238E27FC236}">
                  <a16:creationId xmlns:a16="http://schemas.microsoft.com/office/drawing/2014/main" id="{00000000-0008-0000-0400-0000EE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433</xdr:row>
          <xdr:rowOff>38100</xdr:rowOff>
        </xdr:from>
        <xdr:to>
          <xdr:col>14</xdr:col>
          <xdr:colOff>247650</xdr:colOff>
          <xdr:row>433</xdr:row>
          <xdr:rowOff>257175</xdr:rowOff>
        </xdr:to>
        <xdr:sp macro="" textlink="">
          <xdr:nvSpPr>
            <xdr:cNvPr id="129519" name="Option Button 5615" hidden="1">
              <a:extLst>
                <a:ext uri="{63B3BB69-23CF-44E3-9099-C40C66FF867C}">
                  <a14:compatExt spid="_x0000_s129519"/>
                </a:ext>
                <a:ext uri="{FF2B5EF4-FFF2-40B4-BE49-F238E27FC236}">
                  <a16:creationId xmlns:a16="http://schemas.microsoft.com/office/drawing/2014/main" id="{00000000-0008-0000-0400-0000EF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238125</xdr:colOff>
          <xdr:row>52</xdr:row>
          <xdr:rowOff>123825</xdr:rowOff>
        </xdr:from>
        <xdr:to>
          <xdr:col>5</xdr:col>
          <xdr:colOff>66675</xdr:colOff>
          <xdr:row>54</xdr:row>
          <xdr:rowOff>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0500-00000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53</xdr:row>
          <xdr:rowOff>161925</xdr:rowOff>
        </xdr:from>
        <xdr:to>
          <xdr:col>5</xdr:col>
          <xdr:colOff>66675</xdr:colOff>
          <xdr:row>55</xdr:row>
          <xdr:rowOff>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0500-00000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128</xdr:row>
          <xdr:rowOff>133350</xdr:rowOff>
        </xdr:from>
        <xdr:to>
          <xdr:col>4</xdr:col>
          <xdr:colOff>57150</xdr:colOff>
          <xdr:row>130</xdr:row>
          <xdr:rowOff>9525</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0500-00000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129</xdr:row>
          <xdr:rowOff>161925</xdr:rowOff>
        </xdr:from>
        <xdr:to>
          <xdr:col>4</xdr:col>
          <xdr:colOff>57150</xdr:colOff>
          <xdr:row>131</xdr:row>
          <xdr:rowOff>0</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0500-00000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130</xdr:row>
          <xdr:rowOff>171450</xdr:rowOff>
        </xdr:from>
        <xdr:to>
          <xdr:col>4</xdr:col>
          <xdr:colOff>57150</xdr:colOff>
          <xdr:row>132</xdr:row>
          <xdr:rowOff>9525</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0500-00000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204</xdr:row>
          <xdr:rowOff>142875</xdr:rowOff>
        </xdr:from>
        <xdr:to>
          <xdr:col>4</xdr:col>
          <xdr:colOff>57150</xdr:colOff>
          <xdr:row>206</xdr:row>
          <xdr:rowOff>19050</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0500-00001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205</xdr:row>
          <xdr:rowOff>171450</xdr:rowOff>
        </xdr:from>
        <xdr:to>
          <xdr:col>4</xdr:col>
          <xdr:colOff>57150</xdr:colOff>
          <xdr:row>207</xdr:row>
          <xdr:rowOff>9525</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0500-00001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206</xdr:row>
          <xdr:rowOff>180975</xdr:rowOff>
        </xdr:from>
        <xdr:to>
          <xdr:col>4</xdr:col>
          <xdr:colOff>57150</xdr:colOff>
          <xdr:row>208</xdr:row>
          <xdr:rowOff>19050</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0500-00001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280</xdr:row>
          <xdr:rowOff>133350</xdr:rowOff>
        </xdr:from>
        <xdr:to>
          <xdr:col>4</xdr:col>
          <xdr:colOff>66675</xdr:colOff>
          <xdr:row>282</xdr:row>
          <xdr:rowOff>9525</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0500-00001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281</xdr:row>
          <xdr:rowOff>161925</xdr:rowOff>
        </xdr:from>
        <xdr:to>
          <xdr:col>4</xdr:col>
          <xdr:colOff>66675</xdr:colOff>
          <xdr:row>283</xdr:row>
          <xdr:rowOff>0</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0500-00001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282</xdr:row>
          <xdr:rowOff>171450</xdr:rowOff>
        </xdr:from>
        <xdr:to>
          <xdr:col>4</xdr:col>
          <xdr:colOff>66675</xdr:colOff>
          <xdr:row>284</xdr:row>
          <xdr:rowOff>9525</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0500-00001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355</xdr:row>
          <xdr:rowOff>133350</xdr:rowOff>
        </xdr:from>
        <xdr:to>
          <xdr:col>4</xdr:col>
          <xdr:colOff>76200</xdr:colOff>
          <xdr:row>357</xdr:row>
          <xdr:rowOff>9525</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0500-00002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356</xdr:row>
          <xdr:rowOff>161925</xdr:rowOff>
        </xdr:from>
        <xdr:to>
          <xdr:col>4</xdr:col>
          <xdr:colOff>76200</xdr:colOff>
          <xdr:row>358</xdr:row>
          <xdr:rowOff>0</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0500-00002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357</xdr:row>
          <xdr:rowOff>171450</xdr:rowOff>
        </xdr:from>
        <xdr:to>
          <xdr:col>4</xdr:col>
          <xdr:colOff>76200</xdr:colOff>
          <xdr:row>359</xdr:row>
          <xdr:rowOff>9525</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0500-00002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384</xdr:row>
          <xdr:rowOff>266700</xdr:rowOff>
        </xdr:from>
        <xdr:to>
          <xdr:col>7</xdr:col>
          <xdr:colOff>238125</xdr:colOff>
          <xdr:row>385</xdr:row>
          <xdr:rowOff>219075</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0500-00002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385</xdr:row>
          <xdr:rowOff>228600</xdr:rowOff>
        </xdr:from>
        <xdr:to>
          <xdr:col>7</xdr:col>
          <xdr:colOff>238125</xdr:colOff>
          <xdr:row>387</xdr:row>
          <xdr:rowOff>0</xdr:rowOff>
        </xdr:to>
        <xdr:sp macro="" textlink="">
          <xdr:nvSpPr>
            <xdr:cNvPr id="47140" name="Check Box 36" hidden="1">
              <a:extLst>
                <a:ext uri="{63B3BB69-23CF-44E3-9099-C40C66FF867C}">
                  <a14:compatExt spid="_x0000_s47140"/>
                </a:ext>
                <a:ext uri="{FF2B5EF4-FFF2-40B4-BE49-F238E27FC236}">
                  <a16:creationId xmlns:a16="http://schemas.microsoft.com/office/drawing/2014/main" id="{00000000-0008-0000-0500-00002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387</xdr:row>
          <xdr:rowOff>9525</xdr:rowOff>
        </xdr:from>
        <xdr:to>
          <xdr:col>7</xdr:col>
          <xdr:colOff>238125</xdr:colOff>
          <xdr:row>388</xdr:row>
          <xdr:rowOff>0</xdr:rowOff>
        </xdr:to>
        <xdr:sp macro="" textlink="">
          <xdr:nvSpPr>
            <xdr:cNvPr id="47141" name="Check Box 37" hidden="1">
              <a:extLst>
                <a:ext uri="{63B3BB69-23CF-44E3-9099-C40C66FF867C}">
                  <a14:compatExt spid="_x0000_s47141"/>
                </a:ext>
                <a:ext uri="{FF2B5EF4-FFF2-40B4-BE49-F238E27FC236}">
                  <a16:creationId xmlns:a16="http://schemas.microsoft.com/office/drawing/2014/main" id="{00000000-0008-0000-0500-00002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388</xdr:row>
          <xdr:rowOff>9525</xdr:rowOff>
        </xdr:from>
        <xdr:to>
          <xdr:col>7</xdr:col>
          <xdr:colOff>238125</xdr:colOff>
          <xdr:row>389</xdr:row>
          <xdr:rowOff>0</xdr:rowOff>
        </xdr:to>
        <xdr:sp macro="" textlink="">
          <xdr:nvSpPr>
            <xdr:cNvPr id="47142" name="Check Box 38" hidden="1">
              <a:extLst>
                <a:ext uri="{63B3BB69-23CF-44E3-9099-C40C66FF867C}">
                  <a14:compatExt spid="_x0000_s47142"/>
                </a:ext>
                <a:ext uri="{FF2B5EF4-FFF2-40B4-BE49-F238E27FC236}">
                  <a16:creationId xmlns:a16="http://schemas.microsoft.com/office/drawing/2014/main" id="{00000000-0008-0000-0500-00002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389</xdr:row>
          <xdr:rowOff>9525</xdr:rowOff>
        </xdr:from>
        <xdr:to>
          <xdr:col>7</xdr:col>
          <xdr:colOff>238125</xdr:colOff>
          <xdr:row>390</xdr:row>
          <xdr:rowOff>0</xdr:rowOff>
        </xdr:to>
        <xdr:sp macro="" textlink="">
          <xdr:nvSpPr>
            <xdr:cNvPr id="47143" name="Check Box 39" hidden="1">
              <a:extLst>
                <a:ext uri="{63B3BB69-23CF-44E3-9099-C40C66FF867C}">
                  <a14:compatExt spid="_x0000_s47143"/>
                </a:ext>
                <a:ext uri="{FF2B5EF4-FFF2-40B4-BE49-F238E27FC236}">
                  <a16:creationId xmlns:a16="http://schemas.microsoft.com/office/drawing/2014/main" id="{00000000-0008-0000-0500-00002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384</xdr:row>
          <xdr:rowOff>0</xdr:rowOff>
        </xdr:from>
        <xdr:to>
          <xdr:col>15</xdr:col>
          <xdr:colOff>0</xdr:colOff>
          <xdr:row>385</xdr:row>
          <xdr:rowOff>0</xdr:rowOff>
        </xdr:to>
        <xdr:grpSp>
          <xdr:nvGrpSpPr>
            <xdr:cNvPr id="91386" name="Group 40">
              <a:extLst>
                <a:ext uri="{FF2B5EF4-FFF2-40B4-BE49-F238E27FC236}">
                  <a16:creationId xmlns:a16="http://schemas.microsoft.com/office/drawing/2014/main" id="{00000000-0008-0000-0500-0000FA640100}"/>
                </a:ext>
              </a:extLst>
            </xdr:cNvPr>
            <xdr:cNvGrpSpPr>
              <a:grpSpLocks/>
            </xdr:cNvGrpSpPr>
          </xdr:nvGrpSpPr>
          <xdr:grpSpPr bwMode="auto">
            <a:xfrm>
              <a:off x="103188" y="72286813"/>
              <a:ext cx="5302250" cy="269875"/>
              <a:chOff x="11" y="6774"/>
              <a:chExt cx="554" cy="26"/>
            </a:xfrm>
          </xdr:grpSpPr>
          <xdr:sp macro="" textlink="">
            <xdr:nvSpPr>
              <xdr:cNvPr id="47145" name="Group Box 41" hidden="1">
                <a:extLst>
                  <a:ext uri="{63B3BB69-23CF-44E3-9099-C40C66FF867C}">
                    <a14:compatExt spid="_x0000_s47145"/>
                  </a:ext>
                  <a:ext uri="{FF2B5EF4-FFF2-40B4-BE49-F238E27FC236}">
                    <a16:creationId xmlns:a16="http://schemas.microsoft.com/office/drawing/2014/main" id="{00000000-0008-0000-0500-000029B80000}"/>
                  </a:ext>
                </a:extLst>
              </xdr:cNvPr>
              <xdr:cNvSpPr/>
            </xdr:nvSpPr>
            <xdr:spPr bwMode="auto">
              <a:xfrm>
                <a:off x="11" y="6774"/>
                <a:ext cx="554" cy="26"/>
              </a:xfrm>
              <a:prstGeom prst="rect">
                <a:avLst/>
              </a:prstGeom>
              <a:noFill/>
              <a:ln w="9525">
                <a:miter lim="800000"/>
                <a:headEnd/>
                <a:tailEnd/>
              </a:ln>
              <a:extLst>
                <a:ext uri="{909E8E84-426E-40DD-AFC4-6F175D3DCCD1}">
                  <a14:hiddenFill>
                    <a:noFill/>
                  </a14:hiddenFill>
                </a:ext>
              </a:extLst>
            </xdr:spPr>
          </xdr:sp>
          <xdr:sp macro="" textlink="">
            <xdr:nvSpPr>
              <xdr:cNvPr id="47146" name="Option Button 42" hidden="1">
                <a:extLst>
                  <a:ext uri="{63B3BB69-23CF-44E3-9099-C40C66FF867C}">
                    <a14:compatExt spid="_x0000_s47146"/>
                  </a:ext>
                  <a:ext uri="{FF2B5EF4-FFF2-40B4-BE49-F238E27FC236}">
                    <a16:creationId xmlns:a16="http://schemas.microsoft.com/office/drawing/2014/main" id="{00000000-0008-0000-0500-00002AB80000}"/>
                  </a:ext>
                </a:extLst>
              </xdr:cNvPr>
              <xdr:cNvSpPr/>
            </xdr:nvSpPr>
            <xdr:spPr bwMode="auto">
              <a:xfrm>
                <a:off x="12" y="6775"/>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47" name="Option Button 43" hidden="1">
                <a:extLst>
                  <a:ext uri="{63B3BB69-23CF-44E3-9099-C40C66FF867C}">
                    <a14:compatExt spid="_x0000_s47147"/>
                  </a:ext>
                  <a:ext uri="{FF2B5EF4-FFF2-40B4-BE49-F238E27FC236}">
                    <a16:creationId xmlns:a16="http://schemas.microsoft.com/office/drawing/2014/main" id="{00000000-0008-0000-0500-00002BB80000}"/>
                  </a:ext>
                </a:extLst>
              </xdr:cNvPr>
              <xdr:cNvSpPr/>
            </xdr:nvSpPr>
            <xdr:spPr bwMode="auto">
              <a:xfrm>
                <a:off x="72" y="6775"/>
                <a:ext cx="19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Loss of the hand at the carpal bones</a:t>
                </a:r>
              </a:p>
            </xdr:txBody>
          </xdr:sp>
          <xdr:sp macro="" textlink="">
            <xdr:nvSpPr>
              <xdr:cNvPr id="47148" name="Option Button 44" hidden="1">
                <a:extLst>
                  <a:ext uri="{63B3BB69-23CF-44E3-9099-C40C66FF867C}">
                    <a14:compatExt spid="_x0000_s47148"/>
                  </a:ext>
                  <a:ext uri="{FF2B5EF4-FFF2-40B4-BE49-F238E27FC236}">
                    <a16:creationId xmlns:a16="http://schemas.microsoft.com/office/drawing/2014/main" id="{00000000-0008-0000-0500-00002CB80000}"/>
                  </a:ext>
                </a:extLst>
              </xdr:cNvPr>
              <xdr:cNvSpPr/>
            </xdr:nvSpPr>
            <xdr:spPr bwMode="auto">
              <a:xfrm>
                <a:off x="280" y="6774"/>
                <a:ext cx="2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Loss of the forearm at or proximal to the wrist joint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15</xdr:col>
          <xdr:colOff>0</xdr:colOff>
          <xdr:row>412</xdr:row>
          <xdr:rowOff>0</xdr:rowOff>
        </xdr:to>
        <xdr:grpSp>
          <xdr:nvGrpSpPr>
            <xdr:cNvPr id="91387" name="Group 45">
              <a:extLst>
                <a:ext uri="{FF2B5EF4-FFF2-40B4-BE49-F238E27FC236}">
                  <a16:creationId xmlns:a16="http://schemas.microsoft.com/office/drawing/2014/main" id="{00000000-0008-0000-0500-0000FB640100}"/>
                </a:ext>
              </a:extLst>
            </xdr:cNvPr>
            <xdr:cNvGrpSpPr>
              <a:grpSpLocks/>
            </xdr:cNvGrpSpPr>
          </xdr:nvGrpSpPr>
          <xdr:grpSpPr bwMode="auto">
            <a:xfrm>
              <a:off x="1595438" y="77747813"/>
              <a:ext cx="3810000" cy="246062"/>
              <a:chOff x="168" y="7315"/>
              <a:chExt cx="398" cy="26"/>
            </a:xfrm>
          </xdr:grpSpPr>
          <xdr:sp macro="" textlink="">
            <xdr:nvSpPr>
              <xdr:cNvPr id="47150" name="Group Box 46" hidden="1">
                <a:extLst>
                  <a:ext uri="{63B3BB69-23CF-44E3-9099-C40C66FF867C}">
                    <a14:compatExt spid="_x0000_s47150"/>
                  </a:ext>
                  <a:ext uri="{FF2B5EF4-FFF2-40B4-BE49-F238E27FC236}">
                    <a16:creationId xmlns:a16="http://schemas.microsoft.com/office/drawing/2014/main" id="{00000000-0008-0000-0500-00002EB80000}"/>
                  </a:ext>
                </a:extLst>
              </xdr:cNvPr>
              <xdr:cNvSpPr/>
            </xdr:nvSpPr>
            <xdr:spPr bwMode="auto">
              <a:xfrm>
                <a:off x="168" y="7315"/>
                <a:ext cx="398" cy="26"/>
              </a:xfrm>
              <a:prstGeom prst="rect">
                <a:avLst/>
              </a:prstGeom>
              <a:noFill/>
              <a:ln w="9525">
                <a:miter lim="800000"/>
                <a:headEnd/>
                <a:tailEnd/>
              </a:ln>
              <a:extLst>
                <a:ext uri="{909E8E84-426E-40DD-AFC4-6F175D3DCCD1}">
                  <a14:hiddenFill>
                    <a:noFill/>
                  </a14:hiddenFill>
                </a:ext>
              </a:extLst>
            </xdr:spPr>
          </xdr:sp>
          <xdr:sp macro="" textlink="">
            <xdr:nvSpPr>
              <xdr:cNvPr id="47151" name="Option Button 47" hidden="1">
                <a:extLst>
                  <a:ext uri="{63B3BB69-23CF-44E3-9099-C40C66FF867C}">
                    <a14:compatExt spid="_x0000_s47151"/>
                  </a:ext>
                  <a:ext uri="{FF2B5EF4-FFF2-40B4-BE49-F238E27FC236}">
                    <a16:creationId xmlns:a16="http://schemas.microsoft.com/office/drawing/2014/main" id="{00000000-0008-0000-0500-00002FB80000}"/>
                  </a:ext>
                </a:extLst>
              </xdr:cNvPr>
              <xdr:cNvSpPr/>
            </xdr:nvSpPr>
            <xdr:spPr bwMode="auto">
              <a:xfrm>
                <a:off x="168" y="7317"/>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52" name="Option Button 48" hidden="1">
                <a:extLst>
                  <a:ext uri="{63B3BB69-23CF-44E3-9099-C40C66FF867C}">
                    <a14:compatExt spid="_x0000_s47152"/>
                  </a:ext>
                  <a:ext uri="{FF2B5EF4-FFF2-40B4-BE49-F238E27FC236}">
                    <a16:creationId xmlns:a16="http://schemas.microsoft.com/office/drawing/2014/main" id="{00000000-0008-0000-0500-000030B80000}"/>
                  </a:ext>
                </a:extLst>
              </xdr:cNvPr>
              <xdr:cNvSpPr/>
            </xdr:nvSpPr>
            <xdr:spPr bwMode="auto">
              <a:xfrm>
                <a:off x="251" y="7317"/>
                <a:ext cx="13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7153" name="Option Button 49" hidden="1">
                <a:extLst>
                  <a:ext uri="{63B3BB69-23CF-44E3-9099-C40C66FF867C}">
                    <a14:compatExt spid="_x0000_s47153"/>
                  </a:ext>
                  <a:ext uri="{FF2B5EF4-FFF2-40B4-BE49-F238E27FC236}">
                    <a16:creationId xmlns:a16="http://schemas.microsoft.com/office/drawing/2014/main" id="{00000000-0008-0000-0500-000031B80000}"/>
                  </a:ext>
                </a:extLst>
              </xdr:cNvPr>
              <xdr:cNvSpPr/>
            </xdr:nvSpPr>
            <xdr:spPr bwMode="auto">
              <a:xfrm>
                <a:off x="414" y="7317"/>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15</xdr:col>
          <xdr:colOff>0</xdr:colOff>
          <xdr:row>413</xdr:row>
          <xdr:rowOff>0</xdr:rowOff>
        </xdr:to>
        <xdr:grpSp>
          <xdr:nvGrpSpPr>
            <xdr:cNvPr id="91388" name="Group 50">
              <a:extLst>
                <a:ext uri="{FF2B5EF4-FFF2-40B4-BE49-F238E27FC236}">
                  <a16:creationId xmlns:a16="http://schemas.microsoft.com/office/drawing/2014/main" id="{00000000-0008-0000-0500-0000FC640100}"/>
                </a:ext>
              </a:extLst>
            </xdr:cNvPr>
            <xdr:cNvGrpSpPr>
              <a:grpSpLocks/>
            </xdr:cNvGrpSpPr>
          </xdr:nvGrpSpPr>
          <xdr:grpSpPr bwMode="auto">
            <a:xfrm>
              <a:off x="1595438" y="77993875"/>
              <a:ext cx="3810000" cy="246063"/>
              <a:chOff x="168" y="7341"/>
              <a:chExt cx="398" cy="26"/>
            </a:xfrm>
          </xdr:grpSpPr>
          <xdr:sp macro="" textlink="">
            <xdr:nvSpPr>
              <xdr:cNvPr id="47155" name="Group Box 51" hidden="1">
                <a:extLst>
                  <a:ext uri="{63B3BB69-23CF-44E3-9099-C40C66FF867C}">
                    <a14:compatExt spid="_x0000_s47155"/>
                  </a:ext>
                  <a:ext uri="{FF2B5EF4-FFF2-40B4-BE49-F238E27FC236}">
                    <a16:creationId xmlns:a16="http://schemas.microsoft.com/office/drawing/2014/main" id="{00000000-0008-0000-0500-000033B80000}"/>
                  </a:ext>
                </a:extLst>
              </xdr:cNvPr>
              <xdr:cNvSpPr/>
            </xdr:nvSpPr>
            <xdr:spPr bwMode="auto">
              <a:xfrm>
                <a:off x="168" y="7341"/>
                <a:ext cx="398" cy="26"/>
              </a:xfrm>
              <a:prstGeom prst="rect">
                <a:avLst/>
              </a:prstGeom>
              <a:noFill/>
              <a:ln w="9525">
                <a:miter lim="800000"/>
                <a:headEnd/>
                <a:tailEnd/>
              </a:ln>
              <a:extLst>
                <a:ext uri="{909E8E84-426E-40DD-AFC4-6F175D3DCCD1}">
                  <a14:hiddenFill>
                    <a:noFill/>
                  </a14:hiddenFill>
                </a:ext>
              </a:extLst>
            </xdr:spPr>
          </xdr:sp>
          <xdr:sp macro="" textlink="">
            <xdr:nvSpPr>
              <xdr:cNvPr id="47156" name="Option Button 52" hidden="1">
                <a:extLst>
                  <a:ext uri="{63B3BB69-23CF-44E3-9099-C40C66FF867C}">
                    <a14:compatExt spid="_x0000_s47156"/>
                  </a:ext>
                  <a:ext uri="{FF2B5EF4-FFF2-40B4-BE49-F238E27FC236}">
                    <a16:creationId xmlns:a16="http://schemas.microsoft.com/office/drawing/2014/main" id="{00000000-0008-0000-0500-000034B80000}"/>
                  </a:ext>
                </a:extLst>
              </xdr:cNvPr>
              <xdr:cNvSpPr/>
            </xdr:nvSpPr>
            <xdr:spPr bwMode="auto">
              <a:xfrm>
                <a:off x="168" y="7343"/>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57" name="Option Button 53" hidden="1">
                <a:extLst>
                  <a:ext uri="{63B3BB69-23CF-44E3-9099-C40C66FF867C}">
                    <a14:compatExt spid="_x0000_s47157"/>
                  </a:ext>
                  <a:ext uri="{FF2B5EF4-FFF2-40B4-BE49-F238E27FC236}">
                    <a16:creationId xmlns:a16="http://schemas.microsoft.com/office/drawing/2014/main" id="{00000000-0008-0000-0500-000035B80000}"/>
                  </a:ext>
                </a:extLst>
              </xdr:cNvPr>
              <xdr:cNvSpPr/>
            </xdr:nvSpPr>
            <xdr:spPr bwMode="auto">
              <a:xfrm>
                <a:off x="251" y="7343"/>
                <a:ext cx="13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7158" name="Option Button 54" hidden="1">
                <a:extLst>
                  <a:ext uri="{63B3BB69-23CF-44E3-9099-C40C66FF867C}">
                    <a14:compatExt spid="_x0000_s47158"/>
                  </a:ext>
                  <a:ext uri="{FF2B5EF4-FFF2-40B4-BE49-F238E27FC236}">
                    <a16:creationId xmlns:a16="http://schemas.microsoft.com/office/drawing/2014/main" id="{00000000-0008-0000-0500-000036B80000}"/>
                  </a:ext>
                </a:extLst>
              </xdr:cNvPr>
              <xdr:cNvSpPr/>
            </xdr:nvSpPr>
            <xdr:spPr bwMode="auto">
              <a:xfrm>
                <a:off x="414" y="7343"/>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414</xdr:row>
          <xdr:rowOff>0</xdr:rowOff>
        </xdr:from>
        <xdr:to>
          <xdr:col>15</xdr:col>
          <xdr:colOff>0</xdr:colOff>
          <xdr:row>415</xdr:row>
          <xdr:rowOff>0</xdr:rowOff>
        </xdr:to>
        <xdr:grpSp>
          <xdr:nvGrpSpPr>
            <xdr:cNvPr id="91389" name="Group 55">
              <a:extLst>
                <a:ext uri="{FF2B5EF4-FFF2-40B4-BE49-F238E27FC236}">
                  <a16:creationId xmlns:a16="http://schemas.microsoft.com/office/drawing/2014/main" id="{00000000-0008-0000-0500-0000FD640100}"/>
                </a:ext>
              </a:extLst>
            </xdr:cNvPr>
            <xdr:cNvGrpSpPr>
              <a:grpSpLocks/>
            </xdr:cNvGrpSpPr>
          </xdr:nvGrpSpPr>
          <xdr:grpSpPr bwMode="auto">
            <a:xfrm>
              <a:off x="1595438" y="78470125"/>
              <a:ext cx="3810000" cy="246063"/>
              <a:chOff x="169" y="7437"/>
              <a:chExt cx="397" cy="26"/>
            </a:xfrm>
          </xdr:grpSpPr>
          <xdr:sp macro="" textlink="">
            <xdr:nvSpPr>
              <xdr:cNvPr id="47160" name="Group Box 56" hidden="1">
                <a:extLst>
                  <a:ext uri="{63B3BB69-23CF-44E3-9099-C40C66FF867C}">
                    <a14:compatExt spid="_x0000_s47160"/>
                  </a:ext>
                  <a:ext uri="{FF2B5EF4-FFF2-40B4-BE49-F238E27FC236}">
                    <a16:creationId xmlns:a16="http://schemas.microsoft.com/office/drawing/2014/main" id="{00000000-0008-0000-0500-000038B80000}"/>
                  </a:ext>
                </a:extLst>
              </xdr:cNvPr>
              <xdr:cNvSpPr/>
            </xdr:nvSpPr>
            <xdr:spPr bwMode="auto">
              <a:xfrm>
                <a:off x="169" y="7437"/>
                <a:ext cx="397" cy="26"/>
              </a:xfrm>
              <a:prstGeom prst="rect">
                <a:avLst/>
              </a:prstGeom>
              <a:noFill/>
              <a:ln w="9525">
                <a:miter lim="800000"/>
                <a:headEnd/>
                <a:tailEnd/>
              </a:ln>
              <a:extLst>
                <a:ext uri="{909E8E84-426E-40DD-AFC4-6F175D3DCCD1}">
                  <a14:hiddenFill>
                    <a:noFill/>
                  </a14:hiddenFill>
                </a:ext>
              </a:extLst>
            </xdr:spPr>
          </xdr:sp>
          <xdr:sp macro="" textlink="">
            <xdr:nvSpPr>
              <xdr:cNvPr id="47161" name="Option Button 57" hidden="1">
                <a:extLst>
                  <a:ext uri="{63B3BB69-23CF-44E3-9099-C40C66FF867C}">
                    <a14:compatExt spid="_x0000_s47161"/>
                  </a:ext>
                  <a:ext uri="{FF2B5EF4-FFF2-40B4-BE49-F238E27FC236}">
                    <a16:creationId xmlns:a16="http://schemas.microsoft.com/office/drawing/2014/main" id="{00000000-0008-0000-0500-000039B80000}"/>
                  </a:ext>
                </a:extLst>
              </xdr:cNvPr>
              <xdr:cNvSpPr/>
            </xdr:nvSpPr>
            <xdr:spPr bwMode="auto">
              <a:xfrm>
                <a:off x="169" y="7439"/>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62" name="Option Button 58" hidden="1">
                <a:extLst>
                  <a:ext uri="{63B3BB69-23CF-44E3-9099-C40C66FF867C}">
                    <a14:compatExt spid="_x0000_s47162"/>
                  </a:ext>
                  <a:ext uri="{FF2B5EF4-FFF2-40B4-BE49-F238E27FC236}">
                    <a16:creationId xmlns:a16="http://schemas.microsoft.com/office/drawing/2014/main" id="{00000000-0008-0000-0500-00003AB80000}"/>
                  </a:ext>
                </a:extLst>
              </xdr:cNvPr>
              <xdr:cNvSpPr/>
            </xdr:nvSpPr>
            <xdr:spPr bwMode="auto">
              <a:xfrm>
                <a:off x="251"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7163" name="Option Button 59" hidden="1">
                <a:extLst>
                  <a:ext uri="{63B3BB69-23CF-44E3-9099-C40C66FF867C}">
                    <a14:compatExt spid="_x0000_s47163"/>
                  </a:ext>
                  <a:ext uri="{FF2B5EF4-FFF2-40B4-BE49-F238E27FC236}">
                    <a16:creationId xmlns:a16="http://schemas.microsoft.com/office/drawing/2014/main" id="{00000000-0008-0000-0500-00003BB80000}"/>
                  </a:ext>
                </a:extLst>
              </xdr:cNvPr>
              <xdr:cNvSpPr/>
            </xdr:nvSpPr>
            <xdr:spPr bwMode="auto">
              <a:xfrm>
                <a:off x="413"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415</xdr:row>
          <xdr:rowOff>0</xdr:rowOff>
        </xdr:from>
        <xdr:to>
          <xdr:col>15</xdr:col>
          <xdr:colOff>0</xdr:colOff>
          <xdr:row>416</xdr:row>
          <xdr:rowOff>0</xdr:rowOff>
        </xdr:to>
        <xdr:grpSp>
          <xdr:nvGrpSpPr>
            <xdr:cNvPr id="91390" name="Group 60">
              <a:extLst>
                <a:ext uri="{FF2B5EF4-FFF2-40B4-BE49-F238E27FC236}">
                  <a16:creationId xmlns:a16="http://schemas.microsoft.com/office/drawing/2014/main" id="{00000000-0008-0000-0500-0000FE640100}"/>
                </a:ext>
              </a:extLst>
            </xdr:cNvPr>
            <xdr:cNvGrpSpPr>
              <a:grpSpLocks/>
            </xdr:cNvGrpSpPr>
          </xdr:nvGrpSpPr>
          <xdr:grpSpPr bwMode="auto">
            <a:xfrm>
              <a:off x="1595438" y="78716188"/>
              <a:ext cx="3810000" cy="246062"/>
              <a:chOff x="169" y="7463"/>
              <a:chExt cx="397" cy="26"/>
            </a:xfrm>
          </xdr:grpSpPr>
          <xdr:sp macro="" textlink="">
            <xdr:nvSpPr>
              <xdr:cNvPr id="47165" name="Group Box 61" hidden="1">
                <a:extLst>
                  <a:ext uri="{63B3BB69-23CF-44E3-9099-C40C66FF867C}">
                    <a14:compatExt spid="_x0000_s47165"/>
                  </a:ext>
                  <a:ext uri="{FF2B5EF4-FFF2-40B4-BE49-F238E27FC236}">
                    <a16:creationId xmlns:a16="http://schemas.microsoft.com/office/drawing/2014/main" id="{00000000-0008-0000-0500-00003DB80000}"/>
                  </a:ext>
                </a:extLst>
              </xdr:cNvPr>
              <xdr:cNvSpPr/>
            </xdr:nvSpPr>
            <xdr:spPr bwMode="auto">
              <a:xfrm>
                <a:off x="169" y="7463"/>
                <a:ext cx="397" cy="26"/>
              </a:xfrm>
              <a:prstGeom prst="rect">
                <a:avLst/>
              </a:prstGeom>
              <a:noFill/>
              <a:ln w="9525">
                <a:miter lim="800000"/>
                <a:headEnd/>
                <a:tailEnd/>
              </a:ln>
              <a:extLst>
                <a:ext uri="{909E8E84-426E-40DD-AFC4-6F175D3DCCD1}">
                  <a14:hiddenFill>
                    <a:noFill/>
                  </a14:hiddenFill>
                </a:ext>
              </a:extLst>
            </xdr:spPr>
          </xdr:sp>
          <xdr:sp macro="" textlink="">
            <xdr:nvSpPr>
              <xdr:cNvPr id="47166" name="Option Button 62" hidden="1">
                <a:extLst>
                  <a:ext uri="{63B3BB69-23CF-44E3-9099-C40C66FF867C}">
                    <a14:compatExt spid="_x0000_s47166"/>
                  </a:ext>
                  <a:ext uri="{FF2B5EF4-FFF2-40B4-BE49-F238E27FC236}">
                    <a16:creationId xmlns:a16="http://schemas.microsoft.com/office/drawing/2014/main" id="{00000000-0008-0000-0500-00003EB80000}"/>
                  </a:ext>
                </a:extLst>
              </xdr:cNvPr>
              <xdr:cNvSpPr/>
            </xdr:nvSpPr>
            <xdr:spPr bwMode="auto">
              <a:xfrm>
                <a:off x="169" y="746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67" name="Option Button 63" hidden="1">
                <a:extLst>
                  <a:ext uri="{63B3BB69-23CF-44E3-9099-C40C66FF867C}">
                    <a14:compatExt spid="_x0000_s47167"/>
                  </a:ext>
                  <a:ext uri="{FF2B5EF4-FFF2-40B4-BE49-F238E27FC236}">
                    <a16:creationId xmlns:a16="http://schemas.microsoft.com/office/drawing/2014/main" id="{00000000-0008-0000-0500-00003FB80000}"/>
                  </a:ext>
                </a:extLst>
              </xdr:cNvPr>
              <xdr:cNvSpPr/>
            </xdr:nvSpPr>
            <xdr:spPr bwMode="auto">
              <a:xfrm>
                <a:off x="251" y="7465"/>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7168" name="Option Button 64" hidden="1">
                <a:extLst>
                  <a:ext uri="{63B3BB69-23CF-44E3-9099-C40C66FF867C}">
                    <a14:compatExt spid="_x0000_s47168"/>
                  </a:ext>
                  <a:ext uri="{FF2B5EF4-FFF2-40B4-BE49-F238E27FC236}">
                    <a16:creationId xmlns:a16="http://schemas.microsoft.com/office/drawing/2014/main" id="{00000000-0008-0000-0500-000040B80000}"/>
                  </a:ext>
                </a:extLst>
              </xdr:cNvPr>
              <xdr:cNvSpPr/>
            </xdr:nvSpPr>
            <xdr:spPr bwMode="auto">
              <a:xfrm>
                <a:off x="413" y="7465"/>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420</xdr:row>
          <xdr:rowOff>123825</xdr:rowOff>
        </xdr:from>
        <xdr:to>
          <xdr:col>8</xdr:col>
          <xdr:colOff>66675</xdr:colOff>
          <xdr:row>421</xdr:row>
          <xdr:rowOff>200025</xdr:rowOff>
        </xdr:to>
        <xdr:sp macro="" textlink="">
          <xdr:nvSpPr>
            <xdr:cNvPr id="47169" name="Check Box 65" hidden="1">
              <a:extLst>
                <a:ext uri="{63B3BB69-23CF-44E3-9099-C40C66FF867C}">
                  <a14:compatExt spid="_x0000_s47169"/>
                </a:ext>
                <a:ext uri="{FF2B5EF4-FFF2-40B4-BE49-F238E27FC236}">
                  <a16:creationId xmlns:a16="http://schemas.microsoft.com/office/drawing/2014/main" id="{00000000-0008-0000-0500-00004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421</xdr:row>
          <xdr:rowOff>209550</xdr:rowOff>
        </xdr:from>
        <xdr:to>
          <xdr:col>8</xdr:col>
          <xdr:colOff>66675</xdr:colOff>
          <xdr:row>422</xdr:row>
          <xdr:rowOff>200025</xdr:rowOff>
        </xdr:to>
        <xdr:sp macro="" textlink="">
          <xdr:nvSpPr>
            <xdr:cNvPr id="47170" name="Check Box 66" hidden="1">
              <a:extLst>
                <a:ext uri="{63B3BB69-23CF-44E3-9099-C40C66FF867C}">
                  <a14:compatExt spid="_x0000_s47170"/>
                </a:ext>
                <a:ext uri="{FF2B5EF4-FFF2-40B4-BE49-F238E27FC236}">
                  <a16:creationId xmlns:a16="http://schemas.microsoft.com/office/drawing/2014/main" id="{00000000-0008-0000-0500-00004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448</xdr:row>
          <xdr:rowOff>190500</xdr:rowOff>
        </xdr:from>
        <xdr:to>
          <xdr:col>5</xdr:col>
          <xdr:colOff>104775</xdr:colOff>
          <xdr:row>450</xdr:row>
          <xdr:rowOff>28575</xdr:rowOff>
        </xdr:to>
        <xdr:sp macro="" textlink="">
          <xdr:nvSpPr>
            <xdr:cNvPr id="47171" name="Check Box 67" hidden="1">
              <a:extLst>
                <a:ext uri="{63B3BB69-23CF-44E3-9099-C40C66FF867C}">
                  <a14:compatExt spid="_x0000_s47171"/>
                </a:ext>
                <a:ext uri="{FF2B5EF4-FFF2-40B4-BE49-F238E27FC236}">
                  <a16:creationId xmlns:a16="http://schemas.microsoft.com/office/drawing/2014/main" id="{00000000-0008-0000-0500-00004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449</xdr:row>
          <xdr:rowOff>180975</xdr:rowOff>
        </xdr:from>
        <xdr:to>
          <xdr:col>5</xdr:col>
          <xdr:colOff>104775</xdr:colOff>
          <xdr:row>451</xdr:row>
          <xdr:rowOff>19050</xdr:rowOff>
        </xdr:to>
        <xdr:sp macro="" textlink="">
          <xdr:nvSpPr>
            <xdr:cNvPr id="47172" name="Check Box 68" hidden="1">
              <a:extLst>
                <a:ext uri="{63B3BB69-23CF-44E3-9099-C40C66FF867C}">
                  <a14:compatExt spid="_x0000_s47172"/>
                </a:ext>
                <a:ext uri="{FF2B5EF4-FFF2-40B4-BE49-F238E27FC236}">
                  <a16:creationId xmlns:a16="http://schemas.microsoft.com/office/drawing/2014/main" id="{00000000-0008-0000-0500-00004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450</xdr:row>
          <xdr:rowOff>171450</xdr:rowOff>
        </xdr:from>
        <xdr:to>
          <xdr:col>5</xdr:col>
          <xdr:colOff>104775</xdr:colOff>
          <xdr:row>452</xdr:row>
          <xdr:rowOff>9525</xdr:rowOff>
        </xdr:to>
        <xdr:sp macro="" textlink="">
          <xdr:nvSpPr>
            <xdr:cNvPr id="47173" name="Check Box 69" hidden="1">
              <a:extLst>
                <a:ext uri="{63B3BB69-23CF-44E3-9099-C40C66FF867C}">
                  <a14:compatExt spid="_x0000_s47173"/>
                </a:ext>
                <a:ext uri="{FF2B5EF4-FFF2-40B4-BE49-F238E27FC236}">
                  <a16:creationId xmlns:a16="http://schemas.microsoft.com/office/drawing/2014/main" id="{00000000-0008-0000-0500-00004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451</xdr:row>
          <xdr:rowOff>161925</xdr:rowOff>
        </xdr:from>
        <xdr:to>
          <xdr:col>5</xdr:col>
          <xdr:colOff>104775</xdr:colOff>
          <xdr:row>453</xdr:row>
          <xdr:rowOff>0</xdr:rowOff>
        </xdr:to>
        <xdr:sp macro="" textlink="">
          <xdr:nvSpPr>
            <xdr:cNvPr id="47174" name="Check Box 70" hidden="1">
              <a:extLst>
                <a:ext uri="{63B3BB69-23CF-44E3-9099-C40C66FF867C}">
                  <a14:compatExt spid="_x0000_s47174"/>
                </a:ext>
                <a:ext uri="{FF2B5EF4-FFF2-40B4-BE49-F238E27FC236}">
                  <a16:creationId xmlns:a16="http://schemas.microsoft.com/office/drawing/2014/main" id="{00000000-0008-0000-0500-00004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452</xdr:row>
          <xdr:rowOff>171450</xdr:rowOff>
        </xdr:from>
        <xdr:to>
          <xdr:col>5</xdr:col>
          <xdr:colOff>104775</xdr:colOff>
          <xdr:row>454</xdr:row>
          <xdr:rowOff>9525</xdr:rowOff>
        </xdr:to>
        <xdr:sp macro="" textlink="">
          <xdr:nvSpPr>
            <xdr:cNvPr id="47175" name="Check Box 71" hidden="1">
              <a:extLst>
                <a:ext uri="{63B3BB69-23CF-44E3-9099-C40C66FF867C}">
                  <a14:compatExt spid="_x0000_s47175"/>
                </a:ext>
                <a:ext uri="{FF2B5EF4-FFF2-40B4-BE49-F238E27FC236}">
                  <a16:creationId xmlns:a16="http://schemas.microsoft.com/office/drawing/2014/main" id="{00000000-0008-0000-0500-00004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456</xdr:row>
          <xdr:rowOff>180975</xdr:rowOff>
        </xdr:from>
        <xdr:to>
          <xdr:col>5</xdr:col>
          <xdr:colOff>104775</xdr:colOff>
          <xdr:row>457</xdr:row>
          <xdr:rowOff>333375</xdr:rowOff>
        </xdr:to>
        <xdr:sp macro="" textlink="">
          <xdr:nvSpPr>
            <xdr:cNvPr id="47176" name="Check Box 72" hidden="1">
              <a:extLst>
                <a:ext uri="{63B3BB69-23CF-44E3-9099-C40C66FF867C}">
                  <a14:compatExt spid="_x0000_s47176"/>
                </a:ext>
                <a:ext uri="{FF2B5EF4-FFF2-40B4-BE49-F238E27FC236}">
                  <a16:creationId xmlns:a16="http://schemas.microsoft.com/office/drawing/2014/main" id="{00000000-0008-0000-0500-00004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457</xdr:row>
          <xdr:rowOff>323850</xdr:rowOff>
        </xdr:from>
        <xdr:to>
          <xdr:col>5</xdr:col>
          <xdr:colOff>104775</xdr:colOff>
          <xdr:row>459</xdr:row>
          <xdr:rowOff>9525</xdr:rowOff>
        </xdr:to>
        <xdr:sp macro="" textlink="">
          <xdr:nvSpPr>
            <xdr:cNvPr id="47177" name="Check Box 73" hidden="1">
              <a:extLst>
                <a:ext uri="{63B3BB69-23CF-44E3-9099-C40C66FF867C}">
                  <a14:compatExt spid="_x0000_s47177"/>
                </a:ext>
                <a:ext uri="{FF2B5EF4-FFF2-40B4-BE49-F238E27FC236}">
                  <a16:creationId xmlns:a16="http://schemas.microsoft.com/office/drawing/2014/main" id="{00000000-0008-0000-0500-00004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458</xdr:row>
          <xdr:rowOff>161925</xdr:rowOff>
        </xdr:from>
        <xdr:to>
          <xdr:col>5</xdr:col>
          <xdr:colOff>104775</xdr:colOff>
          <xdr:row>460</xdr:row>
          <xdr:rowOff>0</xdr:rowOff>
        </xdr:to>
        <xdr:sp macro="" textlink="">
          <xdr:nvSpPr>
            <xdr:cNvPr id="47178" name="Check Box 74" hidden="1">
              <a:extLst>
                <a:ext uri="{63B3BB69-23CF-44E3-9099-C40C66FF867C}">
                  <a14:compatExt spid="_x0000_s47178"/>
                </a:ext>
                <a:ext uri="{FF2B5EF4-FFF2-40B4-BE49-F238E27FC236}">
                  <a16:creationId xmlns:a16="http://schemas.microsoft.com/office/drawing/2014/main" id="{00000000-0008-0000-0500-00004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459</xdr:row>
          <xdr:rowOff>152400</xdr:rowOff>
        </xdr:from>
        <xdr:to>
          <xdr:col>5</xdr:col>
          <xdr:colOff>104775</xdr:colOff>
          <xdr:row>460</xdr:row>
          <xdr:rowOff>180975</xdr:rowOff>
        </xdr:to>
        <xdr:sp macro="" textlink="">
          <xdr:nvSpPr>
            <xdr:cNvPr id="47179" name="Check Box 75" hidden="1">
              <a:extLst>
                <a:ext uri="{63B3BB69-23CF-44E3-9099-C40C66FF867C}">
                  <a14:compatExt spid="_x0000_s47179"/>
                </a:ext>
                <a:ext uri="{FF2B5EF4-FFF2-40B4-BE49-F238E27FC236}">
                  <a16:creationId xmlns:a16="http://schemas.microsoft.com/office/drawing/2014/main" id="{00000000-0008-0000-0500-00004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493</xdr:row>
          <xdr:rowOff>161925</xdr:rowOff>
        </xdr:from>
        <xdr:to>
          <xdr:col>5</xdr:col>
          <xdr:colOff>104775</xdr:colOff>
          <xdr:row>495</xdr:row>
          <xdr:rowOff>0</xdr:rowOff>
        </xdr:to>
        <xdr:sp macro="" textlink="">
          <xdr:nvSpPr>
            <xdr:cNvPr id="47187" name="Check Box 83" hidden="1">
              <a:extLst>
                <a:ext uri="{63B3BB69-23CF-44E3-9099-C40C66FF867C}">
                  <a14:compatExt spid="_x0000_s47187"/>
                </a:ext>
                <a:ext uri="{FF2B5EF4-FFF2-40B4-BE49-F238E27FC236}">
                  <a16:creationId xmlns:a16="http://schemas.microsoft.com/office/drawing/2014/main" id="{00000000-0008-0000-0500-00005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492</xdr:row>
          <xdr:rowOff>142875</xdr:rowOff>
        </xdr:from>
        <xdr:to>
          <xdr:col>5</xdr:col>
          <xdr:colOff>104775</xdr:colOff>
          <xdr:row>493</xdr:row>
          <xdr:rowOff>171450</xdr:rowOff>
        </xdr:to>
        <xdr:sp macro="" textlink="">
          <xdr:nvSpPr>
            <xdr:cNvPr id="47189" name="Check Box 85" hidden="1">
              <a:extLst>
                <a:ext uri="{63B3BB69-23CF-44E3-9099-C40C66FF867C}">
                  <a14:compatExt spid="_x0000_s47189"/>
                </a:ext>
                <a:ext uri="{FF2B5EF4-FFF2-40B4-BE49-F238E27FC236}">
                  <a16:creationId xmlns:a16="http://schemas.microsoft.com/office/drawing/2014/main" id="{00000000-0008-0000-0500-00005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481</xdr:row>
          <xdr:rowOff>161925</xdr:rowOff>
        </xdr:from>
        <xdr:to>
          <xdr:col>5</xdr:col>
          <xdr:colOff>104775</xdr:colOff>
          <xdr:row>483</xdr:row>
          <xdr:rowOff>0</xdr:rowOff>
        </xdr:to>
        <xdr:sp macro="" textlink="">
          <xdr:nvSpPr>
            <xdr:cNvPr id="47203" name="Check Box 99" hidden="1">
              <a:extLst>
                <a:ext uri="{63B3BB69-23CF-44E3-9099-C40C66FF867C}">
                  <a14:compatExt spid="_x0000_s47203"/>
                </a:ext>
                <a:ext uri="{FF2B5EF4-FFF2-40B4-BE49-F238E27FC236}">
                  <a16:creationId xmlns:a16="http://schemas.microsoft.com/office/drawing/2014/main" id="{00000000-0008-0000-0500-00006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482</xdr:row>
          <xdr:rowOff>161925</xdr:rowOff>
        </xdr:from>
        <xdr:to>
          <xdr:col>5</xdr:col>
          <xdr:colOff>104775</xdr:colOff>
          <xdr:row>484</xdr:row>
          <xdr:rowOff>0</xdr:rowOff>
        </xdr:to>
        <xdr:sp macro="" textlink="">
          <xdr:nvSpPr>
            <xdr:cNvPr id="47204" name="Check Box 100" hidden="1">
              <a:extLst>
                <a:ext uri="{63B3BB69-23CF-44E3-9099-C40C66FF867C}">
                  <a14:compatExt spid="_x0000_s47204"/>
                </a:ext>
                <a:ext uri="{FF2B5EF4-FFF2-40B4-BE49-F238E27FC236}">
                  <a16:creationId xmlns:a16="http://schemas.microsoft.com/office/drawing/2014/main" id="{00000000-0008-0000-0500-00006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483</xdr:row>
          <xdr:rowOff>142875</xdr:rowOff>
        </xdr:from>
        <xdr:to>
          <xdr:col>5</xdr:col>
          <xdr:colOff>104775</xdr:colOff>
          <xdr:row>484</xdr:row>
          <xdr:rowOff>171450</xdr:rowOff>
        </xdr:to>
        <xdr:sp macro="" textlink="">
          <xdr:nvSpPr>
            <xdr:cNvPr id="47205" name="Check Box 101" hidden="1">
              <a:extLst>
                <a:ext uri="{63B3BB69-23CF-44E3-9099-C40C66FF867C}">
                  <a14:compatExt spid="_x0000_s47205"/>
                </a:ext>
                <a:ext uri="{FF2B5EF4-FFF2-40B4-BE49-F238E27FC236}">
                  <a16:creationId xmlns:a16="http://schemas.microsoft.com/office/drawing/2014/main" id="{00000000-0008-0000-0500-00006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484</xdr:row>
          <xdr:rowOff>133350</xdr:rowOff>
        </xdr:from>
        <xdr:to>
          <xdr:col>5</xdr:col>
          <xdr:colOff>104775</xdr:colOff>
          <xdr:row>485</xdr:row>
          <xdr:rowOff>161925</xdr:rowOff>
        </xdr:to>
        <xdr:sp macro="" textlink="">
          <xdr:nvSpPr>
            <xdr:cNvPr id="47206" name="Check Box 102" hidden="1">
              <a:extLst>
                <a:ext uri="{63B3BB69-23CF-44E3-9099-C40C66FF867C}">
                  <a14:compatExt spid="_x0000_s47206"/>
                </a:ext>
                <a:ext uri="{FF2B5EF4-FFF2-40B4-BE49-F238E27FC236}">
                  <a16:creationId xmlns:a16="http://schemas.microsoft.com/office/drawing/2014/main" id="{00000000-0008-0000-0500-00006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485</xdr:row>
          <xdr:rowOff>142875</xdr:rowOff>
        </xdr:from>
        <xdr:to>
          <xdr:col>5</xdr:col>
          <xdr:colOff>104775</xdr:colOff>
          <xdr:row>486</xdr:row>
          <xdr:rowOff>171450</xdr:rowOff>
        </xdr:to>
        <xdr:sp macro="" textlink="">
          <xdr:nvSpPr>
            <xdr:cNvPr id="47207" name="Check Box 103" hidden="1">
              <a:extLst>
                <a:ext uri="{63B3BB69-23CF-44E3-9099-C40C66FF867C}">
                  <a14:compatExt spid="_x0000_s47207"/>
                </a:ext>
                <a:ext uri="{FF2B5EF4-FFF2-40B4-BE49-F238E27FC236}">
                  <a16:creationId xmlns:a16="http://schemas.microsoft.com/office/drawing/2014/main" id="{00000000-0008-0000-0500-00006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486</xdr:row>
          <xdr:rowOff>142875</xdr:rowOff>
        </xdr:from>
        <xdr:to>
          <xdr:col>5</xdr:col>
          <xdr:colOff>104775</xdr:colOff>
          <xdr:row>487</xdr:row>
          <xdr:rowOff>171450</xdr:rowOff>
        </xdr:to>
        <xdr:sp macro="" textlink="">
          <xdr:nvSpPr>
            <xdr:cNvPr id="47208" name="Check Box 104" hidden="1">
              <a:extLst>
                <a:ext uri="{63B3BB69-23CF-44E3-9099-C40C66FF867C}">
                  <a14:compatExt spid="_x0000_s47208"/>
                </a:ext>
                <a:ext uri="{FF2B5EF4-FFF2-40B4-BE49-F238E27FC236}">
                  <a16:creationId xmlns:a16="http://schemas.microsoft.com/office/drawing/2014/main" id="{00000000-0008-0000-0500-00006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487</xdr:row>
          <xdr:rowOff>142875</xdr:rowOff>
        </xdr:from>
        <xdr:to>
          <xdr:col>5</xdr:col>
          <xdr:colOff>104775</xdr:colOff>
          <xdr:row>488</xdr:row>
          <xdr:rowOff>171450</xdr:rowOff>
        </xdr:to>
        <xdr:sp macro="" textlink="">
          <xdr:nvSpPr>
            <xdr:cNvPr id="47209" name="Check Box 105" hidden="1">
              <a:extLst>
                <a:ext uri="{63B3BB69-23CF-44E3-9099-C40C66FF867C}">
                  <a14:compatExt spid="_x0000_s47209"/>
                </a:ext>
                <a:ext uri="{FF2B5EF4-FFF2-40B4-BE49-F238E27FC236}">
                  <a16:creationId xmlns:a16="http://schemas.microsoft.com/office/drawing/2014/main" id="{00000000-0008-0000-0500-00006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488</xdr:row>
          <xdr:rowOff>161925</xdr:rowOff>
        </xdr:from>
        <xdr:to>
          <xdr:col>5</xdr:col>
          <xdr:colOff>104775</xdr:colOff>
          <xdr:row>490</xdr:row>
          <xdr:rowOff>0</xdr:rowOff>
        </xdr:to>
        <xdr:sp macro="" textlink="">
          <xdr:nvSpPr>
            <xdr:cNvPr id="47210" name="Check Box 106" hidden="1">
              <a:extLst>
                <a:ext uri="{63B3BB69-23CF-44E3-9099-C40C66FF867C}">
                  <a14:compatExt spid="_x0000_s47210"/>
                </a:ext>
                <a:ext uri="{FF2B5EF4-FFF2-40B4-BE49-F238E27FC236}">
                  <a16:creationId xmlns:a16="http://schemas.microsoft.com/office/drawing/2014/main" id="{00000000-0008-0000-0500-00006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489</xdr:row>
          <xdr:rowOff>142875</xdr:rowOff>
        </xdr:from>
        <xdr:to>
          <xdr:col>5</xdr:col>
          <xdr:colOff>104775</xdr:colOff>
          <xdr:row>490</xdr:row>
          <xdr:rowOff>171450</xdr:rowOff>
        </xdr:to>
        <xdr:sp macro="" textlink="">
          <xdr:nvSpPr>
            <xdr:cNvPr id="47211" name="Check Box 107" hidden="1">
              <a:extLst>
                <a:ext uri="{63B3BB69-23CF-44E3-9099-C40C66FF867C}">
                  <a14:compatExt spid="_x0000_s47211"/>
                </a:ext>
                <a:ext uri="{FF2B5EF4-FFF2-40B4-BE49-F238E27FC236}">
                  <a16:creationId xmlns:a16="http://schemas.microsoft.com/office/drawing/2014/main" id="{00000000-0008-0000-0500-00006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490</xdr:row>
          <xdr:rowOff>152400</xdr:rowOff>
        </xdr:from>
        <xdr:to>
          <xdr:col>5</xdr:col>
          <xdr:colOff>104775</xdr:colOff>
          <xdr:row>491</xdr:row>
          <xdr:rowOff>180975</xdr:rowOff>
        </xdr:to>
        <xdr:sp macro="" textlink="">
          <xdr:nvSpPr>
            <xdr:cNvPr id="47212" name="Check Box 108" hidden="1">
              <a:extLst>
                <a:ext uri="{63B3BB69-23CF-44E3-9099-C40C66FF867C}">
                  <a14:compatExt spid="_x0000_s47212"/>
                </a:ext>
                <a:ext uri="{FF2B5EF4-FFF2-40B4-BE49-F238E27FC236}">
                  <a16:creationId xmlns:a16="http://schemas.microsoft.com/office/drawing/2014/main" id="{00000000-0008-0000-0500-00006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491</xdr:row>
          <xdr:rowOff>142875</xdr:rowOff>
        </xdr:from>
        <xdr:to>
          <xdr:col>5</xdr:col>
          <xdr:colOff>104775</xdr:colOff>
          <xdr:row>492</xdr:row>
          <xdr:rowOff>171450</xdr:rowOff>
        </xdr:to>
        <xdr:sp macro="" textlink="">
          <xdr:nvSpPr>
            <xdr:cNvPr id="47213" name="Check Box 109" hidden="1">
              <a:extLst>
                <a:ext uri="{63B3BB69-23CF-44E3-9099-C40C66FF867C}">
                  <a14:compatExt spid="_x0000_s47213"/>
                </a:ext>
                <a:ext uri="{FF2B5EF4-FFF2-40B4-BE49-F238E27FC236}">
                  <a16:creationId xmlns:a16="http://schemas.microsoft.com/office/drawing/2014/main" id="{00000000-0008-0000-0500-00006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482</xdr:row>
          <xdr:rowOff>0</xdr:rowOff>
        </xdr:from>
        <xdr:to>
          <xdr:col>4</xdr:col>
          <xdr:colOff>0</xdr:colOff>
          <xdr:row>495</xdr:row>
          <xdr:rowOff>0</xdr:rowOff>
        </xdr:to>
        <xdr:grpSp>
          <xdr:nvGrpSpPr>
            <xdr:cNvPr id="91391" name="Group 110">
              <a:extLst>
                <a:ext uri="{FF2B5EF4-FFF2-40B4-BE49-F238E27FC236}">
                  <a16:creationId xmlns:a16="http://schemas.microsoft.com/office/drawing/2014/main" id="{00000000-0008-0000-0500-0000FF640100}"/>
                </a:ext>
              </a:extLst>
            </xdr:cNvPr>
            <xdr:cNvGrpSpPr>
              <a:grpSpLocks/>
            </xdr:cNvGrpSpPr>
          </xdr:nvGrpSpPr>
          <xdr:grpSpPr bwMode="auto">
            <a:xfrm>
              <a:off x="103188" y="93472000"/>
              <a:ext cx="1984375" cy="2476500"/>
              <a:chOff x="11" y="8643"/>
              <a:chExt cx="208" cy="261"/>
            </a:xfrm>
          </xdr:grpSpPr>
          <xdr:sp macro="" textlink="">
            <xdr:nvSpPr>
              <xdr:cNvPr id="47215" name="Group Box 111" hidden="1">
                <a:extLst>
                  <a:ext uri="{63B3BB69-23CF-44E3-9099-C40C66FF867C}">
                    <a14:compatExt spid="_x0000_s47215"/>
                  </a:ext>
                  <a:ext uri="{FF2B5EF4-FFF2-40B4-BE49-F238E27FC236}">
                    <a16:creationId xmlns:a16="http://schemas.microsoft.com/office/drawing/2014/main" id="{00000000-0008-0000-0500-00006FB80000}"/>
                  </a:ext>
                </a:extLst>
              </xdr:cNvPr>
              <xdr:cNvSpPr/>
            </xdr:nvSpPr>
            <xdr:spPr bwMode="auto">
              <a:xfrm>
                <a:off x="11" y="8643"/>
                <a:ext cx="208" cy="261"/>
              </a:xfrm>
              <a:prstGeom prst="rect">
                <a:avLst/>
              </a:prstGeom>
              <a:noFill/>
              <a:ln w="9525">
                <a:miter lim="800000"/>
                <a:headEnd/>
                <a:tailEnd/>
              </a:ln>
              <a:extLst>
                <a:ext uri="{909E8E84-426E-40DD-AFC4-6F175D3DCCD1}">
                  <a14:hiddenFill>
                    <a:noFill/>
                  </a14:hiddenFill>
                </a:ext>
              </a:extLst>
            </xdr:spPr>
          </xdr:sp>
          <xdr:sp macro="" textlink="">
            <xdr:nvSpPr>
              <xdr:cNvPr id="47216" name="Option Button 112" hidden="1">
                <a:extLst>
                  <a:ext uri="{63B3BB69-23CF-44E3-9099-C40C66FF867C}">
                    <a14:compatExt spid="_x0000_s47216"/>
                  </a:ext>
                  <a:ext uri="{FF2B5EF4-FFF2-40B4-BE49-F238E27FC236}">
                    <a16:creationId xmlns:a16="http://schemas.microsoft.com/office/drawing/2014/main" id="{00000000-0008-0000-0500-000070B80000}"/>
                  </a:ext>
                </a:extLst>
              </xdr:cNvPr>
              <xdr:cNvSpPr/>
            </xdr:nvSpPr>
            <xdr:spPr bwMode="auto">
              <a:xfrm>
                <a:off x="14" y="8667"/>
                <a:ext cx="196"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7217" name="Option Button 113" hidden="1">
                <a:extLst>
                  <a:ext uri="{63B3BB69-23CF-44E3-9099-C40C66FF867C}">
                    <a14:compatExt spid="_x0000_s47217"/>
                  </a:ext>
                  <a:ext uri="{FF2B5EF4-FFF2-40B4-BE49-F238E27FC236}">
                    <a16:creationId xmlns:a16="http://schemas.microsoft.com/office/drawing/2014/main" id="{00000000-0008-0000-0500-000071B80000}"/>
                  </a:ext>
                </a:extLst>
              </xdr:cNvPr>
              <xdr:cNvSpPr/>
            </xdr:nvSpPr>
            <xdr:spPr bwMode="auto">
              <a:xfrm>
                <a:off x="14" y="8697"/>
                <a:ext cx="195" cy="28"/>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mid-forearm (69% forearm)</a:t>
                </a:r>
              </a:p>
            </xdr:txBody>
          </xdr:sp>
          <xdr:sp macro="" textlink="">
            <xdr:nvSpPr>
              <xdr:cNvPr id="47218" name="Option Button 114" hidden="1">
                <a:extLst>
                  <a:ext uri="{63B3BB69-23CF-44E3-9099-C40C66FF867C}">
                    <a14:compatExt spid="_x0000_s47218"/>
                  </a:ext>
                  <a:ext uri="{FF2B5EF4-FFF2-40B4-BE49-F238E27FC236}">
                    <a16:creationId xmlns:a16="http://schemas.microsoft.com/office/drawing/2014/main" id="{00000000-0008-0000-0500-000072B80000}"/>
                  </a:ext>
                </a:extLst>
              </xdr:cNvPr>
              <xdr:cNvSpPr/>
            </xdr:nvSpPr>
            <xdr:spPr bwMode="auto">
              <a:xfrm>
                <a:off x="14" y="8727"/>
                <a:ext cx="191"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mid-forearm (44%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498</xdr:row>
          <xdr:rowOff>0</xdr:rowOff>
        </xdr:from>
        <xdr:to>
          <xdr:col>4</xdr:col>
          <xdr:colOff>0</xdr:colOff>
          <xdr:row>509</xdr:row>
          <xdr:rowOff>0</xdr:rowOff>
        </xdr:to>
        <xdr:grpSp>
          <xdr:nvGrpSpPr>
            <xdr:cNvPr id="91392" name="Group 115">
              <a:extLst>
                <a:ext uri="{FF2B5EF4-FFF2-40B4-BE49-F238E27FC236}">
                  <a16:creationId xmlns:a16="http://schemas.microsoft.com/office/drawing/2014/main" id="{00000000-0008-0000-0500-000000650100}"/>
                </a:ext>
              </a:extLst>
            </xdr:cNvPr>
            <xdr:cNvGrpSpPr>
              <a:grpSpLocks/>
            </xdr:cNvGrpSpPr>
          </xdr:nvGrpSpPr>
          <xdr:grpSpPr bwMode="auto">
            <a:xfrm>
              <a:off x="95250" y="96440625"/>
              <a:ext cx="1992313" cy="2397125"/>
              <a:chOff x="10" y="8924"/>
              <a:chExt cx="209" cy="252"/>
            </a:xfrm>
          </xdr:grpSpPr>
          <xdr:sp macro="" textlink="">
            <xdr:nvSpPr>
              <xdr:cNvPr id="47220" name="Group Box 116" hidden="1">
                <a:extLst>
                  <a:ext uri="{63B3BB69-23CF-44E3-9099-C40C66FF867C}">
                    <a14:compatExt spid="_x0000_s47220"/>
                  </a:ext>
                  <a:ext uri="{FF2B5EF4-FFF2-40B4-BE49-F238E27FC236}">
                    <a16:creationId xmlns:a16="http://schemas.microsoft.com/office/drawing/2014/main" id="{00000000-0008-0000-0500-000074B80000}"/>
                  </a:ext>
                </a:extLst>
              </xdr:cNvPr>
              <xdr:cNvSpPr/>
            </xdr:nvSpPr>
            <xdr:spPr bwMode="auto">
              <a:xfrm>
                <a:off x="10" y="8924"/>
                <a:ext cx="209" cy="252"/>
              </a:xfrm>
              <a:prstGeom prst="rect">
                <a:avLst/>
              </a:prstGeom>
              <a:noFill/>
              <a:ln w="9525">
                <a:miter lim="800000"/>
                <a:headEnd/>
                <a:tailEnd/>
              </a:ln>
              <a:extLst>
                <a:ext uri="{909E8E84-426E-40DD-AFC4-6F175D3DCCD1}">
                  <a14:hiddenFill>
                    <a:noFill/>
                  </a14:hiddenFill>
                </a:ext>
              </a:extLst>
            </xdr:spPr>
          </xdr:sp>
          <xdr:sp macro="" textlink="">
            <xdr:nvSpPr>
              <xdr:cNvPr id="47221" name="Option Button 117" hidden="1">
                <a:extLst>
                  <a:ext uri="{63B3BB69-23CF-44E3-9099-C40C66FF867C}">
                    <a14:compatExt spid="_x0000_s47221"/>
                  </a:ext>
                  <a:ext uri="{FF2B5EF4-FFF2-40B4-BE49-F238E27FC236}">
                    <a16:creationId xmlns:a16="http://schemas.microsoft.com/office/drawing/2014/main" id="{00000000-0008-0000-0500-000075B80000}"/>
                  </a:ext>
                </a:extLst>
              </xdr:cNvPr>
              <xdr:cNvSpPr/>
            </xdr:nvSpPr>
            <xdr:spPr bwMode="auto">
              <a:xfrm>
                <a:off x="13" y="894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7222" name="Option Button 118" hidden="1">
                <a:extLst>
                  <a:ext uri="{63B3BB69-23CF-44E3-9099-C40C66FF867C}">
                    <a14:compatExt spid="_x0000_s47222"/>
                  </a:ext>
                  <a:ext uri="{FF2B5EF4-FFF2-40B4-BE49-F238E27FC236}">
                    <a16:creationId xmlns:a16="http://schemas.microsoft.com/office/drawing/2014/main" id="{00000000-0008-0000-0500-000076B80000}"/>
                  </a:ext>
                </a:extLst>
              </xdr:cNvPr>
              <xdr:cNvSpPr/>
            </xdr:nvSpPr>
            <xdr:spPr bwMode="auto">
              <a:xfrm>
                <a:off x="13" y="897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mid-forearm (44% forearm)</a:t>
                </a:r>
              </a:p>
            </xdr:txBody>
          </xdr:sp>
          <xdr:sp macro="" textlink="">
            <xdr:nvSpPr>
              <xdr:cNvPr id="47223" name="Option Button 119" hidden="1">
                <a:extLst>
                  <a:ext uri="{63B3BB69-23CF-44E3-9099-C40C66FF867C}">
                    <a14:compatExt spid="_x0000_s47223"/>
                  </a:ext>
                  <a:ext uri="{FF2B5EF4-FFF2-40B4-BE49-F238E27FC236}">
                    <a16:creationId xmlns:a16="http://schemas.microsoft.com/office/drawing/2014/main" id="{00000000-0008-0000-0500-000077B80000}"/>
                  </a:ext>
                </a:extLst>
              </xdr:cNvPr>
              <xdr:cNvSpPr/>
            </xdr:nvSpPr>
            <xdr:spPr bwMode="auto">
              <a:xfrm>
                <a:off x="14" y="9007"/>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mid-forearm (31%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497</xdr:row>
          <xdr:rowOff>133350</xdr:rowOff>
        </xdr:from>
        <xdr:to>
          <xdr:col>5</xdr:col>
          <xdr:colOff>104775</xdr:colOff>
          <xdr:row>499</xdr:row>
          <xdr:rowOff>9525</xdr:rowOff>
        </xdr:to>
        <xdr:sp macro="" textlink="">
          <xdr:nvSpPr>
            <xdr:cNvPr id="47224" name="Check Box 120" hidden="1">
              <a:extLst>
                <a:ext uri="{63B3BB69-23CF-44E3-9099-C40C66FF867C}">
                  <a14:compatExt spid="_x0000_s47224"/>
                </a:ext>
                <a:ext uri="{FF2B5EF4-FFF2-40B4-BE49-F238E27FC236}">
                  <a16:creationId xmlns:a16="http://schemas.microsoft.com/office/drawing/2014/main" id="{00000000-0008-0000-0500-00007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498</xdr:row>
          <xdr:rowOff>171450</xdr:rowOff>
        </xdr:from>
        <xdr:to>
          <xdr:col>5</xdr:col>
          <xdr:colOff>104775</xdr:colOff>
          <xdr:row>500</xdr:row>
          <xdr:rowOff>9525</xdr:rowOff>
        </xdr:to>
        <xdr:sp macro="" textlink="">
          <xdr:nvSpPr>
            <xdr:cNvPr id="47225" name="Check Box 121" hidden="1">
              <a:extLst>
                <a:ext uri="{63B3BB69-23CF-44E3-9099-C40C66FF867C}">
                  <a14:compatExt spid="_x0000_s47225"/>
                </a:ext>
                <a:ext uri="{FF2B5EF4-FFF2-40B4-BE49-F238E27FC236}">
                  <a16:creationId xmlns:a16="http://schemas.microsoft.com/office/drawing/2014/main" id="{00000000-0008-0000-0500-00007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500</xdr:row>
          <xdr:rowOff>9525</xdr:rowOff>
        </xdr:from>
        <xdr:to>
          <xdr:col>5</xdr:col>
          <xdr:colOff>104775</xdr:colOff>
          <xdr:row>500</xdr:row>
          <xdr:rowOff>228600</xdr:rowOff>
        </xdr:to>
        <xdr:sp macro="" textlink="">
          <xdr:nvSpPr>
            <xdr:cNvPr id="47226" name="Check Box 122" hidden="1">
              <a:extLst>
                <a:ext uri="{63B3BB69-23CF-44E3-9099-C40C66FF867C}">
                  <a14:compatExt spid="_x0000_s47226"/>
                </a:ext>
                <a:ext uri="{FF2B5EF4-FFF2-40B4-BE49-F238E27FC236}">
                  <a16:creationId xmlns:a16="http://schemas.microsoft.com/office/drawing/2014/main" id="{00000000-0008-0000-0500-00007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500</xdr:row>
          <xdr:rowOff>314325</xdr:rowOff>
        </xdr:from>
        <xdr:to>
          <xdr:col>5</xdr:col>
          <xdr:colOff>104775</xdr:colOff>
          <xdr:row>502</xdr:row>
          <xdr:rowOff>0</xdr:rowOff>
        </xdr:to>
        <xdr:sp macro="" textlink="">
          <xdr:nvSpPr>
            <xdr:cNvPr id="47227" name="Check Box 123" hidden="1">
              <a:extLst>
                <a:ext uri="{63B3BB69-23CF-44E3-9099-C40C66FF867C}">
                  <a14:compatExt spid="_x0000_s47227"/>
                </a:ext>
                <a:ext uri="{FF2B5EF4-FFF2-40B4-BE49-F238E27FC236}">
                  <a16:creationId xmlns:a16="http://schemas.microsoft.com/office/drawing/2014/main" id="{00000000-0008-0000-0500-00007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501</xdr:row>
          <xdr:rowOff>161925</xdr:rowOff>
        </xdr:from>
        <xdr:to>
          <xdr:col>5</xdr:col>
          <xdr:colOff>104775</xdr:colOff>
          <xdr:row>503</xdr:row>
          <xdr:rowOff>0</xdr:rowOff>
        </xdr:to>
        <xdr:sp macro="" textlink="">
          <xdr:nvSpPr>
            <xdr:cNvPr id="47228" name="Check Box 124" hidden="1">
              <a:extLst>
                <a:ext uri="{63B3BB69-23CF-44E3-9099-C40C66FF867C}">
                  <a14:compatExt spid="_x0000_s47228"/>
                </a:ext>
                <a:ext uri="{FF2B5EF4-FFF2-40B4-BE49-F238E27FC236}">
                  <a16:creationId xmlns:a16="http://schemas.microsoft.com/office/drawing/2014/main" id="{00000000-0008-0000-0500-00007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502</xdr:row>
          <xdr:rowOff>161925</xdr:rowOff>
        </xdr:from>
        <xdr:to>
          <xdr:col>5</xdr:col>
          <xdr:colOff>104775</xdr:colOff>
          <xdr:row>504</xdr:row>
          <xdr:rowOff>0</xdr:rowOff>
        </xdr:to>
        <xdr:sp macro="" textlink="">
          <xdr:nvSpPr>
            <xdr:cNvPr id="47229" name="Check Box 125" hidden="1">
              <a:extLst>
                <a:ext uri="{63B3BB69-23CF-44E3-9099-C40C66FF867C}">
                  <a14:compatExt spid="_x0000_s47229"/>
                </a:ext>
                <a:ext uri="{FF2B5EF4-FFF2-40B4-BE49-F238E27FC236}">
                  <a16:creationId xmlns:a16="http://schemas.microsoft.com/office/drawing/2014/main" id="{00000000-0008-0000-0500-00007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503</xdr:row>
          <xdr:rowOff>161925</xdr:rowOff>
        </xdr:from>
        <xdr:to>
          <xdr:col>5</xdr:col>
          <xdr:colOff>104775</xdr:colOff>
          <xdr:row>505</xdr:row>
          <xdr:rowOff>0</xdr:rowOff>
        </xdr:to>
        <xdr:sp macro="" textlink="">
          <xdr:nvSpPr>
            <xdr:cNvPr id="47230" name="Check Box 126" hidden="1">
              <a:extLst>
                <a:ext uri="{63B3BB69-23CF-44E3-9099-C40C66FF867C}">
                  <a14:compatExt spid="_x0000_s47230"/>
                </a:ext>
                <a:ext uri="{FF2B5EF4-FFF2-40B4-BE49-F238E27FC236}">
                  <a16:creationId xmlns:a16="http://schemas.microsoft.com/office/drawing/2014/main" id="{00000000-0008-0000-0500-00007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504</xdr:row>
          <xdr:rowOff>161925</xdr:rowOff>
        </xdr:from>
        <xdr:to>
          <xdr:col>5</xdr:col>
          <xdr:colOff>104775</xdr:colOff>
          <xdr:row>506</xdr:row>
          <xdr:rowOff>0</xdr:rowOff>
        </xdr:to>
        <xdr:sp macro="" textlink="">
          <xdr:nvSpPr>
            <xdr:cNvPr id="47231" name="Check Box 127" hidden="1">
              <a:extLst>
                <a:ext uri="{63B3BB69-23CF-44E3-9099-C40C66FF867C}">
                  <a14:compatExt spid="_x0000_s47231"/>
                </a:ext>
                <a:ext uri="{FF2B5EF4-FFF2-40B4-BE49-F238E27FC236}">
                  <a16:creationId xmlns:a16="http://schemas.microsoft.com/office/drawing/2014/main" id="{00000000-0008-0000-0500-00007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505</xdr:row>
          <xdr:rowOff>161925</xdr:rowOff>
        </xdr:from>
        <xdr:to>
          <xdr:col>5</xdr:col>
          <xdr:colOff>104775</xdr:colOff>
          <xdr:row>507</xdr:row>
          <xdr:rowOff>0</xdr:rowOff>
        </xdr:to>
        <xdr:sp macro="" textlink="">
          <xdr:nvSpPr>
            <xdr:cNvPr id="47232" name="Check Box 128" hidden="1">
              <a:extLst>
                <a:ext uri="{63B3BB69-23CF-44E3-9099-C40C66FF867C}">
                  <a14:compatExt spid="_x0000_s47232"/>
                </a:ext>
                <a:ext uri="{FF2B5EF4-FFF2-40B4-BE49-F238E27FC236}">
                  <a16:creationId xmlns:a16="http://schemas.microsoft.com/office/drawing/2014/main" id="{00000000-0008-0000-0500-00008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506</xdr:row>
          <xdr:rowOff>161925</xdr:rowOff>
        </xdr:from>
        <xdr:to>
          <xdr:col>5</xdr:col>
          <xdr:colOff>104775</xdr:colOff>
          <xdr:row>508</xdr:row>
          <xdr:rowOff>0</xdr:rowOff>
        </xdr:to>
        <xdr:sp macro="" textlink="">
          <xdr:nvSpPr>
            <xdr:cNvPr id="47233" name="Check Box 129" hidden="1">
              <a:extLst>
                <a:ext uri="{63B3BB69-23CF-44E3-9099-C40C66FF867C}">
                  <a14:compatExt spid="_x0000_s47233"/>
                </a:ext>
                <a:ext uri="{FF2B5EF4-FFF2-40B4-BE49-F238E27FC236}">
                  <a16:creationId xmlns:a16="http://schemas.microsoft.com/office/drawing/2014/main" id="{00000000-0008-0000-0500-00008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507</xdr:row>
          <xdr:rowOff>104775</xdr:rowOff>
        </xdr:from>
        <xdr:to>
          <xdr:col>5</xdr:col>
          <xdr:colOff>104775</xdr:colOff>
          <xdr:row>508</xdr:row>
          <xdr:rowOff>314325</xdr:rowOff>
        </xdr:to>
        <xdr:sp macro="" textlink="">
          <xdr:nvSpPr>
            <xdr:cNvPr id="47234" name="Check Box 130" hidden="1">
              <a:extLst>
                <a:ext uri="{63B3BB69-23CF-44E3-9099-C40C66FF867C}">
                  <a14:compatExt spid="_x0000_s47234"/>
                </a:ext>
                <a:ext uri="{FF2B5EF4-FFF2-40B4-BE49-F238E27FC236}">
                  <a16:creationId xmlns:a16="http://schemas.microsoft.com/office/drawing/2014/main" id="{00000000-0008-0000-0500-00008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516</xdr:row>
          <xdr:rowOff>514350</xdr:rowOff>
        </xdr:from>
        <xdr:to>
          <xdr:col>15</xdr:col>
          <xdr:colOff>19050</xdr:colOff>
          <xdr:row>518</xdr:row>
          <xdr:rowOff>0</xdr:rowOff>
        </xdr:to>
        <xdr:sp macro="" textlink="">
          <xdr:nvSpPr>
            <xdr:cNvPr id="47235" name="Group Box 131" hidden="1">
              <a:extLst>
                <a:ext uri="{63B3BB69-23CF-44E3-9099-C40C66FF867C}">
                  <a14:compatExt spid="_x0000_s47235"/>
                </a:ext>
                <a:ext uri="{FF2B5EF4-FFF2-40B4-BE49-F238E27FC236}">
                  <a16:creationId xmlns:a16="http://schemas.microsoft.com/office/drawing/2014/main" id="{00000000-0008-0000-0500-00008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516</xdr:row>
          <xdr:rowOff>514350</xdr:rowOff>
        </xdr:from>
        <xdr:to>
          <xdr:col>13</xdr:col>
          <xdr:colOff>66675</xdr:colOff>
          <xdr:row>517</xdr:row>
          <xdr:rowOff>228600</xdr:rowOff>
        </xdr:to>
        <xdr:sp macro="" textlink="">
          <xdr:nvSpPr>
            <xdr:cNvPr id="47236" name="Option Button 132" hidden="1">
              <a:extLst>
                <a:ext uri="{63B3BB69-23CF-44E3-9099-C40C66FF867C}">
                  <a14:compatExt spid="_x0000_s47236"/>
                </a:ext>
                <a:ext uri="{FF2B5EF4-FFF2-40B4-BE49-F238E27FC236}">
                  <a16:creationId xmlns:a16="http://schemas.microsoft.com/office/drawing/2014/main" id="{00000000-0008-0000-0500-00008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516</xdr:row>
          <xdr:rowOff>514350</xdr:rowOff>
        </xdr:from>
        <xdr:to>
          <xdr:col>14</xdr:col>
          <xdr:colOff>342900</xdr:colOff>
          <xdr:row>517</xdr:row>
          <xdr:rowOff>228600</xdr:rowOff>
        </xdr:to>
        <xdr:sp macro="" textlink="">
          <xdr:nvSpPr>
            <xdr:cNvPr id="47237" name="Option Button 133" hidden="1">
              <a:extLst>
                <a:ext uri="{63B3BB69-23CF-44E3-9099-C40C66FF867C}">
                  <a14:compatExt spid="_x0000_s47237"/>
                </a:ext>
                <a:ext uri="{FF2B5EF4-FFF2-40B4-BE49-F238E27FC236}">
                  <a16:creationId xmlns:a16="http://schemas.microsoft.com/office/drawing/2014/main" id="{00000000-0008-0000-0500-00008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565</xdr:row>
          <xdr:rowOff>0</xdr:rowOff>
        </xdr:from>
        <xdr:to>
          <xdr:col>15</xdr:col>
          <xdr:colOff>19050</xdr:colOff>
          <xdr:row>566</xdr:row>
          <xdr:rowOff>0</xdr:rowOff>
        </xdr:to>
        <xdr:sp macro="" textlink="">
          <xdr:nvSpPr>
            <xdr:cNvPr id="47238" name="Group Box 134" hidden="1">
              <a:extLst>
                <a:ext uri="{63B3BB69-23CF-44E3-9099-C40C66FF867C}">
                  <a14:compatExt spid="_x0000_s47238"/>
                </a:ext>
                <a:ext uri="{FF2B5EF4-FFF2-40B4-BE49-F238E27FC236}">
                  <a16:creationId xmlns:a16="http://schemas.microsoft.com/office/drawing/2014/main" id="{00000000-0008-0000-0500-00008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565</xdr:row>
          <xdr:rowOff>0</xdr:rowOff>
        </xdr:from>
        <xdr:to>
          <xdr:col>1</xdr:col>
          <xdr:colOff>628650</xdr:colOff>
          <xdr:row>565</xdr:row>
          <xdr:rowOff>238125</xdr:rowOff>
        </xdr:to>
        <xdr:sp macro="" textlink="">
          <xdr:nvSpPr>
            <xdr:cNvPr id="47239" name="Option Button 135" hidden="1">
              <a:extLst>
                <a:ext uri="{63B3BB69-23CF-44E3-9099-C40C66FF867C}">
                  <a14:compatExt spid="_x0000_s47239"/>
                </a:ext>
                <a:ext uri="{FF2B5EF4-FFF2-40B4-BE49-F238E27FC236}">
                  <a16:creationId xmlns:a16="http://schemas.microsoft.com/office/drawing/2014/main" id="{00000000-0008-0000-0500-00008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565</xdr:row>
          <xdr:rowOff>0</xdr:rowOff>
        </xdr:from>
        <xdr:to>
          <xdr:col>15</xdr:col>
          <xdr:colOff>0</xdr:colOff>
          <xdr:row>565</xdr:row>
          <xdr:rowOff>238125</xdr:rowOff>
        </xdr:to>
        <xdr:sp macro="" textlink="">
          <xdr:nvSpPr>
            <xdr:cNvPr id="47240" name="Option Button 136" hidden="1">
              <a:extLst>
                <a:ext uri="{63B3BB69-23CF-44E3-9099-C40C66FF867C}">
                  <a14:compatExt spid="_x0000_s47240"/>
                </a:ext>
                <a:ext uri="{FF2B5EF4-FFF2-40B4-BE49-F238E27FC236}">
                  <a16:creationId xmlns:a16="http://schemas.microsoft.com/office/drawing/2014/main" id="{00000000-0008-0000-0500-00008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Loss of the arm at or proximal to the elbow joint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586</xdr:row>
          <xdr:rowOff>0</xdr:rowOff>
        </xdr:from>
        <xdr:to>
          <xdr:col>15</xdr:col>
          <xdr:colOff>0</xdr:colOff>
          <xdr:row>587</xdr:row>
          <xdr:rowOff>0</xdr:rowOff>
        </xdr:to>
        <xdr:grpSp>
          <xdr:nvGrpSpPr>
            <xdr:cNvPr id="91393" name="Group 137">
              <a:extLst>
                <a:ext uri="{FF2B5EF4-FFF2-40B4-BE49-F238E27FC236}">
                  <a16:creationId xmlns:a16="http://schemas.microsoft.com/office/drawing/2014/main" id="{00000000-0008-0000-0500-000001650100}"/>
                </a:ext>
              </a:extLst>
            </xdr:cNvPr>
            <xdr:cNvGrpSpPr>
              <a:grpSpLocks/>
            </xdr:cNvGrpSpPr>
          </xdr:nvGrpSpPr>
          <xdr:grpSpPr bwMode="auto">
            <a:xfrm>
              <a:off x="1595438" y="114974688"/>
              <a:ext cx="3810000" cy="492125"/>
              <a:chOff x="168" y="10650"/>
              <a:chExt cx="398" cy="52"/>
            </a:xfrm>
          </xdr:grpSpPr>
          <xdr:sp macro="" textlink="">
            <xdr:nvSpPr>
              <xdr:cNvPr id="47242" name="Group Box 138" hidden="1">
                <a:extLst>
                  <a:ext uri="{63B3BB69-23CF-44E3-9099-C40C66FF867C}">
                    <a14:compatExt spid="_x0000_s47242"/>
                  </a:ext>
                  <a:ext uri="{FF2B5EF4-FFF2-40B4-BE49-F238E27FC236}">
                    <a16:creationId xmlns:a16="http://schemas.microsoft.com/office/drawing/2014/main" id="{00000000-0008-0000-0500-00008AB80000}"/>
                  </a:ext>
                </a:extLst>
              </xdr:cNvPr>
              <xdr:cNvSpPr/>
            </xdr:nvSpPr>
            <xdr:spPr bwMode="auto">
              <a:xfrm>
                <a:off x="168" y="10650"/>
                <a:ext cx="398" cy="52"/>
              </a:xfrm>
              <a:prstGeom prst="rect">
                <a:avLst/>
              </a:prstGeom>
              <a:noFill/>
              <a:ln w="9525">
                <a:miter lim="800000"/>
                <a:headEnd/>
                <a:tailEnd/>
              </a:ln>
              <a:extLst>
                <a:ext uri="{909E8E84-426E-40DD-AFC4-6F175D3DCCD1}">
                  <a14:hiddenFill>
                    <a:noFill/>
                  </a14:hiddenFill>
                </a:ext>
              </a:extLst>
            </xdr:spPr>
          </xdr:sp>
          <xdr:sp macro="" textlink="">
            <xdr:nvSpPr>
              <xdr:cNvPr id="47243" name="Option Button 139" hidden="1">
                <a:extLst>
                  <a:ext uri="{63B3BB69-23CF-44E3-9099-C40C66FF867C}">
                    <a14:compatExt spid="_x0000_s47243"/>
                  </a:ext>
                  <a:ext uri="{FF2B5EF4-FFF2-40B4-BE49-F238E27FC236}">
                    <a16:creationId xmlns:a16="http://schemas.microsoft.com/office/drawing/2014/main" id="{00000000-0008-0000-0500-00008BB80000}"/>
                  </a:ext>
                </a:extLst>
              </xdr:cNvPr>
              <xdr:cNvSpPr/>
            </xdr:nvSpPr>
            <xdr:spPr bwMode="auto">
              <a:xfrm>
                <a:off x="170" y="10663"/>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44" name="Option Button 140" hidden="1">
                <a:extLst>
                  <a:ext uri="{63B3BB69-23CF-44E3-9099-C40C66FF867C}">
                    <a14:compatExt spid="_x0000_s47244"/>
                  </a:ext>
                  <a:ext uri="{FF2B5EF4-FFF2-40B4-BE49-F238E27FC236}">
                    <a16:creationId xmlns:a16="http://schemas.microsoft.com/office/drawing/2014/main" id="{00000000-0008-0000-0500-00008CB80000}"/>
                  </a:ext>
                </a:extLst>
              </xdr:cNvPr>
              <xdr:cNvSpPr/>
            </xdr:nvSpPr>
            <xdr:spPr bwMode="auto">
              <a:xfrm>
                <a:off x="238" y="10650"/>
                <a:ext cx="26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Prosthetic radial head replacement</a:t>
                </a:r>
              </a:p>
            </xdr:txBody>
          </xdr:sp>
          <xdr:sp macro="" textlink="">
            <xdr:nvSpPr>
              <xdr:cNvPr id="47245" name="Option Button 141" hidden="1">
                <a:extLst>
                  <a:ext uri="{63B3BB69-23CF-44E3-9099-C40C66FF867C}">
                    <a14:compatExt spid="_x0000_s47245"/>
                  </a:ext>
                  <a:ext uri="{FF2B5EF4-FFF2-40B4-BE49-F238E27FC236}">
                    <a16:creationId xmlns:a16="http://schemas.microsoft.com/office/drawing/2014/main" id="{00000000-0008-0000-0500-00008DB80000}"/>
                  </a:ext>
                </a:extLst>
              </xdr:cNvPr>
              <xdr:cNvSpPr/>
            </xdr:nvSpPr>
            <xdr:spPr bwMode="auto">
              <a:xfrm>
                <a:off x="238" y="10674"/>
                <a:ext cx="3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Radial head resection, without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587</xdr:row>
          <xdr:rowOff>0</xdr:rowOff>
        </xdr:from>
        <xdr:to>
          <xdr:col>15</xdr:col>
          <xdr:colOff>0</xdr:colOff>
          <xdr:row>588</xdr:row>
          <xdr:rowOff>0</xdr:rowOff>
        </xdr:to>
        <xdr:grpSp>
          <xdr:nvGrpSpPr>
            <xdr:cNvPr id="91394" name="Group 142">
              <a:extLst>
                <a:ext uri="{FF2B5EF4-FFF2-40B4-BE49-F238E27FC236}">
                  <a16:creationId xmlns:a16="http://schemas.microsoft.com/office/drawing/2014/main" id="{00000000-0008-0000-0500-000002650100}"/>
                </a:ext>
              </a:extLst>
            </xdr:cNvPr>
            <xdr:cNvGrpSpPr>
              <a:grpSpLocks/>
            </xdr:cNvGrpSpPr>
          </xdr:nvGrpSpPr>
          <xdr:grpSpPr bwMode="auto">
            <a:xfrm>
              <a:off x="1595438" y="115466813"/>
              <a:ext cx="3810000" cy="246062"/>
              <a:chOff x="168" y="10702"/>
              <a:chExt cx="398" cy="26"/>
            </a:xfrm>
          </xdr:grpSpPr>
          <xdr:sp macro="" textlink="">
            <xdr:nvSpPr>
              <xdr:cNvPr id="47247" name="Group Box 143" hidden="1">
                <a:extLst>
                  <a:ext uri="{63B3BB69-23CF-44E3-9099-C40C66FF867C}">
                    <a14:compatExt spid="_x0000_s47247"/>
                  </a:ext>
                  <a:ext uri="{FF2B5EF4-FFF2-40B4-BE49-F238E27FC236}">
                    <a16:creationId xmlns:a16="http://schemas.microsoft.com/office/drawing/2014/main" id="{00000000-0008-0000-0500-00008FB80000}"/>
                  </a:ext>
                </a:extLst>
              </xdr:cNvPr>
              <xdr:cNvSpPr/>
            </xdr:nvSpPr>
            <xdr:spPr bwMode="auto">
              <a:xfrm>
                <a:off x="168" y="10702"/>
                <a:ext cx="398" cy="26"/>
              </a:xfrm>
              <a:prstGeom prst="rect">
                <a:avLst/>
              </a:prstGeom>
              <a:noFill/>
              <a:ln w="9525">
                <a:miter lim="800000"/>
                <a:headEnd/>
                <a:tailEnd/>
              </a:ln>
              <a:extLst>
                <a:ext uri="{909E8E84-426E-40DD-AFC4-6F175D3DCCD1}">
                  <a14:hiddenFill>
                    <a:noFill/>
                  </a14:hiddenFill>
                </a:ext>
              </a:extLst>
            </xdr:spPr>
          </xdr:sp>
          <xdr:sp macro="" textlink="">
            <xdr:nvSpPr>
              <xdr:cNvPr id="47248" name="Option Button 144" hidden="1">
                <a:extLst>
                  <a:ext uri="{63B3BB69-23CF-44E3-9099-C40C66FF867C}">
                    <a14:compatExt spid="_x0000_s47248"/>
                  </a:ext>
                  <a:ext uri="{FF2B5EF4-FFF2-40B4-BE49-F238E27FC236}">
                    <a16:creationId xmlns:a16="http://schemas.microsoft.com/office/drawing/2014/main" id="{00000000-0008-0000-0500-000090B80000}"/>
                  </a:ext>
                </a:extLst>
              </xdr:cNvPr>
              <xdr:cNvSpPr/>
            </xdr:nvSpPr>
            <xdr:spPr bwMode="auto">
              <a:xfrm>
                <a:off x="170" y="10703"/>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49" name="Option Button 145" hidden="1">
                <a:extLst>
                  <a:ext uri="{63B3BB69-23CF-44E3-9099-C40C66FF867C}">
                    <a14:compatExt spid="_x0000_s47249"/>
                  </a:ext>
                  <a:ext uri="{FF2B5EF4-FFF2-40B4-BE49-F238E27FC236}">
                    <a16:creationId xmlns:a16="http://schemas.microsoft.com/office/drawing/2014/main" id="{00000000-0008-0000-0500-000091B80000}"/>
                  </a:ext>
                </a:extLst>
              </xdr:cNvPr>
              <xdr:cNvSpPr/>
            </xdr:nvSpPr>
            <xdr:spPr bwMode="auto">
              <a:xfrm>
                <a:off x="238" y="10704"/>
                <a:ext cx="29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Prosthetic elbow joint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588</xdr:row>
          <xdr:rowOff>0</xdr:rowOff>
        </xdr:from>
        <xdr:to>
          <xdr:col>15</xdr:col>
          <xdr:colOff>0</xdr:colOff>
          <xdr:row>589</xdr:row>
          <xdr:rowOff>0</xdr:rowOff>
        </xdr:to>
        <xdr:grpSp>
          <xdr:nvGrpSpPr>
            <xdr:cNvPr id="91395" name="Group 146">
              <a:extLst>
                <a:ext uri="{FF2B5EF4-FFF2-40B4-BE49-F238E27FC236}">
                  <a16:creationId xmlns:a16="http://schemas.microsoft.com/office/drawing/2014/main" id="{00000000-0008-0000-0500-000003650100}"/>
                </a:ext>
              </a:extLst>
            </xdr:cNvPr>
            <xdr:cNvGrpSpPr>
              <a:grpSpLocks/>
            </xdr:cNvGrpSpPr>
          </xdr:nvGrpSpPr>
          <xdr:grpSpPr bwMode="auto">
            <a:xfrm>
              <a:off x="1595438" y="115712875"/>
              <a:ext cx="3810000" cy="246063"/>
              <a:chOff x="168" y="10728"/>
              <a:chExt cx="398" cy="26"/>
            </a:xfrm>
          </xdr:grpSpPr>
          <xdr:sp macro="" textlink="">
            <xdr:nvSpPr>
              <xdr:cNvPr id="47251" name="Group Box 147" hidden="1">
                <a:extLst>
                  <a:ext uri="{63B3BB69-23CF-44E3-9099-C40C66FF867C}">
                    <a14:compatExt spid="_x0000_s47251"/>
                  </a:ext>
                  <a:ext uri="{FF2B5EF4-FFF2-40B4-BE49-F238E27FC236}">
                    <a16:creationId xmlns:a16="http://schemas.microsoft.com/office/drawing/2014/main" id="{00000000-0008-0000-0500-000093B80000}"/>
                  </a:ext>
                </a:extLst>
              </xdr:cNvPr>
              <xdr:cNvSpPr/>
            </xdr:nvSpPr>
            <xdr:spPr bwMode="auto">
              <a:xfrm>
                <a:off x="168" y="10728"/>
                <a:ext cx="398" cy="26"/>
              </a:xfrm>
              <a:prstGeom prst="rect">
                <a:avLst/>
              </a:prstGeom>
              <a:noFill/>
              <a:ln w="9525">
                <a:miter lim="800000"/>
                <a:headEnd/>
                <a:tailEnd/>
              </a:ln>
              <a:extLst>
                <a:ext uri="{909E8E84-426E-40DD-AFC4-6F175D3DCCD1}">
                  <a14:hiddenFill>
                    <a:noFill/>
                  </a14:hiddenFill>
                </a:ext>
              </a:extLst>
            </xdr:spPr>
          </xdr:sp>
          <xdr:sp macro="" textlink="">
            <xdr:nvSpPr>
              <xdr:cNvPr id="47252" name="Option Button 148" hidden="1">
                <a:extLst>
                  <a:ext uri="{63B3BB69-23CF-44E3-9099-C40C66FF867C}">
                    <a14:compatExt spid="_x0000_s47252"/>
                  </a:ext>
                  <a:ext uri="{FF2B5EF4-FFF2-40B4-BE49-F238E27FC236}">
                    <a16:creationId xmlns:a16="http://schemas.microsoft.com/office/drawing/2014/main" id="{00000000-0008-0000-0500-000094B80000}"/>
                  </a:ext>
                </a:extLst>
              </xdr:cNvPr>
              <xdr:cNvSpPr/>
            </xdr:nvSpPr>
            <xdr:spPr bwMode="auto">
              <a:xfrm>
                <a:off x="170" y="10729"/>
                <a:ext cx="5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53" name="Option Button 149" hidden="1">
                <a:extLst>
                  <a:ext uri="{63B3BB69-23CF-44E3-9099-C40C66FF867C}">
                    <a14:compatExt spid="_x0000_s47253"/>
                  </a:ext>
                  <a:ext uri="{FF2B5EF4-FFF2-40B4-BE49-F238E27FC236}">
                    <a16:creationId xmlns:a16="http://schemas.microsoft.com/office/drawing/2014/main" id="{00000000-0008-0000-0500-000095B80000}"/>
                  </a:ext>
                </a:extLst>
              </xdr:cNvPr>
              <xdr:cNvSpPr/>
            </xdr:nvSpPr>
            <xdr:spPr bwMode="auto">
              <a:xfrm>
                <a:off x="238" y="10730"/>
                <a:ext cx="2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Humeral head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595</xdr:row>
          <xdr:rowOff>0</xdr:rowOff>
        </xdr:from>
        <xdr:to>
          <xdr:col>15</xdr:col>
          <xdr:colOff>0</xdr:colOff>
          <xdr:row>596</xdr:row>
          <xdr:rowOff>0</xdr:rowOff>
        </xdr:to>
        <xdr:grpSp>
          <xdr:nvGrpSpPr>
            <xdr:cNvPr id="91396" name="Group 150">
              <a:extLst>
                <a:ext uri="{FF2B5EF4-FFF2-40B4-BE49-F238E27FC236}">
                  <a16:creationId xmlns:a16="http://schemas.microsoft.com/office/drawing/2014/main" id="{00000000-0008-0000-0500-000004650100}"/>
                </a:ext>
              </a:extLst>
            </xdr:cNvPr>
            <xdr:cNvGrpSpPr>
              <a:grpSpLocks/>
            </xdr:cNvGrpSpPr>
          </xdr:nvGrpSpPr>
          <xdr:grpSpPr bwMode="auto">
            <a:xfrm>
              <a:off x="3841750" y="117355938"/>
              <a:ext cx="1563688" cy="246062"/>
              <a:chOff x="402" y="10927"/>
              <a:chExt cx="164" cy="26"/>
            </a:xfrm>
          </xdr:grpSpPr>
          <xdr:sp macro="" textlink="">
            <xdr:nvSpPr>
              <xdr:cNvPr id="47255" name="Group Box 151" hidden="1">
                <a:extLst>
                  <a:ext uri="{63B3BB69-23CF-44E3-9099-C40C66FF867C}">
                    <a14:compatExt spid="_x0000_s47255"/>
                  </a:ext>
                  <a:ext uri="{FF2B5EF4-FFF2-40B4-BE49-F238E27FC236}">
                    <a16:creationId xmlns:a16="http://schemas.microsoft.com/office/drawing/2014/main" id="{00000000-0008-0000-0500-000097B80000}"/>
                  </a:ext>
                </a:extLst>
              </xdr:cNvPr>
              <xdr:cNvSpPr/>
            </xdr:nvSpPr>
            <xdr:spPr bwMode="auto">
              <a:xfrm>
                <a:off x="402" y="10927"/>
                <a:ext cx="164" cy="26"/>
              </a:xfrm>
              <a:prstGeom prst="rect">
                <a:avLst/>
              </a:prstGeom>
              <a:noFill/>
              <a:ln w="9525">
                <a:miter lim="800000"/>
                <a:headEnd/>
                <a:tailEnd/>
              </a:ln>
              <a:extLst>
                <a:ext uri="{909E8E84-426E-40DD-AFC4-6F175D3DCCD1}">
                  <a14:hiddenFill>
                    <a:noFill/>
                  </a14:hiddenFill>
                </a:ext>
              </a:extLst>
            </xdr:spPr>
          </xdr:sp>
          <xdr:sp macro="" textlink="">
            <xdr:nvSpPr>
              <xdr:cNvPr id="47256" name="Option Button 152" hidden="1">
                <a:extLst>
                  <a:ext uri="{63B3BB69-23CF-44E3-9099-C40C66FF867C}">
                    <a14:compatExt spid="_x0000_s47256"/>
                  </a:ext>
                  <a:ext uri="{FF2B5EF4-FFF2-40B4-BE49-F238E27FC236}">
                    <a16:creationId xmlns:a16="http://schemas.microsoft.com/office/drawing/2014/main" id="{00000000-0008-0000-0500-000098B80000}"/>
                  </a:ext>
                </a:extLst>
              </xdr:cNvPr>
              <xdr:cNvSpPr/>
            </xdr:nvSpPr>
            <xdr:spPr bwMode="auto">
              <a:xfrm>
                <a:off x="421"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7257" name="Option Button 153" hidden="1">
                <a:extLst>
                  <a:ext uri="{63B3BB69-23CF-44E3-9099-C40C66FF867C}">
                    <a14:compatExt spid="_x0000_s47257"/>
                  </a:ext>
                  <a:ext uri="{FF2B5EF4-FFF2-40B4-BE49-F238E27FC236}">
                    <a16:creationId xmlns:a16="http://schemas.microsoft.com/office/drawing/2014/main" id="{00000000-0008-0000-0500-000099B80000}"/>
                  </a:ext>
                </a:extLst>
              </xdr:cNvPr>
              <xdr:cNvSpPr/>
            </xdr:nvSpPr>
            <xdr:spPr bwMode="auto">
              <a:xfrm>
                <a:off x="480"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133350</xdr:rowOff>
        </xdr:from>
        <xdr:to>
          <xdr:col>5</xdr:col>
          <xdr:colOff>95250</xdr:colOff>
          <xdr:row>44</xdr:row>
          <xdr:rowOff>19050</xdr:rowOff>
        </xdr:to>
        <xdr:sp macro="" textlink="">
          <xdr:nvSpPr>
            <xdr:cNvPr id="47270" name="Check Box 166" hidden="1">
              <a:extLst>
                <a:ext uri="{63B3BB69-23CF-44E3-9099-C40C66FF867C}">
                  <a14:compatExt spid="_x0000_s47270"/>
                </a:ext>
                <a:ext uri="{FF2B5EF4-FFF2-40B4-BE49-F238E27FC236}">
                  <a16:creationId xmlns:a16="http://schemas.microsoft.com/office/drawing/2014/main" id="{00000000-0008-0000-0500-0000A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142875</xdr:rowOff>
        </xdr:from>
        <xdr:to>
          <xdr:col>5</xdr:col>
          <xdr:colOff>95250</xdr:colOff>
          <xdr:row>45</xdr:row>
          <xdr:rowOff>28575</xdr:rowOff>
        </xdr:to>
        <xdr:sp macro="" textlink="">
          <xdr:nvSpPr>
            <xdr:cNvPr id="47271" name="Check Box 167" hidden="1">
              <a:extLst>
                <a:ext uri="{63B3BB69-23CF-44E3-9099-C40C66FF867C}">
                  <a14:compatExt spid="_x0000_s47271"/>
                </a:ext>
                <a:ext uri="{FF2B5EF4-FFF2-40B4-BE49-F238E27FC236}">
                  <a16:creationId xmlns:a16="http://schemas.microsoft.com/office/drawing/2014/main" id="{00000000-0008-0000-0500-0000A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123825</xdr:rowOff>
        </xdr:from>
        <xdr:to>
          <xdr:col>5</xdr:col>
          <xdr:colOff>95250</xdr:colOff>
          <xdr:row>47</xdr:row>
          <xdr:rowOff>9525</xdr:rowOff>
        </xdr:to>
        <xdr:sp macro="" textlink="">
          <xdr:nvSpPr>
            <xdr:cNvPr id="47272" name="Check Box 168" hidden="1">
              <a:extLst>
                <a:ext uri="{63B3BB69-23CF-44E3-9099-C40C66FF867C}">
                  <a14:compatExt spid="_x0000_s47272"/>
                </a:ext>
                <a:ext uri="{FF2B5EF4-FFF2-40B4-BE49-F238E27FC236}">
                  <a16:creationId xmlns:a16="http://schemas.microsoft.com/office/drawing/2014/main" id="{00000000-0008-0000-0500-0000A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123825</xdr:rowOff>
        </xdr:from>
        <xdr:to>
          <xdr:col>5</xdr:col>
          <xdr:colOff>95250</xdr:colOff>
          <xdr:row>46</xdr:row>
          <xdr:rowOff>19050</xdr:rowOff>
        </xdr:to>
        <xdr:sp macro="" textlink="">
          <xdr:nvSpPr>
            <xdr:cNvPr id="47273" name="Check Box 169" hidden="1">
              <a:extLst>
                <a:ext uri="{63B3BB69-23CF-44E3-9099-C40C66FF867C}">
                  <a14:compatExt spid="_x0000_s47273"/>
                </a:ext>
                <a:ext uri="{FF2B5EF4-FFF2-40B4-BE49-F238E27FC236}">
                  <a16:creationId xmlns:a16="http://schemas.microsoft.com/office/drawing/2014/main" id="{00000000-0008-0000-0500-0000A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133350</xdr:rowOff>
        </xdr:from>
        <xdr:to>
          <xdr:col>5</xdr:col>
          <xdr:colOff>95250</xdr:colOff>
          <xdr:row>106</xdr:row>
          <xdr:rowOff>19050</xdr:rowOff>
        </xdr:to>
        <xdr:sp macro="" textlink="">
          <xdr:nvSpPr>
            <xdr:cNvPr id="47274" name="Check Box 170" hidden="1">
              <a:extLst>
                <a:ext uri="{63B3BB69-23CF-44E3-9099-C40C66FF867C}">
                  <a14:compatExt spid="_x0000_s47274"/>
                </a:ext>
                <a:ext uri="{FF2B5EF4-FFF2-40B4-BE49-F238E27FC236}">
                  <a16:creationId xmlns:a16="http://schemas.microsoft.com/office/drawing/2014/main" id="{00000000-0008-0000-0500-0000A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xdr:row>
          <xdr:rowOff>142875</xdr:rowOff>
        </xdr:from>
        <xdr:to>
          <xdr:col>5</xdr:col>
          <xdr:colOff>95250</xdr:colOff>
          <xdr:row>107</xdr:row>
          <xdr:rowOff>38100</xdr:rowOff>
        </xdr:to>
        <xdr:sp macro="" textlink="">
          <xdr:nvSpPr>
            <xdr:cNvPr id="47275" name="Check Box 171" hidden="1">
              <a:extLst>
                <a:ext uri="{63B3BB69-23CF-44E3-9099-C40C66FF867C}">
                  <a14:compatExt spid="_x0000_s47275"/>
                </a:ext>
                <a:ext uri="{FF2B5EF4-FFF2-40B4-BE49-F238E27FC236}">
                  <a16:creationId xmlns:a16="http://schemas.microsoft.com/office/drawing/2014/main" id="{00000000-0008-0000-0500-0000A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107</xdr:row>
          <xdr:rowOff>133350</xdr:rowOff>
        </xdr:from>
        <xdr:to>
          <xdr:col>5</xdr:col>
          <xdr:colOff>95250</xdr:colOff>
          <xdr:row>109</xdr:row>
          <xdr:rowOff>19050</xdr:rowOff>
        </xdr:to>
        <xdr:sp macro="" textlink="">
          <xdr:nvSpPr>
            <xdr:cNvPr id="47276" name="Check Box 172" hidden="1">
              <a:extLst>
                <a:ext uri="{63B3BB69-23CF-44E3-9099-C40C66FF867C}">
                  <a14:compatExt spid="_x0000_s47276"/>
                </a:ext>
                <a:ext uri="{FF2B5EF4-FFF2-40B4-BE49-F238E27FC236}">
                  <a16:creationId xmlns:a16="http://schemas.microsoft.com/office/drawing/2014/main" id="{00000000-0008-0000-0500-0000A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xdr:row>
          <xdr:rowOff>133350</xdr:rowOff>
        </xdr:from>
        <xdr:to>
          <xdr:col>5</xdr:col>
          <xdr:colOff>95250</xdr:colOff>
          <xdr:row>108</xdr:row>
          <xdr:rowOff>19050</xdr:rowOff>
        </xdr:to>
        <xdr:sp macro="" textlink="">
          <xdr:nvSpPr>
            <xdr:cNvPr id="47277" name="Check Box 173" hidden="1">
              <a:extLst>
                <a:ext uri="{63B3BB69-23CF-44E3-9099-C40C66FF867C}">
                  <a14:compatExt spid="_x0000_s47277"/>
                </a:ext>
                <a:ext uri="{FF2B5EF4-FFF2-40B4-BE49-F238E27FC236}">
                  <a16:creationId xmlns:a16="http://schemas.microsoft.com/office/drawing/2014/main" id="{00000000-0008-0000-0500-0000A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180</xdr:row>
          <xdr:rowOff>142875</xdr:rowOff>
        </xdr:from>
        <xdr:to>
          <xdr:col>5</xdr:col>
          <xdr:colOff>95250</xdr:colOff>
          <xdr:row>182</xdr:row>
          <xdr:rowOff>38100</xdr:rowOff>
        </xdr:to>
        <xdr:sp macro="" textlink="">
          <xdr:nvSpPr>
            <xdr:cNvPr id="47278" name="Check Box 174" hidden="1">
              <a:extLst>
                <a:ext uri="{63B3BB69-23CF-44E3-9099-C40C66FF867C}">
                  <a14:compatExt spid="_x0000_s47278"/>
                </a:ext>
                <a:ext uri="{FF2B5EF4-FFF2-40B4-BE49-F238E27FC236}">
                  <a16:creationId xmlns:a16="http://schemas.microsoft.com/office/drawing/2014/main" id="{00000000-0008-0000-0500-0000AE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181</xdr:row>
          <xdr:rowOff>142875</xdr:rowOff>
        </xdr:from>
        <xdr:to>
          <xdr:col>5</xdr:col>
          <xdr:colOff>95250</xdr:colOff>
          <xdr:row>183</xdr:row>
          <xdr:rowOff>47625</xdr:rowOff>
        </xdr:to>
        <xdr:sp macro="" textlink="">
          <xdr:nvSpPr>
            <xdr:cNvPr id="47279" name="Check Box 175" hidden="1">
              <a:extLst>
                <a:ext uri="{63B3BB69-23CF-44E3-9099-C40C66FF867C}">
                  <a14:compatExt spid="_x0000_s47279"/>
                </a:ext>
                <a:ext uri="{FF2B5EF4-FFF2-40B4-BE49-F238E27FC236}">
                  <a16:creationId xmlns:a16="http://schemas.microsoft.com/office/drawing/2014/main" id="{00000000-0008-0000-0500-0000AF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183</xdr:row>
          <xdr:rowOff>133350</xdr:rowOff>
        </xdr:from>
        <xdr:to>
          <xdr:col>5</xdr:col>
          <xdr:colOff>95250</xdr:colOff>
          <xdr:row>185</xdr:row>
          <xdr:rowOff>28575</xdr:rowOff>
        </xdr:to>
        <xdr:sp macro="" textlink="">
          <xdr:nvSpPr>
            <xdr:cNvPr id="47280" name="Check Box 176" hidden="1">
              <a:extLst>
                <a:ext uri="{63B3BB69-23CF-44E3-9099-C40C66FF867C}">
                  <a14:compatExt spid="_x0000_s47280"/>
                </a:ext>
                <a:ext uri="{FF2B5EF4-FFF2-40B4-BE49-F238E27FC236}">
                  <a16:creationId xmlns:a16="http://schemas.microsoft.com/office/drawing/2014/main" id="{00000000-0008-0000-0500-0000B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182</xdr:row>
          <xdr:rowOff>142875</xdr:rowOff>
        </xdr:from>
        <xdr:to>
          <xdr:col>5</xdr:col>
          <xdr:colOff>95250</xdr:colOff>
          <xdr:row>184</xdr:row>
          <xdr:rowOff>28575</xdr:rowOff>
        </xdr:to>
        <xdr:sp macro="" textlink="">
          <xdr:nvSpPr>
            <xdr:cNvPr id="47281" name="Check Box 177" hidden="1">
              <a:extLst>
                <a:ext uri="{63B3BB69-23CF-44E3-9099-C40C66FF867C}">
                  <a14:compatExt spid="_x0000_s47281"/>
                </a:ext>
                <a:ext uri="{FF2B5EF4-FFF2-40B4-BE49-F238E27FC236}">
                  <a16:creationId xmlns:a16="http://schemas.microsoft.com/office/drawing/2014/main" id="{00000000-0008-0000-0500-0000B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256</xdr:row>
          <xdr:rowOff>133350</xdr:rowOff>
        </xdr:from>
        <xdr:to>
          <xdr:col>5</xdr:col>
          <xdr:colOff>95250</xdr:colOff>
          <xdr:row>258</xdr:row>
          <xdr:rowOff>19050</xdr:rowOff>
        </xdr:to>
        <xdr:sp macro="" textlink="">
          <xdr:nvSpPr>
            <xdr:cNvPr id="47282" name="Check Box 178" hidden="1">
              <a:extLst>
                <a:ext uri="{63B3BB69-23CF-44E3-9099-C40C66FF867C}">
                  <a14:compatExt spid="_x0000_s47282"/>
                </a:ext>
                <a:ext uri="{FF2B5EF4-FFF2-40B4-BE49-F238E27FC236}">
                  <a16:creationId xmlns:a16="http://schemas.microsoft.com/office/drawing/2014/main" id="{00000000-0008-0000-0500-0000B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257</xdr:row>
          <xdr:rowOff>152400</xdr:rowOff>
        </xdr:from>
        <xdr:to>
          <xdr:col>5</xdr:col>
          <xdr:colOff>95250</xdr:colOff>
          <xdr:row>259</xdr:row>
          <xdr:rowOff>47625</xdr:rowOff>
        </xdr:to>
        <xdr:sp macro="" textlink="">
          <xdr:nvSpPr>
            <xdr:cNvPr id="47283" name="Check Box 179" hidden="1">
              <a:extLst>
                <a:ext uri="{63B3BB69-23CF-44E3-9099-C40C66FF867C}">
                  <a14:compatExt spid="_x0000_s47283"/>
                </a:ext>
                <a:ext uri="{FF2B5EF4-FFF2-40B4-BE49-F238E27FC236}">
                  <a16:creationId xmlns:a16="http://schemas.microsoft.com/office/drawing/2014/main" id="{00000000-0008-0000-0500-0000B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259</xdr:row>
          <xdr:rowOff>142875</xdr:rowOff>
        </xdr:from>
        <xdr:to>
          <xdr:col>5</xdr:col>
          <xdr:colOff>95250</xdr:colOff>
          <xdr:row>261</xdr:row>
          <xdr:rowOff>38100</xdr:rowOff>
        </xdr:to>
        <xdr:sp macro="" textlink="">
          <xdr:nvSpPr>
            <xdr:cNvPr id="47284" name="Check Box 180" hidden="1">
              <a:extLst>
                <a:ext uri="{63B3BB69-23CF-44E3-9099-C40C66FF867C}">
                  <a14:compatExt spid="_x0000_s47284"/>
                </a:ext>
                <a:ext uri="{FF2B5EF4-FFF2-40B4-BE49-F238E27FC236}">
                  <a16:creationId xmlns:a16="http://schemas.microsoft.com/office/drawing/2014/main" id="{00000000-0008-0000-0500-0000B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258</xdr:row>
          <xdr:rowOff>133350</xdr:rowOff>
        </xdr:from>
        <xdr:to>
          <xdr:col>5</xdr:col>
          <xdr:colOff>95250</xdr:colOff>
          <xdr:row>260</xdr:row>
          <xdr:rowOff>28575</xdr:rowOff>
        </xdr:to>
        <xdr:sp macro="" textlink="">
          <xdr:nvSpPr>
            <xdr:cNvPr id="47285" name="Check Box 181" hidden="1">
              <a:extLst>
                <a:ext uri="{63B3BB69-23CF-44E3-9099-C40C66FF867C}">
                  <a14:compatExt spid="_x0000_s47285"/>
                </a:ext>
                <a:ext uri="{FF2B5EF4-FFF2-40B4-BE49-F238E27FC236}">
                  <a16:creationId xmlns:a16="http://schemas.microsoft.com/office/drawing/2014/main" id="{00000000-0008-0000-0500-0000B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331</xdr:row>
          <xdr:rowOff>152400</xdr:rowOff>
        </xdr:from>
        <xdr:to>
          <xdr:col>5</xdr:col>
          <xdr:colOff>95250</xdr:colOff>
          <xdr:row>333</xdr:row>
          <xdr:rowOff>47625</xdr:rowOff>
        </xdr:to>
        <xdr:sp macro="" textlink="">
          <xdr:nvSpPr>
            <xdr:cNvPr id="47286" name="Check Box 182" hidden="1">
              <a:extLst>
                <a:ext uri="{63B3BB69-23CF-44E3-9099-C40C66FF867C}">
                  <a14:compatExt spid="_x0000_s47286"/>
                </a:ext>
                <a:ext uri="{FF2B5EF4-FFF2-40B4-BE49-F238E27FC236}">
                  <a16:creationId xmlns:a16="http://schemas.microsoft.com/office/drawing/2014/main" id="{00000000-0008-0000-0500-0000B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332</xdr:row>
          <xdr:rowOff>152400</xdr:rowOff>
        </xdr:from>
        <xdr:to>
          <xdr:col>5</xdr:col>
          <xdr:colOff>95250</xdr:colOff>
          <xdr:row>334</xdr:row>
          <xdr:rowOff>57150</xdr:rowOff>
        </xdr:to>
        <xdr:sp macro="" textlink="">
          <xdr:nvSpPr>
            <xdr:cNvPr id="47287" name="Check Box 183" hidden="1">
              <a:extLst>
                <a:ext uri="{63B3BB69-23CF-44E3-9099-C40C66FF867C}">
                  <a14:compatExt spid="_x0000_s47287"/>
                </a:ext>
                <a:ext uri="{FF2B5EF4-FFF2-40B4-BE49-F238E27FC236}">
                  <a16:creationId xmlns:a16="http://schemas.microsoft.com/office/drawing/2014/main" id="{00000000-0008-0000-0500-0000B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334</xdr:row>
          <xdr:rowOff>142875</xdr:rowOff>
        </xdr:from>
        <xdr:to>
          <xdr:col>5</xdr:col>
          <xdr:colOff>95250</xdr:colOff>
          <xdr:row>336</xdr:row>
          <xdr:rowOff>38100</xdr:rowOff>
        </xdr:to>
        <xdr:sp macro="" textlink="">
          <xdr:nvSpPr>
            <xdr:cNvPr id="47288" name="Check Box 184" hidden="1">
              <a:extLst>
                <a:ext uri="{63B3BB69-23CF-44E3-9099-C40C66FF867C}">
                  <a14:compatExt spid="_x0000_s47288"/>
                </a:ext>
                <a:ext uri="{FF2B5EF4-FFF2-40B4-BE49-F238E27FC236}">
                  <a16:creationId xmlns:a16="http://schemas.microsoft.com/office/drawing/2014/main" id="{00000000-0008-0000-0500-0000B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333</xdr:row>
          <xdr:rowOff>133350</xdr:rowOff>
        </xdr:from>
        <xdr:to>
          <xdr:col>5</xdr:col>
          <xdr:colOff>95250</xdr:colOff>
          <xdr:row>335</xdr:row>
          <xdr:rowOff>28575</xdr:rowOff>
        </xdr:to>
        <xdr:sp macro="" textlink="">
          <xdr:nvSpPr>
            <xdr:cNvPr id="47289" name="Check Box 185" hidden="1">
              <a:extLst>
                <a:ext uri="{63B3BB69-23CF-44E3-9099-C40C66FF867C}">
                  <a14:compatExt spid="_x0000_s47289"/>
                </a:ext>
                <a:ext uri="{FF2B5EF4-FFF2-40B4-BE49-F238E27FC236}">
                  <a16:creationId xmlns:a16="http://schemas.microsoft.com/office/drawing/2014/main" id="{00000000-0008-0000-0500-0000B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584</xdr:row>
          <xdr:rowOff>28575</xdr:rowOff>
        </xdr:from>
        <xdr:to>
          <xdr:col>8</xdr:col>
          <xdr:colOff>66675</xdr:colOff>
          <xdr:row>585</xdr:row>
          <xdr:rowOff>9525</xdr:rowOff>
        </xdr:to>
        <xdr:sp macro="" textlink="">
          <xdr:nvSpPr>
            <xdr:cNvPr id="47391" name="Check Box 287" hidden="1">
              <a:extLst>
                <a:ext uri="{63B3BB69-23CF-44E3-9099-C40C66FF867C}">
                  <a14:compatExt spid="_x0000_s47391"/>
                </a:ext>
                <a:ext uri="{FF2B5EF4-FFF2-40B4-BE49-F238E27FC236}">
                  <a16:creationId xmlns:a16="http://schemas.microsoft.com/office/drawing/2014/main" id="{00000000-0008-0000-0500-00001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462</xdr:row>
          <xdr:rowOff>123825</xdr:rowOff>
        </xdr:from>
        <xdr:to>
          <xdr:col>5</xdr:col>
          <xdr:colOff>104775</xdr:colOff>
          <xdr:row>463</xdr:row>
          <xdr:rowOff>200025</xdr:rowOff>
        </xdr:to>
        <xdr:sp macro="" textlink="">
          <xdr:nvSpPr>
            <xdr:cNvPr id="47470" name="Check Box 366" hidden="1">
              <a:extLst>
                <a:ext uri="{63B3BB69-23CF-44E3-9099-C40C66FF867C}">
                  <a14:compatExt spid="_x0000_s47470"/>
                </a:ext>
                <a:ext uri="{FF2B5EF4-FFF2-40B4-BE49-F238E27FC236}">
                  <a16:creationId xmlns:a16="http://schemas.microsoft.com/office/drawing/2014/main" id="{00000000-0008-0000-0500-00006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463</xdr:row>
          <xdr:rowOff>200025</xdr:rowOff>
        </xdr:from>
        <xdr:to>
          <xdr:col>5</xdr:col>
          <xdr:colOff>104775</xdr:colOff>
          <xdr:row>464</xdr:row>
          <xdr:rowOff>190500</xdr:rowOff>
        </xdr:to>
        <xdr:sp macro="" textlink="">
          <xdr:nvSpPr>
            <xdr:cNvPr id="47471" name="Check Box 367" hidden="1">
              <a:extLst>
                <a:ext uri="{63B3BB69-23CF-44E3-9099-C40C66FF867C}">
                  <a14:compatExt spid="_x0000_s47471"/>
                </a:ext>
                <a:ext uri="{FF2B5EF4-FFF2-40B4-BE49-F238E27FC236}">
                  <a16:creationId xmlns:a16="http://schemas.microsoft.com/office/drawing/2014/main" id="{00000000-0008-0000-0500-00006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464</xdr:row>
          <xdr:rowOff>200025</xdr:rowOff>
        </xdr:from>
        <xdr:to>
          <xdr:col>5</xdr:col>
          <xdr:colOff>104775</xdr:colOff>
          <xdr:row>465</xdr:row>
          <xdr:rowOff>200025</xdr:rowOff>
        </xdr:to>
        <xdr:sp macro="" textlink="">
          <xdr:nvSpPr>
            <xdr:cNvPr id="47472" name="Check Box 368" hidden="1">
              <a:extLst>
                <a:ext uri="{63B3BB69-23CF-44E3-9099-C40C66FF867C}">
                  <a14:compatExt spid="_x0000_s47472"/>
                </a:ext>
                <a:ext uri="{FF2B5EF4-FFF2-40B4-BE49-F238E27FC236}">
                  <a16:creationId xmlns:a16="http://schemas.microsoft.com/office/drawing/2014/main" id="{00000000-0008-0000-0500-00007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465</xdr:row>
          <xdr:rowOff>209550</xdr:rowOff>
        </xdr:from>
        <xdr:to>
          <xdr:col>5</xdr:col>
          <xdr:colOff>104775</xdr:colOff>
          <xdr:row>466</xdr:row>
          <xdr:rowOff>200025</xdr:rowOff>
        </xdr:to>
        <xdr:sp macro="" textlink="">
          <xdr:nvSpPr>
            <xdr:cNvPr id="47473" name="Check Box 369" hidden="1">
              <a:extLst>
                <a:ext uri="{63B3BB69-23CF-44E3-9099-C40C66FF867C}">
                  <a14:compatExt spid="_x0000_s47473"/>
                </a:ext>
                <a:ext uri="{FF2B5EF4-FFF2-40B4-BE49-F238E27FC236}">
                  <a16:creationId xmlns:a16="http://schemas.microsoft.com/office/drawing/2014/main" id="{00000000-0008-0000-0500-000071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466</xdr:row>
          <xdr:rowOff>209550</xdr:rowOff>
        </xdr:from>
        <xdr:to>
          <xdr:col>5</xdr:col>
          <xdr:colOff>104775</xdr:colOff>
          <xdr:row>467</xdr:row>
          <xdr:rowOff>200025</xdr:rowOff>
        </xdr:to>
        <xdr:sp macro="" textlink="">
          <xdr:nvSpPr>
            <xdr:cNvPr id="47474" name="Check Box 370" hidden="1">
              <a:extLst>
                <a:ext uri="{63B3BB69-23CF-44E3-9099-C40C66FF867C}">
                  <a14:compatExt spid="_x0000_s47474"/>
                </a:ext>
                <a:ext uri="{FF2B5EF4-FFF2-40B4-BE49-F238E27FC236}">
                  <a16:creationId xmlns:a16="http://schemas.microsoft.com/office/drawing/2014/main" id="{00000000-0008-0000-0500-00007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477</xdr:row>
          <xdr:rowOff>161925</xdr:rowOff>
        </xdr:from>
        <xdr:to>
          <xdr:col>5</xdr:col>
          <xdr:colOff>104775</xdr:colOff>
          <xdr:row>479</xdr:row>
          <xdr:rowOff>0</xdr:rowOff>
        </xdr:to>
        <xdr:sp macro="" textlink="">
          <xdr:nvSpPr>
            <xdr:cNvPr id="47475" name="Check Box 371" hidden="1">
              <a:extLst>
                <a:ext uri="{63B3BB69-23CF-44E3-9099-C40C66FF867C}">
                  <a14:compatExt spid="_x0000_s47475"/>
                </a:ext>
                <a:ext uri="{FF2B5EF4-FFF2-40B4-BE49-F238E27FC236}">
                  <a16:creationId xmlns:a16="http://schemas.microsoft.com/office/drawing/2014/main" id="{00000000-0008-0000-0500-000073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478</xdr:row>
          <xdr:rowOff>152400</xdr:rowOff>
        </xdr:from>
        <xdr:to>
          <xdr:col>5</xdr:col>
          <xdr:colOff>104775</xdr:colOff>
          <xdr:row>479</xdr:row>
          <xdr:rowOff>180975</xdr:rowOff>
        </xdr:to>
        <xdr:sp macro="" textlink="">
          <xdr:nvSpPr>
            <xdr:cNvPr id="47476" name="Check Box 372" hidden="1">
              <a:extLst>
                <a:ext uri="{63B3BB69-23CF-44E3-9099-C40C66FF867C}">
                  <a14:compatExt spid="_x0000_s47476"/>
                </a:ext>
                <a:ext uri="{FF2B5EF4-FFF2-40B4-BE49-F238E27FC236}">
                  <a16:creationId xmlns:a16="http://schemas.microsoft.com/office/drawing/2014/main" id="{00000000-0008-0000-0500-000074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469</xdr:row>
          <xdr:rowOff>123825</xdr:rowOff>
        </xdr:from>
        <xdr:to>
          <xdr:col>5</xdr:col>
          <xdr:colOff>104775</xdr:colOff>
          <xdr:row>471</xdr:row>
          <xdr:rowOff>0</xdr:rowOff>
        </xdr:to>
        <xdr:sp macro="" textlink="">
          <xdr:nvSpPr>
            <xdr:cNvPr id="47477" name="Check Box 373" hidden="1">
              <a:extLst>
                <a:ext uri="{63B3BB69-23CF-44E3-9099-C40C66FF867C}">
                  <a14:compatExt spid="_x0000_s47477"/>
                </a:ext>
                <a:ext uri="{FF2B5EF4-FFF2-40B4-BE49-F238E27FC236}">
                  <a16:creationId xmlns:a16="http://schemas.microsoft.com/office/drawing/2014/main" id="{00000000-0008-0000-0500-000075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476</xdr:row>
          <xdr:rowOff>114300</xdr:rowOff>
        </xdr:from>
        <xdr:to>
          <xdr:col>5</xdr:col>
          <xdr:colOff>104775</xdr:colOff>
          <xdr:row>477</xdr:row>
          <xdr:rowOff>142875</xdr:rowOff>
        </xdr:to>
        <xdr:sp macro="" textlink="">
          <xdr:nvSpPr>
            <xdr:cNvPr id="47478" name="Check Box 374" hidden="1">
              <a:extLst>
                <a:ext uri="{63B3BB69-23CF-44E3-9099-C40C66FF867C}">
                  <a14:compatExt spid="_x0000_s47478"/>
                </a:ext>
                <a:ext uri="{FF2B5EF4-FFF2-40B4-BE49-F238E27FC236}">
                  <a16:creationId xmlns:a16="http://schemas.microsoft.com/office/drawing/2014/main" id="{00000000-0008-0000-0500-000076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9525</xdr:colOff>
          <xdr:row>462</xdr:row>
          <xdr:rowOff>76200</xdr:rowOff>
        </xdr:from>
        <xdr:to>
          <xdr:col>3</xdr:col>
          <xdr:colOff>257175</xdr:colOff>
          <xdr:row>467</xdr:row>
          <xdr:rowOff>161925</xdr:rowOff>
        </xdr:to>
        <xdr:sp macro="" textlink="">
          <xdr:nvSpPr>
            <xdr:cNvPr id="47479" name="Group Box 375" hidden="1">
              <a:extLst>
                <a:ext uri="{63B3BB69-23CF-44E3-9099-C40C66FF867C}">
                  <a14:compatExt spid="_x0000_s47479"/>
                </a:ext>
                <a:ext uri="{FF2B5EF4-FFF2-40B4-BE49-F238E27FC236}">
                  <a16:creationId xmlns:a16="http://schemas.microsoft.com/office/drawing/2014/main" id="{00000000-0008-0000-0500-00007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464</xdr:row>
          <xdr:rowOff>47625</xdr:rowOff>
        </xdr:from>
        <xdr:to>
          <xdr:col>3</xdr:col>
          <xdr:colOff>238125</xdr:colOff>
          <xdr:row>465</xdr:row>
          <xdr:rowOff>47625</xdr:rowOff>
        </xdr:to>
        <xdr:sp macro="" textlink="">
          <xdr:nvSpPr>
            <xdr:cNvPr id="47480" name="Option Button 376" hidden="1">
              <a:extLst>
                <a:ext uri="{63B3BB69-23CF-44E3-9099-C40C66FF867C}">
                  <a14:compatExt spid="_x0000_s47480"/>
                </a:ext>
                <a:ext uri="{FF2B5EF4-FFF2-40B4-BE49-F238E27FC236}">
                  <a16:creationId xmlns:a16="http://schemas.microsoft.com/office/drawing/2014/main" id="{00000000-0008-0000-0500-000078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465</xdr:row>
          <xdr:rowOff>47625</xdr:rowOff>
        </xdr:from>
        <xdr:to>
          <xdr:col>3</xdr:col>
          <xdr:colOff>238125</xdr:colOff>
          <xdr:row>466</xdr:row>
          <xdr:rowOff>38100</xdr:rowOff>
        </xdr:to>
        <xdr:sp macro="" textlink="">
          <xdr:nvSpPr>
            <xdr:cNvPr id="47481" name="Option Button 377" hidden="1">
              <a:extLst>
                <a:ext uri="{63B3BB69-23CF-44E3-9099-C40C66FF867C}">
                  <a14:compatExt spid="_x0000_s47481"/>
                </a:ext>
                <a:ext uri="{FF2B5EF4-FFF2-40B4-BE49-F238E27FC236}">
                  <a16:creationId xmlns:a16="http://schemas.microsoft.com/office/drawing/2014/main" id="{00000000-0008-0000-0500-000079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Upper arm, with loss of triceps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466</xdr:row>
          <xdr:rowOff>171450</xdr:rowOff>
        </xdr:from>
        <xdr:to>
          <xdr:col>3</xdr:col>
          <xdr:colOff>238125</xdr:colOff>
          <xdr:row>467</xdr:row>
          <xdr:rowOff>161925</xdr:rowOff>
        </xdr:to>
        <xdr:sp macro="" textlink="">
          <xdr:nvSpPr>
            <xdr:cNvPr id="47482" name="Option Button 378" hidden="1">
              <a:extLst>
                <a:ext uri="{63B3BB69-23CF-44E3-9099-C40C66FF867C}">
                  <a14:compatExt spid="_x0000_s47482"/>
                </a:ext>
                <a:ext uri="{FF2B5EF4-FFF2-40B4-BE49-F238E27FC236}">
                  <a16:creationId xmlns:a16="http://schemas.microsoft.com/office/drawing/2014/main" id="{00000000-0008-0000-0500-00007A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Triceps only (25%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471</xdr:row>
          <xdr:rowOff>142875</xdr:rowOff>
        </xdr:from>
        <xdr:to>
          <xdr:col>5</xdr:col>
          <xdr:colOff>104775</xdr:colOff>
          <xdr:row>472</xdr:row>
          <xdr:rowOff>171450</xdr:rowOff>
        </xdr:to>
        <xdr:sp macro="" textlink="">
          <xdr:nvSpPr>
            <xdr:cNvPr id="47483" name="Check Box 379" hidden="1">
              <a:extLst>
                <a:ext uri="{63B3BB69-23CF-44E3-9099-C40C66FF867C}">
                  <a14:compatExt spid="_x0000_s47483"/>
                </a:ext>
                <a:ext uri="{FF2B5EF4-FFF2-40B4-BE49-F238E27FC236}">
                  <a16:creationId xmlns:a16="http://schemas.microsoft.com/office/drawing/2014/main" id="{00000000-0008-0000-0500-00007B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472</xdr:row>
          <xdr:rowOff>142875</xdr:rowOff>
        </xdr:from>
        <xdr:to>
          <xdr:col>5</xdr:col>
          <xdr:colOff>104775</xdr:colOff>
          <xdr:row>473</xdr:row>
          <xdr:rowOff>171450</xdr:rowOff>
        </xdr:to>
        <xdr:sp macro="" textlink="">
          <xdr:nvSpPr>
            <xdr:cNvPr id="47484" name="Check Box 380" hidden="1">
              <a:extLst>
                <a:ext uri="{63B3BB69-23CF-44E3-9099-C40C66FF867C}">
                  <a14:compatExt spid="_x0000_s47484"/>
                </a:ext>
                <a:ext uri="{FF2B5EF4-FFF2-40B4-BE49-F238E27FC236}">
                  <a16:creationId xmlns:a16="http://schemas.microsoft.com/office/drawing/2014/main" id="{00000000-0008-0000-0500-00007C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473</xdr:row>
          <xdr:rowOff>142875</xdr:rowOff>
        </xdr:from>
        <xdr:to>
          <xdr:col>5</xdr:col>
          <xdr:colOff>104775</xdr:colOff>
          <xdr:row>474</xdr:row>
          <xdr:rowOff>171450</xdr:rowOff>
        </xdr:to>
        <xdr:sp macro="" textlink="">
          <xdr:nvSpPr>
            <xdr:cNvPr id="47485" name="Check Box 381" hidden="1">
              <a:extLst>
                <a:ext uri="{63B3BB69-23CF-44E3-9099-C40C66FF867C}">
                  <a14:compatExt spid="_x0000_s47485"/>
                </a:ext>
                <a:ext uri="{FF2B5EF4-FFF2-40B4-BE49-F238E27FC236}">
                  <a16:creationId xmlns:a16="http://schemas.microsoft.com/office/drawing/2014/main" id="{00000000-0008-0000-0500-00007D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474</xdr:row>
          <xdr:rowOff>133350</xdr:rowOff>
        </xdr:from>
        <xdr:to>
          <xdr:col>5</xdr:col>
          <xdr:colOff>104775</xdr:colOff>
          <xdr:row>475</xdr:row>
          <xdr:rowOff>161925</xdr:rowOff>
        </xdr:to>
        <xdr:sp macro="" textlink="">
          <xdr:nvSpPr>
            <xdr:cNvPr id="47486" name="Check Box 382" hidden="1">
              <a:extLst>
                <a:ext uri="{63B3BB69-23CF-44E3-9099-C40C66FF867C}">
                  <a14:compatExt spid="_x0000_s47486"/>
                </a:ext>
                <a:ext uri="{FF2B5EF4-FFF2-40B4-BE49-F238E27FC236}">
                  <a16:creationId xmlns:a16="http://schemas.microsoft.com/office/drawing/2014/main" id="{00000000-0008-0000-0500-00007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475</xdr:row>
          <xdr:rowOff>142875</xdr:rowOff>
        </xdr:from>
        <xdr:to>
          <xdr:col>5</xdr:col>
          <xdr:colOff>104775</xdr:colOff>
          <xdr:row>476</xdr:row>
          <xdr:rowOff>171450</xdr:rowOff>
        </xdr:to>
        <xdr:sp macro="" textlink="">
          <xdr:nvSpPr>
            <xdr:cNvPr id="47487" name="Check Box 383" hidden="1">
              <a:extLst>
                <a:ext uri="{63B3BB69-23CF-44E3-9099-C40C66FF867C}">
                  <a14:compatExt spid="_x0000_s47487"/>
                </a:ext>
                <a:ext uri="{FF2B5EF4-FFF2-40B4-BE49-F238E27FC236}">
                  <a16:creationId xmlns:a16="http://schemas.microsoft.com/office/drawing/2014/main" id="{00000000-0008-0000-0500-00007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476</xdr:row>
          <xdr:rowOff>142875</xdr:rowOff>
        </xdr:from>
        <xdr:to>
          <xdr:col>5</xdr:col>
          <xdr:colOff>104775</xdr:colOff>
          <xdr:row>477</xdr:row>
          <xdr:rowOff>171450</xdr:rowOff>
        </xdr:to>
        <xdr:sp macro="" textlink="">
          <xdr:nvSpPr>
            <xdr:cNvPr id="47488" name="Check Box 384" hidden="1">
              <a:extLst>
                <a:ext uri="{63B3BB69-23CF-44E3-9099-C40C66FF867C}">
                  <a14:compatExt spid="_x0000_s47488"/>
                </a:ext>
                <a:ext uri="{FF2B5EF4-FFF2-40B4-BE49-F238E27FC236}">
                  <a16:creationId xmlns:a16="http://schemas.microsoft.com/office/drawing/2014/main" id="{00000000-0008-0000-0500-00008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200025</xdr:colOff>
          <xdr:row>466</xdr:row>
          <xdr:rowOff>19050</xdr:rowOff>
        </xdr:from>
        <xdr:to>
          <xdr:col>1</xdr:col>
          <xdr:colOff>819150</xdr:colOff>
          <xdr:row>466</xdr:row>
          <xdr:rowOff>161925</xdr:rowOff>
        </xdr:to>
        <xdr:sp macro="" textlink="">
          <xdr:nvSpPr>
            <xdr:cNvPr id="47489" name="Label 385" hidden="1">
              <a:extLst>
                <a:ext uri="{63B3BB69-23CF-44E3-9099-C40C66FF867C}">
                  <a14:compatExt spid="_x0000_s47489"/>
                </a:ext>
                <a:ext uri="{FF2B5EF4-FFF2-40B4-BE49-F238E27FC236}">
                  <a16:creationId xmlns:a16="http://schemas.microsoft.com/office/drawing/2014/main" id="{00000000-0008-0000-0500-000081B9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cs typeface="Segoe UI"/>
                </a:rPr>
                <a:t>(55%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470</xdr:row>
          <xdr:rowOff>152400</xdr:rowOff>
        </xdr:from>
        <xdr:to>
          <xdr:col>5</xdr:col>
          <xdr:colOff>104775</xdr:colOff>
          <xdr:row>471</xdr:row>
          <xdr:rowOff>180975</xdr:rowOff>
        </xdr:to>
        <xdr:sp macro="" textlink="">
          <xdr:nvSpPr>
            <xdr:cNvPr id="47490" name="Check Box 386" hidden="1">
              <a:extLst>
                <a:ext uri="{63B3BB69-23CF-44E3-9099-C40C66FF867C}">
                  <a14:compatExt spid="_x0000_s47490"/>
                </a:ext>
                <a:ext uri="{FF2B5EF4-FFF2-40B4-BE49-F238E27FC236}">
                  <a16:creationId xmlns:a16="http://schemas.microsoft.com/office/drawing/2014/main" id="{00000000-0008-0000-0500-00008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426</xdr:row>
          <xdr:rowOff>0</xdr:rowOff>
        </xdr:from>
        <xdr:to>
          <xdr:col>14</xdr:col>
          <xdr:colOff>609600</xdr:colOff>
          <xdr:row>427</xdr:row>
          <xdr:rowOff>0</xdr:rowOff>
        </xdr:to>
        <xdr:sp macro="" textlink="">
          <xdr:nvSpPr>
            <xdr:cNvPr id="168241" name="Group Box 1329" hidden="1">
              <a:extLst>
                <a:ext uri="{63B3BB69-23CF-44E3-9099-C40C66FF867C}">
                  <a14:compatExt spid="_x0000_s168241"/>
                </a:ext>
                <a:ext uri="{FF2B5EF4-FFF2-40B4-BE49-F238E27FC236}">
                  <a16:creationId xmlns:a16="http://schemas.microsoft.com/office/drawing/2014/main" id="{00000000-0008-0000-0500-000031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426</xdr:row>
          <xdr:rowOff>28575</xdr:rowOff>
        </xdr:from>
        <xdr:to>
          <xdr:col>10</xdr:col>
          <xdr:colOff>9525</xdr:colOff>
          <xdr:row>426</xdr:row>
          <xdr:rowOff>247650</xdr:rowOff>
        </xdr:to>
        <xdr:sp macro="" textlink="">
          <xdr:nvSpPr>
            <xdr:cNvPr id="168242" name="Option Button 1330" hidden="1">
              <a:extLst>
                <a:ext uri="{63B3BB69-23CF-44E3-9099-C40C66FF867C}">
                  <a14:compatExt spid="_x0000_s168242"/>
                </a:ext>
                <a:ext uri="{FF2B5EF4-FFF2-40B4-BE49-F238E27FC236}">
                  <a16:creationId xmlns:a16="http://schemas.microsoft.com/office/drawing/2014/main" id="{00000000-0008-0000-0500-000032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426</xdr:row>
          <xdr:rowOff>28575</xdr:rowOff>
        </xdr:from>
        <xdr:to>
          <xdr:col>13</xdr:col>
          <xdr:colOff>28575</xdr:colOff>
          <xdr:row>426</xdr:row>
          <xdr:rowOff>247650</xdr:rowOff>
        </xdr:to>
        <xdr:sp macro="" textlink="">
          <xdr:nvSpPr>
            <xdr:cNvPr id="168243" name="Option Button 1331" hidden="1">
              <a:extLst>
                <a:ext uri="{63B3BB69-23CF-44E3-9099-C40C66FF867C}">
                  <a14:compatExt spid="_x0000_s168243"/>
                </a:ext>
                <a:ext uri="{FF2B5EF4-FFF2-40B4-BE49-F238E27FC236}">
                  <a16:creationId xmlns:a16="http://schemas.microsoft.com/office/drawing/2014/main" id="{00000000-0008-0000-0500-000033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426</xdr:row>
          <xdr:rowOff>38100</xdr:rowOff>
        </xdr:from>
        <xdr:to>
          <xdr:col>14</xdr:col>
          <xdr:colOff>428625</xdr:colOff>
          <xdr:row>426</xdr:row>
          <xdr:rowOff>257175</xdr:rowOff>
        </xdr:to>
        <xdr:sp macro="" textlink="">
          <xdr:nvSpPr>
            <xdr:cNvPr id="168244" name="Option Button 1332" hidden="1">
              <a:extLst>
                <a:ext uri="{63B3BB69-23CF-44E3-9099-C40C66FF867C}">
                  <a14:compatExt spid="_x0000_s168244"/>
                </a:ext>
                <a:ext uri="{FF2B5EF4-FFF2-40B4-BE49-F238E27FC236}">
                  <a16:creationId xmlns:a16="http://schemas.microsoft.com/office/drawing/2014/main" id="{00000000-0008-0000-0500-000034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427</xdr:row>
          <xdr:rowOff>0</xdr:rowOff>
        </xdr:from>
        <xdr:to>
          <xdr:col>14</xdr:col>
          <xdr:colOff>609600</xdr:colOff>
          <xdr:row>428</xdr:row>
          <xdr:rowOff>0</xdr:rowOff>
        </xdr:to>
        <xdr:sp macro="" textlink="">
          <xdr:nvSpPr>
            <xdr:cNvPr id="168245" name="Group Box 1333" hidden="1">
              <a:extLst>
                <a:ext uri="{63B3BB69-23CF-44E3-9099-C40C66FF867C}">
                  <a14:compatExt spid="_x0000_s168245"/>
                </a:ext>
                <a:ext uri="{FF2B5EF4-FFF2-40B4-BE49-F238E27FC236}">
                  <a16:creationId xmlns:a16="http://schemas.microsoft.com/office/drawing/2014/main" id="{00000000-0008-0000-0500-000035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427</xdr:row>
          <xdr:rowOff>28575</xdr:rowOff>
        </xdr:from>
        <xdr:to>
          <xdr:col>10</xdr:col>
          <xdr:colOff>9525</xdr:colOff>
          <xdr:row>427</xdr:row>
          <xdr:rowOff>247650</xdr:rowOff>
        </xdr:to>
        <xdr:sp macro="" textlink="">
          <xdr:nvSpPr>
            <xdr:cNvPr id="168246" name="Option Button 1334" hidden="1">
              <a:extLst>
                <a:ext uri="{63B3BB69-23CF-44E3-9099-C40C66FF867C}">
                  <a14:compatExt spid="_x0000_s168246"/>
                </a:ext>
                <a:ext uri="{FF2B5EF4-FFF2-40B4-BE49-F238E27FC236}">
                  <a16:creationId xmlns:a16="http://schemas.microsoft.com/office/drawing/2014/main" id="{00000000-0008-0000-0500-000036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427</xdr:row>
          <xdr:rowOff>28575</xdr:rowOff>
        </xdr:from>
        <xdr:to>
          <xdr:col>13</xdr:col>
          <xdr:colOff>28575</xdr:colOff>
          <xdr:row>427</xdr:row>
          <xdr:rowOff>247650</xdr:rowOff>
        </xdr:to>
        <xdr:sp macro="" textlink="">
          <xdr:nvSpPr>
            <xdr:cNvPr id="168247" name="Option Button 1335" hidden="1">
              <a:extLst>
                <a:ext uri="{63B3BB69-23CF-44E3-9099-C40C66FF867C}">
                  <a14:compatExt spid="_x0000_s168247"/>
                </a:ext>
                <a:ext uri="{FF2B5EF4-FFF2-40B4-BE49-F238E27FC236}">
                  <a16:creationId xmlns:a16="http://schemas.microsoft.com/office/drawing/2014/main" id="{00000000-0008-0000-0500-000037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427</xdr:row>
          <xdr:rowOff>38100</xdr:rowOff>
        </xdr:from>
        <xdr:to>
          <xdr:col>14</xdr:col>
          <xdr:colOff>428625</xdr:colOff>
          <xdr:row>427</xdr:row>
          <xdr:rowOff>257175</xdr:rowOff>
        </xdr:to>
        <xdr:sp macro="" textlink="">
          <xdr:nvSpPr>
            <xdr:cNvPr id="168248" name="Option Button 1336" hidden="1">
              <a:extLst>
                <a:ext uri="{63B3BB69-23CF-44E3-9099-C40C66FF867C}">
                  <a14:compatExt spid="_x0000_s168248"/>
                </a:ext>
                <a:ext uri="{FF2B5EF4-FFF2-40B4-BE49-F238E27FC236}">
                  <a16:creationId xmlns:a16="http://schemas.microsoft.com/office/drawing/2014/main" id="{00000000-0008-0000-0500-000038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428</xdr:row>
          <xdr:rowOff>0</xdr:rowOff>
        </xdr:from>
        <xdr:to>
          <xdr:col>14</xdr:col>
          <xdr:colOff>609600</xdr:colOff>
          <xdr:row>429</xdr:row>
          <xdr:rowOff>0</xdr:rowOff>
        </xdr:to>
        <xdr:sp macro="" textlink="">
          <xdr:nvSpPr>
            <xdr:cNvPr id="168249" name="Group Box 1337" hidden="1">
              <a:extLst>
                <a:ext uri="{63B3BB69-23CF-44E3-9099-C40C66FF867C}">
                  <a14:compatExt spid="_x0000_s168249"/>
                </a:ext>
                <a:ext uri="{FF2B5EF4-FFF2-40B4-BE49-F238E27FC236}">
                  <a16:creationId xmlns:a16="http://schemas.microsoft.com/office/drawing/2014/main" id="{00000000-0008-0000-0500-000039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428</xdr:row>
          <xdr:rowOff>28575</xdr:rowOff>
        </xdr:from>
        <xdr:to>
          <xdr:col>10</xdr:col>
          <xdr:colOff>9525</xdr:colOff>
          <xdr:row>428</xdr:row>
          <xdr:rowOff>247650</xdr:rowOff>
        </xdr:to>
        <xdr:sp macro="" textlink="">
          <xdr:nvSpPr>
            <xdr:cNvPr id="168250" name="Option Button 1338" hidden="1">
              <a:extLst>
                <a:ext uri="{63B3BB69-23CF-44E3-9099-C40C66FF867C}">
                  <a14:compatExt spid="_x0000_s168250"/>
                </a:ext>
                <a:ext uri="{FF2B5EF4-FFF2-40B4-BE49-F238E27FC236}">
                  <a16:creationId xmlns:a16="http://schemas.microsoft.com/office/drawing/2014/main" id="{00000000-0008-0000-0500-00003A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428</xdr:row>
          <xdr:rowOff>28575</xdr:rowOff>
        </xdr:from>
        <xdr:to>
          <xdr:col>13</xdr:col>
          <xdr:colOff>28575</xdr:colOff>
          <xdr:row>428</xdr:row>
          <xdr:rowOff>247650</xdr:rowOff>
        </xdr:to>
        <xdr:sp macro="" textlink="">
          <xdr:nvSpPr>
            <xdr:cNvPr id="168251" name="Option Button 1339" hidden="1">
              <a:extLst>
                <a:ext uri="{63B3BB69-23CF-44E3-9099-C40C66FF867C}">
                  <a14:compatExt spid="_x0000_s168251"/>
                </a:ext>
                <a:ext uri="{FF2B5EF4-FFF2-40B4-BE49-F238E27FC236}">
                  <a16:creationId xmlns:a16="http://schemas.microsoft.com/office/drawing/2014/main" id="{00000000-0008-0000-0500-00003B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428</xdr:row>
          <xdr:rowOff>38100</xdr:rowOff>
        </xdr:from>
        <xdr:to>
          <xdr:col>14</xdr:col>
          <xdr:colOff>428625</xdr:colOff>
          <xdr:row>428</xdr:row>
          <xdr:rowOff>257175</xdr:rowOff>
        </xdr:to>
        <xdr:sp macro="" textlink="">
          <xdr:nvSpPr>
            <xdr:cNvPr id="168252" name="Option Button 1340" hidden="1">
              <a:extLst>
                <a:ext uri="{63B3BB69-23CF-44E3-9099-C40C66FF867C}">
                  <a14:compatExt spid="_x0000_s168252"/>
                </a:ext>
                <a:ext uri="{FF2B5EF4-FFF2-40B4-BE49-F238E27FC236}">
                  <a16:creationId xmlns:a16="http://schemas.microsoft.com/office/drawing/2014/main" id="{00000000-0008-0000-0500-00003C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429</xdr:row>
          <xdr:rowOff>0</xdr:rowOff>
        </xdr:from>
        <xdr:to>
          <xdr:col>14</xdr:col>
          <xdr:colOff>609600</xdr:colOff>
          <xdr:row>430</xdr:row>
          <xdr:rowOff>0</xdr:rowOff>
        </xdr:to>
        <xdr:sp macro="" textlink="">
          <xdr:nvSpPr>
            <xdr:cNvPr id="168253" name="Group Box 1341" hidden="1">
              <a:extLst>
                <a:ext uri="{63B3BB69-23CF-44E3-9099-C40C66FF867C}">
                  <a14:compatExt spid="_x0000_s168253"/>
                </a:ext>
                <a:ext uri="{FF2B5EF4-FFF2-40B4-BE49-F238E27FC236}">
                  <a16:creationId xmlns:a16="http://schemas.microsoft.com/office/drawing/2014/main" id="{00000000-0008-0000-0500-00003D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429</xdr:row>
          <xdr:rowOff>28575</xdr:rowOff>
        </xdr:from>
        <xdr:to>
          <xdr:col>10</xdr:col>
          <xdr:colOff>9525</xdr:colOff>
          <xdr:row>429</xdr:row>
          <xdr:rowOff>247650</xdr:rowOff>
        </xdr:to>
        <xdr:sp macro="" textlink="">
          <xdr:nvSpPr>
            <xdr:cNvPr id="168254" name="Option Button 1342" hidden="1">
              <a:extLst>
                <a:ext uri="{63B3BB69-23CF-44E3-9099-C40C66FF867C}">
                  <a14:compatExt spid="_x0000_s168254"/>
                </a:ext>
                <a:ext uri="{FF2B5EF4-FFF2-40B4-BE49-F238E27FC236}">
                  <a16:creationId xmlns:a16="http://schemas.microsoft.com/office/drawing/2014/main" id="{00000000-0008-0000-0500-00003E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429</xdr:row>
          <xdr:rowOff>28575</xdr:rowOff>
        </xdr:from>
        <xdr:to>
          <xdr:col>13</xdr:col>
          <xdr:colOff>28575</xdr:colOff>
          <xdr:row>429</xdr:row>
          <xdr:rowOff>247650</xdr:rowOff>
        </xdr:to>
        <xdr:sp macro="" textlink="">
          <xdr:nvSpPr>
            <xdr:cNvPr id="168255" name="Option Button 1343" hidden="1">
              <a:extLst>
                <a:ext uri="{63B3BB69-23CF-44E3-9099-C40C66FF867C}">
                  <a14:compatExt spid="_x0000_s168255"/>
                </a:ext>
                <a:ext uri="{FF2B5EF4-FFF2-40B4-BE49-F238E27FC236}">
                  <a16:creationId xmlns:a16="http://schemas.microsoft.com/office/drawing/2014/main" id="{00000000-0008-0000-0500-00003F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429</xdr:row>
          <xdr:rowOff>38100</xdr:rowOff>
        </xdr:from>
        <xdr:to>
          <xdr:col>14</xdr:col>
          <xdr:colOff>428625</xdr:colOff>
          <xdr:row>429</xdr:row>
          <xdr:rowOff>257175</xdr:rowOff>
        </xdr:to>
        <xdr:sp macro="" textlink="">
          <xdr:nvSpPr>
            <xdr:cNvPr id="168256" name="Option Button 1344" hidden="1">
              <a:extLst>
                <a:ext uri="{63B3BB69-23CF-44E3-9099-C40C66FF867C}">
                  <a14:compatExt spid="_x0000_s168256"/>
                </a:ext>
                <a:ext uri="{FF2B5EF4-FFF2-40B4-BE49-F238E27FC236}">
                  <a16:creationId xmlns:a16="http://schemas.microsoft.com/office/drawing/2014/main" id="{00000000-0008-0000-0500-000040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430</xdr:row>
          <xdr:rowOff>0</xdr:rowOff>
        </xdr:from>
        <xdr:to>
          <xdr:col>14</xdr:col>
          <xdr:colOff>609600</xdr:colOff>
          <xdr:row>431</xdr:row>
          <xdr:rowOff>0</xdr:rowOff>
        </xdr:to>
        <xdr:sp macro="" textlink="">
          <xdr:nvSpPr>
            <xdr:cNvPr id="168257" name="Group Box 1345" hidden="1">
              <a:extLst>
                <a:ext uri="{63B3BB69-23CF-44E3-9099-C40C66FF867C}">
                  <a14:compatExt spid="_x0000_s168257"/>
                </a:ext>
                <a:ext uri="{FF2B5EF4-FFF2-40B4-BE49-F238E27FC236}">
                  <a16:creationId xmlns:a16="http://schemas.microsoft.com/office/drawing/2014/main" id="{00000000-0008-0000-0500-000041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430</xdr:row>
          <xdr:rowOff>28575</xdr:rowOff>
        </xdr:from>
        <xdr:to>
          <xdr:col>10</xdr:col>
          <xdr:colOff>9525</xdr:colOff>
          <xdr:row>430</xdr:row>
          <xdr:rowOff>247650</xdr:rowOff>
        </xdr:to>
        <xdr:sp macro="" textlink="">
          <xdr:nvSpPr>
            <xdr:cNvPr id="168258" name="Option Button 1346" hidden="1">
              <a:extLst>
                <a:ext uri="{63B3BB69-23CF-44E3-9099-C40C66FF867C}">
                  <a14:compatExt spid="_x0000_s168258"/>
                </a:ext>
                <a:ext uri="{FF2B5EF4-FFF2-40B4-BE49-F238E27FC236}">
                  <a16:creationId xmlns:a16="http://schemas.microsoft.com/office/drawing/2014/main" id="{00000000-0008-0000-0500-000042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430</xdr:row>
          <xdr:rowOff>28575</xdr:rowOff>
        </xdr:from>
        <xdr:to>
          <xdr:col>13</xdr:col>
          <xdr:colOff>28575</xdr:colOff>
          <xdr:row>430</xdr:row>
          <xdr:rowOff>247650</xdr:rowOff>
        </xdr:to>
        <xdr:sp macro="" textlink="">
          <xdr:nvSpPr>
            <xdr:cNvPr id="168259" name="Option Button 1347" hidden="1">
              <a:extLst>
                <a:ext uri="{63B3BB69-23CF-44E3-9099-C40C66FF867C}">
                  <a14:compatExt spid="_x0000_s168259"/>
                </a:ext>
                <a:ext uri="{FF2B5EF4-FFF2-40B4-BE49-F238E27FC236}">
                  <a16:creationId xmlns:a16="http://schemas.microsoft.com/office/drawing/2014/main" id="{00000000-0008-0000-0500-000043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430</xdr:row>
          <xdr:rowOff>38100</xdr:rowOff>
        </xdr:from>
        <xdr:to>
          <xdr:col>14</xdr:col>
          <xdr:colOff>428625</xdr:colOff>
          <xdr:row>430</xdr:row>
          <xdr:rowOff>257175</xdr:rowOff>
        </xdr:to>
        <xdr:sp macro="" textlink="">
          <xdr:nvSpPr>
            <xdr:cNvPr id="168260" name="Option Button 1348" hidden="1">
              <a:extLst>
                <a:ext uri="{63B3BB69-23CF-44E3-9099-C40C66FF867C}">
                  <a14:compatExt spid="_x0000_s168260"/>
                </a:ext>
                <a:ext uri="{FF2B5EF4-FFF2-40B4-BE49-F238E27FC236}">
                  <a16:creationId xmlns:a16="http://schemas.microsoft.com/office/drawing/2014/main" id="{00000000-0008-0000-0500-000044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431</xdr:row>
          <xdr:rowOff>0</xdr:rowOff>
        </xdr:from>
        <xdr:to>
          <xdr:col>14</xdr:col>
          <xdr:colOff>609600</xdr:colOff>
          <xdr:row>432</xdr:row>
          <xdr:rowOff>0</xdr:rowOff>
        </xdr:to>
        <xdr:sp macro="" textlink="">
          <xdr:nvSpPr>
            <xdr:cNvPr id="168261" name="Group Box 1349" hidden="1">
              <a:extLst>
                <a:ext uri="{63B3BB69-23CF-44E3-9099-C40C66FF867C}">
                  <a14:compatExt spid="_x0000_s168261"/>
                </a:ext>
                <a:ext uri="{FF2B5EF4-FFF2-40B4-BE49-F238E27FC236}">
                  <a16:creationId xmlns:a16="http://schemas.microsoft.com/office/drawing/2014/main" id="{00000000-0008-0000-0500-000045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431</xdr:row>
          <xdr:rowOff>28575</xdr:rowOff>
        </xdr:from>
        <xdr:to>
          <xdr:col>10</xdr:col>
          <xdr:colOff>9525</xdr:colOff>
          <xdr:row>431</xdr:row>
          <xdr:rowOff>247650</xdr:rowOff>
        </xdr:to>
        <xdr:sp macro="" textlink="">
          <xdr:nvSpPr>
            <xdr:cNvPr id="168262" name="Option Button 1350" hidden="1">
              <a:extLst>
                <a:ext uri="{63B3BB69-23CF-44E3-9099-C40C66FF867C}">
                  <a14:compatExt spid="_x0000_s168262"/>
                </a:ext>
                <a:ext uri="{FF2B5EF4-FFF2-40B4-BE49-F238E27FC236}">
                  <a16:creationId xmlns:a16="http://schemas.microsoft.com/office/drawing/2014/main" id="{00000000-0008-0000-0500-000046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431</xdr:row>
          <xdr:rowOff>28575</xdr:rowOff>
        </xdr:from>
        <xdr:to>
          <xdr:col>13</xdr:col>
          <xdr:colOff>28575</xdr:colOff>
          <xdr:row>431</xdr:row>
          <xdr:rowOff>247650</xdr:rowOff>
        </xdr:to>
        <xdr:sp macro="" textlink="">
          <xdr:nvSpPr>
            <xdr:cNvPr id="168263" name="Option Button 1351" hidden="1">
              <a:extLst>
                <a:ext uri="{63B3BB69-23CF-44E3-9099-C40C66FF867C}">
                  <a14:compatExt spid="_x0000_s168263"/>
                </a:ext>
                <a:ext uri="{FF2B5EF4-FFF2-40B4-BE49-F238E27FC236}">
                  <a16:creationId xmlns:a16="http://schemas.microsoft.com/office/drawing/2014/main" id="{00000000-0008-0000-0500-000047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431</xdr:row>
          <xdr:rowOff>38100</xdr:rowOff>
        </xdr:from>
        <xdr:to>
          <xdr:col>14</xdr:col>
          <xdr:colOff>428625</xdr:colOff>
          <xdr:row>431</xdr:row>
          <xdr:rowOff>257175</xdr:rowOff>
        </xdr:to>
        <xdr:sp macro="" textlink="">
          <xdr:nvSpPr>
            <xdr:cNvPr id="168264" name="Option Button 1352" hidden="1">
              <a:extLst>
                <a:ext uri="{63B3BB69-23CF-44E3-9099-C40C66FF867C}">
                  <a14:compatExt spid="_x0000_s168264"/>
                </a:ext>
                <a:ext uri="{FF2B5EF4-FFF2-40B4-BE49-F238E27FC236}">
                  <a16:creationId xmlns:a16="http://schemas.microsoft.com/office/drawing/2014/main" id="{00000000-0008-0000-0500-000048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432</xdr:row>
          <xdr:rowOff>0</xdr:rowOff>
        </xdr:from>
        <xdr:to>
          <xdr:col>14</xdr:col>
          <xdr:colOff>609600</xdr:colOff>
          <xdr:row>433</xdr:row>
          <xdr:rowOff>0</xdr:rowOff>
        </xdr:to>
        <xdr:sp macro="" textlink="">
          <xdr:nvSpPr>
            <xdr:cNvPr id="168265" name="Group Box 1353" hidden="1">
              <a:extLst>
                <a:ext uri="{63B3BB69-23CF-44E3-9099-C40C66FF867C}">
                  <a14:compatExt spid="_x0000_s168265"/>
                </a:ext>
                <a:ext uri="{FF2B5EF4-FFF2-40B4-BE49-F238E27FC236}">
                  <a16:creationId xmlns:a16="http://schemas.microsoft.com/office/drawing/2014/main" id="{00000000-0008-0000-0500-000049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432</xdr:row>
          <xdr:rowOff>28575</xdr:rowOff>
        </xdr:from>
        <xdr:to>
          <xdr:col>10</xdr:col>
          <xdr:colOff>9525</xdr:colOff>
          <xdr:row>432</xdr:row>
          <xdr:rowOff>247650</xdr:rowOff>
        </xdr:to>
        <xdr:sp macro="" textlink="">
          <xdr:nvSpPr>
            <xdr:cNvPr id="168266" name="Option Button 1354" hidden="1">
              <a:extLst>
                <a:ext uri="{63B3BB69-23CF-44E3-9099-C40C66FF867C}">
                  <a14:compatExt spid="_x0000_s168266"/>
                </a:ext>
                <a:ext uri="{FF2B5EF4-FFF2-40B4-BE49-F238E27FC236}">
                  <a16:creationId xmlns:a16="http://schemas.microsoft.com/office/drawing/2014/main" id="{00000000-0008-0000-0500-00004A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432</xdr:row>
          <xdr:rowOff>28575</xdr:rowOff>
        </xdr:from>
        <xdr:to>
          <xdr:col>13</xdr:col>
          <xdr:colOff>28575</xdr:colOff>
          <xdr:row>432</xdr:row>
          <xdr:rowOff>247650</xdr:rowOff>
        </xdr:to>
        <xdr:sp macro="" textlink="">
          <xdr:nvSpPr>
            <xdr:cNvPr id="168267" name="Option Button 1355" hidden="1">
              <a:extLst>
                <a:ext uri="{63B3BB69-23CF-44E3-9099-C40C66FF867C}">
                  <a14:compatExt spid="_x0000_s168267"/>
                </a:ext>
                <a:ext uri="{FF2B5EF4-FFF2-40B4-BE49-F238E27FC236}">
                  <a16:creationId xmlns:a16="http://schemas.microsoft.com/office/drawing/2014/main" id="{00000000-0008-0000-0500-00004B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432</xdr:row>
          <xdr:rowOff>38100</xdr:rowOff>
        </xdr:from>
        <xdr:to>
          <xdr:col>14</xdr:col>
          <xdr:colOff>428625</xdr:colOff>
          <xdr:row>432</xdr:row>
          <xdr:rowOff>257175</xdr:rowOff>
        </xdr:to>
        <xdr:sp macro="" textlink="">
          <xdr:nvSpPr>
            <xdr:cNvPr id="168268" name="Option Button 1356" hidden="1">
              <a:extLst>
                <a:ext uri="{63B3BB69-23CF-44E3-9099-C40C66FF867C}">
                  <a14:compatExt spid="_x0000_s168268"/>
                </a:ext>
                <a:ext uri="{FF2B5EF4-FFF2-40B4-BE49-F238E27FC236}">
                  <a16:creationId xmlns:a16="http://schemas.microsoft.com/office/drawing/2014/main" id="{00000000-0008-0000-0500-00004C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433</xdr:row>
          <xdr:rowOff>0</xdr:rowOff>
        </xdr:from>
        <xdr:to>
          <xdr:col>14</xdr:col>
          <xdr:colOff>609600</xdr:colOff>
          <xdr:row>434</xdr:row>
          <xdr:rowOff>0</xdr:rowOff>
        </xdr:to>
        <xdr:sp macro="" textlink="">
          <xdr:nvSpPr>
            <xdr:cNvPr id="168269" name="Group Box 1357" hidden="1">
              <a:extLst>
                <a:ext uri="{63B3BB69-23CF-44E3-9099-C40C66FF867C}">
                  <a14:compatExt spid="_x0000_s168269"/>
                </a:ext>
                <a:ext uri="{FF2B5EF4-FFF2-40B4-BE49-F238E27FC236}">
                  <a16:creationId xmlns:a16="http://schemas.microsoft.com/office/drawing/2014/main" id="{00000000-0008-0000-0500-00004D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433</xdr:row>
          <xdr:rowOff>28575</xdr:rowOff>
        </xdr:from>
        <xdr:to>
          <xdr:col>10</xdr:col>
          <xdr:colOff>9525</xdr:colOff>
          <xdr:row>433</xdr:row>
          <xdr:rowOff>247650</xdr:rowOff>
        </xdr:to>
        <xdr:sp macro="" textlink="">
          <xdr:nvSpPr>
            <xdr:cNvPr id="168270" name="Option Button 1358" hidden="1">
              <a:extLst>
                <a:ext uri="{63B3BB69-23CF-44E3-9099-C40C66FF867C}">
                  <a14:compatExt spid="_x0000_s168270"/>
                </a:ext>
                <a:ext uri="{FF2B5EF4-FFF2-40B4-BE49-F238E27FC236}">
                  <a16:creationId xmlns:a16="http://schemas.microsoft.com/office/drawing/2014/main" id="{00000000-0008-0000-0500-00004E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433</xdr:row>
          <xdr:rowOff>28575</xdr:rowOff>
        </xdr:from>
        <xdr:to>
          <xdr:col>13</xdr:col>
          <xdr:colOff>28575</xdr:colOff>
          <xdr:row>433</xdr:row>
          <xdr:rowOff>247650</xdr:rowOff>
        </xdr:to>
        <xdr:sp macro="" textlink="">
          <xdr:nvSpPr>
            <xdr:cNvPr id="168271" name="Option Button 1359" hidden="1">
              <a:extLst>
                <a:ext uri="{63B3BB69-23CF-44E3-9099-C40C66FF867C}">
                  <a14:compatExt spid="_x0000_s168271"/>
                </a:ext>
                <a:ext uri="{FF2B5EF4-FFF2-40B4-BE49-F238E27FC236}">
                  <a16:creationId xmlns:a16="http://schemas.microsoft.com/office/drawing/2014/main" id="{00000000-0008-0000-0500-00004F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433</xdr:row>
          <xdr:rowOff>38100</xdr:rowOff>
        </xdr:from>
        <xdr:to>
          <xdr:col>14</xdr:col>
          <xdr:colOff>428625</xdr:colOff>
          <xdr:row>433</xdr:row>
          <xdr:rowOff>257175</xdr:rowOff>
        </xdr:to>
        <xdr:sp macro="" textlink="">
          <xdr:nvSpPr>
            <xdr:cNvPr id="168272" name="Option Button 1360" hidden="1">
              <a:extLst>
                <a:ext uri="{63B3BB69-23CF-44E3-9099-C40C66FF867C}">
                  <a14:compatExt spid="_x0000_s168272"/>
                </a:ext>
                <a:ext uri="{FF2B5EF4-FFF2-40B4-BE49-F238E27FC236}">
                  <a16:creationId xmlns:a16="http://schemas.microsoft.com/office/drawing/2014/main" id="{00000000-0008-0000-0500-000050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9525</xdr:colOff>
      <xdr:row>292</xdr:row>
      <xdr:rowOff>0</xdr:rowOff>
    </xdr:from>
    <xdr:to>
      <xdr:col>3</xdr:col>
      <xdr:colOff>276225</xdr:colOff>
      <xdr:row>301</xdr:row>
      <xdr:rowOff>0</xdr:rowOff>
    </xdr:to>
    <xdr:grpSp>
      <xdr:nvGrpSpPr>
        <xdr:cNvPr id="89731" name="Group 181">
          <a:extLst>
            <a:ext uri="{FF2B5EF4-FFF2-40B4-BE49-F238E27FC236}">
              <a16:creationId xmlns:a16="http://schemas.microsoft.com/office/drawing/2014/main" id="{00000000-0008-0000-0600-0000835E0100}"/>
            </a:ext>
          </a:extLst>
        </xdr:cNvPr>
        <xdr:cNvGrpSpPr>
          <a:grpSpLocks/>
        </xdr:cNvGrpSpPr>
      </xdr:nvGrpSpPr>
      <xdr:grpSpPr bwMode="auto">
        <a:xfrm>
          <a:off x="65088" y="64587438"/>
          <a:ext cx="1933575" cy="1849437"/>
          <a:chOff x="7" y="6197"/>
          <a:chExt cx="203" cy="194"/>
        </a:xfrm>
      </xdr:grpSpPr>
      <xdr:sp macro="" textlink="">
        <xdr:nvSpPr>
          <xdr:cNvPr id="89742" name="AutoShape 178">
            <a:extLst>
              <a:ext uri="{FF2B5EF4-FFF2-40B4-BE49-F238E27FC236}">
                <a16:creationId xmlns:a16="http://schemas.microsoft.com/office/drawing/2014/main" id="{00000000-0008-0000-0600-00008E5E0100}"/>
              </a:ext>
            </a:extLst>
          </xdr:cNvPr>
          <xdr:cNvSpPr>
            <a:spLocks/>
          </xdr:cNvSpPr>
        </xdr:nvSpPr>
        <xdr:spPr bwMode="auto">
          <a:xfrm>
            <a:off x="46" y="6255"/>
            <a:ext cx="8" cy="50"/>
          </a:xfrm>
          <a:prstGeom prst="leftBracket">
            <a:avLst>
              <a:gd name="adj" fmla="val 5208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9743" name="AutoShape 179">
            <a:extLst>
              <a:ext uri="{FF2B5EF4-FFF2-40B4-BE49-F238E27FC236}">
                <a16:creationId xmlns:a16="http://schemas.microsoft.com/office/drawing/2014/main" id="{00000000-0008-0000-0600-00008F5E0100}"/>
              </a:ext>
            </a:extLst>
          </xdr:cNvPr>
          <xdr:cNvSpPr>
            <a:spLocks/>
          </xdr:cNvSpPr>
        </xdr:nvSpPr>
        <xdr:spPr bwMode="auto">
          <a:xfrm>
            <a:off x="46" y="6308"/>
            <a:ext cx="8" cy="50"/>
          </a:xfrm>
          <a:prstGeom prst="leftBracket">
            <a:avLst>
              <a:gd name="adj" fmla="val 5208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mc:AlternateContent xmlns:mc="http://schemas.openxmlformats.org/markup-compatibility/2006">
    <mc:Choice xmlns:a14="http://schemas.microsoft.com/office/drawing/2010/main" Requires="a14">
      <xdr:twoCellAnchor>
        <xdr:from>
          <xdr:col>1</xdr:col>
          <xdr:colOff>0</xdr:colOff>
          <xdr:row>286</xdr:row>
          <xdr:rowOff>0</xdr:rowOff>
        </xdr:from>
        <xdr:to>
          <xdr:col>3</xdr:col>
          <xdr:colOff>276225</xdr:colOff>
          <xdr:row>290</xdr:row>
          <xdr:rowOff>0</xdr:rowOff>
        </xdr:to>
        <xdr:grpSp>
          <xdr:nvGrpSpPr>
            <xdr:cNvPr id="89732" name="Group 1">
              <a:extLst>
                <a:ext uri="{FF2B5EF4-FFF2-40B4-BE49-F238E27FC236}">
                  <a16:creationId xmlns:a16="http://schemas.microsoft.com/office/drawing/2014/main" id="{00000000-0008-0000-0600-0000845E0100}"/>
                </a:ext>
              </a:extLst>
            </xdr:cNvPr>
            <xdr:cNvGrpSpPr>
              <a:grpSpLocks/>
            </xdr:cNvGrpSpPr>
          </xdr:nvGrpSpPr>
          <xdr:grpSpPr bwMode="auto">
            <a:xfrm>
              <a:off x="55563" y="63253938"/>
              <a:ext cx="1943100" cy="762000"/>
              <a:chOff x="16" y="7276"/>
              <a:chExt cx="200" cy="76"/>
            </a:xfrm>
          </xdr:grpSpPr>
          <xdr:sp macro="" textlink="">
            <xdr:nvSpPr>
              <xdr:cNvPr id="46082" name="Group Box 2" hidden="1">
                <a:extLst>
                  <a:ext uri="{63B3BB69-23CF-44E3-9099-C40C66FF867C}">
                    <a14:compatExt spid="_x0000_s46082"/>
                  </a:ext>
                  <a:ext uri="{FF2B5EF4-FFF2-40B4-BE49-F238E27FC236}">
                    <a16:creationId xmlns:a16="http://schemas.microsoft.com/office/drawing/2014/main" id="{00000000-0008-0000-0600-000002B40000}"/>
                  </a:ext>
                </a:extLst>
              </xdr:cNvPr>
              <xdr:cNvSpPr/>
            </xdr:nvSpPr>
            <xdr:spPr bwMode="auto">
              <a:xfrm>
                <a:off x="16" y="7276"/>
                <a:ext cx="200" cy="76"/>
              </a:xfrm>
              <a:prstGeom prst="rect">
                <a:avLst/>
              </a:prstGeom>
              <a:noFill/>
              <a:ln w="9525">
                <a:miter lim="800000"/>
                <a:headEnd/>
                <a:tailEnd/>
              </a:ln>
              <a:extLst>
                <a:ext uri="{909E8E84-426E-40DD-AFC4-6F175D3DCCD1}">
                  <a14:hiddenFill>
                    <a:noFill/>
                  </a14:hiddenFill>
                </a:ext>
              </a:extLst>
            </xdr:spPr>
          </xdr:sp>
          <xdr:sp macro="" textlink="">
            <xdr:nvSpPr>
              <xdr:cNvPr id="46083" name="Option Button 3" hidden="1">
                <a:extLst>
                  <a:ext uri="{63B3BB69-23CF-44E3-9099-C40C66FF867C}">
                    <a14:compatExt spid="_x0000_s46083"/>
                  </a:ext>
                  <a:ext uri="{FF2B5EF4-FFF2-40B4-BE49-F238E27FC236}">
                    <a16:creationId xmlns:a16="http://schemas.microsoft.com/office/drawing/2014/main" id="{00000000-0008-0000-0600-000003B40000}"/>
                  </a:ext>
                </a:extLst>
              </xdr:cNvPr>
              <xdr:cNvSpPr/>
            </xdr:nvSpPr>
            <xdr:spPr bwMode="auto">
              <a:xfrm>
                <a:off x="18" y="7278"/>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6084" name="Option Button 4" hidden="1">
                <a:extLst>
                  <a:ext uri="{63B3BB69-23CF-44E3-9099-C40C66FF867C}">
                    <a14:compatExt spid="_x0000_s46084"/>
                  </a:ext>
                  <a:ext uri="{FF2B5EF4-FFF2-40B4-BE49-F238E27FC236}">
                    <a16:creationId xmlns:a16="http://schemas.microsoft.com/office/drawing/2014/main" id="{00000000-0008-0000-0600-000004B40000}"/>
                  </a:ext>
                </a:extLst>
              </xdr:cNvPr>
              <xdr:cNvSpPr/>
            </xdr:nvSpPr>
            <xdr:spPr bwMode="auto">
              <a:xfrm>
                <a:off x="17" y="7302"/>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hamstring innerv. (75% leg)</a:t>
                </a:r>
              </a:p>
            </xdr:txBody>
          </xdr:sp>
          <xdr:sp macro="" textlink="">
            <xdr:nvSpPr>
              <xdr:cNvPr id="46085" name="Option Button 5" hidden="1">
                <a:extLst>
                  <a:ext uri="{63B3BB69-23CF-44E3-9099-C40C66FF867C}">
                    <a14:compatExt spid="_x0000_s46085"/>
                  </a:ext>
                  <a:ext uri="{FF2B5EF4-FFF2-40B4-BE49-F238E27FC236}">
                    <a16:creationId xmlns:a16="http://schemas.microsoft.com/office/drawing/2014/main" id="{00000000-0008-0000-0600-000005B40000}"/>
                  </a:ext>
                </a:extLst>
              </xdr:cNvPr>
              <xdr:cNvSpPr/>
            </xdr:nvSpPr>
            <xdr:spPr bwMode="auto">
              <a:xfrm>
                <a:off x="17" y="7325"/>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Hamstring only (40% leg)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279</xdr:row>
          <xdr:rowOff>0</xdr:rowOff>
        </xdr:from>
        <xdr:to>
          <xdr:col>5</xdr:col>
          <xdr:colOff>85725</xdr:colOff>
          <xdr:row>280</xdr:row>
          <xdr:rowOff>28575</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0600-00000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279</xdr:row>
          <xdr:rowOff>180975</xdr:rowOff>
        </xdr:from>
        <xdr:to>
          <xdr:col>5</xdr:col>
          <xdr:colOff>85725</xdr:colOff>
          <xdr:row>281</xdr:row>
          <xdr:rowOff>19050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6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280</xdr:row>
          <xdr:rowOff>171450</xdr:rowOff>
        </xdr:from>
        <xdr:to>
          <xdr:col>5</xdr:col>
          <xdr:colOff>85725</xdr:colOff>
          <xdr:row>282</xdr:row>
          <xdr:rowOff>9525</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6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281</xdr:row>
          <xdr:rowOff>161925</xdr:rowOff>
        </xdr:from>
        <xdr:to>
          <xdr:col>5</xdr:col>
          <xdr:colOff>85725</xdr:colOff>
          <xdr:row>283</xdr:row>
          <xdr:rowOff>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06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282</xdr:row>
          <xdr:rowOff>171450</xdr:rowOff>
        </xdr:from>
        <xdr:to>
          <xdr:col>5</xdr:col>
          <xdr:colOff>85725</xdr:colOff>
          <xdr:row>284</xdr:row>
          <xdr:rowOff>9525</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06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285</xdr:row>
          <xdr:rowOff>0</xdr:rowOff>
        </xdr:from>
        <xdr:to>
          <xdr:col>5</xdr:col>
          <xdr:colOff>85725</xdr:colOff>
          <xdr:row>285</xdr:row>
          <xdr:rowOff>219075</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6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285</xdr:row>
          <xdr:rowOff>333375</xdr:rowOff>
        </xdr:from>
        <xdr:to>
          <xdr:col>5</xdr:col>
          <xdr:colOff>85725</xdr:colOff>
          <xdr:row>287</xdr:row>
          <xdr:rowOff>19050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6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286</xdr:row>
          <xdr:rowOff>171450</xdr:rowOff>
        </xdr:from>
        <xdr:to>
          <xdr:col>5</xdr:col>
          <xdr:colOff>85725</xdr:colOff>
          <xdr:row>288</xdr:row>
          <xdr:rowOff>9525</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0600-00000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287</xdr:row>
          <xdr:rowOff>161925</xdr:rowOff>
        </xdr:from>
        <xdr:to>
          <xdr:col>5</xdr:col>
          <xdr:colOff>85725</xdr:colOff>
          <xdr:row>289</xdr:row>
          <xdr:rowOff>0</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0600-00000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288</xdr:row>
          <xdr:rowOff>171450</xdr:rowOff>
        </xdr:from>
        <xdr:to>
          <xdr:col>5</xdr:col>
          <xdr:colOff>85725</xdr:colOff>
          <xdr:row>290</xdr:row>
          <xdr:rowOff>9525</xdr:rowOff>
        </xdr:to>
        <xdr:sp macro="" textlink="">
          <xdr:nvSpPr>
            <xdr:cNvPr id="46095" name="Check Box 15" hidden="1">
              <a:extLst>
                <a:ext uri="{63B3BB69-23CF-44E3-9099-C40C66FF867C}">
                  <a14:compatExt spid="_x0000_s46095"/>
                </a:ext>
                <a:ext uri="{FF2B5EF4-FFF2-40B4-BE49-F238E27FC236}">
                  <a16:creationId xmlns:a16="http://schemas.microsoft.com/office/drawing/2014/main" id="{00000000-0008-0000-0600-00000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291</xdr:row>
          <xdr:rowOff>9525</xdr:rowOff>
        </xdr:from>
        <xdr:to>
          <xdr:col>5</xdr:col>
          <xdr:colOff>85725</xdr:colOff>
          <xdr:row>292</xdr:row>
          <xdr:rowOff>0</xdr:rowOff>
        </xdr:to>
        <xdr:sp macro="" textlink="">
          <xdr:nvSpPr>
            <xdr:cNvPr id="46096" name="Check Box 16" hidden="1">
              <a:extLst>
                <a:ext uri="{63B3BB69-23CF-44E3-9099-C40C66FF867C}">
                  <a14:compatExt spid="_x0000_s46096"/>
                </a:ext>
                <a:ext uri="{FF2B5EF4-FFF2-40B4-BE49-F238E27FC236}">
                  <a16:creationId xmlns:a16="http://schemas.microsoft.com/office/drawing/2014/main" id="{00000000-0008-0000-0600-00001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291</xdr:row>
          <xdr:rowOff>333375</xdr:rowOff>
        </xdr:from>
        <xdr:to>
          <xdr:col>5</xdr:col>
          <xdr:colOff>85725</xdr:colOff>
          <xdr:row>293</xdr:row>
          <xdr:rowOff>19050</xdr:rowOff>
        </xdr:to>
        <xdr:sp macro="" textlink="">
          <xdr:nvSpPr>
            <xdr:cNvPr id="46097" name="Check Box 17" hidden="1">
              <a:extLst>
                <a:ext uri="{63B3BB69-23CF-44E3-9099-C40C66FF867C}">
                  <a14:compatExt spid="_x0000_s46097"/>
                </a:ext>
                <a:ext uri="{FF2B5EF4-FFF2-40B4-BE49-F238E27FC236}">
                  <a16:creationId xmlns:a16="http://schemas.microsoft.com/office/drawing/2014/main" id="{00000000-0008-0000-0600-00001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292</xdr:row>
          <xdr:rowOff>171450</xdr:rowOff>
        </xdr:from>
        <xdr:to>
          <xdr:col>5</xdr:col>
          <xdr:colOff>85725</xdr:colOff>
          <xdr:row>294</xdr:row>
          <xdr:rowOff>9525</xdr:rowOff>
        </xdr:to>
        <xdr:sp macro="" textlink="">
          <xdr:nvSpPr>
            <xdr:cNvPr id="46098" name="Check Box 18" hidden="1">
              <a:extLst>
                <a:ext uri="{63B3BB69-23CF-44E3-9099-C40C66FF867C}">
                  <a14:compatExt spid="_x0000_s46098"/>
                </a:ext>
                <a:ext uri="{FF2B5EF4-FFF2-40B4-BE49-F238E27FC236}">
                  <a16:creationId xmlns:a16="http://schemas.microsoft.com/office/drawing/2014/main" id="{00000000-0008-0000-0600-00001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293</xdr:row>
          <xdr:rowOff>161925</xdr:rowOff>
        </xdr:from>
        <xdr:to>
          <xdr:col>5</xdr:col>
          <xdr:colOff>85725</xdr:colOff>
          <xdr:row>295</xdr:row>
          <xdr:rowOff>0</xdr:rowOff>
        </xdr:to>
        <xdr:sp macro="" textlink="">
          <xdr:nvSpPr>
            <xdr:cNvPr id="46099" name="Check Box 19" hidden="1">
              <a:extLst>
                <a:ext uri="{63B3BB69-23CF-44E3-9099-C40C66FF867C}">
                  <a14:compatExt spid="_x0000_s46099"/>
                </a:ext>
                <a:ext uri="{FF2B5EF4-FFF2-40B4-BE49-F238E27FC236}">
                  <a16:creationId xmlns:a16="http://schemas.microsoft.com/office/drawing/2014/main" id="{00000000-0008-0000-0600-00001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294</xdr:row>
          <xdr:rowOff>171450</xdr:rowOff>
        </xdr:from>
        <xdr:to>
          <xdr:col>5</xdr:col>
          <xdr:colOff>85725</xdr:colOff>
          <xdr:row>296</xdr:row>
          <xdr:rowOff>9525</xdr:rowOff>
        </xdr:to>
        <xdr:sp macro="" textlink="">
          <xdr:nvSpPr>
            <xdr:cNvPr id="46100" name="Check Box 20" hidden="1">
              <a:extLst>
                <a:ext uri="{63B3BB69-23CF-44E3-9099-C40C66FF867C}">
                  <a14:compatExt spid="_x0000_s46100"/>
                </a:ext>
                <a:ext uri="{FF2B5EF4-FFF2-40B4-BE49-F238E27FC236}">
                  <a16:creationId xmlns:a16="http://schemas.microsoft.com/office/drawing/2014/main" id="{00000000-0008-0000-0600-00001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298</xdr:row>
          <xdr:rowOff>304800</xdr:rowOff>
        </xdr:from>
        <xdr:to>
          <xdr:col>5</xdr:col>
          <xdr:colOff>85725</xdr:colOff>
          <xdr:row>300</xdr:row>
          <xdr:rowOff>9525</xdr:rowOff>
        </xdr:to>
        <xdr:sp macro="" textlink="">
          <xdr:nvSpPr>
            <xdr:cNvPr id="46101" name="Check Box 21" hidden="1">
              <a:extLst>
                <a:ext uri="{63B3BB69-23CF-44E3-9099-C40C66FF867C}">
                  <a14:compatExt spid="_x0000_s46101"/>
                </a:ext>
                <a:ext uri="{FF2B5EF4-FFF2-40B4-BE49-F238E27FC236}">
                  <a16:creationId xmlns:a16="http://schemas.microsoft.com/office/drawing/2014/main" id="{00000000-0008-0000-0600-00001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299</xdr:row>
          <xdr:rowOff>171450</xdr:rowOff>
        </xdr:from>
        <xdr:to>
          <xdr:col>5</xdr:col>
          <xdr:colOff>85725</xdr:colOff>
          <xdr:row>301</xdr:row>
          <xdr:rowOff>9525</xdr:rowOff>
        </xdr:to>
        <xdr:sp macro="" textlink="">
          <xdr:nvSpPr>
            <xdr:cNvPr id="46102" name="Check Box 22" hidden="1">
              <a:extLst>
                <a:ext uri="{63B3BB69-23CF-44E3-9099-C40C66FF867C}">
                  <a14:compatExt spid="_x0000_s46102"/>
                </a:ext>
                <a:ext uri="{FF2B5EF4-FFF2-40B4-BE49-F238E27FC236}">
                  <a16:creationId xmlns:a16="http://schemas.microsoft.com/office/drawing/2014/main" id="{00000000-0008-0000-0600-00001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306</xdr:row>
          <xdr:rowOff>333375</xdr:rowOff>
        </xdr:from>
        <xdr:to>
          <xdr:col>5</xdr:col>
          <xdr:colOff>85725</xdr:colOff>
          <xdr:row>308</xdr:row>
          <xdr:rowOff>19050</xdr:rowOff>
        </xdr:to>
        <xdr:sp macro="" textlink="">
          <xdr:nvSpPr>
            <xdr:cNvPr id="46103" name="Check Box 23" hidden="1">
              <a:extLst>
                <a:ext uri="{63B3BB69-23CF-44E3-9099-C40C66FF867C}">
                  <a14:compatExt spid="_x0000_s46103"/>
                </a:ext>
                <a:ext uri="{FF2B5EF4-FFF2-40B4-BE49-F238E27FC236}">
                  <a16:creationId xmlns:a16="http://schemas.microsoft.com/office/drawing/2014/main" id="{00000000-0008-0000-0600-00001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307</xdr:row>
          <xdr:rowOff>180975</xdr:rowOff>
        </xdr:from>
        <xdr:to>
          <xdr:col>5</xdr:col>
          <xdr:colOff>85725</xdr:colOff>
          <xdr:row>309</xdr:row>
          <xdr:rowOff>19050</xdr:rowOff>
        </xdr:to>
        <xdr:sp macro="" textlink="">
          <xdr:nvSpPr>
            <xdr:cNvPr id="46104" name="Check Box 24" hidden="1">
              <a:extLst>
                <a:ext uri="{63B3BB69-23CF-44E3-9099-C40C66FF867C}">
                  <a14:compatExt spid="_x0000_s46104"/>
                </a:ext>
                <a:ext uri="{FF2B5EF4-FFF2-40B4-BE49-F238E27FC236}">
                  <a16:creationId xmlns:a16="http://schemas.microsoft.com/office/drawing/2014/main" id="{00000000-0008-0000-0600-00001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308</xdr:row>
          <xdr:rowOff>171450</xdr:rowOff>
        </xdr:from>
        <xdr:to>
          <xdr:col>5</xdr:col>
          <xdr:colOff>85725</xdr:colOff>
          <xdr:row>310</xdr:row>
          <xdr:rowOff>9525</xdr:rowOff>
        </xdr:to>
        <xdr:sp macro="" textlink="">
          <xdr:nvSpPr>
            <xdr:cNvPr id="46105" name="Check Box 25" hidden="1">
              <a:extLst>
                <a:ext uri="{63B3BB69-23CF-44E3-9099-C40C66FF867C}">
                  <a14:compatExt spid="_x0000_s46105"/>
                </a:ext>
                <a:ext uri="{FF2B5EF4-FFF2-40B4-BE49-F238E27FC236}">
                  <a16:creationId xmlns:a16="http://schemas.microsoft.com/office/drawing/2014/main" id="{00000000-0008-0000-0600-00001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309</xdr:row>
          <xdr:rowOff>161925</xdr:rowOff>
        </xdr:from>
        <xdr:to>
          <xdr:col>5</xdr:col>
          <xdr:colOff>85725</xdr:colOff>
          <xdr:row>311</xdr:row>
          <xdr:rowOff>0</xdr:rowOff>
        </xdr:to>
        <xdr:sp macro="" textlink="">
          <xdr:nvSpPr>
            <xdr:cNvPr id="46106" name="Check Box 26" hidden="1">
              <a:extLst>
                <a:ext uri="{63B3BB69-23CF-44E3-9099-C40C66FF867C}">
                  <a14:compatExt spid="_x0000_s46106"/>
                </a:ext>
                <a:ext uri="{FF2B5EF4-FFF2-40B4-BE49-F238E27FC236}">
                  <a16:creationId xmlns:a16="http://schemas.microsoft.com/office/drawing/2014/main" id="{00000000-0008-0000-0600-00001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310</xdr:row>
          <xdr:rowOff>171450</xdr:rowOff>
        </xdr:from>
        <xdr:to>
          <xdr:col>5</xdr:col>
          <xdr:colOff>85725</xdr:colOff>
          <xdr:row>312</xdr:row>
          <xdr:rowOff>9525</xdr:rowOff>
        </xdr:to>
        <xdr:sp macro="" textlink="">
          <xdr:nvSpPr>
            <xdr:cNvPr id="46107" name="Check Box 27" hidden="1">
              <a:extLst>
                <a:ext uri="{63B3BB69-23CF-44E3-9099-C40C66FF867C}">
                  <a14:compatExt spid="_x0000_s46107"/>
                </a:ext>
                <a:ext uri="{FF2B5EF4-FFF2-40B4-BE49-F238E27FC236}">
                  <a16:creationId xmlns:a16="http://schemas.microsoft.com/office/drawing/2014/main" id="{00000000-0008-0000-0600-00001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311</xdr:row>
          <xdr:rowOff>180975</xdr:rowOff>
        </xdr:from>
        <xdr:to>
          <xdr:col>5</xdr:col>
          <xdr:colOff>85725</xdr:colOff>
          <xdr:row>313</xdr:row>
          <xdr:rowOff>19050</xdr:rowOff>
        </xdr:to>
        <xdr:sp macro="" textlink="">
          <xdr:nvSpPr>
            <xdr:cNvPr id="46108" name="Check Box 28" hidden="1">
              <a:extLst>
                <a:ext uri="{63B3BB69-23CF-44E3-9099-C40C66FF867C}">
                  <a14:compatExt spid="_x0000_s46108"/>
                </a:ext>
                <a:ext uri="{FF2B5EF4-FFF2-40B4-BE49-F238E27FC236}">
                  <a16:creationId xmlns:a16="http://schemas.microsoft.com/office/drawing/2014/main" id="{00000000-0008-0000-0600-00001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312</xdr:row>
          <xdr:rowOff>180975</xdr:rowOff>
        </xdr:from>
        <xdr:to>
          <xdr:col>5</xdr:col>
          <xdr:colOff>85725</xdr:colOff>
          <xdr:row>314</xdr:row>
          <xdr:rowOff>19050</xdr:rowOff>
        </xdr:to>
        <xdr:sp macro="" textlink="">
          <xdr:nvSpPr>
            <xdr:cNvPr id="46109" name="Check Box 29" hidden="1">
              <a:extLst>
                <a:ext uri="{63B3BB69-23CF-44E3-9099-C40C66FF867C}">
                  <a14:compatExt spid="_x0000_s46109"/>
                </a:ext>
                <a:ext uri="{FF2B5EF4-FFF2-40B4-BE49-F238E27FC236}">
                  <a16:creationId xmlns:a16="http://schemas.microsoft.com/office/drawing/2014/main" id="{00000000-0008-0000-0600-00001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313</xdr:row>
          <xdr:rowOff>171450</xdr:rowOff>
        </xdr:from>
        <xdr:to>
          <xdr:col>5</xdr:col>
          <xdr:colOff>85725</xdr:colOff>
          <xdr:row>315</xdr:row>
          <xdr:rowOff>9525</xdr:rowOff>
        </xdr:to>
        <xdr:sp macro="" textlink="">
          <xdr:nvSpPr>
            <xdr:cNvPr id="46110" name="Check Box 30" hidden="1">
              <a:extLst>
                <a:ext uri="{63B3BB69-23CF-44E3-9099-C40C66FF867C}">
                  <a14:compatExt spid="_x0000_s46110"/>
                </a:ext>
                <a:ext uri="{FF2B5EF4-FFF2-40B4-BE49-F238E27FC236}">
                  <a16:creationId xmlns:a16="http://schemas.microsoft.com/office/drawing/2014/main" id="{00000000-0008-0000-0600-00001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314</xdr:row>
          <xdr:rowOff>171450</xdr:rowOff>
        </xdr:from>
        <xdr:to>
          <xdr:col>5</xdr:col>
          <xdr:colOff>85725</xdr:colOff>
          <xdr:row>316</xdr:row>
          <xdr:rowOff>9525</xdr:rowOff>
        </xdr:to>
        <xdr:sp macro="" textlink="">
          <xdr:nvSpPr>
            <xdr:cNvPr id="46111" name="Check Box 31" hidden="1">
              <a:extLst>
                <a:ext uri="{63B3BB69-23CF-44E3-9099-C40C66FF867C}">
                  <a14:compatExt spid="_x0000_s46111"/>
                </a:ext>
                <a:ext uri="{FF2B5EF4-FFF2-40B4-BE49-F238E27FC236}">
                  <a16:creationId xmlns:a16="http://schemas.microsoft.com/office/drawing/2014/main" id="{00000000-0008-0000-0600-00001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316</xdr:row>
          <xdr:rowOff>171450</xdr:rowOff>
        </xdr:from>
        <xdr:to>
          <xdr:col>5</xdr:col>
          <xdr:colOff>85725</xdr:colOff>
          <xdr:row>318</xdr:row>
          <xdr:rowOff>9525</xdr:rowOff>
        </xdr:to>
        <xdr:sp macro="" textlink="">
          <xdr:nvSpPr>
            <xdr:cNvPr id="46112" name="Check Box 32" hidden="1">
              <a:extLst>
                <a:ext uri="{63B3BB69-23CF-44E3-9099-C40C66FF867C}">
                  <a14:compatExt spid="_x0000_s46112"/>
                </a:ext>
                <a:ext uri="{FF2B5EF4-FFF2-40B4-BE49-F238E27FC236}">
                  <a16:creationId xmlns:a16="http://schemas.microsoft.com/office/drawing/2014/main" id="{00000000-0008-0000-0600-00002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319</xdr:row>
          <xdr:rowOff>0</xdr:rowOff>
        </xdr:from>
        <xdr:to>
          <xdr:col>5</xdr:col>
          <xdr:colOff>85725</xdr:colOff>
          <xdr:row>320</xdr:row>
          <xdr:rowOff>28575</xdr:rowOff>
        </xdr:to>
        <xdr:sp macro="" textlink="">
          <xdr:nvSpPr>
            <xdr:cNvPr id="46113" name="Check Box 33" hidden="1">
              <a:extLst>
                <a:ext uri="{63B3BB69-23CF-44E3-9099-C40C66FF867C}">
                  <a14:compatExt spid="_x0000_s46113"/>
                </a:ext>
                <a:ext uri="{FF2B5EF4-FFF2-40B4-BE49-F238E27FC236}">
                  <a16:creationId xmlns:a16="http://schemas.microsoft.com/office/drawing/2014/main" id="{00000000-0008-0000-0600-00002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320</xdr:row>
          <xdr:rowOff>0</xdr:rowOff>
        </xdr:from>
        <xdr:to>
          <xdr:col>5</xdr:col>
          <xdr:colOff>85725</xdr:colOff>
          <xdr:row>321</xdr:row>
          <xdr:rowOff>28575</xdr:rowOff>
        </xdr:to>
        <xdr:sp macro="" textlink="">
          <xdr:nvSpPr>
            <xdr:cNvPr id="46114" name="Check Box 34" hidden="1">
              <a:extLst>
                <a:ext uri="{63B3BB69-23CF-44E3-9099-C40C66FF867C}">
                  <a14:compatExt spid="_x0000_s46114"/>
                </a:ext>
                <a:ext uri="{FF2B5EF4-FFF2-40B4-BE49-F238E27FC236}">
                  <a16:creationId xmlns:a16="http://schemas.microsoft.com/office/drawing/2014/main" id="{00000000-0008-0000-0600-00002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320</xdr:row>
          <xdr:rowOff>171450</xdr:rowOff>
        </xdr:from>
        <xdr:to>
          <xdr:col>5</xdr:col>
          <xdr:colOff>85725</xdr:colOff>
          <xdr:row>322</xdr:row>
          <xdr:rowOff>9525</xdr:rowOff>
        </xdr:to>
        <xdr:sp macro="" textlink="">
          <xdr:nvSpPr>
            <xdr:cNvPr id="46115" name="Check Box 35" hidden="1">
              <a:extLst>
                <a:ext uri="{63B3BB69-23CF-44E3-9099-C40C66FF867C}">
                  <a14:compatExt spid="_x0000_s46115"/>
                </a:ext>
                <a:ext uri="{FF2B5EF4-FFF2-40B4-BE49-F238E27FC236}">
                  <a16:creationId xmlns:a16="http://schemas.microsoft.com/office/drawing/2014/main" id="{00000000-0008-0000-0600-00002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321</xdr:row>
          <xdr:rowOff>171450</xdr:rowOff>
        </xdr:from>
        <xdr:to>
          <xdr:col>5</xdr:col>
          <xdr:colOff>85725</xdr:colOff>
          <xdr:row>323</xdr:row>
          <xdr:rowOff>9525</xdr:rowOff>
        </xdr:to>
        <xdr:sp macro="" textlink="">
          <xdr:nvSpPr>
            <xdr:cNvPr id="46116" name="Check Box 36" hidden="1">
              <a:extLst>
                <a:ext uri="{63B3BB69-23CF-44E3-9099-C40C66FF867C}">
                  <a14:compatExt spid="_x0000_s46116"/>
                </a:ext>
                <a:ext uri="{FF2B5EF4-FFF2-40B4-BE49-F238E27FC236}">
                  <a16:creationId xmlns:a16="http://schemas.microsoft.com/office/drawing/2014/main" id="{00000000-0008-0000-0600-00002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323</xdr:row>
          <xdr:rowOff>9525</xdr:rowOff>
        </xdr:from>
        <xdr:to>
          <xdr:col>5</xdr:col>
          <xdr:colOff>85725</xdr:colOff>
          <xdr:row>324</xdr:row>
          <xdr:rowOff>38100</xdr:rowOff>
        </xdr:to>
        <xdr:sp macro="" textlink="">
          <xdr:nvSpPr>
            <xdr:cNvPr id="46117" name="Check Box 37" hidden="1">
              <a:extLst>
                <a:ext uri="{63B3BB69-23CF-44E3-9099-C40C66FF867C}">
                  <a14:compatExt spid="_x0000_s46117"/>
                </a:ext>
                <a:ext uri="{FF2B5EF4-FFF2-40B4-BE49-F238E27FC236}">
                  <a16:creationId xmlns:a16="http://schemas.microsoft.com/office/drawing/2014/main" id="{00000000-0008-0000-0600-00002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323</xdr:row>
          <xdr:rowOff>180975</xdr:rowOff>
        </xdr:from>
        <xdr:to>
          <xdr:col>5</xdr:col>
          <xdr:colOff>85725</xdr:colOff>
          <xdr:row>325</xdr:row>
          <xdr:rowOff>19050</xdr:rowOff>
        </xdr:to>
        <xdr:sp macro="" textlink="">
          <xdr:nvSpPr>
            <xdr:cNvPr id="46118" name="Check Box 38" hidden="1">
              <a:extLst>
                <a:ext uri="{63B3BB69-23CF-44E3-9099-C40C66FF867C}">
                  <a14:compatExt spid="_x0000_s46118"/>
                </a:ext>
                <a:ext uri="{FF2B5EF4-FFF2-40B4-BE49-F238E27FC236}">
                  <a16:creationId xmlns:a16="http://schemas.microsoft.com/office/drawing/2014/main" id="{00000000-0008-0000-0600-00002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324</xdr:row>
          <xdr:rowOff>180975</xdr:rowOff>
        </xdr:from>
        <xdr:to>
          <xdr:col>5</xdr:col>
          <xdr:colOff>85725</xdr:colOff>
          <xdr:row>326</xdr:row>
          <xdr:rowOff>19050</xdr:rowOff>
        </xdr:to>
        <xdr:sp macro="" textlink="">
          <xdr:nvSpPr>
            <xdr:cNvPr id="46119" name="Check Box 39" hidden="1">
              <a:extLst>
                <a:ext uri="{63B3BB69-23CF-44E3-9099-C40C66FF867C}">
                  <a14:compatExt spid="_x0000_s46119"/>
                </a:ext>
                <a:ext uri="{FF2B5EF4-FFF2-40B4-BE49-F238E27FC236}">
                  <a16:creationId xmlns:a16="http://schemas.microsoft.com/office/drawing/2014/main" id="{00000000-0008-0000-0600-00002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327</xdr:row>
          <xdr:rowOff>323850</xdr:rowOff>
        </xdr:from>
        <xdr:to>
          <xdr:col>5</xdr:col>
          <xdr:colOff>85725</xdr:colOff>
          <xdr:row>328</xdr:row>
          <xdr:rowOff>200025</xdr:rowOff>
        </xdr:to>
        <xdr:sp macro="" textlink="">
          <xdr:nvSpPr>
            <xdr:cNvPr id="46120" name="Check Box 40" hidden="1">
              <a:extLst>
                <a:ext uri="{63B3BB69-23CF-44E3-9099-C40C66FF867C}">
                  <a14:compatExt spid="_x0000_s46120"/>
                </a:ext>
                <a:ext uri="{FF2B5EF4-FFF2-40B4-BE49-F238E27FC236}">
                  <a16:creationId xmlns:a16="http://schemas.microsoft.com/office/drawing/2014/main" id="{00000000-0008-0000-0600-00002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328</xdr:row>
          <xdr:rowOff>485775</xdr:rowOff>
        </xdr:from>
        <xdr:to>
          <xdr:col>5</xdr:col>
          <xdr:colOff>85725</xdr:colOff>
          <xdr:row>330</xdr:row>
          <xdr:rowOff>19050</xdr:rowOff>
        </xdr:to>
        <xdr:sp macro="" textlink="">
          <xdr:nvSpPr>
            <xdr:cNvPr id="46121" name="Check Box 41" hidden="1">
              <a:extLst>
                <a:ext uri="{63B3BB69-23CF-44E3-9099-C40C66FF867C}">
                  <a14:compatExt spid="_x0000_s46121"/>
                </a:ext>
                <a:ext uri="{FF2B5EF4-FFF2-40B4-BE49-F238E27FC236}">
                  <a16:creationId xmlns:a16="http://schemas.microsoft.com/office/drawing/2014/main" id="{00000000-0008-0000-0600-00002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329</xdr:row>
          <xdr:rowOff>171450</xdr:rowOff>
        </xdr:from>
        <xdr:to>
          <xdr:col>5</xdr:col>
          <xdr:colOff>85725</xdr:colOff>
          <xdr:row>331</xdr:row>
          <xdr:rowOff>9525</xdr:rowOff>
        </xdr:to>
        <xdr:sp macro="" textlink="">
          <xdr:nvSpPr>
            <xdr:cNvPr id="46122" name="Check Box 42" hidden="1">
              <a:extLst>
                <a:ext uri="{63B3BB69-23CF-44E3-9099-C40C66FF867C}">
                  <a14:compatExt spid="_x0000_s46122"/>
                </a:ext>
                <a:ext uri="{FF2B5EF4-FFF2-40B4-BE49-F238E27FC236}">
                  <a16:creationId xmlns:a16="http://schemas.microsoft.com/office/drawing/2014/main" id="{00000000-0008-0000-0600-00002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330</xdr:row>
          <xdr:rowOff>180975</xdr:rowOff>
        </xdr:from>
        <xdr:to>
          <xdr:col>5</xdr:col>
          <xdr:colOff>85725</xdr:colOff>
          <xdr:row>332</xdr:row>
          <xdr:rowOff>19050</xdr:rowOff>
        </xdr:to>
        <xdr:sp macro="" textlink="">
          <xdr:nvSpPr>
            <xdr:cNvPr id="46123" name="Check Box 43" hidden="1">
              <a:extLst>
                <a:ext uri="{63B3BB69-23CF-44E3-9099-C40C66FF867C}">
                  <a14:compatExt spid="_x0000_s46123"/>
                </a:ext>
                <a:ext uri="{FF2B5EF4-FFF2-40B4-BE49-F238E27FC236}">
                  <a16:creationId xmlns:a16="http://schemas.microsoft.com/office/drawing/2014/main" id="{00000000-0008-0000-0600-00002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331</xdr:row>
          <xdr:rowOff>161925</xdr:rowOff>
        </xdr:from>
        <xdr:to>
          <xdr:col>5</xdr:col>
          <xdr:colOff>85725</xdr:colOff>
          <xdr:row>333</xdr:row>
          <xdr:rowOff>0</xdr:rowOff>
        </xdr:to>
        <xdr:sp macro="" textlink="">
          <xdr:nvSpPr>
            <xdr:cNvPr id="46124" name="Check Box 44" hidden="1">
              <a:extLst>
                <a:ext uri="{63B3BB69-23CF-44E3-9099-C40C66FF867C}">
                  <a14:compatExt spid="_x0000_s46124"/>
                </a:ext>
                <a:ext uri="{FF2B5EF4-FFF2-40B4-BE49-F238E27FC236}">
                  <a16:creationId xmlns:a16="http://schemas.microsoft.com/office/drawing/2014/main" id="{00000000-0008-0000-0600-00002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333</xdr:row>
          <xdr:rowOff>219075</xdr:rowOff>
        </xdr:from>
        <xdr:to>
          <xdr:col>5</xdr:col>
          <xdr:colOff>85725</xdr:colOff>
          <xdr:row>335</xdr:row>
          <xdr:rowOff>19050</xdr:rowOff>
        </xdr:to>
        <xdr:sp macro="" textlink="">
          <xdr:nvSpPr>
            <xdr:cNvPr id="46125" name="Check Box 45" hidden="1">
              <a:extLst>
                <a:ext uri="{63B3BB69-23CF-44E3-9099-C40C66FF867C}">
                  <a14:compatExt spid="_x0000_s46125"/>
                </a:ext>
                <a:ext uri="{FF2B5EF4-FFF2-40B4-BE49-F238E27FC236}">
                  <a16:creationId xmlns:a16="http://schemas.microsoft.com/office/drawing/2014/main" id="{00000000-0008-0000-0600-00002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295</xdr:row>
          <xdr:rowOff>171450</xdr:rowOff>
        </xdr:from>
        <xdr:to>
          <xdr:col>5</xdr:col>
          <xdr:colOff>85725</xdr:colOff>
          <xdr:row>297</xdr:row>
          <xdr:rowOff>9525</xdr:rowOff>
        </xdr:to>
        <xdr:sp macro="" textlink="">
          <xdr:nvSpPr>
            <xdr:cNvPr id="46126" name="Check Box 46" hidden="1">
              <a:extLst>
                <a:ext uri="{63B3BB69-23CF-44E3-9099-C40C66FF867C}">
                  <a14:compatExt spid="_x0000_s46126"/>
                </a:ext>
                <a:ext uri="{FF2B5EF4-FFF2-40B4-BE49-F238E27FC236}">
                  <a16:creationId xmlns:a16="http://schemas.microsoft.com/office/drawing/2014/main" id="{00000000-0008-0000-0600-00002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305</xdr:row>
          <xdr:rowOff>171450</xdr:rowOff>
        </xdr:from>
        <xdr:to>
          <xdr:col>5</xdr:col>
          <xdr:colOff>85725</xdr:colOff>
          <xdr:row>306</xdr:row>
          <xdr:rowOff>266700</xdr:rowOff>
        </xdr:to>
        <xdr:sp macro="" textlink="">
          <xdr:nvSpPr>
            <xdr:cNvPr id="46127" name="Check Box 47" hidden="1">
              <a:extLst>
                <a:ext uri="{63B3BB69-23CF-44E3-9099-C40C66FF867C}">
                  <a14:compatExt spid="_x0000_s46127"/>
                </a:ext>
                <a:ext uri="{FF2B5EF4-FFF2-40B4-BE49-F238E27FC236}">
                  <a16:creationId xmlns:a16="http://schemas.microsoft.com/office/drawing/2014/main" id="{00000000-0008-0000-0600-00002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297</xdr:row>
          <xdr:rowOff>180975</xdr:rowOff>
        </xdr:from>
        <xdr:to>
          <xdr:col>5</xdr:col>
          <xdr:colOff>85725</xdr:colOff>
          <xdr:row>299</xdr:row>
          <xdr:rowOff>0</xdr:rowOff>
        </xdr:to>
        <xdr:sp macro="" textlink="">
          <xdr:nvSpPr>
            <xdr:cNvPr id="46128" name="Check Box 48" hidden="1">
              <a:extLst>
                <a:ext uri="{63B3BB69-23CF-44E3-9099-C40C66FF867C}">
                  <a14:compatExt spid="_x0000_s46128"/>
                </a:ext>
                <a:ext uri="{FF2B5EF4-FFF2-40B4-BE49-F238E27FC236}">
                  <a16:creationId xmlns:a16="http://schemas.microsoft.com/office/drawing/2014/main" id="{00000000-0008-0000-0600-00003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327</xdr:row>
          <xdr:rowOff>0</xdr:rowOff>
        </xdr:from>
        <xdr:to>
          <xdr:col>5</xdr:col>
          <xdr:colOff>85725</xdr:colOff>
          <xdr:row>327</xdr:row>
          <xdr:rowOff>219075</xdr:rowOff>
        </xdr:to>
        <xdr:sp macro="" textlink="">
          <xdr:nvSpPr>
            <xdr:cNvPr id="46129" name="Check Box 49" hidden="1">
              <a:extLst>
                <a:ext uri="{63B3BB69-23CF-44E3-9099-C40C66FF867C}">
                  <a14:compatExt spid="_x0000_s46129"/>
                </a:ext>
                <a:ext uri="{FF2B5EF4-FFF2-40B4-BE49-F238E27FC236}">
                  <a16:creationId xmlns:a16="http://schemas.microsoft.com/office/drawing/2014/main" id="{00000000-0008-0000-0600-00003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307</xdr:row>
          <xdr:rowOff>0</xdr:rowOff>
        </xdr:from>
        <xdr:to>
          <xdr:col>3</xdr:col>
          <xdr:colOff>371475</xdr:colOff>
          <xdr:row>317</xdr:row>
          <xdr:rowOff>180975</xdr:rowOff>
        </xdr:to>
        <xdr:grpSp>
          <xdr:nvGrpSpPr>
            <xdr:cNvPr id="89733" name="Group 51">
              <a:extLst>
                <a:ext uri="{FF2B5EF4-FFF2-40B4-BE49-F238E27FC236}">
                  <a16:creationId xmlns:a16="http://schemas.microsoft.com/office/drawing/2014/main" id="{00000000-0008-0000-0600-0000855E0100}"/>
                </a:ext>
              </a:extLst>
            </xdr:cNvPr>
            <xdr:cNvGrpSpPr>
              <a:grpSpLocks/>
            </xdr:cNvGrpSpPr>
          </xdr:nvGrpSpPr>
          <xdr:grpSpPr bwMode="auto">
            <a:xfrm>
              <a:off x="55563" y="67691000"/>
              <a:ext cx="2038350" cy="2085975"/>
              <a:chOff x="9" y="640"/>
              <a:chExt cx="211" cy="170"/>
            </a:xfrm>
          </xdr:grpSpPr>
          <xdr:sp macro="" textlink="">
            <xdr:nvSpPr>
              <xdr:cNvPr id="46132" name="Group Box 52" hidden="1">
                <a:extLst>
                  <a:ext uri="{63B3BB69-23CF-44E3-9099-C40C66FF867C}">
                    <a14:compatExt spid="_x0000_s46132"/>
                  </a:ext>
                  <a:ext uri="{FF2B5EF4-FFF2-40B4-BE49-F238E27FC236}">
                    <a16:creationId xmlns:a16="http://schemas.microsoft.com/office/drawing/2014/main" id="{00000000-0008-0000-0600-000034B40000}"/>
                  </a:ext>
                </a:extLst>
              </xdr:cNvPr>
              <xdr:cNvSpPr/>
            </xdr:nvSpPr>
            <xdr:spPr bwMode="auto">
              <a:xfrm>
                <a:off x="9" y="640"/>
                <a:ext cx="211" cy="170"/>
              </a:xfrm>
              <a:prstGeom prst="rect">
                <a:avLst/>
              </a:prstGeom>
              <a:noFill/>
              <a:ln w="9525">
                <a:miter lim="800000"/>
                <a:headEnd/>
                <a:tailEnd/>
              </a:ln>
              <a:extLst>
                <a:ext uri="{909E8E84-426E-40DD-AFC4-6F175D3DCCD1}">
                  <a14:hiddenFill>
                    <a:noFill/>
                  </a14:hiddenFill>
                </a:ext>
              </a:extLst>
            </xdr:spPr>
          </xdr:sp>
          <xdr:sp macro="" textlink="">
            <xdr:nvSpPr>
              <xdr:cNvPr id="46133" name="Option Button 53" hidden="1">
                <a:extLst>
                  <a:ext uri="{63B3BB69-23CF-44E3-9099-C40C66FF867C}">
                    <a14:compatExt spid="_x0000_s46133"/>
                  </a:ext>
                  <a:ext uri="{FF2B5EF4-FFF2-40B4-BE49-F238E27FC236}">
                    <a16:creationId xmlns:a16="http://schemas.microsoft.com/office/drawing/2014/main" id="{00000000-0008-0000-0600-000035B40000}"/>
                  </a:ext>
                </a:extLst>
              </xdr:cNvPr>
              <xdr:cNvSpPr/>
            </xdr:nvSpPr>
            <xdr:spPr bwMode="auto">
              <a:xfrm>
                <a:off x="11" y="641"/>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6134" name="Option Button 54" hidden="1">
                <a:extLst>
                  <a:ext uri="{63B3BB69-23CF-44E3-9099-C40C66FF867C}">
                    <a14:compatExt spid="_x0000_s46134"/>
                  </a:ext>
                  <a:ext uri="{FF2B5EF4-FFF2-40B4-BE49-F238E27FC236}">
                    <a16:creationId xmlns:a16="http://schemas.microsoft.com/office/drawing/2014/main" id="{00000000-0008-0000-0600-000036B40000}"/>
                  </a:ext>
                </a:extLst>
              </xdr:cNvPr>
              <xdr:cNvSpPr/>
            </xdr:nvSpPr>
            <xdr:spPr bwMode="auto">
              <a:xfrm>
                <a:off x="11" y="664"/>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knee (35% leg)</a:t>
                </a:r>
              </a:p>
            </xdr:txBody>
          </xdr:sp>
          <xdr:sp macro="" textlink="">
            <xdr:nvSpPr>
              <xdr:cNvPr id="46135" name="Option Button 55" hidden="1">
                <a:extLst>
                  <a:ext uri="{63B3BB69-23CF-44E3-9099-C40C66FF867C}">
                    <a14:compatExt spid="_x0000_s46135"/>
                  </a:ext>
                  <a:ext uri="{FF2B5EF4-FFF2-40B4-BE49-F238E27FC236}">
                    <a16:creationId xmlns:a16="http://schemas.microsoft.com/office/drawing/2014/main" id="{00000000-0008-0000-0600-000037B40000}"/>
                  </a:ext>
                </a:extLst>
              </xdr:cNvPr>
              <xdr:cNvSpPr/>
            </xdr:nvSpPr>
            <xdr:spPr bwMode="auto">
              <a:xfrm>
                <a:off x="11" y="688"/>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Mid-calf &amp; knee (28% foot)</a:t>
                </a:r>
              </a:p>
            </xdr:txBody>
          </xdr:sp>
          <xdr:sp macro="" textlink="">
            <xdr:nvSpPr>
              <xdr:cNvPr id="46136" name="Option Button 56" hidden="1">
                <a:extLst>
                  <a:ext uri="{63B3BB69-23CF-44E3-9099-C40C66FF867C}">
                    <a14:compatExt spid="_x0000_s46136"/>
                  </a:ext>
                  <a:ext uri="{FF2B5EF4-FFF2-40B4-BE49-F238E27FC236}">
                    <a16:creationId xmlns:a16="http://schemas.microsoft.com/office/drawing/2014/main" id="{00000000-0008-0000-0600-000038B40000}"/>
                  </a:ext>
                </a:extLst>
              </xdr:cNvPr>
              <xdr:cNvSpPr/>
            </xdr:nvSpPr>
            <xdr:spPr bwMode="auto">
              <a:xfrm>
                <a:off x="11" y="712"/>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mid-calf(17% foot)</a:t>
                </a:r>
              </a:p>
            </xdr:txBody>
          </xdr:sp>
          <xdr:sp macro="" textlink="">
            <xdr:nvSpPr>
              <xdr:cNvPr id="46137" name="Option Button 57" hidden="1">
                <a:extLst>
                  <a:ext uri="{63B3BB69-23CF-44E3-9099-C40C66FF867C}">
                    <a14:compatExt spid="_x0000_s46137"/>
                  </a:ext>
                  <a:ext uri="{FF2B5EF4-FFF2-40B4-BE49-F238E27FC236}">
                    <a16:creationId xmlns:a16="http://schemas.microsoft.com/office/drawing/2014/main" id="{00000000-0008-0000-0600-000039B40000}"/>
                  </a:ext>
                </a:extLst>
              </xdr:cNvPr>
              <xdr:cNvSpPr/>
            </xdr:nvSpPr>
            <xdr:spPr bwMode="auto">
              <a:xfrm>
                <a:off x="11" y="735"/>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Lateral &amp; medial plantar branches</a:t>
                </a:r>
              </a:p>
            </xdr:txBody>
          </xdr:sp>
          <xdr:sp macro="" textlink="">
            <xdr:nvSpPr>
              <xdr:cNvPr id="46138" name="Option Button 58" hidden="1">
                <a:extLst>
                  <a:ext uri="{63B3BB69-23CF-44E3-9099-C40C66FF867C}">
                    <a14:compatExt spid="_x0000_s46138"/>
                  </a:ext>
                  <a:ext uri="{FF2B5EF4-FFF2-40B4-BE49-F238E27FC236}">
                    <a16:creationId xmlns:a16="http://schemas.microsoft.com/office/drawing/2014/main" id="{00000000-0008-0000-0600-00003AB40000}"/>
                  </a:ext>
                </a:extLst>
              </xdr:cNvPr>
              <xdr:cNvSpPr/>
            </xdr:nvSpPr>
            <xdr:spPr bwMode="auto">
              <a:xfrm>
                <a:off x="11" y="759"/>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Lateral plantar branch only (6% foot)</a:t>
                </a:r>
              </a:p>
            </xdr:txBody>
          </xdr:sp>
          <xdr:sp macro="" textlink="">
            <xdr:nvSpPr>
              <xdr:cNvPr id="46139" name="Option Button 59" hidden="1">
                <a:extLst>
                  <a:ext uri="{63B3BB69-23CF-44E3-9099-C40C66FF867C}">
                    <a14:compatExt spid="_x0000_s46139"/>
                  </a:ext>
                  <a:ext uri="{FF2B5EF4-FFF2-40B4-BE49-F238E27FC236}">
                    <a16:creationId xmlns:a16="http://schemas.microsoft.com/office/drawing/2014/main" id="{00000000-0008-0000-0600-00003BB40000}"/>
                  </a:ext>
                </a:extLst>
              </xdr:cNvPr>
              <xdr:cNvSpPr/>
            </xdr:nvSpPr>
            <xdr:spPr bwMode="auto">
              <a:xfrm>
                <a:off x="11" y="783"/>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Medial plantar branch only (6% foot)</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67</xdr:row>
          <xdr:rowOff>9525</xdr:rowOff>
        </xdr:from>
        <xdr:to>
          <xdr:col>3</xdr:col>
          <xdr:colOff>276225</xdr:colOff>
          <xdr:row>68</xdr:row>
          <xdr:rowOff>0</xdr:rowOff>
        </xdr:to>
        <xdr:sp macro="" textlink="">
          <xdr:nvSpPr>
            <xdr:cNvPr id="46152" name="Check Box 72" hidden="1">
              <a:extLst>
                <a:ext uri="{63B3BB69-23CF-44E3-9099-C40C66FF867C}">
                  <a14:compatExt spid="_x0000_s46152"/>
                </a:ext>
                <a:ext uri="{FF2B5EF4-FFF2-40B4-BE49-F238E27FC236}">
                  <a16:creationId xmlns:a16="http://schemas.microsoft.com/office/drawing/2014/main" id="{00000000-0008-0000-0600-00004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68</xdr:row>
          <xdr:rowOff>19050</xdr:rowOff>
        </xdr:from>
        <xdr:to>
          <xdr:col>3</xdr:col>
          <xdr:colOff>276225</xdr:colOff>
          <xdr:row>69</xdr:row>
          <xdr:rowOff>9525</xdr:rowOff>
        </xdr:to>
        <xdr:sp macro="" textlink="">
          <xdr:nvSpPr>
            <xdr:cNvPr id="46153" name="Check Box 73" hidden="1">
              <a:extLst>
                <a:ext uri="{63B3BB69-23CF-44E3-9099-C40C66FF867C}">
                  <a14:compatExt spid="_x0000_s46153"/>
                </a:ext>
                <a:ext uri="{FF2B5EF4-FFF2-40B4-BE49-F238E27FC236}">
                  <a16:creationId xmlns:a16="http://schemas.microsoft.com/office/drawing/2014/main" id="{00000000-0008-0000-0600-00004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69</xdr:row>
          <xdr:rowOff>9525</xdr:rowOff>
        </xdr:from>
        <xdr:to>
          <xdr:col>3</xdr:col>
          <xdr:colOff>276225</xdr:colOff>
          <xdr:row>70</xdr:row>
          <xdr:rowOff>0</xdr:rowOff>
        </xdr:to>
        <xdr:sp macro="" textlink="">
          <xdr:nvSpPr>
            <xdr:cNvPr id="46154" name="Check Box 74" hidden="1">
              <a:extLst>
                <a:ext uri="{63B3BB69-23CF-44E3-9099-C40C66FF867C}">
                  <a14:compatExt spid="_x0000_s46154"/>
                </a:ext>
                <a:ext uri="{FF2B5EF4-FFF2-40B4-BE49-F238E27FC236}">
                  <a16:creationId xmlns:a16="http://schemas.microsoft.com/office/drawing/2014/main" id="{00000000-0008-0000-0600-00004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107</xdr:row>
          <xdr:rowOff>9525</xdr:rowOff>
        </xdr:from>
        <xdr:to>
          <xdr:col>3</xdr:col>
          <xdr:colOff>276225</xdr:colOff>
          <xdr:row>108</xdr:row>
          <xdr:rowOff>0</xdr:rowOff>
        </xdr:to>
        <xdr:sp macro="" textlink="">
          <xdr:nvSpPr>
            <xdr:cNvPr id="46155" name="Check Box 75" hidden="1">
              <a:extLst>
                <a:ext uri="{63B3BB69-23CF-44E3-9099-C40C66FF867C}">
                  <a14:compatExt spid="_x0000_s46155"/>
                </a:ext>
                <a:ext uri="{FF2B5EF4-FFF2-40B4-BE49-F238E27FC236}">
                  <a16:creationId xmlns:a16="http://schemas.microsoft.com/office/drawing/2014/main" id="{00000000-0008-0000-0600-00004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108</xdr:row>
          <xdr:rowOff>19050</xdr:rowOff>
        </xdr:from>
        <xdr:to>
          <xdr:col>3</xdr:col>
          <xdr:colOff>276225</xdr:colOff>
          <xdr:row>109</xdr:row>
          <xdr:rowOff>9525</xdr:rowOff>
        </xdr:to>
        <xdr:sp macro="" textlink="">
          <xdr:nvSpPr>
            <xdr:cNvPr id="46156" name="Check Box 76" hidden="1">
              <a:extLst>
                <a:ext uri="{63B3BB69-23CF-44E3-9099-C40C66FF867C}">
                  <a14:compatExt spid="_x0000_s46156"/>
                </a:ext>
                <a:ext uri="{FF2B5EF4-FFF2-40B4-BE49-F238E27FC236}">
                  <a16:creationId xmlns:a16="http://schemas.microsoft.com/office/drawing/2014/main" id="{00000000-0008-0000-0600-00004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109</xdr:row>
          <xdr:rowOff>9525</xdr:rowOff>
        </xdr:from>
        <xdr:to>
          <xdr:col>3</xdr:col>
          <xdr:colOff>276225</xdr:colOff>
          <xdr:row>110</xdr:row>
          <xdr:rowOff>0</xdr:rowOff>
        </xdr:to>
        <xdr:sp macro="" textlink="">
          <xdr:nvSpPr>
            <xdr:cNvPr id="46157" name="Check Box 77" hidden="1">
              <a:extLst>
                <a:ext uri="{63B3BB69-23CF-44E3-9099-C40C66FF867C}">
                  <a14:compatExt spid="_x0000_s46157"/>
                </a:ext>
                <a:ext uri="{FF2B5EF4-FFF2-40B4-BE49-F238E27FC236}">
                  <a16:creationId xmlns:a16="http://schemas.microsoft.com/office/drawing/2014/main" id="{00000000-0008-0000-0600-00004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147</xdr:row>
          <xdr:rowOff>9525</xdr:rowOff>
        </xdr:from>
        <xdr:to>
          <xdr:col>3</xdr:col>
          <xdr:colOff>276225</xdr:colOff>
          <xdr:row>148</xdr:row>
          <xdr:rowOff>0</xdr:rowOff>
        </xdr:to>
        <xdr:sp macro="" textlink="">
          <xdr:nvSpPr>
            <xdr:cNvPr id="46158" name="Check Box 78" hidden="1">
              <a:extLst>
                <a:ext uri="{63B3BB69-23CF-44E3-9099-C40C66FF867C}">
                  <a14:compatExt spid="_x0000_s46158"/>
                </a:ext>
                <a:ext uri="{FF2B5EF4-FFF2-40B4-BE49-F238E27FC236}">
                  <a16:creationId xmlns:a16="http://schemas.microsoft.com/office/drawing/2014/main" id="{00000000-0008-0000-0600-00004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148</xdr:row>
          <xdr:rowOff>19050</xdr:rowOff>
        </xdr:from>
        <xdr:to>
          <xdr:col>3</xdr:col>
          <xdr:colOff>276225</xdr:colOff>
          <xdr:row>149</xdr:row>
          <xdr:rowOff>9525</xdr:rowOff>
        </xdr:to>
        <xdr:sp macro="" textlink="">
          <xdr:nvSpPr>
            <xdr:cNvPr id="46159" name="Check Box 79" hidden="1">
              <a:extLst>
                <a:ext uri="{63B3BB69-23CF-44E3-9099-C40C66FF867C}">
                  <a14:compatExt spid="_x0000_s46159"/>
                </a:ext>
                <a:ext uri="{FF2B5EF4-FFF2-40B4-BE49-F238E27FC236}">
                  <a16:creationId xmlns:a16="http://schemas.microsoft.com/office/drawing/2014/main" id="{00000000-0008-0000-0600-00004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149</xdr:row>
          <xdr:rowOff>9525</xdr:rowOff>
        </xdr:from>
        <xdr:to>
          <xdr:col>3</xdr:col>
          <xdr:colOff>276225</xdr:colOff>
          <xdr:row>150</xdr:row>
          <xdr:rowOff>0</xdr:rowOff>
        </xdr:to>
        <xdr:sp macro="" textlink="">
          <xdr:nvSpPr>
            <xdr:cNvPr id="46160" name="Check Box 80" hidden="1">
              <a:extLst>
                <a:ext uri="{63B3BB69-23CF-44E3-9099-C40C66FF867C}">
                  <a14:compatExt spid="_x0000_s46160"/>
                </a:ext>
                <a:ext uri="{FF2B5EF4-FFF2-40B4-BE49-F238E27FC236}">
                  <a16:creationId xmlns:a16="http://schemas.microsoft.com/office/drawing/2014/main" id="{00000000-0008-0000-0600-00005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187</xdr:row>
          <xdr:rowOff>9525</xdr:rowOff>
        </xdr:from>
        <xdr:to>
          <xdr:col>3</xdr:col>
          <xdr:colOff>276225</xdr:colOff>
          <xdr:row>188</xdr:row>
          <xdr:rowOff>0</xdr:rowOff>
        </xdr:to>
        <xdr:sp macro="" textlink="">
          <xdr:nvSpPr>
            <xdr:cNvPr id="46161" name="Check Box 81" hidden="1">
              <a:extLst>
                <a:ext uri="{63B3BB69-23CF-44E3-9099-C40C66FF867C}">
                  <a14:compatExt spid="_x0000_s46161"/>
                </a:ext>
                <a:ext uri="{FF2B5EF4-FFF2-40B4-BE49-F238E27FC236}">
                  <a16:creationId xmlns:a16="http://schemas.microsoft.com/office/drawing/2014/main" id="{00000000-0008-0000-0600-00005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188</xdr:row>
          <xdr:rowOff>19050</xdr:rowOff>
        </xdr:from>
        <xdr:to>
          <xdr:col>3</xdr:col>
          <xdr:colOff>276225</xdr:colOff>
          <xdr:row>189</xdr:row>
          <xdr:rowOff>9525</xdr:rowOff>
        </xdr:to>
        <xdr:sp macro="" textlink="">
          <xdr:nvSpPr>
            <xdr:cNvPr id="46162" name="Check Box 82" hidden="1">
              <a:extLst>
                <a:ext uri="{63B3BB69-23CF-44E3-9099-C40C66FF867C}">
                  <a14:compatExt spid="_x0000_s46162"/>
                </a:ext>
                <a:ext uri="{FF2B5EF4-FFF2-40B4-BE49-F238E27FC236}">
                  <a16:creationId xmlns:a16="http://schemas.microsoft.com/office/drawing/2014/main" id="{00000000-0008-0000-0600-00005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189</xdr:row>
          <xdr:rowOff>9525</xdr:rowOff>
        </xdr:from>
        <xdr:to>
          <xdr:col>3</xdr:col>
          <xdr:colOff>276225</xdr:colOff>
          <xdr:row>190</xdr:row>
          <xdr:rowOff>0</xdr:rowOff>
        </xdr:to>
        <xdr:sp macro="" textlink="">
          <xdr:nvSpPr>
            <xdr:cNvPr id="46163" name="Check Box 83" hidden="1">
              <a:extLst>
                <a:ext uri="{63B3BB69-23CF-44E3-9099-C40C66FF867C}">
                  <a14:compatExt spid="_x0000_s46163"/>
                </a:ext>
                <a:ext uri="{FF2B5EF4-FFF2-40B4-BE49-F238E27FC236}">
                  <a16:creationId xmlns:a16="http://schemas.microsoft.com/office/drawing/2014/main" id="{00000000-0008-0000-0600-00005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19050</xdr:rowOff>
        </xdr:from>
        <xdr:to>
          <xdr:col>3</xdr:col>
          <xdr:colOff>276225</xdr:colOff>
          <xdr:row>30</xdr:row>
          <xdr:rowOff>9525</xdr:rowOff>
        </xdr:to>
        <xdr:sp macro="" textlink="">
          <xdr:nvSpPr>
            <xdr:cNvPr id="46164" name="Check Box 84" hidden="1">
              <a:extLst>
                <a:ext uri="{63B3BB69-23CF-44E3-9099-C40C66FF867C}">
                  <a14:compatExt spid="_x0000_s46164"/>
                </a:ext>
                <a:ext uri="{FF2B5EF4-FFF2-40B4-BE49-F238E27FC236}">
                  <a16:creationId xmlns:a16="http://schemas.microsoft.com/office/drawing/2014/main" id="{00000000-0008-0000-0600-00005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9525</xdr:rowOff>
        </xdr:from>
        <xdr:to>
          <xdr:col>3</xdr:col>
          <xdr:colOff>276225</xdr:colOff>
          <xdr:row>31</xdr:row>
          <xdr:rowOff>0</xdr:rowOff>
        </xdr:to>
        <xdr:sp macro="" textlink="">
          <xdr:nvSpPr>
            <xdr:cNvPr id="46165" name="Check Box 85" hidden="1">
              <a:extLst>
                <a:ext uri="{63B3BB69-23CF-44E3-9099-C40C66FF867C}">
                  <a14:compatExt spid="_x0000_s46165"/>
                </a:ext>
                <a:ext uri="{FF2B5EF4-FFF2-40B4-BE49-F238E27FC236}">
                  <a16:creationId xmlns:a16="http://schemas.microsoft.com/office/drawing/2014/main" id="{00000000-0008-0000-0600-00005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19050</xdr:rowOff>
        </xdr:from>
        <xdr:to>
          <xdr:col>3</xdr:col>
          <xdr:colOff>276225</xdr:colOff>
          <xdr:row>30</xdr:row>
          <xdr:rowOff>9525</xdr:rowOff>
        </xdr:to>
        <xdr:sp macro="" textlink="">
          <xdr:nvSpPr>
            <xdr:cNvPr id="46166" name="Check Box 86" hidden="1">
              <a:extLst>
                <a:ext uri="{63B3BB69-23CF-44E3-9099-C40C66FF867C}">
                  <a14:compatExt spid="_x0000_s46166"/>
                </a:ext>
                <a:ext uri="{FF2B5EF4-FFF2-40B4-BE49-F238E27FC236}">
                  <a16:creationId xmlns:a16="http://schemas.microsoft.com/office/drawing/2014/main" id="{00000000-0008-0000-0600-00005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9525</xdr:rowOff>
        </xdr:from>
        <xdr:to>
          <xdr:col>3</xdr:col>
          <xdr:colOff>276225</xdr:colOff>
          <xdr:row>31</xdr:row>
          <xdr:rowOff>0</xdr:rowOff>
        </xdr:to>
        <xdr:sp macro="" textlink="">
          <xdr:nvSpPr>
            <xdr:cNvPr id="46167" name="Check Box 87" hidden="1">
              <a:extLst>
                <a:ext uri="{63B3BB69-23CF-44E3-9099-C40C66FF867C}">
                  <a14:compatExt spid="_x0000_s46167"/>
                </a:ext>
                <a:ext uri="{FF2B5EF4-FFF2-40B4-BE49-F238E27FC236}">
                  <a16:creationId xmlns:a16="http://schemas.microsoft.com/office/drawing/2014/main" id="{00000000-0008-0000-0600-00005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207</xdr:row>
          <xdr:rowOff>28575</xdr:rowOff>
        </xdr:from>
        <xdr:to>
          <xdr:col>8</xdr:col>
          <xdr:colOff>114300</xdr:colOff>
          <xdr:row>208</xdr:row>
          <xdr:rowOff>19050</xdr:rowOff>
        </xdr:to>
        <xdr:sp macro="" textlink="">
          <xdr:nvSpPr>
            <xdr:cNvPr id="46168" name="Check Box 88" hidden="1">
              <a:extLst>
                <a:ext uri="{63B3BB69-23CF-44E3-9099-C40C66FF867C}">
                  <a14:compatExt spid="_x0000_s46168"/>
                </a:ext>
                <a:ext uri="{FF2B5EF4-FFF2-40B4-BE49-F238E27FC236}">
                  <a16:creationId xmlns:a16="http://schemas.microsoft.com/office/drawing/2014/main" id="{00000000-0008-0000-0600-00005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208</xdr:row>
          <xdr:rowOff>28575</xdr:rowOff>
        </xdr:from>
        <xdr:to>
          <xdr:col>8</xdr:col>
          <xdr:colOff>114300</xdr:colOff>
          <xdr:row>209</xdr:row>
          <xdr:rowOff>19050</xdr:rowOff>
        </xdr:to>
        <xdr:sp macro="" textlink="">
          <xdr:nvSpPr>
            <xdr:cNvPr id="46169" name="Check Box 89" hidden="1">
              <a:extLst>
                <a:ext uri="{63B3BB69-23CF-44E3-9099-C40C66FF867C}">
                  <a14:compatExt spid="_x0000_s46169"/>
                </a:ext>
                <a:ext uri="{FF2B5EF4-FFF2-40B4-BE49-F238E27FC236}">
                  <a16:creationId xmlns:a16="http://schemas.microsoft.com/office/drawing/2014/main" id="{00000000-0008-0000-0600-00005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209</xdr:row>
          <xdr:rowOff>28575</xdr:rowOff>
        </xdr:from>
        <xdr:to>
          <xdr:col>8</xdr:col>
          <xdr:colOff>114300</xdr:colOff>
          <xdr:row>210</xdr:row>
          <xdr:rowOff>19050</xdr:rowOff>
        </xdr:to>
        <xdr:sp macro="" textlink="">
          <xdr:nvSpPr>
            <xdr:cNvPr id="46170" name="Check Box 90" hidden="1">
              <a:extLst>
                <a:ext uri="{63B3BB69-23CF-44E3-9099-C40C66FF867C}">
                  <a14:compatExt spid="_x0000_s46170"/>
                </a:ext>
                <a:ext uri="{FF2B5EF4-FFF2-40B4-BE49-F238E27FC236}">
                  <a16:creationId xmlns:a16="http://schemas.microsoft.com/office/drawing/2014/main" id="{00000000-0008-0000-0600-00005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210</xdr:row>
          <xdr:rowOff>28575</xdr:rowOff>
        </xdr:from>
        <xdr:to>
          <xdr:col>8</xdr:col>
          <xdr:colOff>114300</xdr:colOff>
          <xdr:row>211</xdr:row>
          <xdr:rowOff>19050</xdr:rowOff>
        </xdr:to>
        <xdr:sp macro="" textlink="">
          <xdr:nvSpPr>
            <xdr:cNvPr id="46171" name="Check Box 91" hidden="1">
              <a:extLst>
                <a:ext uri="{63B3BB69-23CF-44E3-9099-C40C66FF867C}">
                  <a14:compatExt spid="_x0000_s46171"/>
                </a:ext>
                <a:ext uri="{FF2B5EF4-FFF2-40B4-BE49-F238E27FC236}">
                  <a16:creationId xmlns:a16="http://schemas.microsoft.com/office/drawing/2014/main" id="{00000000-0008-0000-0600-00005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211</xdr:row>
          <xdr:rowOff>28575</xdr:rowOff>
        </xdr:from>
        <xdr:to>
          <xdr:col>8</xdr:col>
          <xdr:colOff>114300</xdr:colOff>
          <xdr:row>212</xdr:row>
          <xdr:rowOff>19050</xdr:rowOff>
        </xdr:to>
        <xdr:sp macro="" textlink="">
          <xdr:nvSpPr>
            <xdr:cNvPr id="46172" name="Check Box 92" hidden="1">
              <a:extLst>
                <a:ext uri="{63B3BB69-23CF-44E3-9099-C40C66FF867C}">
                  <a14:compatExt spid="_x0000_s46172"/>
                </a:ext>
                <a:ext uri="{FF2B5EF4-FFF2-40B4-BE49-F238E27FC236}">
                  <a16:creationId xmlns:a16="http://schemas.microsoft.com/office/drawing/2014/main" id="{00000000-0008-0000-0600-00005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214</xdr:row>
          <xdr:rowOff>38100</xdr:rowOff>
        </xdr:from>
        <xdr:to>
          <xdr:col>7</xdr:col>
          <xdr:colOff>19050</xdr:colOff>
          <xdr:row>215</xdr:row>
          <xdr:rowOff>28575</xdr:rowOff>
        </xdr:to>
        <xdr:sp macro="" textlink="">
          <xdr:nvSpPr>
            <xdr:cNvPr id="46173" name="Check Box 93" hidden="1">
              <a:extLst>
                <a:ext uri="{63B3BB69-23CF-44E3-9099-C40C66FF867C}">
                  <a14:compatExt spid="_x0000_s46173"/>
                </a:ext>
                <a:ext uri="{FF2B5EF4-FFF2-40B4-BE49-F238E27FC236}">
                  <a16:creationId xmlns:a16="http://schemas.microsoft.com/office/drawing/2014/main" id="{00000000-0008-0000-0600-00005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215</xdr:row>
          <xdr:rowOff>38100</xdr:rowOff>
        </xdr:from>
        <xdr:to>
          <xdr:col>7</xdr:col>
          <xdr:colOff>19050</xdr:colOff>
          <xdr:row>216</xdr:row>
          <xdr:rowOff>28575</xdr:rowOff>
        </xdr:to>
        <xdr:sp macro="" textlink="">
          <xdr:nvSpPr>
            <xdr:cNvPr id="46174" name="Check Box 94" hidden="1">
              <a:extLst>
                <a:ext uri="{63B3BB69-23CF-44E3-9099-C40C66FF867C}">
                  <a14:compatExt spid="_x0000_s46174"/>
                </a:ext>
                <a:ext uri="{FF2B5EF4-FFF2-40B4-BE49-F238E27FC236}">
                  <a16:creationId xmlns:a16="http://schemas.microsoft.com/office/drawing/2014/main" id="{00000000-0008-0000-0600-00005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216</xdr:row>
          <xdr:rowOff>38100</xdr:rowOff>
        </xdr:from>
        <xdr:to>
          <xdr:col>7</xdr:col>
          <xdr:colOff>19050</xdr:colOff>
          <xdr:row>217</xdr:row>
          <xdr:rowOff>28575</xdr:rowOff>
        </xdr:to>
        <xdr:sp macro="" textlink="">
          <xdr:nvSpPr>
            <xdr:cNvPr id="46175" name="Check Box 95" hidden="1">
              <a:extLst>
                <a:ext uri="{63B3BB69-23CF-44E3-9099-C40C66FF867C}">
                  <a14:compatExt spid="_x0000_s46175"/>
                </a:ext>
                <a:ext uri="{FF2B5EF4-FFF2-40B4-BE49-F238E27FC236}">
                  <a16:creationId xmlns:a16="http://schemas.microsoft.com/office/drawing/2014/main" id="{00000000-0008-0000-0600-00005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217</xdr:row>
          <xdr:rowOff>28575</xdr:rowOff>
        </xdr:from>
        <xdr:to>
          <xdr:col>7</xdr:col>
          <xdr:colOff>19050</xdr:colOff>
          <xdr:row>218</xdr:row>
          <xdr:rowOff>19050</xdr:rowOff>
        </xdr:to>
        <xdr:sp macro="" textlink="">
          <xdr:nvSpPr>
            <xdr:cNvPr id="46176" name="Check Box 96" hidden="1">
              <a:extLst>
                <a:ext uri="{63B3BB69-23CF-44E3-9099-C40C66FF867C}">
                  <a14:compatExt spid="_x0000_s46176"/>
                </a:ext>
                <a:ext uri="{FF2B5EF4-FFF2-40B4-BE49-F238E27FC236}">
                  <a16:creationId xmlns:a16="http://schemas.microsoft.com/office/drawing/2014/main" id="{00000000-0008-0000-0600-00006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218</xdr:row>
          <xdr:rowOff>19050</xdr:rowOff>
        </xdr:from>
        <xdr:to>
          <xdr:col>7</xdr:col>
          <xdr:colOff>19050</xdr:colOff>
          <xdr:row>219</xdr:row>
          <xdr:rowOff>9525</xdr:rowOff>
        </xdr:to>
        <xdr:sp macro="" textlink="">
          <xdr:nvSpPr>
            <xdr:cNvPr id="46177" name="Check Box 97" hidden="1">
              <a:extLst>
                <a:ext uri="{63B3BB69-23CF-44E3-9099-C40C66FF867C}">
                  <a14:compatExt spid="_x0000_s46177"/>
                </a:ext>
                <a:ext uri="{FF2B5EF4-FFF2-40B4-BE49-F238E27FC236}">
                  <a16:creationId xmlns:a16="http://schemas.microsoft.com/office/drawing/2014/main" id="{00000000-0008-0000-0600-00006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1076325</xdr:colOff>
          <xdr:row>245</xdr:row>
          <xdr:rowOff>0</xdr:rowOff>
        </xdr:from>
        <xdr:to>
          <xdr:col>15</xdr:col>
          <xdr:colOff>0</xdr:colOff>
          <xdr:row>246</xdr:row>
          <xdr:rowOff>0</xdr:rowOff>
        </xdr:to>
        <xdr:grpSp>
          <xdr:nvGrpSpPr>
            <xdr:cNvPr id="89734" name="Group 98">
              <a:extLst>
                <a:ext uri="{FF2B5EF4-FFF2-40B4-BE49-F238E27FC236}">
                  <a16:creationId xmlns:a16="http://schemas.microsoft.com/office/drawing/2014/main" id="{00000000-0008-0000-0600-0000865E0100}"/>
                </a:ext>
              </a:extLst>
            </xdr:cNvPr>
            <xdr:cNvGrpSpPr>
              <a:grpSpLocks/>
            </xdr:cNvGrpSpPr>
          </xdr:nvGrpSpPr>
          <xdr:grpSpPr bwMode="auto">
            <a:xfrm>
              <a:off x="1131888" y="53213000"/>
              <a:ext cx="4273550" cy="246063"/>
              <a:chOff x="119" y="4735"/>
              <a:chExt cx="436" cy="26"/>
            </a:xfrm>
          </xdr:grpSpPr>
          <xdr:sp macro="" textlink="">
            <xdr:nvSpPr>
              <xdr:cNvPr id="46179" name="Group Box 99" hidden="1">
                <a:extLst>
                  <a:ext uri="{63B3BB69-23CF-44E3-9099-C40C66FF867C}">
                    <a14:compatExt spid="_x0000_s46179"/>
                  </a:ext>
                  <a:ext uri="{FF2B5EF4-FFF2-40B4-BE49-F238E27FC236}">
                    <a16:creationId xmlns:a16="http://schemas.microsoft.com/office/drawing/2014/main" id="{00000000-0008-0000-0600-000063B40000}"/>
                  </a:ext>
                </a:extLst>
              </xdr:cNvPr>
              <xdr:cNvSpPr/>
            </xdr:nvSpPr>
            <xdr:spPr bwMode="auto">
              <a:xfrm>
                <a:off x="119" y="4735"/>
                <a:ext cx="436" cy="26"/>
              </a:xfrm>
              <a:prstGeom prst="rect">
                <a:avLst/>
              </a:prstGeom>
              <a:noFill/>
              <a:ln w="9525">
                <a:miter lim="800000"/>
                <a:headEnd/>
                <a:tailEnd/>
              </a:ln>
              <a:extLst>
                <a:ext uri="{909E8E84-426E-40DD-AFC4-6F175D3DCCD1}">
                  <a14:hiddenFill>
                    <a:noFill/>
                  </a14:hiddenFill>
                </a:ext>
              </a:extLst>
            </xdr:spPr>
          </xdr:sp>
          <xdr:sp macro="" textlink="">
            <xdr:nvSpPr>
              <xdr:cNvPr id="46180" name="Option Button 100" hidden="1">
                <a:extLst>
                  <a:ext uri="{63B3BB69-23CF-44E3-9099-C40C66FF867C}">
                    <a14:compatExt spid="_x0000_s46180"/>
                  </a:ext>
                  <a:ext uri="{FF2B5EF4-FFF2-40B4-BE49-F238E27FC236}">
                    <a16:creationId xmlns:a16="http://schemas.microsoft.com/office/drawing/2014/main" id="{00000000-0008-0000-0600-000064B40000}"/>
                  </a:ext>
                </a:extLst>
              </xdr:cNvPr>
              <xdr:cNvSpPr/>
            </xdr:nvSpPr>
            <xdr:spPr bwMode="auto">
              <a:xfrm>
                <a:off x="120" y="4736"/>
                <a:ext cx="41"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181" name="Option Button 101" hidden="1">
                <a:extLst>
                  <a:ext uri="{63B3BB69-23CF-44E3-9099-C40C66FF867C}">
                    <a14:compatExt spid="_x0000_s46181"/>
                  </a:ext>
                  <a:ext uri="{FF2B5EF4-FFF2-40B4-BE49-F238E27FC236}">
                    <a16:creationId xmlns:a16="http://schemas.microsoft.com/office/drawing/2014/main" id="{00000000-0008-0000-0600-000065B40000}"/>
                  </a:ext>
                </a:extLst>
              </xdr:cNvPr>
              <xdr:cNvSpPr/>
            </xdr:nvSpPr>
            <xdr:spPr bwMode="auto">
              <a:xfrm>
                <a:off x="175" y="4737"/>
                <a:ext cx="18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6182" name="Option Button 102" hidden="1">
                <a:extLst>
                  <a:ext uri="{63B3BB69-23CF-44E3-9099-C40C66FF867C}">
                    <a14:compatExt spid="_x0000_s46182"/>
                  </a:ext>
                  <a:ext uri="{FF2B5EF4-FFF2-40B4-BE49-F238E27FC236}">
                    <a16:creationId xmlns:a16="http://schemas.microsoft.com/office/drawing/2014/main" id="{00000000-0008-0000-0600-000066B40000}"/>
                  </a:ext>
                </a:extLst>
              </xdr:cNvPr>
              <xdr:cNvSpPr/>
            </xdr:nvSpPr>
            <xdr:spPr bwMode="auto">
              <a:xfrm>
                <a:off x="369" y="4737"/>
                <a:ext cx="17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246</xdr:row>
          <xdr:rowOff>19050</xdr:rowOff>
        </xdr:from>
        <xdr:to>
          <xdr:col>1</xdr:col>
          <xdr:colOff>390525</xdr:colOff>
          <xdr:row>247</xdr:row>
          <xdr:rowOff>9525</xdr:rowOff>
        </xdr:to>
        <xdr:sp macro="" textlink="">
          <xdr:nvSpPr>
            <xdr:cNvPr id="46183" name="Check Box 103" hidden="1">
              <a:extLst>
                <a:ext uri="{63B3BB69-23CF-44E3-9099-C40C66FF867C}">
                  <a14:compatExt spid="_x0000_s46183"/>
                </a:ext>
                <a:ext uri="{FF2B5EF4-FFF2-40B4-BE49-F238E27FC236}">
                  <a16:creationId xmlns:a16="http://schemas.microsoft.com/office/drawing/2014/main" id="{00000000-0008-0000-0600-000067B40000}"/>
                </a:ext>
              </a:extLst>
            </xdr:cNvPr>
            <xdr:cNvSpPr/>
          </xdr:nvSpPr>
          <xdr:spPr bwMode="auto">
            <a:xfrm>
              <a:off x="0" y="0"/>
              <a:ext cx="0" cy="0"/>
            </a:xfrm>
            <a:prstGeom prst="rect">
              <a:avLst/>
            </a:prstGeom>
            <a:noFill/>
            <a:ln w="9525">
              <a:solidFill>
                <a:srgbClr val="CCFFCC" mc:Ignorable="a14" a14:legacySpreadsheetColorIndex="42"/>
              </a:solidFill>
              <a:miter lim="800000"/>
              <a:headEnd/>
              <a:tailEnd/>
            </a:ln>
            <a:extLst>
              <a:ext uri="{909E8E84-426E-40DD-AFC4-6F175D3DCCD1}">
                <a14:hiddenFill>
                  <a:solidFill>
                    <a:srgbClr val="CCFFCC" mc:Ignorable="a14" a14:legacySpreadsheetColorIndex="42"/>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248</xdr:row>
          <xdr:rowOff>19050</xdr:rowOff>
        </xdr:from>
        <xdr:to>
          <xdr:col>6</xdr:col>
          <xdr:colOff>190500</xdr:colOff>
          <xdr:row>249</xdr:row>
          <xdr:rowOff>9525</xdr:rowOff>
        </xdr:to>
        <xdr:sp macro="" textlink="">
          <xdr:nvSpPr>
            <xdr:cNvPr id="46184" name="Check Box 104" hidden="1">
              <a:extLst>
                <a:ext uri="{63B3BB69-23CF-44E3-9099-C40C66FF867C}">
                  <a14:compatExt spid="_x0000_s46184"/>
                </a:ext>
                <a:ext uri="{FF2B5EF4-FFF2-40B4-BE49-F238E27FC236}">
                  <a16:creationId xmlns:a16="http://schemas.microsoft.com/office/drawing/2014/main" id="{00000000-0008-0000-0600-00006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252</xdr:row>
          <xdr:rowOff>0</xdr:rowOff>
        </xdr:from>
        <xdr:to>
          <xdr:col>15</xdr:col>
          <xdr:colOff>0</xdr:colOff>
          <xdr:row>253</xdr:row>
          <xdr:rowOff>0</xdr:rowOff>
        </xdr:to>
        <xdr:grpSp>
          <xdr:nvGrpSpPr>
            <xdr:cNvPr id="89735" name="Group 105">
              <a:extLst>
                <a:ext uri="{FF2B5EF4-FFF2-40B4-BE49-F238E27FC236}">
                  <a16:creationId xmlns:a16="http://schemas.microsoft.com/office/drawing/2014/main" id="{00000000-0008-0000-0600-0000875E0100}"/>
                </a:ext>
              </a:extLst>
            </xdr:cNvPr>
            <xdr:cNvGrpSpPr>
              <a:grpSpLocks/>
            </xdr:cNvGrpSpPr>
          </xdr:nvGrpSpPr>
          <xdr:grpSpPr bwMode="auto">
            <a:xfrm>
              <a:off x="4230688" y="54721125"/>
              <a:ext cx="1174750" cy="269875"/>
              <a:chOff x="431" y="4893"/>
              <a:chExt cx="124" cy="28"/>
            </a:xfrm>
          </xdr:grpSpPr>
          <xdr:sp macro="" textlink="">
            <xdr:nvSpPr>
              <xdr:cNvPr id="46186" name="Group Box 106" hidden="1">
                <a:extLst>
                  <a:ext uri="{63B3BB69-23CF-44E3-9099-C40C66FF867C}">
                    <a14:compatExt spid="_x0000_s46186"/>
                  </a:ext>
                  <a:ext uri="{FF2B5EF4-FFF2-40B4-BE49-F238E27FC236}">
                    <a16:creationId xmlns:a16="http://schemas.microsoft.com/office/drawing/2014/main" id="{00000000-0008-0000-0600-00006AB40000}"/>
                  </a:ext>
                </a:extLst>
              </xdr:cNvPr>
              <xdr:cNvSpPr/>
            </xdr:nvSpPr>
            <xdr:spPr bwMode="auto">
              <a:xfrm>
                <a:off x="431" y="4893"/>
                <a:ext cx="124" cy="28"/>
              </a:xfrm>
              <a:prstGeom prst="rect">
                <a:avLst/>
              </a:prstGeom>
              <a:noFill/>
              <a:ln w="9525">
                <a:miter lim="800000"/>
                <a:headEnd/>
                <a:tailEnd/>
              </a:ln>
              <a:extLst>
                <a:ext uri="{909E8E84-426E-40DD-AFC4-6F175D3DCCD1}">
                  <a14:hiddenFill>
                    <a:noFill/>
                  </a14:hiddenFill>
                </a:ext>
              </a:extLst>
            </xdr:spPr>
          </xdr:sp>
          <xdr:sp macro="" textlink="">
            <xdr:nvSpPr>
              <xdr:cNvPr id="46187" name="Option Button 107" hidden="1">
                <a:extLst>
                  <a:ext uri="{63B3BB69-23CF-44E3-9099-C40C66FF867C}">
                    <a14:compatExt spid="_x0000_s46187"/>
                  </a:ext>
                  <a:ext uri="{FF2B5EF4-FFF2-40B4-BE49-F238E27FC236}">
                    <a16:creationId xmlns:a16="http://schemas.microsoft.com/office/drawing/2014/main" id="{00000000-0008-0000-0600-00006BB40000}"/>
                  </a:ext>
                </a:extLst>
              </xdr:cNvPr>
              <xdr:cNvSpPr/>
            </xdr:nvSpPr>
            <xdr:spPr bwMode="auto">
              <a:xfrm>
                <a:off x="439" y="4895"/>
                <a:ext cx="54"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188" name="Option Button 108" hidden="1">
                <a:extLst>
                  <a:ext uri="{63B3BB69-23CF-44E3-9099-C40C66FF867C}">
                    <a14:compatExt spid="_x0000_s46188"/>
                  </a:ext>
                  <a:ext uri="{FF2B5EF4-FFF2-40B4-BE49-F238E27FC236}">
                    <a16:creationId xmlns:a16="http://schemas.microsoft.com/office/drawing/2014/main" id="{00000000-0008-0000-0600-00006CB40000}"/>
                  </a:ext>
                </a:extLst>
              </xdr:cNvPr>
              <xdr:cNvSpPr/>
            </xdr:nvSpPr>
            <xdr:spPr bwMode="auto">
              <a:xfrm>
                <a:off x="496" y="4895"/>
                <a:ext cx="42"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255</xdr:row>
          <xdr:rowOff>28575</xdr:rowOff>
        </xdr:from>
        <xdr:to>
          <xdr:col>5</xdr:col>
          <xdr:colOff>219075</xdr:colOff>
          <xdr:row>256</xdr:row>
          <xdr:rowOff>19050</xdr:rowOff>
        </xdr:to>
        <xdr:sp macro="" textlink="">
          <xdr:nvSpPr>
            <xdr:cNvPr id="46189" name="Check Box 109" hidden="1">
              <a:extLst>
                <a:ext uri="{63B3BB69-23CF-44E3-9099-C40C66FF867C}">
                  <a14:compatExt spid="_x0000_s46189"/>
                </a:ext>
                <a:ext uri="{FF2B5EF4-FFF2-40B4-BE49-F238E27FC236}">
                  <a16:creationId xmlns:a16="http://schemas.microsoft.com/office/drawing/2014/main" id="{00000000-0008-0000-0600-00006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256</xdr:row>
          <xdr:rowOff>38100</xdr:rowOff>
        </xdr:from>
        <xdr:to>
          <xdr:col>5</xdr:col>
          <xdr:colOff>219075</xdr:colOff>
          <xdr:row>257</xdr:row>
          <xdr:rowOff>28575</xdr:rowOff>
        </xdr:to>
        <xdr:sp macro="" textlink="">
          <xdr:nvSpPr>
            <xdr:cNvPr id="46190" name="Check Box 110" hidden="1">
              <a:extLst>
                <a:ext uri="{63B3BB69-23CF-44E3-9099-C40C66FF867C}">
                  <a14:compatExt spid="_x0000_s46190"/>
                </a:ext>
                <a:ext uri="{FF2B5EF4-FFF2-40B4-BE49-F238E27FC236}">
                  <a16:creationId xmlns:a16="http://schemas.microsoft.com/office/drawing/2014/main" id="{00000000-0008-0000-0600-00006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257</xdr:row>
          <xdr:rowOff>38100</xdr:rowOff>
        </xdr:from>
        <xdr:to>
          <xdr:col>5</xdr:col>
          <xdr:colOff>219075</xdr:colOff>
          <xdr:row>258</xdr:row>
          <xdr:rowOff>28575</xdr:rowOff>
        </xdr:to>
        <xdr:sp macro="" textlink="">
          <xdr:nvSpPr>
            <xdr:cNvPr id="46191" name="Check Box 111" hidden="1">
              <a:extLst>
                <a:ext uri="{63B3BB69-23CF-44E3-9099-C40C66FF867C}">
                  <a14:compatExt spid="_x0000_s46191"/>
                </a:ext>
                <a:ext uri="{FF2B5EF4-FFF2-40B4-BE49-F238E27FC236}">
                  <a16:creationId xmlns:a16="http://schemas.microsoft.com/office/drawing/2014/main" id="{00000000-0008-0000-0600-00006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258</xdr:row>
          <xdr:rowOff>38100</xdr:rowOff>
        </xdr:from>
        <xdr:to>
          <xdr:col>5</xdr:col>
          <xdr:colOff>219075</xdr:colOff>
          <xdr:row>259</xdr:row>
          <xdr:rowOff>28575</xdr:rowOff>
        </xdr:to>
        <xdr:sp macro="" textlink="">
          <xdr:nvSpPr>
            <xdr:cNvPr id="46192" name="Check Box 112" hidden="1">
              <a:extLst>
                <a:ext uri="{63B3BB69-23CF-44E3-9099-C40C66FF867C}">
                  <a14:compatExt spid="_x0000_s46192"/>
                </a:ext>
                <a:ext uri="{FF2B5EF4-FFF2-40B4-BE49-F238E27FC236}">
                  <a16:creationId xmlns:a16="http://schemas.microsoft.com/office/drawing/2014/main" id="{00000000-0008-0000-0600-00007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259</xdr:row>
          <xdr:rowOff>38100</xdr:rowOff>
        </xdr:from>
        <xdr:to>
          <xdr:col>5</xdr:col>
          <xdr:colOff>219075</xdr:colOff>
          <xdr:row>260</xdr:row>
          <xdr:rowOff>28575</xdr:rowOff>
        </xdr:to>
        <xdr:sp macro="" textlink="">
          <xdr:nvSpPr>
            <xdr:cNvPr id="46193" name="Check Box 113" hidden="1">
              <a:extLst>
                <a:ext uri="{63B3BB69-23CF-44E3-9099-C40C66FF867C}">
                  <a14:compatExt spid="_x0000_s46193"/>
                </a:ext>
                <a:ext uri="{FF2B5EF4-FFF2-40B4-BE49-F238E27FC236}">
                  <a16:creationId xmlns:a16="http://schemas.microsoft.com/office/drawing/2014/main" id="{00000000-0008-0000-0600-00007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260</xdr:row>
          <xdr:rowOff>38100</xdr:rowOff>
        </xdr:from>
        <xdr:to>
          <xdr:col>5</xdr:col>
          <xdr:colOff>219075</xdr:colOff>
          <xdr:row>261</xdr:row>
          <xdr:rowOff>28575</xdr:rowOff>
        </xdr:to>
        <xdr:sp macro="" textlink="">
          <xdr:nvSpPr>
            <xdr:cNvPr id="46194" name="Check Box 114" hidden="1">
              <a:extLst>
                <a:ext uri="{63B3BB69-23CF-44E3-9099-C40C66FF867C}">
                  <a14:compatExt spid="_x0000_s46194"/>
                </a:ext>
                <a:ext uri="{FF2B5EF4-FFF2-40B4-BE49-F238E27FC236}">
                  <a16:creationId xmlns:a16="http://schemas.microsoft.com/office/drawing/2014/main" id="{00000000-0008-0000-0600-00007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261</xdr:row>
          <xdr:rowOff>19050</xdr:rowOff>
        </xdr:from>
        <xdr:to>
          <xdr:col>5</xdr:col>
          <xdr:colOff>219075</xdr:colOff>
          <xdr:row>262</xdr:row>
          <xdr:rowOff>9525</xdr:rowOff>
        </xdr:to>
        <xdr:sp macro="" textlink="">
          <xdr:nvSpPr>
            <xdr:cNvPr id="46195" name="Check Box 115" hidden="1">
              <a:extLst>
                <a:ext uri="{63B3BB69-23CF-44E3-9099-C40C66FF867C}">
                  <a14:compatExt spid="_x0000_s46195"/>
                </a:ext>
                <a:ext uri="{FF2B5EF4-FFF2-40B4-BE49-F238E27FC236}">
                  <a16:creationId xmlns:a16="http://schemas.microsoft.com/office/drawing/2014/main" id="{00000000-0008-0000-0600-00007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265</xdr:row>
          <xdr:rowOff>9525</xdr:rowOff>
        </xdr:from>
        <xdr:to>
          <xdr:col>14</xdr:col>
          <xdr:colOff>628650</xdr:colOff>
          <xdr:row>266</xdr:row>
          <xdr:rowOff>0</xdr:rowOff>
        </xdr:to>
        <xdr:grpSp>
          <xdr:nvGrpSpPr>
            <xdr:cNvPr id="89736" name="Group 120">
              <a:extLst>
                <a:ext uri="{FF2B5EF4-FFF2-40B4-BE49-F238E27FC236}">
                  <a16:creationId xmlns:a16="http://schemas.microsoft.com/office/drawing/2014/main" id="{00000000-0008-0000-0600-0000885E0100}"/>
                </a:ext>
              </a:extLst>
            </xdr:cNvPr>
            <xdr:cNvGrpSpPr>
              <a:grpSpLocks/>
            </xdr:cNvGrpSpPr>
          </xdr:nvGrpSpPr>
          <xdr:grpSpPr bwMode="auto">
            <a:xfrm>
              <a:off x="4240213" y="57858025"/>
              <a:ext cx="1168400" cy="220663"/>
              <a:chOff x="442" y="5994"/>
              <a:chExt cx="127" cy="23"/>
            </a:xfrm>
          </xdr:grpSpPr>
          <xdr:sp macro="" textlink="">
            <xdr:nvSpPr>
              <xdr:cNvPr id="46201" name="Group Box 121" hidden="1">
                <a:extLst>
                  <a:ext uri="{63B3BB69-23CF-44E3-9099-C40C66FF867C}">
                    <a14:compatExt spid="_x0000_s46201"/>
                  </a:ext>
                  <a:ext uri="{FF2B5EF4-FFF2-40B4-BE49-F238E27FC236}">
                    <a16:creationId xmlns:a16="http://schemas.microsoft.com/office/drawing/2014/main" id="{00000000-0008-0000-0600-000079B40000}"/>
                  </a:ext>
                </a:extLst>
              </xdr:cNvPr>
              <xdr:cNvSpPr/>
            </xdr:nvSpPr>
            <xdr:spPr bwMode="auto">
              <a:xfrm>
                <a:off x="442" y="5994"/>
                <a:ext cx="127" cy="23"/>
              </a:xfrm>
              <a:prstGeom prst="rect">
                <a:avLst/>
              </a:prstGeom>
              <a:noFill/>
              <a:ln w="9525">
                <a:miter lim="800000"/>
                <a:headEnd/>
                <a:tailEnd/>
              </a:ln>
              <a:extLst>
                <a:ext uri="{909E8E84-426E-40DD-AFC4-6F175D3DCCD1}">
                  <a14:hiddenFill>
                    <a:noFill/>
                  </a14:hiddenFill>
                </a:ext>
              </a:extLst>
            </xdr:spPr>
          </xdr:sp>
          <xdr:sp macro="" textlink="">
            <xdr:nvSpPr>
              <xdr:cNvPr id="46202" name="Option Button 122" hidden="1">
                <a:extLst>
                  <a:ext uri="{63B3BB69-23CF-44E3-9099-C40C66FF867C}">
                    <a14:compatExt spid="_x0000_s46202"/>
                  </a:ext>
                  <a:ext uri="{FF2B5EF4-FFF2-40B4-BE49-F238E27FC236}">
                    <a16:creationId xmlns:a16="http://schemas.microsoft.com/office/drawing/2014/main" id="{00000000-0008-0000-0600-00007AB40000}"/>
                  </a:ext>
                </a:extLst>
              </xdr:cNvPr>
              <xdr:cNvSpPr/>
            </xdr:nvSpPr>
            <xdr:spPr bwMode="auto">
              <a:xfrm>
                <a:off x="448" y="599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03" name="Option Button 123" hidden="1">
                <a:extLst>
                  <a:ext uri="{63B3BB69-23CF-44E3-9099-C40C66FF867C}">
                    <a14:compatExt spid="_x0000_s46203"/>
                  </a:ext>
                  <a:ext uri="{FF2B5EF4-FFF2-40B4-BE49-F238E27FC236}">
                    <a16:creationId xmlns:a16="http://schemas.microsoft.com/office/drawing/2014/main" id="{00000000-0008-0000-0600-00007BB40000}"/>
                  </a:ext>
                </a:extLst>
              </xdr:cNvPr>
              <xdr:cNvSpPr/>
            </xdr:nvSpPr>
            <xdr:spPr bwMode="auto">
              <a:xfrm>
                <a:off x="507" y="599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962025</xdr:colOff>
          <xdr:row>402</xdr:row>
          <xdr:rowOff>9525</xdr:rowOff>
        </xdr:from>
        <xdr:to>
          <xdr:col>15</xdr:col>
          <xdr:colOff>0</xdr:colOff>
          <xdr:row>403</xdr:row>
          <xdr:rowOff>0</xdr:rowOff>
        </xdr:to>
        <xdr:grpSp>
          <xdr:nvGrpSpPr>
            <xdr:cNvPr id="89737" name="Group 124">
              <a:extLst>
                <a:ext uri="{FF2B5EF4-FFF2-40B4-BE49-F238E27FC236}">
                  <a16:creationId xmlns:a16="http://schemas.microsoft.com/office/drawing/2014/main" id="{00000000-0008-0000-0600-0000895E0100}"/>
                </a:ext>
              </a:extLst>
            </xdr:cNvPr>
            <xdr:cNvGrpSpPr>
              <a:grpSpLocks/>
            </xdr:cNvGrpSpPr>
          </xdr:nvGrpSpPr>
          <xdr:grpSpPr bwMode="auto">
            <a:xfrm>
              <a:off x="1017588" y="87449025"/>
              <a:ext cx="4387850" cy="220663"/>
              <a:chOff x="110" y="8601"/>
              <a:chExt cx="448" cy="23"/>
            </a:xfrm>
          </xdr:grpSpPr>
          <xdr:sp macro="" textlink="">
            <xdr:nvSpPr>
              <xdr:cNvPr id="46205" name="Group Box 125" hidden="1">
                <a:extLst>
                  <a:ext uri="{63B3BB69-23CF-44E3-9099-C40C66FF867C}">
                    <a14:compatExt spid="_x0000_s46205"/>
                  </a:ext>
                  <a:ext uri="{FF2B5EF4-FFF2-40B4-BE49-F238E27FC236}">
                    <a16:creationId xmlns:a16="http://schemas.microsoft.com/office/drawing/2014/main" id="{00000000-0008-0000-0600-00007DB40000}"/>
                  </a:ext>
                </a:extLst>
              </xdr:cNvPr>
              <xdr:cNvSpPr/>
            </xdr:nvSpPr>
            <xdr:spPr bwMode="auto">
              <a:xfrm>
                <a:off x="110" y="8601"/>
                <a:ext cx="448" cy="23"/>
              </a:xfrm>
              <a:prstGeom prst="rect">
                <a:avLst/>
              </a:prstGeom>
              <a:noFill/>
              <a:ln w="9525">
                <a:miter lim="800000"/>
                <a:headEnd/>
                <a:tailEnd/>
              </a:ln>
              <a:extLst>
                <a:ext uri="{909E8E84-426E-40DD-AFC4-6F175D3DCCD1}">
                  <a14:hiddenFill>
                    <a:noFill/>
                  </a14:hiddenFill>
                </a:ext>
              </a:extLst>
            </xdr:spPr>
          </xdr:sp>
          <xdr:sp macro="" textlink="">
            <xdr:nvSpPr>
              <xdr:cNvPr id="46206" name="Option Button 126" hidden="1">
                <a:extLst>
                  <a:ext uri="{63B3BB69-23CF-44E3-9099-C40C66FF867C}">
                    <a14:compatExt spid="_x0000_s46206"/>
                  </a:ext>
                  <a:ext uri="{FF2B5EF4-FFF2-40B4-BE49-F238E27FC236}">
                    <a16:creationId xmlns:a16="http://schemas.microsoft.com/office/drawing/2014/main" id="{00000000-0008-0000-0600-00007EB40000}"/>
                  </a:ext>
                </a:extLst>
              </xdr:cNvPr>
              <xdr:cNvSpPr/>
            </xdr:nvSpPr>
            <xdr:spPr bwMode="auto">
              <a:xfrm>
                <a:off x="113" y="8603"/>
                <a:ext cx="75"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207" name="Option Button 127" hidden="1">
                <a:extLst>
                  <a:ext uri="{63B3BB69-23CF-44E3-9099-C40C66FF867C}">
                    <a14:compatExt spid="_x0000_s46207"/>
                  </a:ext>
                  <a:ext uri="{FF2B5EF4-FFF2-40B4-BE49-F238E27FC236}">
                    <a16:creationId xmlns:a16="http://schemas.microsoft.com/office/drawing/2014/main" id="{00000000-0008-0000-0600-00007FB40000}"/>
                  </a:ext>
                </a:extLst>
              </xdr:cNvPr>
              <xdr:cNvSpPr/>
            </xdr:nvSpPr>
            <xdr:spPr bwMode="auto">
              <a:xfrm>
                <a:off x="186" y="8603"/>
                <a:ext cx="192"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6208" name="Option Button 128" hidden="1">
                <a:extLst>
                  <a:ext uri="{63B3BB69-23CF-44E3-9099-C40C66FF867C}">
                    <a14:compatExt spid="_x0000_s46208"/>
                  </a:ext>
                  <a:ext uri="{FF2B5EF4-FFF2-40B4-BE49-F238E27FC236}">
                    <a16:creationId xmlns:a16="http://schemas.microsoft.com/office/drawing/2014/main" id="{00000000-0008-0000-0600-000080B40000}"/>
                  </a:ext>
                </a:extLst>
              </xdr:cNvPr>
              <xdr:cNvSpPr/>
            </xdr:nvSpPr>
            <xdr:spPr bwMode="auto">
              <a:xfrm>
                <a:off x="376" y="8603"/>
                <a:ext cx="180"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142875</xdr:colOff>
          <xdr:row>412</xdr:row>
          <xdr:rowOff>95250</xdr:rowOff>
        </xdr:from>
        <xdr:to>
          <xdr:col>3</xdr:col>
          <xdr:colOff>371475</xdr:colOff>
          <xdr:row>413</xdr:row>
          <xdr:rowOff>85725</xdr:rowOff>
        </xdr:to>
        <xdr:sp macro="" textlink="">
          <xdr:nvSpPr>
            <xdr:cNvPr id="46210" name="Option Button 130" hidden="1">
              <a:extLst>
                <a:ext uri="{63B3BB69-23CF-44E3-9099-C40C66FF867C}">
                  <a14:compatExt spid="_x0000_s46210"/>
                </a:ext>
                <a:ext uri="{FF2B5EF4-FFF2-40B4-BE49-F238E27FC236}">
                  <a16:creationId xmlns:a16="http://schemas.microsoft.com/office/drawing/2014/main" id="{00000000-0008-0000-0600-00008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411</xdr:row>
          <xdr:rowOff>9525</xdr:rowOff>
        </xdr:from>
        <xdr:to>
          <xdr:col>11</xdr:col>
          <xdr:colOff>161925</xdr:colOff>
          <xdr:row>412</xdr:row>
          <xdr:rowOff>0</xdr:rowOff>
        </xdr:to>
        <xdr:sp macro="" textlink="">
          <xdr:nvSpPr>
            <xdr:cNvPr id="46211" name="Option Button 131" hidden="1">
              <a:extLst>
                <a:ext uri="{63B3BB69-23CF-44E3-9099-C40C66FF867C}">
                  <a14:compatExt spid="_x0000_s46211"/>
                </a:ext>
                <a:ext uri="{FF2B5EF4-FFF2-40B4-BE49-F238E27FC236}">
                  <a16:creationId xmlns:a16="http://schemas.microsoft.com/office/drawing/2014/main" id="{00000000-0008-0000-0600-00008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1/4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411</xdr:row>
          <xdr:rowOff>219075</xdr:rowOff>
        </xdr:from>
        <xdr:to>
          <xdr:col>12</xdr:col>
          <xdr:colOff>342900</xdr:colOff>
          <xdr:row>412</xdr:row>
          <xdr:rowOff>209550</xdr:rowOff>
        </xdr:to>
        <xdr:sp macro="" textlink="">
          <xdr:nvSpPr>
            <xdr:cNvPr id="46212" name="Option Button 132" hidden="1">
              <a:extLst>
                <a:ext uri="{63B3BB69-23CF-44E3-9099-C40C66FF867C}">
                  <a14:compatExt spid="_x0000_s46212"/>
                </a:ext>
                <a:ext uri="{FF2B5EF4-FFF2-40B4-BE49-F238E27FC236}">
                  <a16:creationId xmlns:a16="http://schemas.microsoft.com/office/drawing/2014/main" id="{00000000-0008-0000-0600-00008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1/2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412</xdr:row>
          <xdr:rowOff>200025</xdr:rowOff>
        </xdr:from>
        <xdr:to>
          <xdr:col>12</xdr:col>
          <xdr:colOff>342900</xdr:colOff>
          <xdr:row>413</xdr:row>
          <xdr:rowOff>190500</xdr:rowOff>
        </xdr:to>
        <xdr:sp macro="" textlink="">
          <xdr:nvSpPr>
            <xdr:cNvPr id="46213" name="Option Button 133" hidden="1">
              <a:extLst>
                <a:ext uri="{63B3BB69-23CF-44E3-9099-C40C66FF867C}">
                  <a14:compatExt spid="_x0000_s46213"/>
                </a:ext>
                <a:ext uri="{FF2B5EF4-FFF2-40B4-BE49-F238E27FC236}">
                  <a16:creationId xmlns:a16="http://schemas.microsoft.com/office/drawing/2014/main" id="{00000000-0008-0000-0600-00008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3/4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413</xdr:row>
          <xdr:rowOff>180975</xdr:rowOff>
        </xdr:from>
        <xdr:to>
          <xdr:col>12</xdr:col>
          <xdr:colOff>342900</xdr:colOff>
          <xdr:row>414</xdr:row>
          <xdr:rowOff>171450</xdr:rowOff>
        </xdr:to>
        <xdr:sp macro="" textlink="">
          <xdr:nvSpPr>
            <xdr:cNvPr id="46214" name="Option Button 134" hidden="1">
              <a:extLst>
                <a:ext uri="{63B3BB69-23CF-44E3-9099-C40C66FF867C}">
                  <a14:compatExt spid="_x0000_s46214"/>
                </a:ext>
                <a:ext uri="{FF2B5EF4-FFF2-40B4-BE49-F238E27FC236}">
                  <a16:creationId xmlns:a16="http://schemas.microsoft.com/office/drawing/2014/main" id="{00000000-0008-0000-0600-00008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15</xdr:col>
          <xdr:colOff>0</xdr:colOff>
          <xdr:row>415</xdr:row>
          <xdr:rowOff>0</xdr:rowOff>
        </xdr:to>
        <xdr:sp macro="" textlink="">
          <xdr:nvSpPr>
            <xdr:cNvPr id="46215" name="Group Box 135" hidden="1">
              <a:extLst>
                <a:ext uri="{63B3BB69-23CF-44E3-9099-C40C66FF867C}">
                  <a14:compatExt spid="_x0000_s46215"/>
                </a:ext>
                <a:ext uri="{FF2B5EF4-FFF2-40B4-BE49-F238E27FC236}">
                  <a16:creationId xmlns:a16="http://schemas.microsoft.com/office/drawing/2014/main" id="{00000000-0008-0000-0600-00008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415</xdr:row>
          <xdr:rowOff>19050</xdr:rowOff>
        </xdr:from>
        <xdr:to>
          <xdr:col>3</xdr:col>
          <xdr:colOff>85725</xdr:colOff>
          <xdr:row>416</xdr:row>
          <xdr:rowOff>9525</xdr:rowOff>
        </xdr:to>
        <xdr:sp macro="" textlink="">
          <xdr:nvSpPr>
            <xdr:cNvPr id="46216" name="Check Box 136" hidden="1">
              <a:extLst>
                <a:ext uri="{63B3BB69-23CF-44E3-9099-C40C66FF867C}">
                  <a14:compatExt spid="_x0000_s46216"/>
                </a:ext>
                <a:ext uri="{FF2B5EF4-FFF2-40B4-BE49-F238E27FC236}">
                  <a16:creationId xmlns:a16="http://schemas.microsoft.com/office/drawing/2014/main" id="{00000000-0008-0000-0600-00008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416</xdr:row>
          <xdr:rowOff>19050</xdr:rowOff>
        </xdr:from>
        <xdr:to>
          <xdr:col>3</xdr:col>
          <xdr:colOff>85725</xdr:colOff>
          <xdr:row>417</xdr:row>
          <xdr:rowOff>9525</xdr:rowOff>
        </xdr:to>
        <xdr:sp macro="" textlink="">
          <xdr:nvSpPr>
            <xdr:cNvPr id="46217" name="Check Box 137" hidden="1">
              <a:extLst>
                <a:ext uri="{63B3BB69-23CF-44E3-9099-C40C66FF867C}">
                  <a14:compatExt spid="_x0000_s46217"/>
                </a:ext>
                <a:ext uri="{FF2B5EF4-FFF2-40B4-BE49-F238E27FC236}">
                  <a16:creationId xmlns:a16="http://schemas.microsoft.com/office/drawing/2014/main" id="{00000000-0008-0000-0600-00008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422</xdr:row>
          <xdr:rowOff>19050</xdr:rowOff>
        </xdr:from>
        <xdr:to>
          <xdr:col>1</xdr:col>
          <xdr:colOff>1428750</xdr:colOff>
          <xdr:row>426</xdr:row>
          <xdr:rowOff>0</xdr:rowOff>
        </xdr:to>
        <xdr:grpSp>
          <xdr:nvGrpSpPr>
            <xdr:cNvPr id="89738" name="Group 138">
              <a:extLst>
                <a:ext uri="{FF2B5EF4-FFF2-40B4-BE49-F238E27FC236}">
                  <a16:creationId xmlns:a16="http://schemas.microsoft.com/office/drawing/2014/main" id="{00000000-0008-0000-0600-00008A5E0100}"/>
                </a:ext>
              </a:extLst>
            </xdr:cNvPr>
            <xdr:cNvGrpSpPr>
              <a:grpSpLocks/>
            </xdr:cNvGrpSpPr>
          </xdr:nvGrpSpPr>
          <xdr:grpSpPr bwMode="auto">
            <a:xfrm>
              <a:off x="55563" y="91617800"/>
              <a:ext cx="1428750" cy="1481138"/>
              <a:chOff x="6" y="9450"/>
              <a:chExt cx="151" cy="145"/>
            </a:xfrm>
          </xdr:grpSpPr>
          <xdr:sp macro="" textlink="">
            <xdr:nvSpPr>
              <xdr:cNvPr id="46219" name="Group Box 139" hidden="1">
                <a:extLst>
                  <a:ext uri="{63B3BB69-23CF-44E3-9099-C40C66FF867C}">
                    <a14:compatExt spid="_x0000_s46219"/>
                  </a:ext>
                  <a:ext uri="{FF2B5EF4-FFF2-40B4-BE49-F238E27FC236}">
                    <a16:creationId xmlns:a16="http://schemas.microsoft.com/office/drawing/2014/main" id="{00000000-0008-0000-0600-00008BB40000}"/>
                  </a:ext>
                </a:extLst>
              </xdr:cNvPr>
              <xdr:cNvSpPr/>
            </xdr:nvSpPr>
            <xdr:spPr bwMode="auto">
              <a:xfrm>
                <a:off x="6" y="9450"/>
                <a:ext cx="151" cy="145"/>
              </a:xfrm>
              <a:prstGeom prst="rect">
                <a:avLst/>
              </a:prstGeom>
              <a:noFill/>
              <a:ln w="9525">
                <a:miter lim="800000"/>
                <a:headEnd/>
                <a:tailEnd/>
              </a:ln>
              <a:extLst>
                <a:ext uri="{909E8E84-426E-40DD-AFC4-6F175D3DCCD1}">
                  <a14:hiddenFill>
                    <a:noFill/>
                  </a14:hiddenFill>
                </a:ext>
              </a:extLst>
            </xdr:spPr>
          </xdr:sp>
          <xdr:sp macro="" textlink="">
            <xdr:nvSpPr>
              <xdr:cNvPr id="46220" name="Option Button 140" hidden="1">
                <a:extLst>
                  <a:ext uri="{63B3BB69-23CF-44E3-9099-C40C66FF867C}">
                    <a14:compatExt spid="_x0000_s46220"/>
                  </a:ext>
                  <a:ext uri="{FF2B5EF4-FFF2-40B4-BE49-F238E27FC236}">
                    <a16:creationId xmlns:a16="http://schemas.microsoft.com/office/drawing/2014/main" id="{00000000-0008-0000-0600-00008CB40000}"/>
                  </a:ext>
                </a:extLst>
              </xdr:cNvPr>
              <xdr:cNvSpPr/>
            </xdr:nvSpPr>
            <xdr:spPr bwMode="auto">
              <a:xfrm>
                <a:off x="121" y="945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1" name="Option Button 141" hidden="1">
                <a:extLst>
                  <a:ext uri="{63B3BB69-23CF-44E3-9099-C40C66FF867C}">
                    <a14:compatExt spid="_x0000_s46221"/>
                  </a:ext>
                  <a:ext uri="{FF2B5EF4-FFF2-40B4-BE49-F238E27FC236}">
                    <a16:creationId xmlns:a16="http://schemas.microsoft.com/office/drawing/2014/main" id="{00000000-0008-0000-0600-00008DB40000}"/>
                  </a:ext>
                </a:extLst>
              </xdr:cNvPr>
              <xdr:cNvSpPr/>
            </xdr:nvSpPr>
            <xdr:spPr bwMode="auto">
              <a:xfrm>
                <a:off x="121" y="948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2" name="Option Button 142" hidden="1">
                <a:extLst>
                  <a:ext uri="{63B3BB69-23CF-44E3-9099-C40C66FF867C}">
                    <a14:compatExt spid="_x0000_s46222"/>
                  </a:ext>
                  <a:ext uri="{FF2B5EF4-FFF2-40B4-BE49-F238E27FC236}">
                    <a16:creationId xmlns:a16="http://schemas.microsoft.com/office/drawing/2014/main" id="{00000000-0008-0000-0600-00008EB40000}"/>
                  </a:ext>
                </a:extLst>
              </xdr:cNvPr>
              <xdr:cNvSpPr/>
            </xdr:nvSpPr>
            <xdr:spPr bwMode="auto">
              <a:xfrm>
                <a:off x="122" y="952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3" name="Option Button 143" hidden="1">
                <a:extLst>
                  <a:ext uri="{63B3BB69-23CF-44E3-9099-C40C66FF867C}">
                    <a14:compatExt spid="_x0000_s46223"/>
                  </a:ext>
                  <a:ext uri="{FF2B5EF4-FFF2-40B4-BE49-F238E27FC236}">
                    <a16:creationId xmlns:a16="http://schemas.microsoft.com/office/drawing/2014/main" id="{00000000-0008-0000-0600-00008FB40000}"/>
                  </a:ext>
                </a:extLst>
              </xdr:cNvPr>
              <xdr:cNvSpPr/>
            </xdr:nvSpPr>
            <xdr:spPr bwMode="auto">
              <a:xfrm>
                <a:off x="122" y="956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4" name="Option Button 144" hidden="1">
                <a:extLst>
                  <a:ext uri="{63B3BB69-23CF-44E3-9099-C40C66FF867C}">
                    <a14:compatExt spid="_x0000_s46224"/>
                  </a:ext>
                  <a:ext uri="{FF2B5EF4-FFF2-40B4-BE49-F238E27FC236}">
                    <a16:creationId xmlns:a16="http://schemas.microsoft.com/office/drawing/2014/main" id="{00000000-0008-0000-0600-000090B40000}"/>
                  </a:ext>
                </a:extLst>
              </xdr:cNvPr>
              <xdr:cNvSpPr/>
            </xdr:nvSpPr>
            <xdr:spPr bwMode="auto">
              <a:xfrm>
                <a:off x="41" y="9504"/>
                <a:ext cx="44" cy="3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428</xdr:row>
          <xdr:rowOff>19050</xdr:rowOff>
        </xdr:from>
        <xdr:to>
          <xdr:col>5</xdr:col>
          <xdr:colOff>219075</xdr:colOff>
          <xdr:row>429</xdr:row>
          <xdr:rowOff>9525</xdr:rowOff>
        </xdr:to>
        <xdr:sp macro="" textlink="">
          <xdr:nvSpPr>
            <xdr:cNvPr id="46225" name="Check Box 145" hidden="1">
              <a:extLst>
                <a:ext uri="{63B3BB69-23CF-44E3-9099-C40C66FF867C}">
                  <a14:compatExt spid="_x0000_s46225"/>
                </a:ext>
                <a:ext uri="{FF2B5EF4-FFF2-40B4-BE49-F238E27FC236}">
                  <a16:creationId xmlns:a16="http://schemas.microsoft.com/office/drawing/2014/main" id="{00000000-0008-0000-0600-00009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429</xdr:row>
          <xdr:rowOff>28575</xdr:rowOff>
        </xdr:from>
        <xdr:to>
          <xdr:col>5</xdr:col>
          <xdr:colOff>219075</xdr:colOff>
          <xdr:row>430</xdr:row>
          <xdr:rowOff>19050</xdr:rowOff>
        </xdr:to>
        <xdr:sp macro="" textlink="">
          <xdr:nvSpPr>
            <xdr:cNvPr id="46226" name="Check Box 146" hidden="1">
              <a:extLst>
                <a:ext uri="{63B3BB69-23CF-44E3-9099-C40C66FF867C}">
                  <a14:compatExt spid="_x0000_s46226"/>
                </a:ext>
                <a:ext uri="{FF2B5EF4-FFF2-40B4-BE49-F238E27FC236}">
                  <a16:creationId xmlns:a16="http://schemas.microsoft.com/office/drawing/2014/main" id="{00000000-0008-0000-0600-00009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430</xdr:row>
          <xdr:rowOff>9525</xdr:rowOff>
        </xdr:from>
        <xdr:to>
          <xdr:col>5</xdr:col>
          <xdr:colOff>219075</xdr:colOff>
          <xdr:row>431</xdr:row>
          <xdr:rowOff>0</xdr:rowOff>
        </xdr:to>
        <xdr:sp macro="" textlink="">
          <xdr:nvSpPr>
            <xdr:cNvPr id="46227" name="Check Box 147" hidden="1">
              <a:extLst>
                <a:ext uri="{63B3BB69-23CF-44E3-9099-C40C66FF867C}">
                  <a14:compatExt spid="_x0000_s46227"/>
                </a:ext>
                <a:ext uri="{FF2B5EF4-FFF2-40B4-BE49-F238E27FC236}">
                  <a16:creationId xmlns:a16="http://schemas.microsoft.com/office/drawing/2014/main" id="{00000000-0008-0000-0600-00009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431</xdr:row>
          <xdr:rowOff>19050</xdr:rowOff>
        </xdr:from>
        <xdr:to>
          <xdr:col>5</xdr:col>
          <xdr:colOff>219075</xdr:colOff>
          <xdr:row>432</xdr:row>
          <xdr:rowOff>9525</xdr:rowOff>
        </xdr:to>
        <xdr:sp macro="" textlink="">
          <xdr:nvSpPr>
            <xdr:cNvPr id="46228" name="Check Box 148" hidden="1">
              <a:extLst>
                <a:ext uri="{63B3BB69-23CF-44E3-9099-C40C66FF867C}">
                  <a14:compatExt spid="_x0000_s46228"/>
                </a:ext>
                <a:ext uri="{FF2B5EF4-FFF2-40B4-BE49-F238E27FC236}">
                  <a16:creationId xmlns:a16="http://schemas.microsoft.com/office/drawing/2014/main" id="{00000000-0008-0000-0600-00009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432</xdr:row>
          <xdr:rowOff>19050</xdr:rowOff>
        </xdr:from>
        <xdr:to>
          <xdr:col>5</xdr:col>
          <xdr:colOff>219075</xdr:colOff>
          <xdr:row>433</xdr:row>
          <xdr:rowOff>9525</xdr:rowOff>
        </xdr:to>
        <xdr:sp macro="" textlink="">
          <xdr:nvSpPr>
            <xdr:cNvPr id="46229" name="Check Box 149" hidden="1">
              <a:extLst>
                <a:ext uri="{63B3BB69-23CF-44E3-9099-C40C66FF867C}">
                  <a14:compatExt spid="_x0000_s46229"/>
                </a:ext>
                <a:ext uri="{FF2B5EF4-FFF2-40B4-BE49-F238E27FC236}">
                  <a16:creationId xmlns:a16="http://schemas.microsoft.com/office/drawing/2014/main" id="{00000000-0008-0000-0600-00009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433</xdr:row>
          <xdr:rowOff>19050</xdr:rowOff>
        </xdr:from>
        <xdr:to>
          <xdr:col>5</xdr:col>
          <xdr:colOff>219075</xdr:colOff>
          <xdr:row>434</xdr:row>
          <xdr:rowOff>9525</xdr:rowOff>
        </xdr:to>
        <xdr:sp macro="" textlink="">
          <xdr:nvSpPr>
            <xdr:cNvPr id="46230" name="Check Box 150" hidden="1">
              <a:extLst>
                <a:ext uri="{63B3BB69-23CF-44E3-9099-C40C66FF867C}">
                  <a14:compatExt spid="_x0000_s46230"/>
                </a:ext>
                <a:ext uri="{FF2B5EF4-FFF2-40B4-BE49-F238E27FC236}">
                  <a16:creationId xmlns:a16="http://schemas.microsoft.com/office/drawing/2014/main" id="{00000000-0008-0000-0600-00009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434</xdr:row>
          <xdr:rowOff>9525</xdr:rowOff>
        </xdr:from>
        <xdr:to>
          <xdr:col>5</xdr:col>
          <xdr:colOff>219075</xdr:colOff>
          <xdr:row>435</xdr:row>
          <xdr:rowOff>0</xdr:rowOff>
        </xdr:to>
        <xdr:sp macro="" textlink="">
          <xdr:nvSpPr>
            <xdr:cNvPr id="46231" name="Check Box 151" hidden="1">
              <a:extLst>
                <a:ext uri="{63B3BB69-23CF-44E3-9099-C40C66FF867C}">
                  <a14:compatExt spid="_x0000_s46231"/>
                </a:ext>
                <a:ext uri="{FF2B5EF4-FFF2-40B4-BE49-F238E27FC236}">
                  <a16:creationId xmlns:a16="http://schemas.microsoft.com/office/drawing/2014/main" id="{00000000-0008-0000-0600-00009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437</xdr:row>
          <xdr:rowOff>0</xdr:rowOff>
        </xdr:from>
        <xdr:to>
          <xdr:col>15</xdr:col>
          <xdr:colOff>0</xdr:colOff>
          <xdr:row>438</xdr:row>
          <xdr:rowOff>0</xdr:rowOff>
        </xdr:to>
        <xdr:grpSp>
          <xdr:nvGrpSpPr>
            <xdr:cNvPr id="89739" name="Group 152">
              <a:extLst>
                <a:ext uri="{FF2B5EF4-FFF2-40B4-BE49-F238E27FC236}">
                  <a16:creationId xmlns:a16="http://schemas.microsoft.com/office/drawing/2014/main" id="{00000000-0008-0000-0600-00008B5E0100}"/>
                </a:ext>
              </a:extLst>
            </xdr:cNvPr>
            <xdr:cNvGrpSpPr>
              <a:grpSpLocks/>
            </xdr:cNvGrpSpPr>
          </xdr:nvGrpSpPr>
          <xdr:grpSpPr bwMode="auto">
            <a:xfrm flipV="1">
              <a:off x="4230688" y="95472250"/>
              <a:ext cx="1174750" cy="492125"/>
              <a:chOff x="435" y="9894"/>
              <a:chExt cx="125" cy="23"/>
            </a:xfrm>
          </xdr:grpSpPr>
          <xdr:sp macro="" textlink="">
            <xdr:nvSpPr>
              <xdr:cNvPr id="46233" name="Group Box 153" hidden="1">
                <a:extLst>
                  <a:ext uri="{63B3BB69-23CF-44E3-9099-C40C66FF867C}">
                    <a14:compatExt spid="_x0000_s46233"/>
                  </a:ext>
                  <a:ext uri="{FF2B5EF4-FFF2-40B4-BE49-F238E27FC236}">
                    <a16:creationId xmlns:a16="http://schemas.microsoft.com/office/drawing/2014/main" id="{00000000-0008-0000-0600-000099B40000}"/>
                  </a:ext>
                </a:extLst>
              </xdr:cNvPr>
              <xdr:cNvSpPr/>
            </xdr:nvSpPr>
            <xdr:spPr bwMode="auto">
              <a:xfrm>
                <a:off x="435" y="9894"/>
                <a:ext cx="125" cy="23"/>
              </a:xfrm>
              <a:prstGeom prst="rect">
                <a:avLst/>
              </a:prstGeom>
              <a:noFill/>
              <a:ln w="9525">
                <a:miter lim="800000"/>
                <a:headEnd/>
                <a:tailEnd/>
              </a:ln>
              <a:extLst>
                <a:ext uri="{909E8E84-426E-40DD-AFC4-6F175D3DCCD1}">
                  <a14:hiddenFill>
                    <a:noFill/>
                  </a14:hiddenFill>
                </a:ext>
              </a:extLst>
            </xdr:spPr>
          </xdr:sp>
          <xdr:sp macro="" textlink="">
            <xdr:nvSpPr>
              <xdr:cNvPr id="46234" name="Option Button 154" hidden="1">
                <a:extLst>
                  <a:ext uri="{63B3BB69-23CF-44E3-9099-C40C66FF867C}">
                    <a14:compatExt spid="_x0000_s46234"/>
                  </a:ext>
                  <a:ext uri="{FF2B5EF4-FFF2-40B4-BE49-F238E27FC236}">
                    <a16:creationId xmlns:a16="http://schemas.microsoft.com/office/drawing/2014/main" id="{00000000-0008-0000-0600-00009AB40000}"/>
                  </a:ext>
                </a:extLst>
              </xdr:cNvPr>
              <xdr:cNvSpPr/>
            </xdr:nvSpPr>
            <xdr:spPr bwMode="auto">
              <a:xfrm>
                <a:off x="441" y="9897"/>
                <a:ext cx="61"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35" name="Option Button 155" hidden="1">
                <a:extLst>
                  <a:ext uri="{63B3BB69-23CF-44E3-9099-C40C66FF867C}">
                    <a14:compatExt spid="_x0000_s46235"/>
                  </a:ext>
                  <a:ext uri="{FF2B5EF4-FFF2-40B4-BE49-F238E27FC236}">
                    <a16:creationId xmlns:a16="http://schemas.microsoft.com/office/drawing/2014/main" id="{00000000-0008-0000-0600-00009BB40000}"/>
                  </a:ext>
                </a:extLst>
              </xdr:cNvPr>
              <xdr:cNvSpPr/>
            </xdr:nvSpPr>
            <xdr:spPr bwMode="auto">
              <a:xfrm>
                <a:off x="499" y="9897"/>
                <a:ext cx="59"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441</xdr:row>
          <xdr:rowOff>0</xdr:rowOff>
        </xdr:from>
        <xdr:to>
          <xdr:col>15</xdr:col>
          <xdr:colOff>0</xdr:colOff>
          <xdr:row>442</xdr:row>
          <xdr:rowOff>0</xdr:rowOff>
        </xdr:to>
        <xdr:grpSp>
          <xdr:nvGrpSpPr>
            <xdr:cNvPr id="89740" name="Group 156">
              <a:extLst>
                <a:ext uri="{FF2B5EF4-FFF2-40B4-BE49-F238E27FC236}">
                  <a16:creationId xmlns:a16="http://schemas.microsoft.com/office/drawing/2014/main" id="{00000000-0008-0000-0600-00008C5E0100}"/>
                </a:ext>
              </a:extLst>
            </xdr:cNvPr>
            <xdr:cNvGrpSpPr>
              <a:grpSpLocks/>
            </xdr:cNvGrpSpPr>
          </xdr:nvGrpSpPr>
          <xdr:grpSpPr bwMode="auto">
            <a:xfrm>
              <a:off x="4230688" y="96821625"/>
              <a:ext cx="1174750" cy="230188"/>
              <a:chOff x="442" y="10024"/>
              <a:chExt cx="127" cy="23"/>
            </a:xfrm>
          </xdr:grpSpPr>
          <xdr:sp macro="" textlink="">
            <xdr:nvSpPr>
              <xdr:cNvPr id="46237" name="Group Box 157" hidden="1">
                <a:extLst>
                  <a:ext uri="{63B3BB69-23CF-44E3-9099-C40C66FF867C}">
                    <a14:compatExt spid="_x0000_s46237"/>
                  </a:ext>
                  <a:ext uri="{FF2B5EF4-FFF2-40B4-BE49-F238E27FC236}">
                    <a16:creationId xmlns:a16="http://schemas.microsoft.com/office/drawing/2014/main" id="{00000000-0008-0000-0600-00009DB40000}"/>
                  </a:ext>
                </a:extLst>
              </xdr:cNvPr>
              <xdr:cNvSpPr/>
            </xdr:nvSpPr>
            <xdr:spPr bwMode="auto">
              <a:xfrm>
                <a:off x="442" y="10024"/>
                <a:ext cx="127" cy="23"/>
              </a:xfrm>
              <a:prstGeom prst="rect">
                <a:avLst/>
              </a:prstGeom>
              <a:noFill/>
              <a:ln w="9525">
                <a:miter lim="800000"/>
                <a:headEnd/>
                <a:tailEnd/>
              </a:ln>
              <a:extLst>
                <a:ext uri="{909E8E84-426E-40DD-AFC4-6F175D3DCCD1}">
                  <a14:hiddenFill>
                    <a:noFill/>
                  </a14:hiddenFill>
                </a:ext>
              </a:extLst>
            </xdr:spPr>
          </xdr:sp>
          <xdr:sp macro="" textlink="">
            <xdr:nvSpPr>
              <xdr:cNvPr id="46238" name="Option Button 158" hidden="1">
                <a:extLst>
                  <a:ext uri="{63B3BB69-23CF-44E3-9099-C40C66FF867C}">
                    <a14:compatExt spid="_x0000_s46238"/>
                  </a:ext>
                  <a:ext uri="{FF2B5EF4-FFF2-40B4-BE49-F238E27FC236}">
                    <a16:creationId xmlns:a16="http://schemas.microsoft.com/office/drawing/2014/main" id="{00000000-0008-0000-0600-00009EB40000}"/>
                  </a:ext>
                </a:extLst>
              </xdr:cNvPr>
              <xdr:cNvSpPr/>
            </xdr:nvSpPr>
            <xdr:spPr bwMode="auto">
              <a:xfrm>
                <a:off x="448" y="1002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39" name="Option Button 159" hidden="1">
                <a:extLst>
                  <a:ext uri="{63B3BB69-23CF-44E3-9099-C40C66FF867C}">
                    <a14:compatExt spid="_x0000_s46239"/>
                  </a:ext>
                  <a:ext uri="{FF2B5EF4-FFF2-40B4-BE49-F238E27FC236}">
                    <a16:creationId xmlns:a16="http://schemas.microsoft.com/office/drawing/2014/main" id="{00000000-0008-0000-0600-00009FB40000}"/>
                  </a:ext>
                </a:extLst>
              </xdr:cNvPr>
              <xdr:cNvSpPr/>
            </xdr:nvSpPr>
            <xdr:spPr bwMode="auto">
              <a:xfrm>
                <a:off x="507" y="1002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371</xdr:row>
          <xdr:rowOff>0</xdr:rowOff>
        </xdr:from>
        <xdr:to>
          <xdr:col>14</xdr:col>
          <xdr:colOff>555625</xdr:colOff>
          <xdr:row>372</xdr:row>
          <xdr:rowOff>0</xdr:rowOff>
        </xdr:to>
        <xdr:grpSp>
          <xdr:nvGrpSpPr>
            <xdr:cNvPr id="89741" name="Group 160">
              <a:extLst>
                <a:ext uri="{FF2B5EF4-FFF2-40B4-BE49-F238E27FC236}">
                  <a16:creationId xmlns:a16="http://schemas.microsoft.com/office/drawing/2014/main" id="{00000000-0008-0000-0600-00008D5E0100}"/>
                </a:ext>
              </a:extLst>
            </xdr:cNvPr>
            <xdr:cNvGrpSpPr>
              <a:grpSpLocks/>
            </xdr:cNvGrpSpPr>
          </xdr:nvGrpSpPr>
          <xdr:grpSpPr bwMode="auto">
            <a:xfrm>
              <a:off x="55563" y="80740250"/>
              <a:ext cx="5318125" cy="269875"/>
              <a:chOff x="5" y="8224"/>
              <a:chExt cx="554" cy="26"/>
            </a:xfrm>
          </xdr:grpSpPr>
          <xdr:sp macro="" textlink="">
            <xdr:nvSpPr>
              <xdr:cNvPr id="46241" name="Group Box 161" hidden="1">
                <a:extLst>
                  <a:ext uri="{63B3BB69-23CF-44E3-9099-C40C66FF867C}">
                    <a14:compatExt spid="_x0000_s46241"/>
                  </a:ext>
                  <a:ext uri="{FF2B5EF4-FFF2-40B4-BE49-F238E27FC236}">
                    <a16:creationId xmlns:a16="http://schemas.microsoft.com/office/drawing/2014/main" id="{00000000-0008-0000-0600-0000A1B40000}"/>
                  </a:ext>
                </a:extLst>
              </xdr:cNvPr>
              <xdr:cNvSpPr/>
            </xdr:nvSpPr>
            <xdr:spPr bwMode="auto">
              <a:xfrm>
                <a:off x="5" y="8224"/>
                <a:ext cx="554" cy="26"/>
              </a:xfrm>
              <a:prstGeom prst="rect">
                <a:avLst/>
              </a:prstGeom>
              <a:noFill/>
              <a:ln w="9525">
                <a:miter lim="800000"/>
                <a:headEnd/>
                <a:tailEnd/>
              </a:ln>
              <a:extLst>
                <a:ext uri="{909E8E84-426E-40DD-AFC4-6F175D3DCCD1}">
                  <a14:hiddenFill>
                    <a:noFill/>
                  </a14:hiddenFill>
                </a:ext>
              </a:extLst>
            </xdr:spPr>
          </xdr:sp>
          <xdr:sp macro="" textlink="">
            <xdr:nvSpPr>
              <xdr:cNvPr id="46242" name="Option Button 162" hidden="1">
                <a:extLst>
                  <a:ext uri="{63B3BB69-23CF-44E3-9099-C40C66FF867C}">
                    <a14:compatExt spid="_x0000_s46242"/>
                  </a:ext>
                  <a:ext uri="{FF2B5EF4-FFF2-40B4-BE49-F238E27FC236}">
                    <a16:creationId xmlns:a16="http://schemas.microsoft.com/office/drawing/2014/main" id="{00000000-0008-0000-0600-0000A2B40000}"/>
                  </a:ext>
                </a:extLst>
              </xdr:cNvPr>
              <xdr:cNvSpPr/>
            </xdr:nvSpPr>
            <xdr:spPr bwMode="auto">
              <a:xfrm>
                <a:off x="124" y="8226"/>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243" name="Option Button 163" hidden="1">
                <a:extLst>
                  <a:ext uri="{63B3BB69-23CF-44E3-9099-C40C66FF867C}">
                    <a14:compatExt spid="_x0000_s46243"/>
                  </a:ext>
                  <a:ext uri="{FF2B5EF4-FFF2-40B4-BE49-F238E27FC236}">
                    <a16:creationId xmlns:a16="http://schemas.microsoft.com/office/drawing/2014/main" id="{00000000-0008-0000-0600-0000A3B40000}"/>
                  </a:ext>
                </a:extLst>
              </xdr:cNvPr>
              <xdr:cNvSpPr/>
            </xdr:nvSpPr>
            <xdr:spPr bwMode="auto">
              <a:xfrm>
                <a:off x="201" y="8226"/>
                <a:ext cx="3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At or above the knee joint (up to and including the femoral head)</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242</xdr:row>
          <xdr:rowOff>38100</xdr:rowOff>
        </xdr:from>
        <xdr:to>
          <xdr:col>1</xdr:col>
          <xdr:colOff>390525</xdr:colOff>
          <xdr:row>243</xdr:row>
          <xdr:rowOff>9525</xdr:rowOff>
        </xdr:to>
        <xdr:sp macro="" textlink="">
          <xdr:nvSpPr>
            <xdr:cNvPr id="46244" name="Check Box 164" hidden="1">
              <a:extLst>
                <a:ext uri="{63B3BB69-23CF-44E3-9099-C40C66FF867C}">
                  <a14:compatExt spid="_x0000_s46244"/>
                </a:ext>
                <a:ext uri="{FF2B5EF4-FFF2-40B4-BE49-F238E27FC236}">
                  <a16:creationId xmlns:a16="http://schemas.microsoft.com/office/drawing/2014/main" id="{00000000-0008-0000-0600-0000A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292</xdr:row>
          <xdr:rowOff>0</xdr:rowOff>
        </xdr:from>
        <xdr:to>
          <xdr:col>3</xdr:col>
          <xdr:colOff>276225</xdr:colOff>
          <xdr:row>301</xdr:row>
          <xdr:rowOff>0</xdr:rowOff>
        </xdr:to>
        <xdr:sp macro="" textlink="">
          <xdr:nvSpPr>
            <xdr:cNvPr id="46142" name="Group Box 62" hidden="1">
              <a:extLst>
                <a:ext uri="{63B3BB69-23CF-44E3-9099-C40C66FF867C}">
                  <a14:compatExt spid="_x0000_s46142"/>
                </a:ext>
                <a:ext uri="{FF2B5EF4-FFF2-40B4-BE49-F238E27FC236}">
                  <a16:creationId xmlns:a16="http://schemas.microsoft.com/office/drawing/2014/main" id="{00000000-0008-0000-0600-00003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292</xdr:row>
          <xdr:rowOff>19050</xdr:rowOff>
        </xdr:from>
        <xdr:to>
          <xdr:col>3</xdr:col>
          <xdr:colOff>247650</xdr:colOff>
          <xdr:row>293</xdr:row>
          <xdr:rowOff>85725</xdr:rowOff>
        </xdr:to>
        <xdr:sp macro="" textlink="">
          <xdr:nvSpPr>
            <xdr:cNvPr id="46143" name="Option Button 63" hidden="1">
              <a:extLst>
                <a:ext uri="{63B3BB69-23CF-44E3-9099-C40C66FF867C}">
                  <a14:compatExt spid="_x0000_s46143"/>
                </a:ext>
                <a:ext uri="{FF2B5EF4-FFF2-40B4-BE49-F238E27FC236}">
                  <a16:creationId xmlns:a16="http://schemas.microsoft.com/office/drawing/2014/main" id="{00000000-0008-0000-0600-00003F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293</xdr:row>
          <xdr:rowOff>85725</xdr:rowOff>
        </xdr:from>
        <xdr:to>
          <xdr:col>3</xdr:col>
          <xdr:colOff>247650</xdr:colOff>
          <xdr:row>294</xdr:row>
          <xdr:rowOff>161925</xdr:rowOff>
        </xdr:to>
        <xdr:sp macro="" textlink="">
          <xdr:nvSpPr>
            <xdr:cNvPr id="46144" name="Option Button 64" hidden="1">
              <a:extLst>
                <a:ext uri="{63B3BB69-23CF-44E3-9099-C40C66FF867C}">
                  <a14:compatExt spid="_x0000_s46144"/>
                </a:ext>
                <a:ext uri="{FF2B5EF4-FFF2-40B4-BE49-F238E27FC236}">
                  <a16:creationId xmlns:a16="http://schemas.microsoft.com/office/drawing/2014/main" id="{00000000-0008-0000-0600-000040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Whole nerve involved (39%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400050</xdr:colOff>
          <xdr:row>294</xdr:row>
          <xdr:rowOff>161925</xdr:rowOff>
        </xdr:from>
        <xdr:to>
          <xdr:col>3</xdr:col>
          <xdr:colOff>238125</xdr:colOff>
          <xdr:row>296</xdr:row>
          <xdr:rowOff>38100</xdr:rowOff>
        </xdr:to>
        <xdr:sp macro="" textlink="">
          <xdr:nvSpPr>
            <xdr:cNvPr id="46145" name="Option Button 65" hidden="1">
              <a:extLst>
                <a:ext uri="{63B3BB69-23CF-44E3-9099-C40C66FF867C}">
                  <a14:compatExt spid="_x0000_s46145"/>
                </a:ext>
                <a:ext uri="{FF2B5EF4-FFF2-40B4-BE49-F238E27FC236}">
                  <a16:creationId xmlns:a16="http://schemas.microsoft.com/office/drawing/2014/main" id="{00000000-0008-0000-0600-000041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mid-shin (28%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400050</xdr:colOff>
          <xdr:row>296</xdr:row>
          <xdr:rowOff>38100</xdr:rowOff>
        </xdr:from>
        <xdr:to>
          <xdr:col>3</xdr:col>
          <xdr:colOff>247650</xdr:colOff>
          <xdr:row>297</xdr:row>
          <xdr:rowOff>95250</xdr:rowOff>
        </xdr:to>
        <xdr:sp macro="" textlink="">
          <xdr:nvSpPr>
            <xdr:cNvPr id="46146" name="Option Button 66" hidden="1">
              <a:extLst>
                <a:ext uri="{63B3BB69-23CF-44E3-9099-C40C66FF867C}">
                  <a14:compatExt spid="_x0000_s46146"/>
                </a:ext>
                <a:ext uri="{FF2B5EF4-FFF2-40B4-BE49-F238E27FC236}">
                  <a16:creationId xmlns:a16="http://schemas.microsoft.com/office/drawing/2014/main" id="{00000000-0008-0000-0600-000042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390525</xdr:colOff>
          <xdr:row>297</xdr:row>
          <xdr:rowOff>95250</xdr:rowOff>
        </xdr:from>
        <xdr:to>
          <xdr:col>3</xdr:col>
          <xdr:colOff>247650</xdr:colOff>
          <xdr:row>298</xdr:row>
          <xdr:rowOff>161925</xdr:rowOff>
        </xdr:to>
        <xdr:sp macro="" textlink="">
          <xdr:nvSpPr>
            <xdr:cNvPr id="46147" name="Option Button 67" hidden="1">
              <a:extLst>
                <a:ext uri="{63B3BB69-23CF-44E3-9099-C40C66FF867C}">
                  <a14:compatExt spid="_x0000_s46147"/>
                </a:ext>
                <a:ext uri="{FF2B5EF4-FFF2-40B4-BE49-F238E27FC236}">
                  <a16:creationId xmlns:a16="http://schemas.microsoft.com/office/drawing/2014/main" id="{00000000-0008-0000-0600-000043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mid-shin (6%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390525</xdr:colOff>
          <xdr:row>298</xdr:row>
          <xdr:rowOff>161925</xdr:rowOff>
        </xdr:from>
        <xdr:to>
          <xdr:col>3</xdr:col>
          <xdr:colOff>247650</xdr:colOff>
          <xdr:row>299</xdr:row>
          <xdr:rowOff>104775</xdr:rowOff>
        </xdr:to>
        <xdr:sp macro="" textlink="">
          <xdr:nvSpPr>
            <xdr:cNvPr id="46148" name="Option Button 68" hidden="1">
              <a:extLst>
                <a:ext uri="{63B3BB69-23CF-44E3-9099-C40C66FF867C}">
                  <a14:compatExt spid="_x0000_s46148"/>
                </a:ext>
                <a:ext uri="{FF2B5EF4-FFF2-40B4-BE49-F238E27FC236}">
                  <a16:creationId xmlns:a16="http://schemas.microsoft.com/office/drawing/2014/main" id="{00000000-0008-0000-0600-000044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299</xdr:row>
          <xdr:rowOff>104775</xdr:rowOff>
        </xdr:from>
        <xdr:to>
          <xdr:col>3</xdr:col>
          <xdr:colOff>257175</xdr:colOff>
          <xdr:row>300</xdr:row>
          <xdr:rowOff>171450</xdr:rowOff>
        </xdr:to>
        <xdr:sp macro="" textlink="">
          <xdr:nvSpPr>
            <xdr:cNvPr id="46151" name="Option Button 71" hidden="1">
              <a:extLst>
                <a:ext uri="{63B3BB69-23CF-44E3-9099-C40C66FF867C}">
                  <a14:compatExt spid="_x0000_s46151"/>
                </a:ext>
                <a:ext uri="{FF2B5EF4-FFF2-40B4-BE49-F238E27FC236}">
                  <a16:creationId xmlns:a16="http://schemas.microsoft.com/office/drawing/2014/main" id="{00000000-0008-0000-0600-000047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Superficial peroneal only (11% foot)</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9525</xdr:colOff>
      <xdr:row>292</xdr:row>
      <xdr:rowOff>0</xdr:rowOff>
    </xdr:from>
    <xdr:to>
      <xdr:col>3</xdr:col>
      <xdr:colOff>276225</xdr:colOff>
      <xdr:row>301</xdr:row>
      <xdr:rowOff>0</xdr:rowOff>
    </xdr:to>
    <xdr:grpSp>
      <xdr:nvGrpSpPr>
        <xdr:cNvPr id="88916" name="Group 177">
          <a:extLst>
            <a:ext uri="{FF2B5EF4-FFF2-40B4-BE49-F238E27FC236}">
              <a16:creationId xmlns:a16="http://schemas.microsoft.com/office/drawing/2014/main" id="{00000000-0008-0000-0700-0000545B0100}"/>
            </a:ext>
          </a:extLst>
        </xdr:cNvPr>
        <xdr:cNvGrpSpPr>
          <a:grpSpLocks/>
        </xdr:cNvGrpSpPr>
      </xdr:nvGrpSpPr>
      <xdr:grpSpPr bwMode="auto">
        <a:xfrm>
          <a:off x="65088" y="64730313"/>
          <a:ext cx="1933575" cy="1849437"/>
          <a:chOff x="7" y="6201"/>
          <a:chExt cx="203" cy="194"/>
        </a:xfrm>
      </xdr:grpSpPr>
      <xdr:sp macro="" textlink="">
        <xdr:nvSpPr>
          <xdr:cNvPr id="88928" name="AutoShape 175">
            <a:extLst>
              <a:ext uri="{FF2B5EF4-FFF2-40B4-BE49-F238E27FC236}">
                <a16:creationId xmlns:a16="http://schemas.microsoft.com/office/drawing/2014/main" id="{00000000-0008-0000-0700-0000605B0100}"/>
              </a:ext>
            </a:extLst>
          </xdr:cNvPr>
          <xdr:cNvSpPr>
            <a:spLocks/>
          </xdr:cNvSpPr>
        </xdr:nvSpPr>
        <xdr:spPr bwMode="auto">
          <a:xfrm>
            <a:off x="49" y="6260"/>
            <a:ext cx="8" cy="53"/>
          </a:xfrm>
          <a:prstGeom prst="leftBracket">
            <a:avLst>
              <a:gd name="adj" fmla="val 5520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8929" name="AutoShape 176">
            <a:extLst>
              <a:ext uri="{FF2B5EF4-FFF2-40B4-BE49-F238E27FC236}">
                <a16:creationId xmlns:a16="http://schemas.microsoft.com/office/drawing/2014/main" id="{00000000-0008-0000-0700-0000615B0100}"/>
              </a:ext>
            </a:extLst>
          </xdr:cNvPr>
          <xdr:cNvSpPr>
            <a:spLocks/>
          </xdr:cNvSpPr>
        </xdr:nvSpPr>
        <xdr:spPr bwMode="auto">
          <a:xfrm>
            <a:off x="49" y="6312"/>
            <a:ext cx="8" cy="53"/>
          </a:xfrm>
          <a:prstGeom prst="leftBracket">
            <a:avLst>
              <a:gd name="adj" fmla="val 5520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mc:AlternateContent xmlns:mc="http://schemas.openxmlformats.org/markup-compatibility/2006">
    <mc:Choice xmlns:a14="http://schemas.microsoft.com/office/drawing/2010/main" Requires="a14">
      <xdr:twoCellAnchor>
        <xdr:from>
          <xdr:col>1</xdr:col>
          <xdr:colOff>0</xdr:colOff>
          <xdr:row>286</xdr:row>
          <xdr:rowOff>0</xdr:rowOff>
        </xdr:from>
        <xdr:to>
          <xdr:col>3</xdr:col>
          <xdr:colOff>276225</xdr:colOff>
          <xdr:row>290</xdr:row>
          <xdr:rowOff>0</xdr:rowOff>
        </xdr:to>
        <xdr:grpSp>
          <xdr:nvGrpSpPr>
            <xdr:cNvPr id="88917" name="Group 1">
              <a:extLst>
                <a:ext uri="{FF2B5EF4-FFF2-40B4-BE49-F238E27FC236}">
                  <a16:creationId xmlns:a16="http://schemas.microsoft.com/office/drawing/2014/main" id="{00000000-0008-0000-0700-0000555B0100}"/>
                </a:ext>
              </a:extLst>
            </xdr:cNvPr>
            <xdr:cNvGrpSpPr>
              <a:grpSpLocks/>
            </xdr:cNvGrpSpPr>
          </xdr:nvGrpSpPr>
          <xdr:grpSpPr bwMode="auto">
            <a:xfrm>
              <a:off x="55563" y="63436500"/>
              <a:ext cx="1943100" cy="762000"/>
              <a:chOff x="16" y="7276"/>
              <a:chExt cx="200" cy="76"/>
            </a:xfrm>
          </xdr:grpSpPr>
          <xdr:sp macro="" textlink="">
            <xdr:nvSpPr>
              <xdr:cNvPr id="45058" name="Group Box 2" hidden="1">
                <a:extLst>
                  <a:ext uri="{63B3BB69-23CF-44E3-9099-C40C66FF867C}">
                    <a14:compatExt spid="_x0000_s45058"/>
                  </a:ext>
                  <a:ext uri="{FF2B5EF4-FFF2-40B4-BE49-F238E27FC236}">
                    <a16:creationId xmlns:a16="http://schemas.microsoft.com/office/drawing/2014/main" id="{00000000-0008-0000-0700-000002B00000}"/>
                  </a:ext>
                </a:extLst>
              </xdr:cNvPr>
              <xdr:cNvSpPr/>
            </xdr:nvSpPr>
            <xdr:spPr bwMode="auto">
              <a:xfrm>
                <a:off x="16" y="7276"/>
                <a:ext cx="200" cy="76"/>
              </a:xfrm>
              <a:prstGeom prst="rect">
                <a:avLst/>
              </a:prstGeom>
              <a:noFill/>
              <a:ln w="9525">
                <a:miter lim="800000"/>
                <a:headEnd/>
                <a:tailEnd/>
              </a:ln>
              <a:extLst>
                <a:ext uri="{909E8E84-426E-40DD-AFC4-6F175D3DCCD1}">
                  <a14:hiddenFill>
                    <a:noFill/>
                  </a14:hiddenFill>
                </a:ext>
              </a:extLst>
            </xdr:spPr>
          </xdr:sp>
          <xdr:sp macro="" textlink="">
            <xdr:nvSpPr>
              <xdr:cNvPr id="45059" name="Option Button 3" hidden="1">
                <a:extLst>
                  <a:ext uri="{63B3BB69-23CF-44E3-9099-C40C66FF867C}">
                    <a14:compatExt spid="_x0000_s45059"/>
                  </a:ext>
                  <a:ext uri="{FF2B5EF4-FFF2-40B4-BE49-F238E27FC236}">
                    <a16:creationId xmlns:a16="http://schemas.microsoft.com/office/drawing/2014/main" id="{00000000-0008-0000-0700-000003B00000}"/>
                  </a:ext>
                </a:extLst>
              </xdr:cNvPr>
              <xdr:cNvSpPr/>
            </xdr:nvSpPr>
            <xdr:spPr bwMode="auto">
              <a:xfrm>
                <a:off x="18" y="7278"/>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5060" name="Option Button 4" hidden="1">
                <a:extLst>
                  <a:ext uri="{63B3BB69-23CF-44E3-9099-C40C66FF867C}">
                    <a14:compatExt spid="_x0000_s45060"/>
                  </a:ext>
                  <a:ext uri="{FF2B5EF4-FFF2-40B4-BE49-F238E27FC236}">
                    <a16:creationId xmlns:a16="http://schemas.microsoft.com/office/drawing/2014/main" id="{00000000-0008-0000-0700-000004B00000}"/>
                  </a:ext>
                </a:extLst>
              </xdr:cNvPr>
              <xdr:cNvSpPr/>
            </xdr:nvSpPr>
            <xdr:spPr bwMode="auto">
              <a:xfrm>
                <a:off x="17" y="7302"/>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hamstring innerv. (75% leg)</a:t>
                </a:r>
              </a:p>
            </xdr:txBody>
          </xdr:sp>
          <xdr:sp macro="" textlink="">
            <xdr:nvSpPr>
              <xdr:cNvPr id="45061" name="Option Button 5" hidden="1">
                <a:extLst>
                  <a:ext uri="{63B3BB69-23CF-44E3-9099-C40C66FF867C}">
                    <a14:compatExt spid="_x0000_s45061"/>
                  </a:ext>
                  <a:ext uri="{FF2B5EF4-FFF2-40B4-BE49-F238E27FC236}">
                    <a16:creationId xmlns:a16="http://schemas.microsoft.com/office/drawing/2014/main" id="{00000000-0008-0000-0700-000005B00000}"/>
                  </a:ext>
                </a:extLst>
              </xdr:cNvPr>
              <xdr:cNvSpPr/>
            </xdr:nvSpPr>
            <xdr:spPr bwMode="auto">
              <a:xfrm>
                <a:off x="17" y="7325"/>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Hamstring only (40% leg)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279</xdr:row>
          <xdr:rowOff>9525</xdr:rowOff>
        </xdr:from>
        <xdr:to>
          <xdr:col>5</xdr:col>
          <xdr:colOff>85725</xdr:colOff>
          <xdr:row>280</xdr:row>
          <xdr:rowOff>38100</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07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280</xdr:row>
          <xdr:rowOff>0</xdr:rowOff>
        </xdr:from>
        <xdr:to>
          <xdr:col>5</xdr:col>
          <xdr:colOff>85725</xdr:colOff>
          <xdr:row>281</xdr:row>
          <xdr:rowOff>28575</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07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280</xdr:row>
          <xdr:rowOff>180975</xdr:rowOff>
        </xdr:from>
        <xdr:to>
          <xdr:col>5</xdr:col>
          <xdr:colOff>85725</xdr:colOff>
          <xdr:row>282</xdr:row>
          <xdr:rowOff>19050</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07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281</xdr:row>
          <xdr:rowOff>171450</xdr:rowOff>
        </xdr:from>
        <xdr:to>
          <xdr:col>5</xdr:col>
          <xdr:colOff>85725</xdr:colOff>
          <xdr:row>283</xdr:row>
          <xdr:rowOff>9525</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07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282</xdr:row>
          <xdr:rowOff>180975</xdr:rowOff>
        </xdr:from>
        <xdr:to>
          <xdr:col>5</xdr:col>
          <xdr:colOff>85725</xdr:colOff>
          <xdr:row>284</xdr:row>
          <xdr:rowOff>19050</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0700-00000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285</xdr:row>
          <xdr:rowOff>9525</xdr:rowOff>
        </xdr:from>
        <xdr:to>
          <xdr:col>5</xdr:col>
          <xdr:colOff>85725</xdr:colOff>
          <xdr:row>285</xdr:row>
          <xdr:rowOff>228600</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07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286</xdr:row>
          <xdr:rowOff>0</xdr:rowOff>
        </xdr:from>
        <xdr:to>
          <xdr:col>5</xdr:col>
          <xdr:colOff>85725</xdr:colOff>
          <xdr:row>287</xdr:row>
          <xdr:rowOff>28575</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0700-00000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286</xdr:row>
          <xdr:rowOff>180975</xdr:rowOff>
        </xdr:from>
        <xdr:to>
          <xdr:col>5</xdr:col>
          <xdr:colOff>85725</xdr:colOff>
          <xdr:row>288</xdr:row>
          <xdr:rowOff>19050</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0700-00000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287</xdr:row>
          <xdr:rowOff>171450</xdr:rowOff>
        </xdr:from>
        <xdr:to>
          <xdr:col>5</xdr:col>
          <xdr:colOff>85725</xdr:colOff>
          <xdr:row>289</xdr:row>
          <xdr:rowOff>9525</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0700-00000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288</xdr:row>
          <xdr:rowOff>180975</xdr:rowOff>
        </xdr:from>
        <xdr:to>
          <xdr:col>5</xdr:col>
          <xdr:colOff>85725</xdr:colOff>
          <xdr:row>290</xdr:row>
          <xdr:rowOff>19050</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07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291</xdr:row>
          <xdr:rowOff>19050</xdr:rowOff>
        </xdr:from>
        <xdr:to>
          <xdr:col>5</xdr:col>
          <xdr:colOff>85725</xdr:colOff>
          <xdr:row>292</xdr:row>
          <xdr:rowOff>9525</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07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292</xdr:row>
          <xdr:rowOff>0</xdr:rowOff>
        </xdr:from>
        <xdr:to>
          <xdr:col>5</xdr:col>
          <xdr:colOff>85725</xdr:colOff>
          <xdr:row>293</xdr:row>
          <xdr:rowOff>28575</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0700-00001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292</xdr:row>
          <xdr:rowOff>180975</xdr:rowOff>
        </xdr:from>
        <xdr:to>
          <xdr:col>5</xdr:col>
          <xdr:colOff>85725</xdr:colOff>
          <xdr:row>294</xdr:row>
          <xdr:rowOff>19050</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0700-00001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293</xdr:row>
          <xdr:rowOff>171450</xdr:rowOff>
        </xdr:from>
        <xdr:to>
          <xdr:col>5</xdr:col>
          <xdr:colOff>85725</xdr:colOff>
          <xdr:row>295</xdr:row>
          <xdr:rowOff>9525</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0700-00001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294</xdr:row>
          <xdr:rowOff>180975</xdr:rowOff>
        </xdr:from>
        <xdr:to>
          <xdr:col>5</xdr:col>
          <xdr:colOff>85725</xdr:colOff>
          <xdr:row>296</xdr:row>
          <xdr:rowOff>19050</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0700-00001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298</xdr:row>
          <xdr:rowOff>314325</xdr:rowOff>
        </xdr:from>
        <xdr:to>
          <xdr:col>5</xdr:col>
          <xdr:colOff>85725</xdr:colOff>
          <xdr:row>300</xdr:row>
          <xdr:rowOff>19050</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0700-00001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299</xdr:row>
          <xdr:rowOff>180975</xdr:rowOff>
        </xdr:from>
        <xdr:to>
          <xdr:col>5</xdr:col>
          <xdr:colOff>85725</xdr:colOff>
          <xdr:row>301</xdr:row>
          <xdr:rowOff>19050</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0700-00001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307</xdr:row>
          <xdr:rowOff>0</xdr:rowOff>
        </xdr:from>
        <xdr:to>
          <xdr:col>5</xdr:col>
          <xdr:colOff>85725</xdr:colOff>
          <xdr:row>308</xdr:row>
          <xdr:rowOff>28575</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0700-00001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308</xdr:row>
          <xdr:rowOff>0</xdr:rowOff>
        </xdr:from>
        <xdr:to>
          <xdr:col>5</xdr:col>
          <xdr:colOff>85725</xdr:colOff>
          <xdr:row>309</xdr:row>
          <xdr:rowOff>28575</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0700-00001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308</xdr:row>
          <xdr:rowOff>180975</xdr:rowOff>
        </xdr:from>
        <xdr:to>
          <xdr:col>5</xdr:col>
          <xdr:colOff>85725</xdr:colOff>
          <xdr:row>310</xdr:row>
          <xdr:rowOff>19050</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0700-00001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309</xdr:row>
          <xdr:rowOff>171450</xdr:rowOff>
        </xdr:from>
        <xdr:to>
          <xdr:col>5</xdr:col>
          <xdr:colOff>85725</xdr:colOff>
          <xdr:row>311</xdr:row>
          <xdr:rowOff>9525</xdr:rowOff>
        </xdr:to>
        <xdr:sp macro="" textlink="">
          <xdr:nvSpPr>
            <xdr:cNvPr id="45082" name="Check Box 26" hidden="1">
              <a:extLst>
                <a:ext uri="{63B3BB69-23CF-44E3-9099-C40C66FF867C}">
                  <a14:compatExt spid="_x0000_s45082"/>
                </a:ext>
                <a:ext uri="{FF2B5EF4-FFF2-40B4-BE49-F238E27FC236}">
                  <a16:creationId xmlns:a16="http://schemas.microsoft.com/office/drawing/2014/main" id="{00000000-0008-0000-0700-00001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310</xdr:row>
          <xdr:rowOff>180975</xdr:rowOff>
        </xdr:from>
        <xdr:to>
          <xdr:col>5</xdr:col>
          <xdr:colOff>85725</xdr:colOff>
          <xdr:row>312</xdr:row>
          <xdr:rowOff>19050</xdr:rowOff>
        </xdr:to>
        <xdr:sp macro="" textlink="">
          <xdr:nvSpPr>
            <xdr:cNvPr id="45083" name="Check Box 27" hidden="1">
              <a:extLst>
                <a:ext uri="{63B3BB69-23CF-44E3-9099-C40C66FF867C}">
                  <a14:compatExt spid="_x0000_s45083"/>
                </a:ext>
                <a:ext uri="{FF2B5EF4-FFF2-40B4-BE49-F238E27FC236}">
                  <a16:creationId xmlns:a16="http://schemas.microsoft.com/office/drawing/2014/main" id="{00000000-0008-0000-0700-00001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312</xdr:row>
          <xdr:rowOff>0</xdr:rowOff>
        </xdr:from>
        <xdr:to>
          <xdr:col>5</xdr:col>
          <xdr:colOff>85725</xdr:colOff>
          <xdr:row>313</xdr:row>
          <xdr:rowOff>28575</xdr:rowOff>
        </xdr:to>
        <xdr:sp macro="" textlink="">
          <xdr:nvSpPr>
            <xdr:cNvPr id="45084" name="Check Box 28" hidden="1">
              <a:extLst>
                <a:ext uri="{63B3BB69-23CF-44E3-9099-C40C66FF867C}">
                  <a14:compatExt spid="_x0000_s45084"/>
                </a:ext>
                <a:ext uri="{FF2B5EF4-FFF2-40B4-BE49-F238E27FC236}">
                  <a16:creationId xmlns:a16="http://schemas.microsoft.com/office/drawing/2014/main" id="{00000000-0008-0000-0700-00001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313</xdr:row>
          <xdr:rowOff>0</xdr:rowOff>
        </xdr:from>
        <xdr:to>
          <xdr:col>5</xdr:col>
          <xdr:colOff>85725</xdr:colOff>
          <xdr:row>314</xdr:row>
          <xdr:rowOff>28575</xdr:rowOff>
        </xdr:to>
        <xdr:sp macro="" textlink="">
          <xdr:nvSpPr>
            <xdr:cNvPr id="45085" name="Check Box 29" hidden="1">
              <a:extLst>
                <a:ext uri="{63B3BB69-23CF-44E3-9099-C40C66FF867C}">
                  <a14:compatExt spid="_x0000_s45085"/>
                </a:ext>
                <a:ext uri="{FF2B5EF4-FFF2-40B4-BE49-F238E27FC236}">
                  <a16:creationId xmlns:a16="http://schemas.microsoft.com/office/drawing/2014/main" id="{00000000-0008-0000-0700-00001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313</xdr:row>
          <xdr:rowOff>180975</xdr:rowOff>
        </xdr:from>
        <xdr:to>
          <xdr:col>5</xdr:col>
          <xdr:colOff>85725</xdr:colOff>
          <xdr:row>315</xdr:row>
          <xdr:rowOff>19050</xdr:rowOff>
        </xdr:to>
        <xdr:sp macro="" textlink="">
          <xdr:nvSpPr>
            <xdr:cNvPr id="45086" name="Check Box 30" hidden="1">
              <a:extLst>
                <a:ext uri="{63B3BB69-23CF-44E3-9099-C40C66FF867C}">
                  <a14:compatExt spid="_x0000_s45086"/>
                </a:ext>
                <a:ext uri="{FF2B5EF4-FFF2-40B4-BE49-F238E27FC236}">
                  <a16:creationId xmlns:a16="http://schemas.microsoft.com/office/drawing/2014/main" id="{00000000-0008-0000-0700-00001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314</xdr:row>
          <xdr:rowOff>180975</xdr:rowOff>
        </xdr:from>
        <xdr:to>
          <xdr:col>5</xdr:col>
          <xdr:colOff>85725</xdr:colOff>
          <xdr:row>316</xdr:row>
          <xdr:rowOff>19050</xdr:rowOff>
        </xdr:to>
        <xdr:sp macro="" textlink="">
          <xdr:nvSpPr>
            <xdr:cNvPr id="45087" name="Check Box 31" hidden="1">
              <a:extLst>
                <a:ext uri="{63B3BB69-23CF-44E3-9099-C40C66FF867C}">
                  <a14:compatExt spid="_x0000_s45087"/>
                </a:ext>
                <a:ext uri="{FF2B5EF4-FFF2-40B4-BE49-F238E27FC236}">
                  <a16:creationId xmlns:a16="http://schemas.microsoft.com/office/drawing/2014/main" id="{00000000-0008-0000-0700-00001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316</xdr:row>
          <xdr:rowOff>180975</xdr:rowOff>
        </xdr:from>
        <xdr:to>
          <xdr:col>5</xdr:col>
          <xdr:colOff>85725</xdr:colOff>
          <xdr:row>318</xdr:row>
          <xdr:rowOff>19050</xdr:rowOff>
        </xdr:to>
        <xdr:sp macro="" textlink="">
          <xdr:nvSpPr>
            <xdr:cNvPr id="45088" name="Check Box 32" hidden="1">
              <a:extLst>
                <a:ext uri="{63B3BB69-23CF-44E3-9099-C40C66FF867C}">
                  <a14:compatExt spid="_x0000_s45088"/>
                </a:ext>
                <a:ext uri="{FF2B5EF4-FFF2-40B4-BE49-F238E27FC236}">
                  <a16:creationId xmlns:a16="http://schemas.microsoft.com/office/drawing/2014/main" id="{00000000-0008-0000-0700-00002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318</xdr:row>
          <xdr:rowOff>219075</xdr:rowOff>
        </xdr:from>
        <xdr:to>
          <xdr:col>5</xdr:col>
          <xdr:colOff>85725</xdr:colOff>
          <xdr:row>320</xdr:row>
          <xdr:rowOff>19050</xdr:rowOff>
        </xdr:to>
        <xdr:sp macro="" textlink="">
          <xdr:nvSpPr>
            <xdr:cNvPr id="45089" name="Check Box 33" hidden="1">
              <a:extLst>
                <a:ext uri="{63B3BB69-23CF-44E3-9099-C40C66FF867C}">
                  <a14:compatExt spid="_x0000_s45089"/>
                </a:ext>
                <a:ext uri="{FF2B5EF4-FFF2-40B4-BE49-F238E27FC236}">
                  <a16:creationId xmlns:a16="http://schemas.microsoft.com/office/drawing/2014/main" id="{00000000-0008-0000-0700-00002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319</xdr:row>
          <xdr:rowOff>180975</xdr:rowOff>
        </xdr:from>
        <xdr:to>
          <xdr:col>5</xdr:col>
          <xdr:colOff>85725</xdr:colOff>
          <xdr:row>321</xdr:row>
          <xdr:rowOff>19050</xdr:rowOff>
        </xdr:to>
        <xdr:sp macro="" textlink="">
          <xdr:nvSpPr>
            <xdr:cNvPr id="45090" name="Check Box 34" hidden="1">
              <a:extLst>
                <a:ext uri="{63B3BB69-23CF-44E3-9099-C40C66FF867C}">
                  <a14:compatExt spid="_x0000_s45090"/>
                </a:ext>
                <a:ext uri="{FF2B5EF4-FFF2-40B4-BE49-F238E27FC236}">
                  <a16:creationId xmlns:a16="http://schemas.microsoft.com/office/drawing/2014/main" id="{00000000-0008-0000-0700-00002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320</xdr:row>
          <xdr:rowOff>180975</xdr:rowOff>
        </xdr:from>
        <xdr:to>
          <xdr:col>5</xdr:col>
          <xdr:colOff>85725</xdr:colOff>
          <xdr:row>322</xdr:row>
          <xdr:rowOff>19050</xdr:rowOff>
        </xdr:to>
        <xdr:sp macro="" textlink="">
          <xdr:nvSpPr>
            <xdr:cNvPr id="45091" name="Check Box 35" hidden="1">
              <a:extLst>
                <a:ext uri="{63B3BB69-23CF-44E3-9099-C40C66FF867C}">
                  <a14:compatExt spid="_x0000_s45091"/>
                </a:ext>
                <a:ext uri="{FF2B5EF4-FFF2-40B4-BE49-F238E27FC236}">
                  <a16:creationId xmlns:a16="http://schemas.microsoft.com/office/drawing/2014/main" id="{00000000-0008-0000-0700-00002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321</xdr:row>
          <xdr:rowOff>180975</xdr:rowOff>
        </xdr:from>
        <xdr:to>
          <xdr:col>5</xdr:col>
          <xdr:colOff>85725</xdr:colOff>
          <xdr:row>323</xdr:row>
          <xdr:rowOff>19050</xdr:rowOff>
        </xdr:to>
        <xdr:sp macro="" textlink="">
          <xdr:nvSpPr>
            <xdr:cNvPr id="45092" name="Check Box 36" hidden="1">
              <a:extLst>
                <a:ext uri="{63B3BB69-23CF-44E3-9099-C40C66FF867C}">
                  <a14:compatExt spid="_x0000_s45092"/>
                </a:ext>
                <a:ext uri="{FF2B5EF4-FFF2-40B4-BE49-F238E27FC236}">
                  <a16:creationId xmlns:a16="http://schemas.microsoft.com/office/drawing/2014/main" id="{00000000-0008-0000-0700-00002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322</xdr:row>
          <xdr:rowOff>171450</xdr:rowOff>
        </xdr:from>
        <xdr:to>
          <xdr:col>5</xdr:col>
          <xdr:colOff>85725</xdr:colOff>
          <xdr:row>324</xdr:row>
          <xdr:rowOff>9525</xdr:rowOff>
        </xdr:to>
        <xdr:sp macro="" textlink="">
          <xdr:nvSpPr>
            <xdr:cNvPr id="45093" name="Check Box 37" hidden="1">
              <a:extLst>
                <a:ext uri="{63B3BB69-23CF-44E3-9099-C40C66FF867C}">
                  <a14:compatExt spid="_x0000_s45093"/>
                </a:ext>
                <a:ext uri="{FF2B5EF4-FFF2-40B4-BE49-F238E27FC236}">
                  <a16:creationId xmlns:a16="http://schemas.microsoft.com/office/drawing/2014/main" id="{00000000-0008-0000-0700-00002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324</xdr:row>
          <xdr:rowOff>0</xdr:rowOff>
        </xdr:from>
        <xdr:to>
          <xdr:col>5</xdr:col>
          <xdr:colOff>85725</xdr:colOff>
          <xdr:row>325</xdr:row>
          <xdr:rowOff>28575</xdr:rowOff>
        </xdr:to>
        <xdr:sp macro="" textlink="">
          <xdr:nvSpPr>
            <xdr:cNvPr id="45094" name="Check Box 38" hidden="1">
              <a:extLst>
                <a:ext uri="{63B3BB69-23CF-44E3-9099-C40C66FF867C}">
                  <a14:compatExt spid="_x0000_s45094"/>
                </a:ext>
                <a:ext uri="{FF2B5EF4-FFF2-40B4-BE49-F238E27FC236}">
                  <a16:creationId xmlns:a16="http://schemas.microsoft.com/office/drawing/2014/main" id="{00000000-0008-0000-0700-00002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325</xdr:row>
          <xdr:rowOff>0</xdr:rowOff>
        </xdr:from>
        <xdr:to>
          <xdr:col>5</xdr:col>
          <xdr:colOff>85725</xdr:colOff>
          <xdr:row>326</xdr:row>
          <xdr:rowOff>28575</xdr:rowOff>
        </xdr:to>
        <xdr:sp macro="" textlink="">
          <xdr:nvSpPr>
            <xdr:cNvPr id="45095" name="Check Box 39" hidden="1">
              <a:extLst>
                <a:ext uri="{63B3BB69-23CF-44E3-9099-C40C66FF867C}">
                  <a14:compatExt spid="_x0000_s45095"/>
                </a:ext>
                <a:ext uri="{FF2B5EF4-FFF2-40B4-BE49-F238E27FC236}">
                  <a16:creationId xmlns:a16="http://schemas.microsoft.com/office/drawing/2014/main" id="{00000000-0008-0000-0700-00002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327</xdr:row>
          <xdr:rowOff>333375</xdr:rowOff>
        </xdr:from>
        <xdr:to>
          <xdr:col>5</xdr:col>
          <xdr:colOff>85725</xdr:colOff>
          <xdr:row>328</xdr:row>
          <xdr:rowOff>209550</xdr:rowOff>
        </xdr:to>
        <xdr:sp macro="" textlink="">
          <xdr:nvSpPr>
            <xdr:cNvPr id="45096" name="Check Box 40" hidden="1">
              <a:extLst>
                <a:ext uri="{63B3BB69-23CF-44E3-9099-C40C66FF867C}">
                  <a14:compatExt spid="_x0000_s45096"/>
                </a:ext>
                <a:ext uri="{FF2B5EF4-FFF2-40B4-BE49-F238E27FC236}">
                  <a16:creationId xmlns:a16="http://schemas.microsoft.com/office/drawing/2014/main" id="{00000000-0008-0000-0700-00002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329</xdr:row>
          <xdr:rowOff>0</xdr:rowOff>
        </xdr:from>
        <xdr:to>
          <xdr:col>5</xdr:col>
          <xdr:colOff>85725</xdr:colOff>
          <xdr:row>330</xdr:row>
          <xdr:rowOff>28575</xdr:rowOff>
        </xdr:to>
        <xdr:sp macro="" textlink="">
          <xdr:nvSpPr>
            <xdr:cNvPr id="45097" name="Check Box 41" hidden="1">
              <a:extLst>
                <a:ext uri="{63B3BB69-23CF-44E3-9099-C40C66FF867C}">
                  <a14:compatExt spid="_x0000_s45097"/>
                </a:ext>
                <a:ext uri="{FF2B5EF4-FFF2-40B4-BE49-F238E27FC236}">
                  <a16:creationId xmlns:a16="http://schemas.microsoft.com/office/drawing/2014/main" id="{00000000-0008-0000-0700-00002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329</xdr:row>
          <xdr:rowOff>180975</xdr:rowOff>
        </xdr:from>
        <xdr:to>
          <xdr:col>5</xdr:col>
          <xdr:colOff>85725</xdr:colOff>
          <xdr:row>331</xdr:row>
          <xdr:rowOff>19050</xdr:rowOff>
        </xdr:to>
        <xdr:sp macro="" textlink="">
          <xdr:nvSpPr>
            <xdr:cNvPr id="45098" name="Check Box 42" hidden="1">
              <a:extLst>
                <a:ext uri="{63B3BB69-23CF-44E3-9099-C40C66FF867C}">
                  <a14:compatExt spid="_x0000_s45098"/>
                </a:ext>
                <a:ext uri="{FF2B5EF4-FFF2-40B4-BE49-F238E27FC236}">
                  <a16:creationId xmlns:a16="http://schemas.microsoft.com/office/drawing/2014/main" id="{00000000-0008-0000-0700-00002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331</xdr:row>
          <xdr:rowOff>0</xdr:rowOff>
        </xdr:from>
        <xdr:to>
          <xdr:col>5</xdr:col>
          <xdr:colOff>85725</xdr:colOff>
          <xdr:row>332</xdr:row>
          <xdr:rowOff>28575</xdr:rowOff>
        </xdr:to>
        <xdr:sp macro="" textlink="">
          <xdr:nvSpPr>
            <xdr:cNvPr id="45099" name="Check Box 43" hidden="1">
              <a:extLst>
                <a:ext uri="{63B3BB69-23CF-44E3-9099-C40C66FF867C}">
                  <a14:compatExt spid="_x0000_s45099"/>
                </a:ext>
                <a:ext uri="{FF2B5EF4-FFF2-40B4-BE49-F238E27FC236}">
                  <a16:creationId xmlns:a16="http://schemas.microsoft.com/office/drawing/2014/main" id="{00000000-0008-0000-0700-00002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331</xdr:row>
          <xdr:rowOff>171450</xdr:rowOff>
        </xdr:from>
        <xdr:to>
          <xdr:col>5</xdr:col>
          <xdr:colOff>85725</xdr:colOff>
          <xdr:row>333</xdr:row>
          <xdr:rowOff>9525</xdr:rowOff>
        </xdr:to>
        <xdr:sp macro="" textlink="">
          <xdr:nvSpPr>
            <xdr:cNvPr id="45100" name="Check Box 44" hidden="1">
              <a:extLst>
                <a:ext uri="{63B3BB69-23CF-44E3-9099-C40C66FF867C}">
                  <a14:compatExt spid="_x0000_s45100"/>
                </a:ext>
                <a:ext uri="{FF2B5EF4-FFF2-40B4-BE49-F238E27FC236}">
                  <a16:creationId xmlns:a16="http://schemas.microsoft.com/office/drawing/2014/main" id="{00000000-0008-0000-0700-00002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334</xdr:row>
          <xdr:rowOff>0</xdr:rowOff>
        </xdr:from>
        <xdr:to>
          <xdr:col>5</xdr:col>
          <xdr:colOff>85725</xdr:colOff>
          <xdr:row>335</xdr:row>
          <xdr:rowOff>28575</xdr:rowOff>
        </xdr:to>
        <xdr:sp macro="" textlink="">
          <xdr:nvSpPr>
            <xdr:cNvPr id="45101" name="Check Box 45" hidden="1">
              <a:extLst>
                <a:ext uri="{63B3BB69-23CF-44E3-9099-C40C66FF867C}">
                  <a14:compatExt spid="_x0000_s45101"/>
                </a:ext>
                <a:ext uri="{FF2B5EF4-FFF2-40B4-BE49-F238E27FC236}">
                  <a16:creationId xmlns:a16="http://schemas.microsoft.com/office/drawing/2014/main" id="{00000000-0008-0000-0700-00002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295</xdr:row>
          <xdr:rowOff>180975</xdr:rowOff>
        </xdr:from>
        <xdr:to>
          <xdr:col>5</xdr:col>
          <xdr:colOff>85725</xdr:colOff>
          <xdr:row>297</xdr:row>
          <xdr:rowOff>19050</xdr:rowOff>
        </xdr:to>
        <xdr:sp macro="" textlink="">
          <xdr:nvSpPr>
            <xdr:cNvPr id="45102" name="Check Box 46" hidden="1">
              <a:extLst>
                <a:ext uri="{63B3BB69-23CF-44E3-9099-C40C66FF867C}">
                  <a14:compatExt spid="_x0000_s45102"/>
                </a:ext>
                <a:ext uri="{FF2B5EF4-FFF2-40B4-BE49-F238E27FC236}">
                  <a16:creationId xmlns:a16="http://schemas.microsoft.com/office/drawing/2014/main" id="{00000000-0008-0000-0700-00002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305</xdr:row>
          <xdr:rowOff>180975</xdr:rowOff>
        </xdr:from>
        <xdr:to>
          <xdr:col>5</xdr:col>
          <xdr:colOff>85725</xdr:colOff>
          <xdr:row>306</xdr:row>
          <xdr:rowOff>276225</xdr:rowOff>
        </xdr:to>
        <xdr:sp macro="" textlink="">
          <xdr:nvSpPr>
            <xdr:cNvPr id="45103" name="Check Box 47" hidden="1">
              <a:extLst>
                <a:ext uri="{63B3BB69-23CF-44E3-9099-C40C66FF867C}">
                  <a14:compatExt spid="_x0000_s45103"/>
                </a:ext>
                <a:ext uri="{FF2B5EF4-FFF2-40B4-BE49-F238E27FC236}">
                  <a16:creationId xmlns:a16="http://schemas.microsoft.com/office/drawing/2014/main" id="{00000000-0008-0000-0700-00002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298</xdr:row>
          <xdr:rowOff>0</xdr:rowOff>
        </xdr:from>
        <xdr:to>
          <xdr:col>5</xdr:col>
          <xdr:colOff>85725</xdr:colOff>
          <xdr:row>299</xdr:row>
          <xdr:rowOff>9525</xdr:rowOff>
        </xdr:to>
        <xdr:sp macro="" textlink="">
          <xdr:nvSpPr>
            <xdr:cNvPr id="45104" name="Check Box 48" hidden="1">
              <a:extLst>
                <a:ext uri="{63B3BB69-23CF-44E3-9099-C40C66FF867C}">
                  <a14:compatExt spid="_x0000_s45104"/>
                </a:ext>
                <a:ext uri="{FF2B5EF4-FFF2-40B4-BE49-F238E27FC236}">
                  <a16:creationId xmlns:a16="http://schemas.microsoft.com/office/drawing/2014/main" id="{00000000-0008-0000-0700-00003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327</xdr:row>
          <xdr:rowOff>9525</xdr:rowOff>
        </xdr:from>
        <xdr:to>
          <xdr:col>5</xdr:col>
          <xdr:colOff>85725</xdr:colOff>
          <xdr:row>327</xdr:row>
          <xdr:rowOff>228600</xdr:rowOff>
        </xdr:to>
        <xdr:sp macro="" textlink="">
          <xdr:nvSpPr>
            <xdr:cNvPr id="45105" name="Check Box 49" hidden="1">
              <a:extLst>
                <a:ext uri="{63B3BB69-23CF-44E3-9099-C40C66FF867C}">
                  <a14:compatExt spid="_x0000_s45105"/>
                </a:ext>
                <a:ext uri="{FF2B5EF4-FFF2-40B4-BE49-F238E27FC236}">
                  <a16:creationId xmlns:a16="http://schemas.microsoft.com/office/drawing/2014/main" id="{00000000-0008-0000-0700-00003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307</xdr:row>
          <xdr:rowOff>0</xdr:rowOff>
        </xdr:from>
        <xdr:to>
          <xdr:col>3</xdr:col>
          <xdr:colOff>276225</xdr:colOff>
          <xdr:row>317</xdr:row>
          <xdr:rowOff>180975</xdr:rowOff>
        </xdr:to>
        <xdr:grpSp>
          <xdr:nvGrpSpPr>
            <xdr:cNvPr id="88918" name="Group 51">
              <a:extLst>
                <a:ext uri="{FF2B5EF4-FFF2-40B4-BE49-F238E27FC236}">
                  <a16:creationId xmlns:a16="http://schemas.microsoft.com/office/drawing/2014/main" id="{00000000-0008-0000-0700-0000565B0100}"/>
                </a:ext>
              </a:extLst>
            </xdr:cNvPr>
            <xdr:cNvGrpSpPr>
              <a:grpSpLocks/>
            </xdr:cNvGrpSpPr>
          </xdr:nvGrpSpPr>
          <xdr:grpSpPr bwMode="auto">
            <a:xfrm>
              <a:off x="55563" y="67833875"/>
              <a:ext cx="1943100" cy="2085975"/>
              <a:chOff x="9" y="640"/>
              <a:chExt cx="211" cy="170"/>
            </a:xfrm>
          </xdr:grpSpPr>
          <xdr:sp macro="" textlink="">
            <xdr:nvSpPr>
              <xdr:cNvPr id="45108" name="Group Box 52" hidden="1">
                <a:extLst>
                  <a:ext uri="{63B3BB69-23CF-44E3-9099-C40C66FF867C}">
                    <a14:compatExt spid="_x0000_s45108"/>
                  </a:ext>
                  <a:ext uri="{FF2B5EF4-FFF2-40B4-BE49-F238E27FC236}">
                    <a16:creationId xmlns:a16="http://schemas.microsoft.com/office/drawing/2014/main" id="{00000000-0008-0000-0700-000034B00000}"/>
                  </a:ext>
                </a:extLst>
              </xdr:cNvPr>
              <xdr:cNvSpPr/>
            </xdr:nvSpPr>
            <xdr:spPr bwMode="auto">
              <a:xfrm>
                <a:off x="9" y="640"/>
                <a:ext cx="211" cy="170"/>
              </a:xfrm>
              <a:prstGeom prst="rect">
                <a:avLst/>
              </a:prstGeom>
              <a:noFill/>
              <a:ln w="9525">
                <a:miter lim="800000"/>
                <a:headEnd/>
                <a:tailEnd/>
              </a:ln>
              <a:extLst>
                <a:ext uri="{909E8E84-426E-40DD-AFC4-6F175D3DCCD1}">
                  <a14:hiddenFill>
                    <a:noFill/>
                  </a14:hiddenFill>
                </a:ext>
              </a:extLst>
            </xdr:spPr>
          </xdr:sp>
          <xdr:sp macro="" textlink="">
            <xdr:nvSpPr>
              <xdr:cNvPr id="45109" name="Option Button 53" hidden="1">
                <a:extLst>
                  <a:ext uri="{63B3BB69-23CF-44E3-9099-C40C66FF867C}">
                    <a14:compatExt spid="_x0000_s45109"/>
                  </a:ext>
                  <a:ext uri="{FF2B5EF4-FFF2-40B4-BE49-F238E27FC236}">
                    <a16:creationId xmlns:a16="http://schemas.microsoft.com/office/drawing/2014/main" id="{00000000-0008-0000-0700-000035B00000}"/>
                  </a:ext>
                </a:extLst>
              </xdr:cNvPr>
              <xdr:cNvSpPr/>
            </xdr:nvSpPr>
            <xdr:spPr bwMode="auto">
              <a:xfrm>
                <a:off x="11" y="641"/>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5110" name="Option Button 54" hidden="1">
                <a:extLst>
                  <a:ext uri="{63B3BB69-23CF-44E3-9099-C40C66FF867C}">
                    <a14:compatExt spid="_x0000_s45110"/>
                  </a:ext>
                  <a:ext uri="{FF2B5EF4-FFF2-40B4-BE49-F238E27FC236}">
                    <a16:creationId xmlns:a16="http://schemas.microsoft.com/office/drawing/2014/main" id="{00000000-0008-0000-0700-000036B00000}"/>
                  </a:ext>
                </a:extLst>
              </xdr:cNvPr>
              <xdr:cNvSpPr/>
            </xdr:nvSpPr>
            <xdr:spPr bwMode="auto">
              <a:xfrm>
                <a:off x="11" y="664"/>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knee (35% leg)</a:t>
                </a:r>
              </a:p>
            </xdr:txBody>
          </xdr:sp>
          <xdr:sp macro="" textlink="">
            <xdr:nvSpPr>
              <xdr:cNvPr id="45111" name="Option Button 55" hidden="1">
                <a:extLst>
                  <a:ext uri="{63B3BB69-23CF-44E3-9099-C40C66FF867C}">
                    <a14:compatExt spid="_x0000_s45111"/>
                  </a:ext>
                  <a:ext uri="{FF2B5EF4-FFF2-40B4-BE49-F238E27FC236}">
                    <a16:creationId xmlns:a16="http://schemas.microsoft.com/office/drawing/2014/main" id="{00000000-0008-0000-0700-000037B00000}"/>
                  </a:ext>
                </a:extLst>
              </xdr:cNvPr>
              <xdr:cNvSpPr/>
            </xdr:nvSpPr>
            <xdr:spPr bwMode="auto">
              <a:xfrm>
                <a:off x="11" y="688"/>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Mid-calf &amp; knee (28% foot)</a:t>
                </a:r>
              </a:p>
            </xdr:txBody>
          </xdr:sp>
          <xdr:sp macro="" textlink="">
            <xdr:nvSpPr>
              <xdr:cNvPr id="45112" name="Option Button 56" hidden="1">
                <a:extLst>
                  <a:ext uri="{63B3BB69-23CF-44E3-9099-C40C66FF867C}">
                    <a14:compatExt spid="_x0000_s45112"/>
                  </a:ext>
                  <a:ext uri="{FF2B5EF4-FFF2-40B4-BE49-F238E27FC236}">
                    <a16:creationId xmlns:a16="http://schemas.microsoft.com/office/drawing/2014/main" id="{00000000-0008-0000-0700-000038B00000}"/>
                  </a:ext>
                </a:extLst>
              </xdr:cNvPr>
              <xdr:cNvSpPr/>
            </xdr:nvSpPr>
            <xdr:spPr bwMode="auto">
              <a:xfrm>
                <a:off x="11" y="712"/>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mid-calf(17% foot)</a:t>
                </a:r>
              </a:p>
            </xdr:txBody>
          </xdr:sp>
          <xdr:sp macro="" textlink="">
            <xdr:nvSpPr>
              <xdr:cNvPr id="45113" name="Option Button 57" hidden="1">
                <a:extLst>
                  <a:ext uri="{63B3BB69-23CF-44E3-9099-C40C66FF867C}">
                    <a14:compatExt spid="_x0000_s45113"/>
                  </a:ext>
                  <a:ext uri="{FF2B5EF4-FFF2-40B4-BE49-F238E27FC236}">
                    <a16:creationId xmlns:a16="http://schemas.microsoft.com/office/drawing/2014/main" id="{00000000-0008-0000-0700-000039B00000}"/>
                  </a:ext>
                </a:extLst>
              </xdr:cNvPr>
              <xdr:cNvSpPr/>
            </xdr:nvSpPr>
            <xdr:spPr bwMode="auto">
              <a:xfrm>
                <a:off x="11" y="735"/>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Lateral &amp; medial plantar branches</a:t>
                </a:r>
              </a:p>
            </xdr:txBody>
          </xdr:sp>
          <xdr:sp macro="" textlink="">
            <xdr:nvSpPr>
              <xdr:cNvPr id="45114" name="Option Button 58" hidden="1">
                <a:extLst>
                  <a:ext uri="{63B3BB69-23CF-44E3-9099-C40C66FF867C}">
                    <a14:compatExt spid="_x0000_s45114"/>
                  </a:ext>
                  <a:ext uri="{FF2B5EF4-FFF2-40B4-BE49-F238E27FC236}">
                    <a16:creationId xmlns:a16="http://schemas.microsoft.com/office/drawing/2014/main" id="{00000000-0008-0000-0700-00003AB00000}"/>
                  </a:ext>
                </a:extLst>
              </xdr:cNvPr>
              <xdr:cNvSpPr/>
            </xdr:nvSpPr>
            <xdr:spPr bwMode="auto">
              <a:xfrm>
                <a:off x="11" y="759"/>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Lateral plantar branch only (6% foot)</a:t>
                </a:r>
              </a:p>
            </xdr:txBody>
          </xdr:sp>
          <xdr:sp macro="" textlink="">
            <xdr:nvSpPr>
              <xdr:cNvPr id="45115" name="Option Button 59" hidden="1">
                <a:extLst>
                  <a:ext uri="{63B3BB69-23CF-44E3-9099-C40C66FF867C}">
                    <a14:compatExt spid="_x0000_s45115"/>
                  </a:ext>
                  <a:ext uri="{FF2B5EF4-FFF2-40B4-BE49-F238E27FC236}">
                    <a16:creationId xmlns:a16="http://schemas.microsoft.com/office/drawing/2014/main" id="{00000000-0008-0000-0700-00003BB00000}"/>
                  </a:ext>
                </a:extLst>
              </xdr:cNvPr>
              <xdr:cNvSpPr/>
            </xdr:nvSpPr>
            <xdr:spPr bwMode="auto">
              <a:xfrm>
                <a:off x="11" y="783"/>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Medial plantar branch only (6% foot)</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67</xdr:row>
          <xdr:rowOff>9525</xdr:rowOff>
        </xdr:from>
        <xdr:to>
          <xdr:col>3</xdr:col>
          <xdr:colOff>276225</xdr:colOff>
          <xdr:row>68</xdr:row>
          <xdr:rowOff>0</xdr:rowOff>
        </xdr:to>
        <xdr:sp macro="" textlink="">
          <xdr:nvSpPr>
            <xdr:cNvPr id="45128" name="Check Box 72" hidden="1">
              <a:extLst>
                <a:ext uri="{63B3BB69-23CF-44E3-9099-C40C66FF867C}">
                  <a14:compatExt spid="_x0000_s45128"/>
                </a:ext>
                <a:ext uri="{FF2B5EF4-FFF2-40B4-BE49-F238E27FC236}">
                  <a16:creationId xmlns:a16="http://schemas.microsoft.com/office/drawing/2014/main" id="{00000000-0008-0000-0700-00004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68</xdr:row>
          <xdr:rowOff>28575</xdr:rowOff>
        </xdr:from>
        <xdr:to>
          <xdr:col>3</xdr:col>
          <xdr:colOff>276225</xdr:colOff>
          <xdr:row>69</xdr:row>
          <xdr:rowOff>19050</xdr:rowOff>
        </xdr:to>
        <xdr:sp macro="" textlink="">
          <xdr:nvSpPr>
            <xdr:cNvPr id="45129" name="Check Box 73" hidden="1">
              <a:extLst>
                <a:ext uri="{63B3BB69-23CF-44E3-9099-C40C66FF867C}">
                  <a14:compatExt spid="_x0000_s45129"/>
                </a:ext>
                <a:ext uri="{FF2B5EF4-FFF2-40B4-BE49-F238E27FC236}">
                  <a16:creationId xmlns:a16="http://schemas.microsoft.com/office/drawing/2014/main" id="{00000000-0008-0000-0700-00004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69</xdr:row>
          <xdr:rowOff>19050</xdr:rowOff>
        </xdr:from>
        <xdr:to>
          <xdr:col>3</xdr:col>
          <xdr:colOff>276225</xdr:colOff>
          <xdr:row>70</xdr:row>
          <xdr:rowOff>9525</xdr:rowOff>
        </xdr:to>
        <xdr:sp macro="" textlink="">
          <xdr:nvSpPr>
            <xdr:cNvPr id="45130" name="Check Box 74" hidden="1">
              <a:extLst>
                <a:ext uri="{63B3BB69-23CF-44E3-9099-C40C66FF867C}">
                  <a14:compatExt spid="_x0000_s45130"/>
                </a:ext>
                <a:ext uri="{FF2B5EF4-FFF2-40B4-BE49-F238E27FC236}">
                  <a16:creationId xmlns:a16="http://schemas.microsoft.com/office/drawing/2014/main" id="{00000000-0008-0000-0700-00004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107</xdr:row>
          <xdr:rowOff>19050</xdr:rowOff>
        </xdr:from>
        <xdr:to>
          <xdr:col>3</xdr:col>
          <xdr:colOff>276225</xdr:colOff>
          <xdr:row>108</xdr:row>
          <xdr:rowOff>9525</xdr:rowOff>
        </xdr:to>
        <xdr:sp macro="" textlink="">
          <xdr:nvSpPr>
            <xdr:cNvPr id="45131" name="Check Box 75" hidden="1">
              <a:extLst>
                <a:ext uri="{63B3BB69-23CF-44E3-9099-C40C66FF867C}">
                  <a14:compatExt spid="_x0000_s45131"/>
                </a:ext>
                <a:ext uri="{FF2B5EF4-FFF2-40B4-BE49-F238E27FC236}">
                  <a16:creationId xmlns:a16="http://schemas.microsoft.com/office/drawing/2014/main" id="{00000000-0008-0000-0700-00004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108</xdr:row>
          <xdr:rowOff>28575</xdr:rowOff>
        </xdr:from>
        <xdr:to>
          <xdr:col>3</xdr:col>
          <xdr:colOff>276225</xdr:colOff>
          <xdr:row>109</xdr:row>
          <xdr:rowOff>19050</xdr:rowOff>
        </xdr:to>
        <xdr:sp macro="" textlink="">
          <xdr:nvSpPr>
            <xdr:cNvPr id="45132" name="Check Box 76" hidden="1">
              <a:extLst>
                <a:ext uri="{63B3BB69-23CF-44E3-9099-C40C66FF867C}">
                  <a14:compatExt spid="_x0000_s45132"/>
                </a:ext>
                <a:ext uri="{FF2B5EF4-FFF2-40B4-BE49-F238E27FC236}">
                  <a16:creationId xmlns:a16="http://schemas.microsoft.com/office/drawing/2014/main" id="{00000000-0008-0000-0700-00004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109</xdr:row>
          <xdr:rowOff>19050</xdr:rowOff>
        </xdr:from>
        <xdr:to>
          <xdr:col>3</xdr:col>
          <xdr:colOff>276225</xdr:colOff>
          <xdr:row>110</xdr:row>
          <xdr:rowOff>9525</xdr:rowOff>
        </xdr:to>
        <xdr:sp macro="" textlink="">
          <xdr:nvSpPr>
            <xdr:cNvPr id="45133" name="Check Box 77" hidden="1">
              <a:extLst>
                <a:ext uri="{63B3BB69-23CF-44E3-9099-C40C66FF867C}">
                  <a14:compatExt spid="_x0000_s45133"/>
                </a:ext>
                <a:ext uri="{FF2B5EF4-FFF2-40B4-BE49-F238E27FC236}">
                  <a16:creationId xmlns:a16="http://schemas.microsoft.com/office/drawing/2014/main" id="{00000000-0008-0000-0700-00004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147</xdr:row>
          <xdr:rowOff>19050</xdr:rowOff>
        </xdr:from>
        <xdr:to>
          <xdr:col>3</xdr:col>
          <xdr:colOff>276225</xdr:colOff>
          <xdr:row>148</xdr:row>
          <xdr:rowOff>9525</xdr:rowOff>
        </xdr:to>
        <xdr:sp macro="" textlink="">
          <xdr:nvSpPr>
            <xdr:cNvPr id="45134" name="Check Box 78" hidden="1">
              <a:extLst>
                <a:ext uri="{63B3BB69-23CF-44E3-9099-C40C66FF867C}">
                  <a14:compatExt spid="_x0000_s45134"/>
                </a:ext>
                <a:ext uri="{FF2B5EF4-FFF2-40B4-BE49-F238E27FC236}">
                  <a16:creationId xmlns:a16="http://schemas.microsoft.com/office/drawing/2014/main" id="{00000000-0008-0000-0700-00004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148</xdr:row>
          <xdr:rowOff>28575</xdr:rowOff>
        </xdr:from>
        <xdr:to>
          <xdr:col>3</xdr:col>
          <xdr:colOff>276225</xdr:colOff>
          <xdr:row>149</xdr:row>
          <xdr:rowOff>19050</xdr:rowOff>
        </xdr:to>
        <xdr:sp macro="" textlink="">
          <xdr:nvSpPr>
            <xdr:cNvPr id="45135" name="Check Box 79" hidden="1">
              <a:extLst>
                <a:ext uri="{63B3BB69-23CF-44E3-9099-C40C66FF867C}">
                  <a14:compatExt spid="_x0000_s45135"/>
                </a:ext>
                <a:ext uri="{FF2B5EF4-FFF2-40B4-BE49-F238E27FC236}">
                  <a16:creationId xmlns:a16="http://schemas.microsoft.com/office/drawing/2014/main" id="{00000000-0008-0000-0700-00004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149</xdr:row>
          <xdr:rowOff>19050</xdr:rowOff>
        </xdr:from>
        <xdr:to>
          <xdr:col>3</xdr:col>
          <xdr:colOff>276225</xdr:colOff>
          <xdr:row>150</xdr:row>
          <xdr:rowOff>9525</xdr:rowOff>
        </xdr:to>
        <xdr:sp macro="" textlink="">
          <xdr:nvSpPr>
            <xdr:cNvPr id="45136" name="Check Box 80" hidden="1">
              <a:extLst>
                <a:ext uri="{63B3BB69-23CF-44E3-9099-C40C66FF867C}">
                  <a14:compatExt spid="_x0000_s45136"/>
                </a:ext>
                <a:ext uri="{FF2B5EF4-FFF2-40B4-BE49-F238E27FC236}">
                  <a16:creationId xmlns:a16="http://schemas.microsoft.com/office/drawing/2014/main" id="{00000000-0008-0000-0700-00005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187</xdr:row>
          <xdr:rowOff>28575</xdr:rowOff>
        </xdr:from>
        <xdr:to>
          <xdr:col>3</xdr:col>
          <xdr:colOff>276225</xdr:colOff>
          <xdr:row>188</xdr:row>
          <xdr:rowOff>19050</xdr:rowOff>
        </xdr:to>
        <xdr:sp macro="" textlink="">
          <xdr:nvSpPr>
            <xdr:cNvPr id="45137" name="Check Box 81" hidden="1">
              <a:extLst>
                <a:ext uri="{63B3BB69-23CF-44E3-9099-C40C66FF867C}">
                  <a14:compatExt spid="_x0000_s45137"/>
                </a:ext>
                <a:ext uri="{FF2B5EF4-FFF2-40B4-BE49-F238E27FC236}">
                  <a16:creationId xmlns:a16="http://schemas.microsoft.com/office/drawing/2014/main" id="{00000000-0008-0000-0700-00005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188</xdr:row>
          <xdr:rowOff>38100</xdr:rowOff>
        </xdr:from>
        <xdr:to>
          <xdr:col>3</xdr:col>
          <xdr:colOff>276225</xdr:colOff>
          <xdr:row>189</xdr:row>
          <xdr:rowOff>28575</xdr:rowOff>
        </xdr:to>
        <xdr:sp macro="" textlink="">
          <xdr:nvSpPr>
            <xdr:cNvPr id="45138" name="Check Box 82" hidden="1">
              <a:extLst>
                <a:ext uri="{63B3BB69-23CF-44E3-9099-C40C66FF867C}">
                  <a14:compatExt spid="_x0000_s45138"/>
                </a:ext>
                <a:ext uri="{FF2B5EF4-FFF2-40B4-BE49-F238E27FC236}">
                  <a16:creationId xmlns:a16="http://schemas.microsoft.com/office/drawing/2014/main" id="{00000000-0008-0000-0700-00005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189</xdr:row>
          <xdr:rowOff>28575</xdr:rowOff>
        </xdr:from>
        <xdr:to>
          <xdr:col>3</xdr:col>
          <xdr:colOff>276225</xdr:colOff>
          <xdr:row>190</xdr:row>
          <xdr:rowOff>19050</xdr:rowOff>
        </xdr:to>
        <xdr:sp macro="" textlink="">
          <xdr:nvSpPr>
            <xdr:cNvPr id="45139" name="Check Box 83" hidden="1">
              <a:extLst>
                <a:ext uri="{63B3BB69-23CF-44E3-9099-C40C66FF867C}">
                  <a14:compatExt spid="_x0000_s45139"/>
                </a:ext>
                <a:ext uri="{FF2B5EF4-FFF2-40B4-BE49-F238E27FC236}">
                  <a16:creationId xmlns:a16="http://schemas.microsoft.com/office/drawing/2014/main" id="{00000000-0008-0000-0700-00005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9525</xdr:rowOff>
        </xdr:from>
        <xdr:to>
          <xdr:col>3</xdr:col>
          <xdr:colOff>276225</xdr:colOff>
          <xdr:row>30</xdr:row>
          <xdr:rowOff>0</xdr:rowOff>
        </xdr:to>
        <xdr:sp macro="" textlink="">
          <xdr:nvSpPr>
            <xdr:cNvPr id="45140" name="Check Box 84" hidden="1">
              <a:extLst>
                <a:ext uri="{63B3BB69-23CF-44E3-9099-C40C66FF867C}">
                  <a14:compatExt spid="_x0000_s45140"/>
                </a:ext>
                <a:ext uri="{FF2B5EF4-FFF2-40B4-BE49-F238E27FC236}">
                  <a16:creationId xmlns:a16="http://schemas.microsoft.com/office/drawing/2014/main" id="{00000000-0008-0000-0700-00005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0</xdr:rowOff>
        </xdr:from>
        <xdr:to>
          <xdr:col>3</xdr:col>
          <xdr:colOff>276225</xdr:colOff>
          <xdr:row>30</xdr:row>
          <xdr:rowOff>219075</xdr:rowOff>
        </xdr:to>
        <xdr:sp macro="" textlink="">
          <xdr:nvSpPr>
            <xdr:cNvPr id="45141" name="Check Box 85" hidden="1">
              <a:extLst>
                <a:ext uri="{63B3BB69-23CF-44E3-9099-C40C66FF867C}">
                  <a14:compatExt spid="_x0000_s45141"/>
                </a:ext>
                <a:ext uri="{FF2B5EF4-FFF2-40B4-BE49-F238E27FC236}">
                  <a16:creationId xmlns:a16="http://schemas.microsoft.com/office/drawing/2014/main" id="{00000000-0008-0000-0700-00005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9525</xdr:rowOff>
        </xdr:from>
        <xdr:to>
          <xdr:col>3</xdr:col>
          <xdr:colOff>276225</xdr:colOff>
          <xdr:row>30</xdr:row>
          <xdr:rowOff>0</xdr:rowOff>
        </xdr:to>
        <xdr:sp macro="" textlink="">
          <xdr:nvSpPr>
            <xdr:cNvPr id="45142" name="Check Box 86" hidden="1">
              <a:extLst>
                <a:ext uri="{63B3BB69-23CF-44E3-9099-C40C66FF867C}">
                  <a14:compatExt spid="_x0000_s45142"/>
                </a:ext>
                <a:ext uri="{FF2B5EF4-FFF2-40B4-BE49-F238E27FC236}">
                  <a16:creationId xmlns:a16="http://schemas.microsoft.com/office/drawing/2014/main" id="{00000000-0008-0000-0700-00005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0</xdr:rowOff>
        </xdr:from>
        <xdr:to>
          <xdr:col>3</xdr:col>
          <xdr:colOff>276225</xdr:colOff>
          <xdr:row>30</xdr:row>
          <xdr:rowOff>219075</xdr:rowOff>
        </xdr:to>
        <xdr:sp macro="" textlink="">
          <xdr:nvSpPr>
            <xdr:cNvPr id="45143" name="Check Box 87" hidden="1">
              <a:extLst>
                <a:ext uri="{63B3BB69-23CF-44E3-9099-C40C66FF867C}">
                  <a14:compatExt spid="_x0000_s45143"/>
                </a:ext>
                <a:ext uri="{FF2B5EF4-FFF2-40B4-BE49-F238E27FC236}">
                  <a16:creationId xmlns:a16="http://schemas.microsoft.com/office/drawing/2014/main" id="{00000000-0008-0000-0700-00005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207</xdr:row>
          <xdr:rowOff>0</xdr:rowOff>
        </xdr:from>
        <xdr:to>
          <xdr:col>8</xdr:col>
          <xdr:colOff>114300</xdr:colOff>
          <xdr:row>207</xdr:row>
          <xdr:rowOff>219075</xdr:rowOff>
        </xdr:to>
        <xdr:sp macro="" textlink="">
          <xdr:nvSpPr>
            <xdr:cNvPr id="45144" name="Check Box 88" hidden="1">
              <a:extLst>
                <a:ext uri="{63B3BB69-23CF-44E3-9099-C40C66FF867C}">
                  <a14:compatExt spid="_x0000_s45144"/>
                </a:ext>
                <a:ext uri="{FF2B5EF4-FFF2-40B4-BE49-F238E27FC236}">
                  <a16:creationId xmlns:a16="http://schemas.microsoft.com/office/drawing/2014/main" id="{00000000-0008-0000-0700-00005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208</xdr:row>
          <xdr:rowOff>0</xdr:rowOff>
        </xdr:from>
        <xdr:to>
          <xdr:col>8</xdr:col>
          <xdr:colOff>114300</xdr:colOff>
          <xdr:row>209</xdr:row>
          <xdr:rowOff>0</xdr:rowOff>
        </xdr:to>
        <xdr:sp macro="" textlink="">
          <xdr:nvSpPr>
            <xdr:cNvPr id="45145" name="Check Box 89" hidden="1">
              <a:extLst>
                <a:ext uri="{63B3BB69-23CF-44E3-9099-C40C66FF867C}">
                  <a14:compatExt spid="_x0000_s45145"/>
                </a:ext>
                <a:ext uri="{FF2B5EF4-FFF2-40B4-BE49-F238E27FC236}">
                  <a16:creationId xmlns:a16="http://schemas.microsoft.com/office/drawing/2014/main" id="{00000000-0008-0000-0700-00005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209</xdr:row>
          <xdr:rowOff>9525</xdr:rowOff>
        </xdr:from>
        <xdr:to>
          <xdr:col>8</xdr:col>
          <xdr:colOff>114300</xdr:colOff>
          <xdr:row>210</xdr:row>
          <xdr:rowOff>0</xdr:rowOff>
        </xdr:to>
        <xdr:sp macro="" textlink="">
          <xdr:nvSpPr>
            <xdr:cNvPr id="45146" name="Check Box 90" hidden="1">
              <a:extLst>
                <a:ext uri="{63B3BB69-23CF-44E3-9099-C40C66FF867C}">
                  <a14:compatExt spid="_x0000_s45146"/>
                </a:ext>
                <a:ext uri="{FF2B5EF4-FFF2-40B4-BE49-F238E27FC236}">
                  <a16:creationId xmlns:a16="http://schemas.microsoft.com/office/drawing/2014/main" id="{00000000-0008-0000-0700-00005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210</xdr:row>
          <xdr:rowOff>9525</xdr:rowOff>
        </xdr:from>
        <xdr:to>
          <xdr:col>8</xdr:col>
          <xdr:colOff>114300</xdr:colOff>
          <xdr:row>211</xdr:row>
          <xdr:rowOff>0</xdr:rowOff>
        </xdr:to>
        <xdr:sp macro="" textlink="">
          <xdr:nvSpPr>
            <xdr:cNvPr id="45147" name="Check Box 91" hidden="1">
              <a:extLst>
                <a:ext uri="{63B3BB69-23CF-44E3-9099-C40C66FF867C}">
                  <a14:compatExt spid="_x0000_s45147"/>
                </a:ext>
                <a:ext uri="{FF2B5EF4-FFF2-40B4-BE49-F238E27FC236}">
                  <a16:creationId xmlns:a16="http://schemas.microsoft.com/office/drawing/2014/main" id="{00000000-0008-0000-0700-00005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211</xdr:row>
          <xdr:rowOff>9525</xdr:rowOff>
        </xdr:from>
        <xdr:to>
          <xdr:col>8</xdr:col>
          <xdr:colOff>114300</xdr:colOff>
          <xdr:row>212</xdr:row>
          <xdr:rowOff>0</xdr:rowOff>
        </xdr:to>
        <xdr:sp macro="" textlink="">
          <xdr:nvSpPr>
            <xdr:cNvPr id="45148" name="Check Box 92" hidden="1">
              <a:extLst>
                <a:ext uri="{63B3BB69-23CF-44E3-9099-C40C66FF867C}">
                  <a14:compatExt spid="_x0000_s45148"/>
                </a:ext>
                <a:ext uri="{FF2B5EF4-FFF2-40B4-BE49-F238E27FC236}">
                  <a16:creationId xmlns:a16="http://schemas.microsoft.com/office/drawing/2014/main" id="{00000000-0008-0000-0700-00005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214</xdr:row>
          <xdr:rowOff>19050</xdr:rowOff>
        </xdr:from>
        <xdr:to>
          <xdr:col>7</xdr:col>
          <xdr:colOff>19050</xdr:colOff>
          <xdr:row>215</xdr:row>
          <xdr:rowOff>9525</xdr:rowOff>
        </xdr:to>
        <xdr:sp macro="" textlink="">
          <xdr:nvSpPr>
            <xdr:cNvPr id="45149" name="Check Box 93" hidden="1">
              <a:extLst>
                <a:ext uri="{63B3BB69-23CF-44E3-9099-C40C66FF867C}">
                  <a14:compatExt spid="_x0000_s45149"/>
                </a:ext>
                <a:ext uri="{FF2B5EF4-FFF2-40B4-BE49-F238E27FC236}">
                  <a16:creationId xmlns:a16="http://schemas.microsoft.com/office/drawing/2014/main" id="{00000000-0008-0000-0700-00005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215</xdr:row>
          <xdr:rowOff>19050</xdr:rowOff>
        </xdr:from>
        <xdr:to>
          <xdr:col>7</xdr:col>
          <xdr:colOff>19050</xdr:colOff>
          <xdr:row>216</xdr:row>
          <xdr:rowOff>19050</xdr:rowOff>
        </xdr:to>
        <xdr:sp macro="" textlink="">
          <xdr:nvSpPr>
            <xdr:cNvPr id="45150" name="Check Box 94" hidden="1">
              <a:extLst>
                <a:ext uri="{63B3BB69-23CF-44E3-9099-C40C66FF867C}">
                  <a14:compatExt spid="_x0000_s45150"/>
                </a:ext>
                <a:ext uri="{FF2B5EF4-FFF2-40B4-BE49-F238E27FC236}">
                  <a16:creationId xmlns:a16="http://schemas.microsoft.com/office/drawing/2014/main" id="{00000000-0008-0000-0700-00005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216</xdr:row>
          <xdr:rowOff>28575</xdr:rowOff>
        </xdr:from>
        <xdr:to>
          <xdr:col>7</xdr:col>
          <xdr:colOff>19050</xdr:colOff>
          <xdr:row>217</xdr:row>
          <xdr:rowOff>19050</xdr:rowOff>
        </xdr:to>
        <xdr:sp macro="" textlink="">
          <xdr:nvSpPr>
            <xdr:cNvPr id="45151" name="Check Box 95" hidden="1">
              <a:extLst>
                <a:ext uri="{63B3BB69-23CF-44E3-9099-C40C66FF867C}">
                  <a14:compatExt spid="_x0000_s45151"/>
                </a:ext>
                <a:ext uri="{FF2B5EF4-FFF2-40B4-BE49-F238E27FC236}">
                  <a16:creationId xmlns:a16="http://schemas.microsoft.com/office/drawing/2014/main" id="{00000000-0008-0000-0700-00005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217</xdr:row>
          <xdr:rowOff>19050</xdr:rowOff>
        </xdr:from>
        <xdr:to>
          <xdr:col>7</xdr:col>
          <xdr:colOff>19050</xdr:colOff>
          <xdr:row>218</xdr:row>
          <xdr:rowOff>9525</xdr:rowOff>
        </xdr:to>
        <xdr:sp macro="" textlink="">
          <xdr:nvSpPr>
            <xdr:cNvPr id="45152" name="Check Box 96" hidden="1">
              <a:extLst>
                <a:ext uri="{63B3BB69-23CF-44E3-9099-C40C66FF867C}">
                  <a14:compatExt spid="_x0000_s45152"/>
                </a:ext>
                <a:ext uri="{FF2B5EF4-FFF2-40B4-BE49-F238E27FC236}">
                  <a16:creationId xmlns:a16="http://schemas.microsoft.com/office/drawing/2014/main" id="{00000000-0008-0000-0700-00006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218</xdr:row>
          <xdr:rowOff>9525</xdr:rowOff>
        </xdr:from>
        <xdr:to>
          <xdr:col>7</xdr:col>
          <xdr:colOff>19050</xdr:colOff>
          <xdr:row>219</xdr:row>
          <xdr:rowOff>0</xdr:rowOff>
        </xdr:to>
        <xdr:sp macro="" textlink="">
          <xdr:nvSpPr>
            <xdr:cNvPr id="45153" name="Check Box 97" hidden="1">
              <a:extLst>
                <a:ext uri="{63B3BB69-23CF-44E3-9099-C40C66FF867C}">
                  <a14:compatExt spid="_x0000_s45153"/>
                </a:ext>
                <a:ext uri="{FF2B5EF4-FFF2-40B4-BE49-F238E27FC236}">
                  <a16:creationId xmlns:a16="http://schemas.microsoft.com/office/drawing/2014/main" id="{00000000-0008-0000-0700-00006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1076325</xdr:colOff>
          <xdr:row>245</xdr:row>
          <xdr:rowOff>0</xdr:rowOff>
        </xdr:from>
        <xdr:to>
          <xdr:col>15</xdr:col>
          <xdr:colOff>0</xdr:colOff>
          <xdr:row>246</xdr:row>
          <xdr:rowOff>0</xdr:rowOff>
        </xdr:to>
        <xdr:grpSp>
          <xdr:nvGrpSpPr>
            <xdr:cNvPr id="88919" name="Group 98">
              <a:extLst>
                <a:ext uri="{FF2B5EF4-FFF2-40B4-BE49-F238E27FC236}">
                  <a16:creationId xmlns:a16="http://schemas.microsoft.com/office/drawing/2014/main" id="{00000000-0008-0000-0700-0000575B0100}"/>
                </a:ext>
              </a:extLst>
            </xdr:cNvPr>
            <xdr:cNvGrpSpPr>
              <a:grpSpLocks/>
            </xdr:cNvGrpSpPr>
          </xdr:nvGrpSpPr>
          <xdr:grpSpPr bwMode="auto">
            <a:xfrm>
              <a:off x="1131888" y="53189188"/>
              <a:ext cx="4146550" cy="246062"/>
              <a:chOff x="119" y="4735"/>
              <a:chExt cx="436" cy="26"/>
            </a:xfrm>
          </xdr:grpSpPr>
          <xdr:sp macro="" textlink="">
            <xdr:nvSpPr>
              <xdr:cNvPr id="45155" name="Group Box 99" hidden="1">
                <a:extLst>
                  <a:ext uri="{63B3BB69-23CF-44E3-9099-C40C66FF867C}">
                    <a14:compatExt spid="_x0000_s45155"/>
                  </a:ext>
                  <a:ext uri="{FF2B5EF4-FFF2-40B4-BE49-F238E27FC236}">
                    <a16:creationId xmlns:a16="http://schemas.microsoft.com/office/drawing/2014/main" id="{00000000-0008-0000-0700-000063B00000}"/>
                  </a:ext>
                </a:extLst>
              </xdr:cNvPr>
              <xdr:cNvSpPr/>
            </xdr:nvSpPr>
            <xdr:spPr bwMode="auto">
              <a:xfrm>
                <a:off x="119" y="4735"/>
                <a:ext cx="436" cy="26"/>
              </a:xfrm>
              <a:prstGeom prst="rect">
                <a:avLst/>
              </a:prstGeom>
              <a:noFill/>
              <a:ln w="9525">
                <a:miter lim="800000"/>
                <a:headEnd/>
                <a:tailEnd/>
              </a:ln>
              <a:extLst>
                <a:ext uri="{909E8E84-426E-40DD-AFC4-6F175D3DCCD1}">
                  <a14:hiddenFill>
                    <a:noFill/>
                  </a14:hiddenFill>
                </a:ext>
              </a:extLst>
            </xdr:spPr>
          </xdr:sp>
          <xdr:sp macro="" textlink="">
            <xdr:nvSpPr>
              <xdr:cNvPr id="45156" name="Option Button 100" hidden="1">
                <a:extLst>
                  <a:ext uri="{63B3BB69-23CF-44E3-9099-C40C66FF867C}">
                    <a14:compatExt spid="_x0000_s45156"/>
                  </a:ext>
                  <a:ext uri="{FF2B5EF4-FFF2-40B4-BE49-F238E27FC236}">
                    <a16:creationId xmlns:a16="http://schemas.microsoft.com/office/drawing/2014/main" id="{00000000-0008-0000-0700-000064B00000}"/>
                  </a:ext>
                </a:extLst>
              </xdr:cNvPr>
              <xdr:cNvSpPr/>
            </xdr:nvSpPr>
            <xdr:spPr bwMode="auto">
              <a:xfrm>
                <a:off x="120" y="4736"/>
                <a:ext cx="41"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57" name="Option Button 101" hidden="1">
                <a:extLst>
                  <a:ext uri="{63B3BB69-23CF-44E3-9099-C40C66FF867C}">
                    <a14:compatExt spid="_x0000_s45157"/>
                  </a:ext>
                  <a:ext uri="{FF2B5EF4-FFF2-40B4-BE49-F238E27FC236}">
                    <a16:creationId xmlns:a16="http://schemas.microsoft.com/office/drawing/2014/main" id="{00000000-0008-0000-0700-000065B00000}"/>
                  </a:ext>
                </a:extLst>
              </xdr:cNvPr>
              <xdr:cNvSpPr/>
            </xdr:nvSpPr>
            <xdr:spPr bwMode="auto">
              <a:xfrm>
                <a:off x="175" y="4737"/>
                <a:ext cx="18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5158" name="Option Button 102" hidden="1">
                <a:extLst>
                  <a:ext uri="{63B3BB69-23CF-44E3-9099-C40C66FF867C}">
                    <a14:compatExt spid="_x0000_s45158"/>
                  </a:ext>
                  <a:ext uri="{FF2B5EF4-FFF2-40B4-BE49-F238E27FC236}">
                    <a16:creationId xmlns:a16="http://schemas.microsoft.com/office/drawing/2014/main" id="{00000000-0008-0000-0700-000066B00000}"/>
                  </a:ext>
                </a:extLst>
              </xdr:cNvPr>
              <xdr:cNvSpPr/>
            </xdr:nvSpPr>
            <xdr:spPr bwMode="auto">
              <a:xfrm>
                <a:off x="369" y="4737"/>
                <a:ext cx="17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246</xdr:row>
          <xdr:rowOff>19050</xdr:rowOff>
        </xdr:from>
        <xdr:to>
          <xdr:col>1</xdr:col>
          <xdr:colOff>390525</xdr:colOff>
          <xdr:row>247</xdr:row>
          <xdr:rowOff>9525</xdr:rowOff>
        </xdr:to>
        <xdr:sp macro="" textlink="">
          <xdr:nvSpPr>
            <xdr:cNvPr id="45159" name="Check Box 103" hidden="1">
              <a:extLst>
                <a:ext uri="{63B3BB69-23CF-44E3-9099-C40C66FF867C}">
                  <a14:compatExt spid="_x0000_s45159"/>
                </a:ext>
                <a:ext uri="{FF2B5EF4-FFF2-40B4-BE49-F238E27FC236}">
                  <a16:creationId xmlns:a16="http://schemas.microsoft.com/office/drawing/2014/main" id="{00000000-0008-0000-0700-000067B00000}"/>
                </a:ext>
              </a:extLst>
            </xdr:cNvPr>
            <xdr:cNvSpPr/>
          </xdr:nvSpPr>
          <xdr:spPr bwMode="auto">
            <a:xfrm>
              <a:off x="0" y="0"/>
              <a:ext cx="0" cy="0"/>
            </a:xfrm>
            <a:prstGeom prst="rect">
              <a:avLst/>
            </a:prstGeom>
            <a:noFill/>
            <a:ln w="9525">
              <a:solidFill>
                <a:srgbClr val="CCFFCC" mc:Ignorable="a14" a14:legacySpreadsheetColorIndex="42"/>
              </a:solidFill>
              <a:miter lim="800000"/>
              <a:headEnd/>
              <a:tailEnd/>
            </a:ln>
            <a:extLst>
              <a:ext uri="{909E8E84-426E-40DD-AFC4-6F175D3DCCD1}">
                <a14:hiddenFill>
                  <a:solidFill>
                    <a:srgbClr val="CCFFCC" mc:Ignorable="a14" a14:legacySpreadsheetColorIndex="42"/>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248</xdr:row>
          <xdr:rowOff>9525</xdr:rowOff>
        </xdr:from>
        <xdr:to>
          <xdr:col>6</xdr:col>
          <xdr:colOff>190500</xdr:colOff>
          <xdr:row>249</xdr:row>
          <xdr:rowOff>0</xdr:rowOff>
        </xdr:to>
        <xdr:sp macro="" textlink="">
          <xdr:nvSpPr>
            <xdr:cNvPr id="45160" name="Check Box 104" hidden="1">
              <a:extLst>
                <a:ext uri="{63B3BB69-23CF-44E3-9099-C40C66FF867C}">
                  <a14:compatExt spid="_x0000_s45160"/>
                </a:ext>
                <a:ext uri="{FF2B5EF4-FFF2-40B4-BE49-F238E27FC236}">
                  <a16:creationId xmlns:a16="http://schemas.microsoft.com/office/drawing/2014/main" id="{00000000-0008-0000-0700-00006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252</xdr:row>
          <xdr:rowOff>0</xdr:rowOff>
        </xdr:from>
        <xdr:to>
          <xdr:col>15</xdr:col>
          <xdr:colOff>0</xdr:colOff>
          <xdr:row>253</xdr:row>
          <xdr:rowOff>0</xdr:rowOff>
        </xdr:to>
        <xdr:grpSp>
          <xdr:nvGrpSpPr>
            <xdr:cNvPr id="88920" name="Group 105">
              <a:extLst>
                <a:ext uri="{FF2B5EF4-FFF2-40B4-BE49-F238E27FC236}">
                  <a16:creationId xmlns:a16="http://schemas.microsoft.com/office/drawing/2014/main" id="{00000000-0008-0000-0700-0000585B0100}"/>
                </a:ext>
              </a:extLst>
            </xdr:cNvPr>
            <xdr:cNvGrpSpPr>
              <a:grpSpLocks/>
            </xdr:cNvGrpSpPr>
          </xdr:nvGrpSpPr>
          <xdr:grpSpPr bwMode="auto">
            <a:xfrm>
              <a:off x="4103688" y="54697313"/>
              <a:ext cx="1174750" cy="269875"/>
              <a:chOff x="431" y="4893"/>
              <a:chExt cx="124" cy="28"/>
            </a:xfrm>
          </xdr:grpSpPr>
          <xdr:sp macro="" textlink="">
            <xdr:nvSpPr>
              <xdr:cNvPr id="45162" name="Group Box 106" hidden="1">
                <a:extLst>
                  <a:ext uri="{63B3BB69-23CF-44E3-9099-C40C66FF867C}">
                    <a14:compatExt spid="_x0000_s45162"/>
                  </a:ext>
                  <a:ext uri="{FF2B5EF4-FFF2-40B4-BE49-F238E27FC236}">
                    <a16:creationId xmlns:a16="http://schemas.microsoft.com/office/drawing/2014/main" id="{00000000-0008-0000-0700-00006AB00000}"/>
                  </a:ext>
                </a:extLst>
              </xdr:cNvPr>
              <xdr:cNvSpPr/>
            </xdr:nvSpPr>
            <xdr:spPr bwMode="auto">
              <a:xfrm>
                <a:off x="431" y="4893"/>
                <a:ext cx="124" cy="28"/>
              </a:xfrm>
              <a:prstGeom prst="rect">
                <a:avLst/>
              </a:prstGeom>
              <a:noFill/>
              <a:ln w="9525">
                <a:miter lim="800000"/>
                <a:headEnd/>
                <a:tailEnd/>
              </a:ln>
              <a:extLst>
                <a:ext uri="{909E8E84-426E-40DD-AFC4-6F175D3DCCD1}">
                  <a14:hiddenFill>
                    <a:noFill/>
                  </a14:hiddenFill>
                </a:ext>
              </a:extLst>
            </xdr:spPr>
          </xdr:sp>
          <xdr:sp macro="" textlink="">
            <xdr:nvSpPr>
              <xdr:cNvPr id="45163" name="Option Button 107" hidden="1">
                <a:extLst>
                  <a:ext uri="{63B3BB69-23CF-44E3-9099-C40C66FF867C}">
                    <a14:compatExt spid="_x0000_s45163"/>
                  </a:ext>
                  <a:ext uri="{FF2B5EF4-FFF2-40B4-BE49-F238E27FC236}">
                    <a16:creationId xmlns:a16="http://schemas.microsoft.com/office/drawing/2014/main" id="{00000000-0008-0000-0700-00006BB00000}"/>
                  </a:ext>
                </a:extLst>
              </xdr:cNvPr>
              <xdr:cNvSpPr/>
            </xdr:nvSpPr>
            <xdr:spPr bwMode="auto">
              <a:xfrm>
                <a:off x="439" y="4895"/>
                <a:ext cx="54"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164" name="Option Button 108" hidden="1">
                <a:extLst>
                  <a:ext uri="{63B3BB69-23CF-44E3-9099-C40C66FF867C}">
                    <a14:compatExt spid="_x0000_s45164"/>
                  </a:ext>
                  <a:ext uri="{FF2B5EF4-FFF2-40B4-BE49-F238E27FC236}">
                    <a16:creationId xmlns:a16="http://schemas.microsoft.com/office/drawing/2014/main" id="{00000000-0008-0000-0700-00006CB00000}"/>
                  </a:ext>
                </a:extLst>
              </xdr:cNvPr>
              <xdr:cNvSpPr/>
            </xdr:nvSpPr>
            <xdr:spPr bwMode="auto">
              <a:xfrm>
                <a:off x="496" y="4895"/>
                <a:ext cx="42"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255</xdr:row>
          <xdr:rowOff>28575</xdr:rowOff>
        </xdr:from>
        <xdr:to>
          <xdr:col>5</xdr:col>
          <xdr:colOff>219075</xdr:colOff>
          <xdr:row>256</xdr:row>
          <xdr:rowOff>19050</xdr:rowOff>
        </xdr:to>
        <xdr:sp macro="" textlink="">
          <xdr:nvSpPr>
            <xdr:cNvPr id="45165" name="Check Box 109" hidden="1">
              <a:extLst>
                <a:ext uri="{63B3BB69-23CF-44E3-9099-C40C66FF867C}">
                  <a14:compatExt spid="_x0000_s45165"/>
                </a:ext>
                <a:ext uri="{FF2B5EF4-FFF2-40B4-BE49-F238E27FC236}">
                  <a16:creationId xmlns:a16="http://schemas.microsoft.com/office/drawing/2014/main" id="{00000000-0008-0000-0700-00006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256</xdr:row>
          <xdr:rowOff>38100</xdr:rowOff>
        </xdr:from>
        <xdr:to>
          <xdr:col>5</xdr:col>
          <xdr:colOff>219075</xdr:colOff>
          <xdr:row>257</xdr:row>
          <xdr:rowOff>28575</xdr:rowOff>
        </xdr:to>
        <xdr:sp macro="" textlink="">
          <xdr:nvSpPr>
            <xdr:cNvPr id="45166" name="Check Box 110" hidden="1">
              <a:extLst>
                <a:ext uri="{63B3BB69-23CF-44E3-9099-C40C66FF867C}">
                  <a14:compatExt spid="_x0000_s45166"/>
                </a:ext>
                <a:ext uri="{FF2B5EF4-FFF2-40B4-BE49-F238E27FC236}">
                  <a16:creationId xmlns:a16="http://schemas.microsoft.com/office/drawing/2014/main" id="{00000000-0008-0000-0700-00006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257</xdr:row>
          <xdr:rowOff>38100</xdr:rowOff>
        </xdr:from>
        <xdr:to>
          <xdr:col>5</xdr:col>
          <xdr:colOff>219075</xdr:colOff>
          <xdr:row>258</xdr:row>
          <xdr:rowOff>28575</xdr:rowOff>
        </xdr:to>
        <xdr:sp macro="" textlink="">
          <xdr:nvSpPr>
            <xdr:cNvPr id="45167" name="Check Box 111" hidden="1">
              <a:extLst>
                <a:ext uri="{63B3BB69-23CF-44E3-9099-C40C66FF867C}">
                  <a14:compatExt spid="_x0000_s45167"/>
                </a:ext>
                <a:ext uri="{FF2B5EF4-FFF2-40B4-BE49-F238E27FC236}">
                  <a16:creationId xmlns:a16="http://schemas.microsoft.com/office/drawing/2014/main" id="{00000000-0008-0000-0700-00006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258</xdr:row>
          <xdr:rowOff>38100</xdr:rowOff>
        </xdr:from>
        <xdr:to>
          <xdr:col>5</xdr:col>
          <xdr:colOff>219075</xdr:colOff>
          <xdr:row>259</xdr:row>
          <xdr:rowOff>38100</xdr:rowOff>
        </xdr:to>
        <xdr:sp macro="" textlink="">
          <xdr:nvSpPr>
            <xdr:cNvPr id="45168" name="Check Box 112" hidden="1">
              <a:extLst>
                <a:ext uri="{63B3BB69-23CF-44E3-9099-C40C66FF867C}">
                  <a14:compatExt spid="_x0000_s45168"/>
                </a:ext>
                <a:ext uri="{FF2B5EF4-FFF2-40B4-BE49-F238E27FC236}">
                  <a16:creationId xmlns:a16="http://schemas.microsoft.com/office/drawing/2014/main" id="{00000000-0008-0000-0700-00007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259</xdr:row>
          <xdr:rowOff>47625</xdr:rowOff>
        </xdr:from>
        <xdr:to>
          <xdr:col>5</xdr:col>
          <xdr:colOff>219075</xdr:colOff>
          <xdr:row>260</xdr:row>
          <xdr:rowOff>38100</xdr:rowOff>
        </xdr:to>
        <xdr:sp macro="" textlink="">
          <xdr:nvSpPr>
            <xdr:cNvPr id="45169" name="Check Box 113" hidden="1">
              <a:extLst>
                <a:ext uri="{63B3BB69-23CF-44E3-9099-C40C66FF867C}">
                  <a14:compatExt spid="_x0000_s45169"/>
                </a:ext>
                <a:ext uri="{FF2B5EF4-FFF2-40B4-BE49-F238E27FC236}">
                  <a16:creationId xmlns:a16="http://schemas.microsoft.com/office/drawing/2014/main" id="{00000000-0008-0000-0700-00007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260</xdr:row>
          <xdr:rowOff>47625</xdr:rowOff>
        </xdr:from>
        <xdr:to>
          <xdr:col>5</xdr:col>
          <xdr:colOff>219075</xdr:colOff>
          <xdr:row>261</xdr:row>
          <xdr:rowOff>38100</xdr:rowOff>
        </xdr:to>
        <xdr:sp macro="" textlink="">
          <xdr:nvSpPr>
            <xdr:cNvPr id="45170" name="Check Box 114" hidden="1">
              <a:extLst>
                <a:ext uri="{63B3BB69-23CF-44E3-9099-C40C66FF867C}">
                  <a14:compatExt spid="_x0000_s45170"/>
                </a:ext>
                <a:ext uri="{FF2B5EF4-FFF2-40B4-BE49-F238E27FC236}">
                  <a16:creationId xmlns:a16="http://schemas.microsoft.com/office/drawing/2014/main" id="{00000000-0008-0000-0700-00007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261</xdr:row>
          <xdr:rowOff>28575</xdr:rowOff>
        </xdr:from>
        <xdr:to>
          <xdr:col>5</xdr:col>
          <xdr:colOff>219075</xdr:colOff>
          <xdr:row>262</xdr:row>
          <xdr:rowOff>19050</xdr:rowOff>
        </xdr:to>
        <xdr:sp macro="" textlink="">
          <xdr:nvSpPr>
            <xdr:cNvPr id="45171" name="Check Box 115" hidden="1">
              <a:extLst>
                <a:ext uri="{63B3BB69-23CF-44E3-9099-C40C66FF867C}">
                  <a14:compatExt spid="_x0000_s45171"/>
                </a:ext>
                <a:ext uri="{FF2B5EF4-FFF2-40B4-BE49-F238E27FC236}">
                  <a16:creationId xmlns:a16="http://schemas.microsoft.com/office/drawing/2014/main" id="{00000000-0008-0000-0700-00007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265</xdr:row>
          <xdr:rowOff>0</xdr:rowOff>
        </xdr:from>
        <xdr:to>
          <xdr:col>15</xdr:col>
          <xdr:colOff>0</xdr:colOff>
          <xdr:row>266</xdr:row>
          <xdr:rowOff>0</xdr:rowOff>
        </xdr:to>
        <xdr:grpSp>
          <xdr:nvGrpSpPr>
            <xdr:cNvPr id="88921" name="Group 120">
              <a:extLst>
                <a:ext uri="{FF2B5EF4-FFF2-40B4-BE49-F238E27FC236}">
                  <a16:creationId xmlns:a16="http://schemas.microsoft.com/office/drawing/2014/main" id="{00000000-0008-0000-0700-0000595B0100}"/>
                </a:ext>
              </a:extLst>
            </xdr:cNvPr>
            <xdr:cNvGrpSpPr>
              <a:grpSpLocks/>
            </xdr:cNvGrpSpPr>
          </xdr:nvGrpSpPr>
          <xdr:grpSpPr bwMode="auto">
            <a:xfrm>
              <a:off x="4113213" y="57880250"/>
              <a:ext cx="1165225" cy="230188"/>
              <a:chOff x="442" y="5994"/>
              <a:chExt cx="127" cy="23"/>
            </a:xfrm>
          </xdr:grpSpPr>
          <xdr:sp macro="" textlink="">
            <xdr:nvSpPr>
              <xdr:cNvPr id="45177" name="Group Box 121" hidden="1">
                <a:extLst>
                  <a:ext uri="{63B3BB69-23CF-44E3-9099-C40C66FF867C}">
                    <a14:compatExt spid="_x0000_s45177"/>
                  </a:ext>
                  <a:ext uri="{FF2B5EF4-FFF2-40B4-BE49-F238E27FC236}">
                    <a16:creationId xmlns:a16="http://schemas.microsoft.com/office/drawing/2014/main" id="{00000000-0008-0000-0700-000079B00000}"/>
                  </a:ext>
                </a:extLst>
              </xdr:cNvPr>
              <xdr:cNvSpPr/>
            </xdr:nvSpPr>
            <xdr:spPr bwMode="auto">
              <a:xfrm>
                <a:off x="442" y="5994"/>
                <a:ext cx="127" cy="23"/>
              </a:xfrm>
              <a:prstGeom prst="rect">
                <a:avLst/>
              </a:prstGeom>
              <a:noFill/>
              <a:ln w="9525">
                <a:miter lim="800000"/>
                <a:headEnd/>
                <a:tailEnd/>
              </a:ln>
              <a:extLst>
                <a:ext uri="{909E8E84-426E-40DD-AFC4-6F175D3DCCD1}">
                  <a14:hiddenFill>
                    <a:noFill/>
                  </a14:hiddenFill>
                </a:ext>
              </a:extLst>
            </xdr:spPr>
          </xdr:sp>
          <xdr:sp macro="" textlink="">
            <xdr:nvSpPr>
              <xdr:cNvPr id="45178" name="Option Button 122" hidden="1">
                <a:extLst>
                  <a:ext uri="{63B3BB69-23CF-44E3-9099-C40C66FF867C}">
                    <a14:compatExt spid="_x0000_s45178"/>
                  </a:ext>
                  <a:ext uri="{FF2B5EF4-FFF2-40B4-BE49-F238E27FC236}">
                    <a16:creationId xmlns:a16="http://schemas.microsoft.com/office/drawing/2014/main" id="{00000000-0008-0000-0700-00007AB00000}"/>
                  </a:ext>
                </a:extLst>
              </xdr:cNvPr>
              <xdr:cNvSpPr/>
            </xdr:nvSpPr>
            <xdr:spPr bwMode="auto">
              <a:xfrm>
                <a:off x="448" y="599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179" name="Option Button 123" hidden="1">
                <a:extLst>
                  <a:ext uri="{63B3BB69-23CF-44E3-9099-C40C66FF867C}">
                    <a14:compatExt spid="_x0000_s45179"/>
                  </a:ext>
                  <a:ext uri="{FF2B5EF4-FFF2-40B4-BE49-F238E27FC236}">
                    <a16:creationId xmlns:a16="http://schemas.microsoft.com/office/drawing/2014/main" id="{00000000-0008-0000-0700-00007BB00000}"/>
                  </a:ext>
                </a:extLst>
              </xdr:cNvPr>
              <xdr:cNvSpPr/>
            </xdr:nvSpPr>
            <xdr:spPr bwMode="auto">
              <a:xfrm>
                <a:off x="507" y="599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962025</xdr:colOff>
          <xdr:row>402</xdr:row>
          <xdr:rowOff>0</xdr:rowOff>
        </xdr:from>
        <xdr:to>
          <xdr:col>15</xdr:col>
          <xdr:colOff>0</xdr:colOff>
          <xdr:row>403</xdr:row>
          <xdr:rowOff>0</xdr:rowOff>
        </xdr:to>
        <xdr:grpSp>
          <xdr:nvGrpSpPr>
            <xdr:cNvPr id="88922" name="Group 124">
              <a:extLst>
                <a:ext uri="{FF2B5EF4-FFF2-40B4-BE49-F238E27FC236}">
                  <a16:creationId xmlns:a16="http://schemas.microsoft.com/office/drawing/2014/main" id="{00000000-0008-0000-0700-00005A5B0100}"/>
                </a:ext>
              </a:extLst>
            </xdr:cNvPr>
            <xdr:cNvGrpSpPr>
              <a:grpSpLocks/>
            </xdr:cNvGrpSpPr>
          </xdr:nvGrpSpPr>
          <xdr:grpSpPr bwMode="auto">
            <a:xfrm>
              <a:off x="1017588" y="87463313"/>
              <a:ext cx="4260850" cy="230187"/>
              <a:chOff x="110" y="8601"/>
              <a:chExt cx="448" cy="23"/>
            </a:xfrm>
          </xdr:grpSpPr>
          <xdr:sp macro="" textlink="">
            <xdr:nvSpPr>
              <xdr:cNvPr id="45181" name="Group Box 125" hidden="1">
                <a:extLst>
                  <a:ext uri="{63B3BB69-23CF-44E3-9099-C40C66FF867C}">
                    <a14:compatExt spid="_x0000_s45181"/>
                  </a:ext>
                  <a:ext uri="{FF2B5EF4-FFF2-40B4-BE49-F238E27FC236}">
                    <a16:creationId xmlns:a16="http://schemas.microsoft.com/office/drawing/2014/main" id="{00000000-0008-0000-0700-00007DB00000}"/>
                  </a:ext>
                </a:extLst>
              </xdr:cNvPr>
              <xdr:cNvSpPr/>
            </xdr:nvSpPr>
            <xdr:spPr bwMode="auto">
              <a:xfrm>
                <a:off x="110" y="8601"/>
                <a:ext cx="448" cy="23"/>
              </a:xfrm>
              <a:prstGeom prst="rect">
                <a:avLst/>
              </a:prstGeom>
              <a:noFill/>
              <a:ln w="9525">
                <a:miter lim="800000"/>
                <a:headEnd/>
                <a:tailEnd/>
              </a:ln>
              <a:extLst>
                <a:ext uri="{909E8E84-426E-40DD-AFC4-6F175D3DCCD1}">
                  <a14:hiddenFill>
                    <a:noFill/>
                  </a14:hiddenFill>
                </a:ext>
              </a:extLst>
            </xdr:spPr>
          </xdr:sp>
          <xdr:sp macro="" textlink="">
            <xdr:nvSpPr>
              <xdr:cNvPr id="45182" name="Option Button 126" hidden="1">
                <a:extLst>
                  <a:ext uri="{63B3BB69-23CF-44E3-9099-C40C66FF867C}">
                    <a14:compatExt spid="_x0000_s45182"/>
                  </a:ext>
                  <a:ext uri="{FF2B5EF4-FFF2-40B4-BE49-F238E27FC236}">
                    <a16:creationId xmlns:a16="http://schemas.microsoft.com/office/drawing/2014/main" id="{00000000-0008-0000-0700-00007EB00000}"/>
                  </a:ext>
                </a:extLst>
              </xdr:cNvPr>
              <xdr:cNvSpPr/>
            </xdr:nvSpPr>
            <xdr:spPr bwMode="auto">
              <a:xfrm>
                <a:off x="113" y="8603"/>
                <a:ext cx="75"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83" name="Option Button 127" hidden="1">
                <a:extLst>
                  <a:ext uri="{63B3BB69-23CF-44E3-9099-C40C66FF867C}">
                    <a14:compatExt spid="_x0000_s45183"/>
                  </a:ext>
                  <a:ext uri="{FF2B5EF4-FFF2-40B4-BE49-F238E27FC236}">
                    <a16:creationId xmlns:a16="http://schemas.microsoft.com/office/drawing/2014/main" id="{00000000-0008-0000-0700-00007FB00000}"/>
                  </a:ext>
                </a:extLst>
              </xdr:cNvPr>
              <xdr:cNvSpPr/>
            </xdr:nvSpPr>
            <xdr:spPr bwMode="auto">
              <a:xfrm>
                <a:off x="186" y="8603"/>
                <a:ext cx="192"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5184" name="Option Button 128" hidden="1">
                <a:extLst>
                  <a:ext uri="{63B3BB69-23CF-44E3-9099-C40C66FF867C}">
                    <a14:compatExt spid="_x0000_s45184"/>
                  </a:ext>
                  <a:ext uri="{FF2B5EF4-FFF2-40B4-BE49-F238E27FC236}">
                    <a16:creationId xmlns:a16="http://schemas.microsoft.com/office/drawing/2014/main" id="{00000000-0008-0000-0700-000080B00000}"/>
                  </a:ext>
                </a:extLst>
              </xdr:cNvPr>
              <xdr:cNvSpPr/>
            </xdr:nvSpPr>
            <xdr:spPr bwMode="auto">
              <a:xfrm>
                <a:off x="376" y="8603"/>
                <a:ext cx="180"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14</xdr:col>
          <xdr:colOff>628650</xdr:colOff>
          <xdr:row>415</xdr:row>
          <xdr:rowOff>0</xdr:rowOff>
        </xdr:to>
        <xdr:grpSp>
          <xdr:nvGrpSpPr>
            <xdr:cNvPr id="88923" name="Group 129">
              <a:extLst>
                <a:ext uri="{FF2B5EF4-FFF2-40B4-BE49-F238E27FC236}">
                  <a16:creationId xmlns:a16="http://schemas.microsoft.com/office/drawing/2014/main" id="{00000000-0008-0000-0700-00005B5B0100}"/>
                </a:ext>
              </a:extLst>
            </xdr:cNvPr>
            <xdr:cNvGrpSpPr>
              <a:grpSpLocks/>
            </xdr:cNvGrpSpPr>
          </xdr:nvGrpSpPr>
          <xdr:grpSpPr bwMode="auto">
            <a:xfrm>
              <a:off x="1500188" y="89217500"/>
              <a:ext cx="3781425" cy="920750"/>
              <a:chOff x="158" y="8755"/>
              <a:chExt cx="401" cy="96"/>
            </a:xfrm>
          </xdr:grpSpPr>
          <xdr:sp macro="" textlink="">
            <xdr:nvSpPr>
              <xdr:cNvPr id="45186" name="Option Button 130" hidden="1">
                <a:extLst>
                  <a:ext uri="{63B3BB69-23CF-44E3-9099-C40C66FF867C}">
                    <a14:compatExt spid="_x0000_s45186"/>
                  </a:ext>
                  <a:ext uri="{FF2B5EF4-FFF2-40B4-BE49-F238E27FC236}">
                    <a16:creationId xmlns:a16="http://schemas.microsoft.com/office/drawing/2014/main" id="{00000000-0008-0000-0700-000082B00000}"/>
                  </a:ext>
                </a:extLst>
              </xdr:cNvPr>
              <xdr:cNvSpPr/>
            </xdr:nvSpPr>
            <xdr:spPr bwMode="auto">
              <a:xfrm>
                <a:off x="173" y="8789"/>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87" name="Option Button 131" hidden="1">
                <a:extLst>
                  <a:ext uri="{63B3BB69-23CF-44E3-9099-C40C66FF867C}">
                    <a14:compatExt spid="_x0000_s45187"/>
                  </a:ext>
                  <a:ext uri="{FF2B5EF4-FFF2-40B4-BE49-F238E27FC236}">
                    <a16:creationId xmlns:a16="http://schemas.microsoft.com/office/drawing/2014/main" id="{00000000-0008-0000-0700-000083B00000}"/>
                  </a:ext>
                </a:extLst>
              </xdr:cNvPr>
              <xdr:cNvSpPr/>
            </xdr:nvSpPr>
            <xdr:spPr bwMode="auto">
              <a:xfrm>
                <a:off x="238" y="875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1/4 of patella removed</a:t>
                </a:r>
              </a:p>
            </xdr:txBody>
          </xdr:sp>
          <xdr:sp macro="" textlink="">
            <xdr:nvSpPr>
              <xdr:cNvPr id="45188" name="Option Button 132" hidden="1">
                <a:extLst>
                  <a:ext uri="{63B3BB69-23CF-44E3-9099-C40C66FF867C}">
                    <a14:compatExt spid="_x0000_s45188"/>
                  </a:ext>
                  <a:ext uri="{FF2B5EF4-FFF2-40B4-BE49-F238E27FC236}">
                    <a16:creationId xmlns:a16="http://schemas.microsoft.com/office/drawing/2014/main" id="{00000000-0008-0000-0700-000084B00000}"/>
                  </a:ext>
                </a:extLst>
              </xdr:cNvPr>
              <xdr:cNvSpPr/>
            </xdr:nvSpPr>
            <xdr:spPr bwMode="auto">
              <a:xfrm>
                <a:off x="239" y="8778"/>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1/2 of patella removed</a:t>
                </a:r>
              </a:p>
            </xdr:txBody>
          </xdr:sp>
          <xdr:sp macro="" textlink="">
            <xdr:nvSpPr>
              <xdr:cNvPr id="45189" name="Option Button 133" hidden="1">
                <a:extLst>
                  <a:ext uri="{63B3BB69-23CF-44E3-9099-C40C66FF867C}">
                    <a14:compatExt spid="_x0000_s45189"/>
                  </a:ext>
                  <a:ext uri="{FF2B5EF4-FFF2-40B4-BE49-F238E27FC236}">
                    <a16:creationId xmlns:a16="http://schemas.microsoft.com/office/drawing/2014/main" id="{00000000-0008-0000-0700-000085B00000}"/>
                  </a:ext>
                </a:extLst>
              </xdr:cNvPr>
              <xdr:cNvSpPr/>
            </xdr:nvSpPr>
            <xdr:spPr bwMode="auto">
              <a:xfrm>
                <a:off x="240" y="8800"/>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3/4 of patella removed</a:t>
                </a:r>
              </a:p>
            </xdr:txBody>
          </xdr:sp>
          <xdr:sp macro="" textlink="">
            <xdr:nvSpPr>
              <xdr:cNvPr id="45190" name="Option Button 134" hidden="1">
                <a:extLst>
                  <a:ext uri="{63B3BB69-23CF-44E3-9099-C40C66FF867C}">
                    <a14:compatExt spid="_x0000_s45190"/>
                  </a:ext>
                  <a:ext uri="{FF2B5EF4-FFF2-40B4-BE49-F238E27FC236}">
                    <a16:creationId xmlns:a16="http://schemas.microsoft.com/office/drawing/2014/main" id="{00000000-0008-0000-0700-000086B00000}"/>
                  </a:ext>
                </a:extLst>
              </xdr:cNvPr>
              <xdr:cNvSpPr/>
            </xdr:nvSpPr>
            <xdr:spPr bwMode="auto">
              <a:xfrm>
                <a:off x="240" y="8822"/>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 of patella removed</a:t>
                </a:r>
              </a:p>
            </xdr:txBody>
          </xdr:sp>
          <xdr:sp macro="" textlink="">
            <xdr:nvSpPr>
              <xdr:cNvPr id="45191" name="Group Box 135" hidden="1">
                <a:extLst>
                  <a:ext uri="{63B3BB69-23CF-44E3-9099-C40C66FF867C}">
                    <a14:compatExt spid="_x0000_s45191"/>
                  </a:ext>
                  <a:ext uri="{FF2B5EF4-FFF2-40B4-BE49-F238E27FC236}">
                    <a16:creationId xmlns:a16="http://schemas.microsoft.com/office/drawing/2014/main" id="{00000000-0008-0000-0700-000087B00000}"/>
                  </a:ext>
                </a:extLst>
              </xdr:cNvPr>
              <xdr:cNvSpPr/>
            </xdr:nvSpPr>
            <xdr:spPr bwMode="auto">
              <a:xfrm>
                <a:off x="158" y="8755"/>
                <a:ext cx="401" cy="96"/>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415</xdr:row>
          <xdr:rowOff>38100</xdr:rowOff>
        </xdr:from>
        <xdr:to>
          <xdr:col>3</xdr:col>
          <xdr:colOff>85725</xdr:colOff>
          <xdr:row>416</xdr:row>
          <xdr:rowOff>28575</xdr:rowOff>
        </xdr:to>
        <xdr:sp macro="" textlink="">
          <xdr:nvSpPr>
            <xdr:cNvPr id="45192" name="Check Box 136" hidden="1">
              <a:extLst>
                <a:ext uri="{63B3BB69-23CF-44E3-9099-C40C66FF867C}">
                  <a14:compatExt spid="_x0000_s45192"/>
                </a:ext>
                <a:ext uri="{FF2B5EF4-FFF2-40B4-BE49-F238E27FC236}">
                  <a16:creationId xmlns:a16="http://schemas.microsoft.com/office/drawing/2014/main" id="{00000000-0008-0000-0700-00008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416</xdr:row>
          <xdr:rowOff>38100</xdr:rowOff>
        </xdr:from>
        <xdr:to>
          <xdr:col>3</xdr:col>
          <xdr:colOff>85725</xdr:colOff>
          <xdr:row>417</xdr:row>
          <xdr:rowOff>28575</xdr:rowOff>
        </xdr:to>
        <xdr:sp macro="" textlink="">
          <xdr:nvSpPr>
            <xdr:cNvPr id="45193" name="Check Box 137" hidden="1">
              <a:extLst>
                <a:ext uri="{63B3BB69-23CF-44E3-9099-C40C66FF867C}">
                  <a14:compatExt spid="_x0000_s45193"/>
                </a:ext>
                <a:ext uri="{FF2B5EF4-FFF2-40B4-BE49-F238E27FC236}">
                  <a16:creationId xmlns:a16="http://schemas.microsoft.com/office/drawing/2014/main" id="{00000000-0008-0000-0700-00008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422</xdr:row>
          <xdr:rowOff>19050</xdr:rowOff>
        </xdr:from>
        <xdr:to>
          <xdr:col>1</xdr:col>
          <xdr:colOff>1419225</xdr:colOff>
          <xdr:row>426</xdr:row>
          <xdr:rowOff>0</xdr:rowOff>
        </xdr:to>
        <xdr:grpSp>
          <xdr:nvGrpSpPr>
            <xdr:cNvPr id="88924" name="Group 138">
              <a:extLst>
                <a:ext uri="{FF2B5EF4-FFF2-40B4-BE49-F238E27FC236}">
                  <a16:creationId xmlns:a16="http://schemas.microsoft.com/office/drawing/2014/main" id="{00000000-0008-0000-0700-00005C5B0100}"/>
                </a:ext>
              </a:extLst>
            </xdr:cNvPr>
            <xdr:cNvGrpSpPr>
              <a:grpSpLocks/>
            </xdr:cNvGrpSpPr>
          </xdr:nvGrpSpPr>
          <xdr:grpSpPr bwMode="auto">
            <a:xfrm>
              <a:off x="55563" y="91617800"/>
              <a:ext cx="1419225" cy="1481138"/>
              <a:chOff x="6" y="9450"/>
              <a:chExt cx="151" cy="145"/>
            </a:xfrm>
          </xdr:grpSpPr>
          <xdr:sp macro="" textlink="">
            <xdr:nvSpPr>
              <xdr:cNvPr id="45195" name="Group Box 139" hidden="1">
                <a:extLst>
                  <a:ext uri="{63B3BB69-23CF-44E3-9099-C40C66FF867C}">
                    <a14:compatExt spid="_x0000_s45195"/>
                  </a:ext>
                  <a:ext uri="{FF2B5EF4-FFF2-40B4-BE49-F238E27FC236}">
                    <a16:creationId xmlns:a16="http://schemas.microsoft.com/office/drawing/2014/main" id="{00000000-0008-0000-0700-00008BB00000}"/>
                  </a:ext>
                </a:extLst>
              </xdr:cNvPr>
              <xdr:cNvSpPr/>
            </xdr:nvSpPr>
            <xdr:spPr bwMode="auto">
              <a:xfrm>
                <a:off x="6" y="9450"/>
                <a:ext cx="151" cy="145"/>
              </a:xfrm>
              <a:prstGeom prst="rect">
                <a:avLst/>
              </a:prstGeom>
              <a:noFill/>
              <a:ln w="9525">
                <a:miter lim="800000"/>
                <a:headEnd/>
                <a:tailEnd/>
              </a:ln>
              <a:extLst>
                <a:ext uri="{909E8E84-426E-40DD-AFC4-6F175D3DCCD1}">
                  <a14:hiddenFill>
                    <a:noFill/>
                  </a14:hiddenFill>
                </a:ext>
              </a:extLst>
            </xdr:spPr>
          </xdr:sp>
          <xdr:sp macro="" textlink="">
            <xdr:nvSpPr>
              <xdr:cNvPr id="45196" name="Option Button 140" hidden="1">
                <a:extLst>
                  <a:ext uri="{63B3BB69-23CF-44E3-9099-C40C66FF867C}">
                    <a14:compatExt spid="_x0000_s45196"/>
                  </a:ext>
                  <a:ext uri="{FF2B5EF4-FFF2-40B4-BE49-F238E27FC236}">
                    <a16:creationId xmlns:a16="http://schemas.microsoft.com/office/drawing/2014/main" id="{00000000-0008-0000-0700-00008CB00000}"/>
                  </a:ext>
                </a:extLst>
              </xdr:cNvPr>
              <xdr:cNvSpPr/>
            </xdr:nvSpPr>
            <xdr:spPr bwMode="auto">
              <a:xfrm>
                <a:off x="121" y="945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7" name="Option Button 141" hidden="1">
                <a:extLst>
                  <a:ext uri="{63B3BB69-23CF-44E3-9099-C40C66FF867C}">
                    <a14:compatExt spid="_x0000_s45197"/>
                  </a:ext>
                  <a:ext uri="{FF2B5EF4-FFF2-40B4-BE49-F238E27FC236}">
                    <a16:creationId xmlns:a16="http://schemas.microsoft.com/office/drawing/2014/main" id="{00000000-0008-0000-0700-00008DB00000}"/>
                  </a:ext>
                </a:extLst>
              </xdr:cNvPr>
              <xdr:cNvSpPr/>
            </xdr:nvSpPr>
            <xdr:spPr bwMode="auto">
              <a:xfrm>
                <a:off x="121" y="948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8" name="Option Button 142" hidden="1">
                <a:extLst>
                  <a:ext uri="{63B3BB69-23CF-44E3-9099-C40C66FF867C}">
                    <a14:compatExt spid="_x0000_s45198"/>
                  </a:ext>
                  <a:ext uri="{FF2B5EF4-FFF2-40B4-BE49-F238E27FC236}">
                    <a16:creationId xmlns:a16="http://schemas.microsoft.com/office/drawing/2014/main" id="{00000000-0008-0000-0700-00008EB00000}"/>
                  </a:ext>
                </a:extLst>
              </xdr:cNvPr>
              <xdr:cNvSpPr/>
            </xdr:nvSpPr>
            <xdr:spPr bwMode="auto">
              <a:xfrm>
                <a:off x="122" y="952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9" name="Option Button 143" hidden="1">
                <a:extLst>
                  <a:ext uri="{63B3BB69-23CF-44E3-9099-C40C66FF867C}">
                    <a14:compatExt spid="_x0000_s45199"/>
                  </a:ext>
                  <a:ext uri="{FF2B5EF4-FFF2-40B4-BE49-F238E27FC236}">
                    <a16:creationId xmlns:a16="http://schemas.microsoft.com/office/drawing/2014/main" id="{00000000-0008-0000-0700-00008FB00000}"/>
                  </a:ext>
                </a:extLst>
              </xdr:cNvPr>
              <xdr:cNvSpPr/>
            </xdr:nvSpPr>
            <xdr:spPr bwMode="auto">
              <a:xfrm>
                <a:off x="122" y="956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200" name="Option Button 144" hidden="1">
                <a:extLst>
                  <a:ext uri="{63B3BB69-23CF-44E3-9099-C40C66FF867C}">
                    <a14:compatExt spid="_x0000_s45200"/>
                  </a:ext>
                  <a:ext uri="{FF2B5EF4-FFF2-40B4-BE49-F238E27FC236}">
                    <a16:creationId xmlns:a16="http://schemas.microsoft.com/office/drawing/2014/main" id="{00000000-0008-0000-0700-000090B00000}"/>
                  </a:ext>
                </a:extLst>
              </xdr:cNvPr>
              <xdr:cNvSpPr/>
            </xdr:nvSpPr>
            <xdr:spPr bwMode="auto">
              <a:xfrm>
                <a:off x="41" y="9504"/>
                <a:ext cx="44" cy="3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428</xdr:row>
          <xdr:rowOff>28575</xdr:rowOff>
        </xdr:from>
        <xdr:to>
          <xdr:col>5</xdr:col>
          <xdr:colOff>219075</xdr:colOff>
          <xdr:row>429</xdr:row>
          <xdr:rowOff>19050</xdr:rowOff>
        </xdr:to>
        <xdr:sp macro="" textlink="">
          <xdr:nvSpPr>
            <xdr:cNvPr id="45201" name="Check Box 145" hidden="1">
              <a:extLst>
                <a:ext uri="{63B3BB69-23CF-44E3-9099-C40C66FF867C}">
                  <a14:compatExt spid="_x0000_s45201"/>
                </a:ext>
                <a:ext uri="{FF2B5EF4-FFF2-40B4-BE49-F238E27FC236}">
                  <a16:creationId xmlns:a16="http://schemas.microsoft.com/office/drawing/2014/main" id="{00000000-0008-0000-0700-00009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429</xdr:row>
          <xdr:rowOff>38100</xdr:rowOff>
        </xdr:from>
        <xdr:to>
          <xdr:col>5</xdr:col>
          <xdr:colOff>219075</xdr:colOff>
          <xdr:row>430</xdr:row>
          <xdr:rowOff>28575</xdr:rowOff>
        </xdr:to>
        <xdr:sp macro="" textlink="">
          <xdr:nvSpPr>
            <xdr:cNvPr id="45202" name="Check Box 146" hidden="1">
              <a:extLst>
                <a:ext uri="{63B3BB69-23CF-44E3-9099-C40C66FF867C}">
                  <a14:compatExt spid="_x0000_s45202"/>
                </a:ext>
                <a:ext uri="{FF2B5EF4-FFF2-40B4-BE49-F238E27FC236}">
                  <a16:creationId xmlns:a16="http://schemas.microsoft.com/office/drawing/2014/main" id="{00000000-0008-0000-0700-00009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430</xdr:row>
          <xdr:rowOff>19050</xdr:rowOff>
        </xdr:from>
        <xdr:to>
          <xdr:col>5</xdr:col>
          <xdr:colOff>219075</xdr:colOff>
          <xdr:row>431</xdr:row>
          <xdr:rowOff>9525</xdr:rowOff>
        </xdr:to>
        <xdr:sp macro="" textlink="">
          <xdr:nvSpPr>
            <xdr:cNvPr id="45203" name="Check Box 147" hidden="1">
              <a:extLst>
                <a:ext uri="{63B3BB69-23CF-44E3-9099-C40C66FF867C}">
                  <a14:compatExt spid="_x0000_s45203"/>
                </a:ext>
                <a:ext uri="{FF2B5EF4-FFF2-40B4-BE49-F238E27FC236}">
                  <a16:creationId xmlns:a16="http://schemas.microsoft.com/office/drawing/2014/main" id="{00000000-0008-0000-0700-00009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431</xdr:row>
          <xdr:rowOff>28575</xdr:rowOff>
        </xdr:from>
        <xdr:to>
          <xdr:col>5</xdr:col>
          <xdr:colOff>219075</xdr:colOff>
          <xdr:row>432</xdr:row>
          <xdr:rowOff>28575</xdr:rowOff>
        </xdr:to>
        <xdr:sp macro="" textlink="">
          <xdr:nvSpPr>
            <xdr:cNvPr id="45204" name="Check Box 148" hidden="1">
              <a:extLst>
                <a:ext uri="{63B3BB69-23CF-44E3-9099-C40C66FF867C}">
                  <a14:compatExt spid="_x0000_s45204"/>
                </a:ext>
                <a:ext uri="{FF2B5EF4-FFF2-40B4-BE49-F238E27FC236}">
                  <a16:creationId xmlns:a16="http://schemas.microsoft.com/office/drawing/2014/main" id="{00000000-0008-0000-0700-00009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432</xdr:row>
          <xdr:rowOff>38100</xdr:rowOff>
        </xdr:from>
        <xdr:to>
          <xdr:col>5</xdr:col>
          <xdr:colOff>219075</xdr:colOff>
          <xdr:row>433</xdr:row>
          <xdr:rowOff>28575</xdr:rowOff>
        </xdr:to>
        <xdr:sp macro="" textlink="">
          <xdr:nvSpPr>
            <xdr:cNvPr id="45205" name="Check Box 149" hidden="1">
              <a:extLst>
                <a:ext uri="{63B3BB69-23CF-44E3-9099-C40C66FF867C}">
                  <a14:compatExt spid="_x0000_s45205"/>
                </a:ext>
                <a:ext uri="{FF2B5EF4-FFF2-40B4-BE49-F238E27FC236}">
                  <a16:creationId xmlns:a16="http://schemas.microsoft.com/office/drawing/2014/main" id="{00000000-0008-0000-0700-00009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433</xdr:row>
          <xdr:rowOff>38100</xdr:rowOff>
        </xdr:from>
        <xdr:to>
          <xdr:col>5</xdr:col>
          <xdr:colOff>219075</xdr:colOff>
          <xdr:row>434</xdr:row>
          <xdr:rowOff>28575</xdr:rowOff>
        </xdr:to>
        <xdr:sp macro="" textlink="">
          <xdr:nvSpPr>
            <xdr:cNvPr id="45206" name="Check Box 150" hidden="1">
              <a:extLst>
                <a:ext uri="{63B3BB69-23CF-44E3-9099-C40C66FF867C}">
                  <a14:compatExt spid="_x0000_s45206"/>
                </a:ext>
                <a:ext uri="{FF2B5EF4-FFF2-40B4-BE49-F238E27FC236}">
                  <a16:creationId xmlns:a16="http://schemas.microsoft.com/office/drawing/2014/main" id="{00000000-0008-0000-0700-00009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434</xdr:row>
          <xdr:rowOff>28575</xdr:rowOff>
        </xdr:from>
        <xdr:to>
          <xdr:col>5</xdr:col>
          <xdr:colOff>219075</xdr:colOff>
          <xdr:row>435</xdr:row>
          <xdr:rowOff>19050</xdr:rowOff>
        </xdr:to>
        <xdr:sp macro="" textlink="">
          <xdr:nvSpPr>
            <xdr:cNvPr id="45207" name="Check Box 151" hidden="1">
              <a:extLst>
                <a:ext uri="{63B3BB69-23CF-44E3-9099-C40C66FF867C}">
                  <a14:compatExt spid="_x0000_s45207"/>
                </a:ext>
                <a:ext uri="{FF2B5EF4-FFF2-40B4-BE49-F238E27FC236}">
                  <a16:creationId xmlns:a16="http://schemas.microsoft.com/office/drawing/2014/main" id="{00000000-0008-0000-0700-00009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437</xdr:row>
          <xdr:rowOff>0</xdr:rowOff>
        </xdr:from>
        <xdr:to>
          <xdr:col>15</xdr:col>
          <xdr:colOff>0</xdr:colOff>
          <xdr:row>438</xdr:row>
          <xdr:rowOff>0</xdr:rowOff>
        </xdr:to>
        <xdr:grpSp>
          <xdr:nvGrpSpPr>
            <xdr:cNvPr id="88925" name="Group 152">
              <a:extLst>
                <a:ext uri="{FF2B5EF4-FFF2-40B4-BE49-F238E27FC236}">
                  <a16:creationId xmlns:a16="http://schemas.microsoft.com/office/drawing/2014/main" id="{00000000-0008-0000-0700-00005D5B0100}"/>
                </a:ext>
              </a:extLst>
            </xdr:cNvPr>
            <xdr:cNvGrpSpPr>
              <a:grpSpLocks/>
            </xdr:cNvGrpSpPr>
          </xdr:nvGrpSpPr>
          <xdr:grpSpPr bwMode="auto">
            <a:xfrm flipV="1">
              <a:off x="4103688" y="95472250"/>
              <a:ext cx="1174750" cy="492125"/>
              <a:chOff x="435" y="9894"/>
              <a:chExt cx="125" cy="23"/>
            </a:xfrm>
          </xdr:grpSpPr>
          <xdr:sp macro="" textlink="">
            <xdr:nvSpPr>
              <xdr:cNvPr id="45209" name="Group Box 153" hidden="1">
                <a:extLst>
                  <a:ext uri="{63B3BB69-23CF-44E3-9099-C40C66FF867C}">
                    <a14:compatExt spid="_x0000_s45209"/>
                  </a:ext>
                  <a:ext uri="{FF2B5EF4-FFF2-40B4-BE49-F238E27FC236}">
                    <a16:creationId xmlns:a16="http://schemas.microsoft.com/office/drawing/2014/main" id="{00000000-0008-0000-0700-000099B00000}"/>
                  </a:ext>
                </a:extLst>
              </xdr:cNvPr>
              <xdr:cNvSpPr/>
            </xdr:nvSpPr>
            <xdr:spPr bwMode="auto">
              <a:xfrm>
                <a:off x="435" y="9894"/>
                <a:ext cx="125" cy="23"/>
              </a:xfrm>
              <a:prstGeom prst="rect">
                <a:avLst/>
              </a:prstGeom>
              <a:noFill/>
              <a:ln w="9525">
                <a:miter lim="800000"/>
                <a:headEnd/>
                <a:tailEnd/>
              </a:ln>
              <a:extLst>
                <a:ext uri="{909E8E84-426E-40DD-AFC4-6F175D3DCCD1}">
                  <a14:hiddenFill>
                    <a:noFill/>
                  </a14:hiddenFill>
                </a:ext>
              </a:extLst>
            </xdr:spPr>
          </xdr:sp>
          <xdr:sp macro="" textlink="">
            <xdr:nvSpPr>
              <xdr:cNvPr id="45210" name="Option Button 154" hidden="1">
                <a:extLst>
                  <a:ext uri="{63B3BB69-23CF-44E3-9099-C40C66FF867C}">
                    <a14:compatExt spid="_x0000_s45210"/>
                  </a:ext>
                  <a:ext uri="{FF2B5EF4-FFF2-40B4-BE49-F238E27FC236}">
                    <a16:creationId xmlns:a16="http://schemas.microsoft.com/office/drawing/2014/main" id="{00000000-0008-0000-0700-00009AB00000}"/>
                  </a:ext>
                </a:extLst>
              </xdr:cNvPr>
              <xdr:cNvSpPr/>
            </xdr:nvSpPr>
            <xdr:spPr bwMode="auto">
              <a:xfrm>
                <a:off x="441" y="9897"/>
                <a:ext cx="61"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211" name="Option Button 155" hidden="1">
                <a:extLst>
                  <a:ext uri="{63B3BB69-23CF-44E3-9099-C40C66FF867C}">
                    <a14:compatExt spid="_x0000_s45211"/>
                  </a:ext>
                  <a:ext uri="{FF2B5EF4-FFF2-40B4-BE49-F238E27FC236}">
                    <a16:creationId xmlns:a16="http://schemas.microsoft.com/office/drawing/2014/main" id="{00000000-0008-0000-0700-00009BB00000}"/>
                  </a:ext>
                </a:extLst>
              </xdr:cNvPr>
              <xdr:cNvSpPr/>
            </xdr:nvSpPr>
            <xdr:spPr bwMode="auto">
              <a:xfrm>
                <a:off x="499" y="9897"/>
                <a:ext cx="59"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441</xdr:row>
          <xdr:rowOff>0</xdr:rowOff>
        </xdr:from>
        <xdr:to>
          <xdr:col>15</xdr:col>
          <xdr:colOff>0</xdr:colOff>
          <xdr:row>442</xdr:row>
          <xdr:rowOff>0</xdr:rowOff>
        </xdr:to>
        <xdr:grpSp>
          <xdr:nvGrpSpPr>
            <xdr:cNvPr id="88926" name="Group 156">
              <a:extLst>
                <a:ext uri="{FF2B5EF4-FFF2-40B4-BE49-F238E27FC236}">
                  <a16:creationId xmlns:a16="http://schemas.microsoft.com/office/drawing/2014/main" id="{00000000-0008-0000-0700-00005E5B0100}"/>
                </a:ext>
              </a:extLst>
            </xdr:cNvPr>
            <xdr:cNvGrpSpPr>
              <a:grpSpLocks/>
            </xdr:cNvGrpSpPr>
          </xdr:nvGrpSpPr>
          <xdr:grpSpPr bwMode="auto">
            <a:xfrm>
              <a:off x="4103688" y="96821625"/>
              <a:ext cx="1174750" cy="230188"/>
              <a:chOff x="442" y="10024"/>
              <a:chExt cx="127" cy="23"/>
            </a:xfrm>
          </xdr:grpSpPr>
          <xdr:sp macro="" textlink="">
            <xdr:nvSpPr>
              <xdr:cNvPr id="45213" name="Group Box 157" hidden="1">
                <a:extLst>
                  <a:ext uri="{63B3BB69-23CF-44E3-9099-C40C66FF867C}">
                    <a14:compatExt spid="_x0000_s45213"/>
                  </a:ext>
                  <a:ext uri="{FF2B5EF4-FFF2-40B4-BE49-F238E27FC236}">
                    <a16:creationId xmlns:a16="http://schemas.microsoft.com/office/drawing/2014/main" id="{00000000-0008-0000-0700-00009DB00000}"/>
                  </a:ext>
                </a:extLst>
              </xdr:cNvPr>
              <xdr:cNvSpPr/>
            </xdr:nvSpPr>
            <xdr:spPr bwMode="auto">
              <a:xfrm>
                <a:off x="442" y="10024"/>
                <a:ext cx="127" cy="23"/>
              </a:xfrm>
              <a:prstGeom prst="rect">
                <a:avLst/>
              </a:prstGeom>
              <a:noFill/>
              <a:ln w="9525">
                <a:miter lim="800000"/>
                <a:headEnd/>
                <a:tailEnd/>
              </a:ln>
              <a:extLst>
                <a:ext uri="{909E8E84-426E-40DD-AFC4-6F175D3DCCD1}">
                  <a14:hiddenFill>
                    <a:noFill/>
                  </a14:hiddenFill>
                </a:ext>
              </a:extLst>
            </xdr:spPr>
          </xdr:sp>
          <xdr:sp macro="" textlink="">
            <xdr:nvSpPr>
              <xdr:cNvPr id="45214" name="Option Button 158" hidden="1">
                <a:extLst>
                  <a:ext uri="{63B3BB69-23CF-44E3-9099-C40C66FF867C}">
                    <a14:compatExt spid="_x0000_s45214"/>
                  </a:ext>
                  <a:ext uri="{FF2B5EF4-FFF2-40B4-BE49-F238E27FC236}">
                    <a16:creationId xmlns:a16="http://schemas.microsoft.com/office/drawing/2014/main" id="{00000000-0008-0000-0700-00009EB00000}"/>
                  </a:ext>
                </a:extLst>
              </xdr:cNvPr>
              <xdr:cNvSpPr/>
            </xdr:nvSpPr>
            <xdr:spPr bwMode="auto">
              <a:xfrm>
                <a:off x="448" y="1002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215" name="Option Button 159" hidden="1">
                <a:extLst>
                  <a:ext uri="{63B3BB69-23CF-44E3-9099-C40C66FF867C}">
                    <a14:compatExt spid="_x0000_s45215"/>
                  </a:ext>
                  <a:ext uri="{FF2B5EF4-FFF2-40B4-BE49-F238E27FC236}">
                    <a16:creationId xmlns:a16="http://schemas.microsoft.com/office/drawing/2014/main" id="{00000000-0008-0000-0700-00009FB00000}"/>
                  </a:ext>
                </a:extLst>
              </xdr:cNvPr>
              <xdr:cNvSpPr/>
            </xdr:nvSpPr>
            <xdr:spPr bwMode="auto">
              <a:xfrm>
                <a:off x="507" y="1002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371</xdr:row>
          <xdr:rowOff>0</xdr:rowOff>
        </xdr:from>
        <xdr:to>
          <xdr:col>15</xdr:col>
          <xdr:colOff>0</xdr:colOff>
          <xdr:row>372</xdr:row>
          <xdr:rowOff>0</xdr:rowOff>
        </xdr:to>
        <xdr:grpSp>
          <xdr:nvGrpSpPr>
            <xdr:cNvPr id="88927" name="Group 160">
              <a:extLst>
                <a:ext uri="{FF2B5EF4-FFF2-40B4-BE49-F238E27FC236}">
                  <a16:creationId xmlns:a16="http://schemas.microsoft.com/office/drawing/2014/main" id="{00000000-0008-0000-0700-00005F5B0100}"/>
                </a:ext>
              </a:extLst>
            </xdr:cNvPr>
            <xdr:cNvGrpSpPr>
              <a:grpSpLocks/>
            </xdr:cNvGrpSpPr>
          </xdr:nvGrpSpPr>
          <xdr:grpSpPr bwMode="auto">
            <a:xfrm>
              <a:off x="55563" y="80764063"/>
              <a:ext cx="5222875" cy="269875"/>
              <a:chOff x="5" y="8224"/>
              <a:chExt cx="554" cy="26"/>
            </a:xfrm>
          </xdr:grpSpPr>
          <xdr:sp macro="" textlink="">
            <xdr:nvSpPr>
              <xdr:cNvPr id="45217" name="Group Box 161" hidden="1">
                <a:extLst>
                  <a:ext uri="{63B3BB69-23CF-44E3-9099-C40C66FF867C}">
                    <a14:compatExt spid="_x0000_s45217"/>
                  </a:ext>
                  <a:ext uri="{FF2B5EF4-FFF2-40B4-BE49-F238E27FC236}">
                    <a16:creationId xmlns:a16="http://schemas.microsoft.com/office/drawing/2014/main" id="{00000000-0008-0000-0700-0000A1B00000}"/>
                  </a:ext>
                </a:extLst>
              </xdr:cNvPr>
              <xdr:cNvSpPr/>
            </xdr:nvSpPr>
            <xdr:spPr bwMode="auto">
              <a:xfrm>
                <a:off x="5" y="8224"/>
                <a:ext cx="554" cy="26"/>
              </a:xfrm>
              <a:prstGeom prst="rect">
                <a:avLst/>
              </a:prstGeom>
              <a:noFill/>
              <a:ln w="9525">
                <a:miter lim="800000"/>
                <a:headEnd/>
                <a:tailEnd/>
              </a:ln>
              <a:extLst>
                <a:ext uri="{909E8E84-426E-40DD-AFC4-6F175D3DCCD1}">
                  <a14:hiddenFill>
                    <a:noFill/>
                  </a14:hiddenFill>
                </a:ext>
              </a:extLst>
            </xdr:spPr>
          </xdr:sp>
          <xdr:sp macro="" textlink="">
            <xdr:nvSpPr>
              <xdr:cNvPr id="45218" name="Option Button 162" hidden="1">
                <a:extLst>
                  <a:ext uri="{63B3BB69-23CF-44E3-9099-C40C66FF867C}">
                    <a14:compatExt spid="_x0000_s45218"/>
                  </a:ext>
                  <a:ext uri="{FF2B5EF4-FFF2-40B4-BE49-F238E27FC236}">
                    <a16:creationId xmlns:a16="http://schemas.microsoft.com/office/drawing/2014/main" id="{00000000-0008-0000-0700-0000A2B00000}"/>
                  </a:ext>
                </a:extLst>
              </xdr:cNvPr>
              <xdr:cNvSpPr/>
            </xdr:nvSpPr>
            <xdr:spPr bwMode="auto">
              <a:xfrm>
                <a:off x="84" y="8226"/>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219" name="Option Button 163" hidden="1">
                <a:extLst>
                  <a:ext uri="{63B3BB69-23CF-44E3-9099-C40C66FF867C}">
                    <a14:compatExt spid="_x0000_s45219"/>
                  </a:ext>
                  <a:ext uri="{FF2B5EF4-FFF2-40B4-BE49-F238E27FC236}">
                    <a16:creationId xmlns:a16="http://schemas.microsoft.com/office/drawing/2014/main" id="{00000000-0008-0000-0700-0000A3B00000}"/>
                  </a:ext>
                </a:extLst>
              </xdr:cNvPr>
              <xdr:cNvSpPr/>
            </xdr:nvSpPr>
            <xdr:spPr bwMode="auto">
              <a:xfrm>
                <a:off x="154" y="8226"/>
                <a:ext cx="40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At or above the knee joint (up to and including the femoral head)</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242</xdr:row>
          <xdr:rowOff>47625</xdr:rowOff>
        </xdr:from>
        <xdr:to>
          <xdr:col>1</xdr:col>
          <xdr:colOff>390525</xdr:colOff>
          <xdr:row>243</xdr:row>
          <xdr:rowOff>19050</xdr:rowOff>
        </xdr:to>
        <xdr:sp macro="" textlink="">
          <xdr:nvSpPr>
            <xdr:cNvPr id="45220" name="Check Box 164" hidden="1">
              <a:extLst>
                <a:ext uri="{63B3BB69-23CF-44E3-9099-C40C66FF867C}">
                  <a14:compatExt spid="_x0000_s45220"/>
                </a:ext>
                <a:ext uri="{FF2B5EF4-FFF2-40B4-BE49-F238E27FC236}">
                  <a16:creationId xmlns:a16="http://schemas.microsoft.com/office/drawing/2014/main" id="{00000000-0008-0000-0700-0000A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291</xdr:row>
          <xdr:rowOff>342900</xdr:rowOff>
        </xdr:from>
        <xdr:to>
          <xdr:col>3</xdr:col>
          <xdr:colOff>276225</xdr:colOff>
          <xdr:row>300</xdr:row>
          <xdr:rowOff>190500</xdr:rowOff>
        </xdr:to>
        <xdr:sp macro="" textlink="">
          <xdr:nvSpPr>
            <xdr:cNvPr id="45118" name="Group Box 62" hidden="1">
              <a:extLst>
                <a:ext uri="{63B3BB69-23CF-44E3-9099-C40C66FF867C}">
                  <a14:compatExt spid="_x0000_s45118"/>
                </a:ext>
                <a:ext uri="{FF2B5EF4-FFF2-40B4-BE49-F238E27FC236}">
                  <a16:creationId xmlns:a16="http://schemas.microsoft.com/office/drawing/2014/main" id="{00000000-0008-0000-0700-00003E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292</xdr:row>
          <xdr:rowOff>85725</xdr:rowOff>
        </xdr:from>
        <xdr:to>
          <xdr:col>3</xdr:col>
          <xdr:colOff>247650</xdr:colOff>
          <xdr:row>293</xdr:row>
          <xdr:rowOff>152400</xdr:rowOff>
        </xdr:to>
        <xdr:sp macro="" textlink="">
          <xdr:nvSpPr>
            <xdr:cNvPr id="45119" name="Option Button 63" hidden="1">
              <a:extLst>
                <a:ext uri="{63B3BB69-23CF-44E3-9099-C40C66FF867C}">
                  <a14:compatExt spid="_x0000_s45119"/>
                </a:ext>
                <a:ext uri="{FF2B5EF4-FFF2-40B4-BE49-F238E27FC236}">
                  <a16:creationId xmlns:a16="http://schemas.microsoft.com/office/drawing/2014/main" id="{00000000-0008-0000-0700-00003F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293</xdr:row>
          <xdr:rowOff>152400</xdr:rowOff>
        </xdr:from>
        <xdr:to>
          <xdr:col>3</xdr:col>
          <xdr:colOff>247650</xdr:colOff>
          <xdr:row>295</xdr:row>
          <xdr:rowOff>38100</xdr:rowOff>
        </xdr:to>
        <xdr:sp macro="" textlink="">
          <xdr:nvSpPr>
            <xdr:cNvPr id="45120" name="Option Button 64" hidden="1">
              <a:extLst>
                <a:ext uri="{63B3BB69-23CF-44E3-9099-C40C66FF867C}">
                  <a14:compatExt spid="_x0000_s45120"/>
                </a:ext>
                <a:ext uri="{FF2B5EF4-FFF2-40B4-BE49-F238E27FC236}">
                  <a16:creationId xmlns:a16="http://schemas.microsoft.com/office/drawing/2014/main" id="{00000000-0008-0000-0700-000040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Whole nerve involved (39%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295</xdr:row>
          <xdr:rowOff>38100</xdr:rowOff>
        </xdr:from>
        <xdr:to>
          <xdr:col>3</xdr:col>
          <xdr:colOff>247650</xdr:colOff>
          <xdr:row>296</xdr:row>
          <xdr:rowOff>104775</xdr:rowOff>
        </xdr:to>
        <xdr:sp macro="" textlink="">
          <xdr:nvSpPr>
            <xdr:cNvPr id="45121" name="Option Button 65" hidden="1">
              <a:extLst>
                <a:ext uri="{63B3BB69-23CF-44E3-9099-C40C66FF867C}">
                  <a14:compatExt spid="_x0000_s45121"/>
                </a:ext>
                <a:ext uri="{FF2B5EF4-FFF2-40B4-BE49-F238E27FC236}">
                  <a16:creationId xmlns:a16="http://schemas.microsoft.com/office/drawing/2014/main" id="{00000000-0008-0000-0700-000041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mid-shin (28%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296</xdr:row>
          <xdr:rowOff>104775</xdr:rowOff>
        </xdr:from>
        <xdr:to>
          <xdr:col>3</xdr:col>
          <xdr:colOff>247650</xdr:colOff>
          <xdr:row>297</xdr:row>
          <xdr:rowOff>161925</xdr:rowOff>
        </xdr:to>
        <xdr:sp macro="" textlink="">
          <xdr:nvSpPr>
            <xdr:cNvPr id="45122" name="Option Button 66" hidden="1">
              <a:extLst>
                <a:ext uri="{63B3BB69-23CF-44E3-9099-C40C66FF867C}">
                  <a14:compatExt spid="_x0000_s45122"/>
                </a:ext>
                <a:ext uri="{FF2B5EF4-FFF2-40B4-BE49-F238E27FC236}">
                  <a16:creationId xmlns:a16="http://schemas.microsoft.com/office/drawing/2014/main" id="{00000000-0008-0000-0700-000042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mid-shin+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297</xdr:row>
          <xdr:rowOff>161925</xdr:rowOff>
        </xdr:from>
        <xdr:to>
          <xdr:col>3</xdr:col>
          <xdr:colOff>247650</xdr:colOff>
          <xdr:row>298</xdr:row>
          <xdr:rowOff>228600</xdr:rowOff>
        </xdr:to>
        <xdr:sp macro="" textlink="">
          <xdr:nvSpPr>
            <xdr:cNvPr id="45123" name="Option Button 67" hidden="1">
              <a:extLst>
                <a:ext uri="{63B3BB69-23CF-44E3-9099-C40C66FF867C}">
                  <a14:compatExt spid="_x0000_s45123"/>
                </a:ext>
                <a:ext uri="{FF2B5EF4-FFF2-40B4-BE49-F238E27FC236}">
                  <a16:creationId xmlns:a16="http://schemas.microsoft.com/office/drawing/2014/main" id="{00000000-0008-0000-0700-000043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mid-shin (6%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298</xdr:row>
          <xdr:rowOff>228600</xdr:rowOff>
        </xdr:from>
        <xdr:to>
          <xdr:col>3</xdr:col>
          <xdr:colOff>247650</xdr:colOff>
          <xdr:row>299</xdr:row>
          <xdr:rowOff>171450</xdr:rowOff>
        </xdr:to>
        <xdr:sp macro="" textlink="">
          <xdr:nvSpPr>
            <xdr:cNvPr id="45124" name="Option Button 68" hidden="1">
              <a:extLst>
                <a:ext uri="{63B3BB69-23CF-44E3-9099-C40C66FF867C}">
                  <a14:compatExt spid="_x0000_s45124"/>
                </a:ext>
                <a:ext uri="{FF2B5EF4-FFF2-40B4-BE49-F238E27FC236}">
                  <a16:creationId xmlns:a16="http://schemas.microsoft.com/office/drawing/2014/main" id="{00000000-0008-0000-0700-000044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299</xdr:row>
          <xdr:rowOff>171450</xdr:rowOff>
        </xdr:from>
        <xdr:to>
          <xdr:col>3</xdr:col>
          <xdr:colOff>257175</xdr:colOff>
          <xdr:row>301</xdr:row>
          <xdr:rowOff>47625</xdr:rowOff>
        </xdr:to>
        <xdr:sp macro="" textlink="">
          <xdr:nvSpPr>
            <xdr:cNvPr id="45127" name="Option Button 71" hidden="1">
              <a:extLst>
                <a:ext uri="{63B3BB69-23CF-44E3-9099-C40C66FF867C}">
                  <a14:compatExt spid="_x0000_s45127"/>
                </a:ext>
                <a:ext uri="{FF2B5EF4-FFF2-40B4-BE49-F238E27FC236}">
                  <a16:creationId xmlns:a16="http://schemas.microsoft.com/office/drawing/2014/main" id="{00000000-0008-0000-0700-000047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Superficial peroneal only (11% foot)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218</xdr:row>
          <xdr:rowOff>19050</xdr:rowOff>
        </xdr:from>
        <xdr:to>
          <xdr:col>7</xdr:col>
          <xdr:colOff>19050</xdr:colOff>
          <xdr:row>219</xdr:row>
          <xdr:rowOff>9525</xdr:rowOff>
        </xdr:to>
        <xdr:sp macro="" textlink="">
          <xdr:nvSpPr>
            <xdr:cNvPr id="45743" name="Check Box 687" hidden="1">
              <a:extLst>
                <a:ext uri="{63B3BB69-23CF-44E3-9099-C40C66FF867C}">
                  <a14:compatExt spid="_x0000_s45743"/>
                </a:ext>
                <a:ext uri="{FF2B5EF4-FFF2-40B4-BE49-F238E27FC236}">
                  <a16:creationId xmlns:a16="http://schemas.microsoft.com/office/drawing/2014/main" id="{00000000-0008-0000-0700-0000AFB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4</xdr:row>
          <xdr:rowOff>0</xdr:rowOff>
        </xdr:from>
        <xdr:to>
          <xdr:col>15</xdr:col>
          <xdr:colOff>800100</xdr:colOff>
          <xdr:row>5</xdr:row>
          <xdr:rowOff>0</xdr:rowOff>
        </xdr:to>
        <xdr:sp macro="" textlink="">
          <xdr:nvSpPr>
            <xdr:cNvPr id="44034" name="Group Box 2" hidden="1">
              <a:extLst>
                <a:ext uri="{63B3BB69-23CF-44E3-9099-C40C66FF867C}">
                  <a14:compatExt spid="_x0000_s44034"/>
                </a:ext>
                <a:ext uri="{FF2B5EF4-FFF2-40B4-BE49-F238E27FC236}">
                  <a16:creationId xmlns:a16="http://schemas.microsoft.com/office/drawing/2014/main" id="{00000000-0008-0000-0800-000002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13</xdr:row>
          <xdr:rowOff>180975</xdr:rowOff>
        </xdr:from>
        <xdr:to>
          <xdr:col>14</xdr:col>
          <xdr:colOff>9525</xdr:colOff>
          <xdr:row>15</xdr:row>
          <xdr:rowOff>733425</xdr:rowOff>
        </xdr:to>
        <xdr:sp macro="" textlink="">
          <xdr:nvSpPr>
            <xdr:cNvPr id="43009" name="Group Box 1" hidden="1">
              <a:extLst>
                <a:ext uri="{63B3BB69-23CF-44E3-9099-C40C66FF867C}">
                  <a14:compatExt spid="_x0000_s43009"/>
                </a:ext>
                <a:ext uri="{FF2B5EF4-FFF2-40B4-BE49-F238E27FC236}">
                  <a16:creationId xmlns:a16="http://schemas.microsoft.com/office/drawing/2014/main" id="{00000000-0008-0000-0900-00000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19050</xdr:rowOff>
        </xdr:from>
        <xdr:to>
          <xdr:col>3</xdr:col>
          <xdr:colOff>76200</xdr:colOff>
          <xdr:row>15</xdr:row>
          <xdr:rowOff>238125</xdr:rowOff>
        </xdr:to>
        <xdr:sp macro="" textlink="">
          <xdr:nvSpPr>
            <xdr:cNvPr id="43010" name="Option Button 2" hidden="1">
              <a:extLst>
                <a:ext uri="{63B3BB69-23CF-44E3-9099-C40C66FF867C}">
                  <a14:compatExt spid="_x0000_s43010"/>
                </a:ext>
                <a:ext uri="{FF2B5EF4-FFF2-40B4-BE49-F238E27FC236}">
                  <a16:creationId xmlns:a16="http://schemas.microsoft.com/office/drawing/2014/main" id="{00000000-0008-0000-09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228600</xdr:rowOff>
        </xdr:from>
        <xdr:to>
          <xdr:col>12</xdr:col>
          <xdr:colOff>123825</xdr:colOff>
          <xdr:row>15</xdr:row>
          <xdr:rowOff>447675</xdr:rowOff>
        </xdr:to>
        <xdr:sp macro="" textlink="">
          <xdr:nvSpPr>
            <xdr:cNvPr id="43011" name="Option Button 3" hidden="1">
              <a:extLst>
                <a:ext uri="{63B3BB69-23CF-44E3-9099-C40C66FF867C}">
                  <a14:compatExt spid="_x0000_s43011"/>
                </a:ext>
                <a:ext uri="{FF2B5EF4-FFF2-40B4-BE49-F238E27FC236}">
                  <a16:creationId xmlns:a16="http://schemas.microsoft.com/office/drawing/2014/main" id="{00000000-0008-0000-09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Lens removed;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447675</xdr:rowOff>
        </xdr:from>
        <xdr:to>
          <xdr:col>12</xdr:col>
          <xdr:colOff>142875</xdr:colOff>
          <xdr:row>15</xdr:row>
          <xdr:rowOff>666750</xdr:rowOff>
        </xdr:to>
        <xdr:sp macro="" textlink="">
          <xdr:nvSpPr>
            <xdr:cNvPr id="43012" name="Option Button 4" hidden="1">
              <a:extLst>
                <a:ext uri="{63B3BB69-23CF-44E3-9099-C40C66FF867C}">
                  <a14:compatExt spid="_x0000_s43012"/>
                </a:ext>
                <a:ext uri="{FF2B5EF4-FFF2-40B4-BE49-F238E27FC236}">
                  <a16:creationId xmlns:a16="http://schemas.microsoft.com/office/drawing/2014/main" id="{00000000-0008-0000-09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Lens removed; no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14</xdr:row>
          <xdr:rowOff>0</xdr:rowOff>
        </xdr:from>
        <xdr:to>
          <xdr:col>30</xdr:col>
          <xdr:colOff>152400</xdr:colOff>
          <xdr:row>15</xdr:row>
          <xdr:rowOff>733425</xdr:rowOff>
        </xdr:to>
        <xdr:sp macro="" textlink="">
          <xdr:nvSpPr>
            <xdr:cNvPr id="43013" name="Group Box 5" hidden="1">
              <a:extLst>
                <a:ext uri="{63B3BB69-23CF-44E3-9099-C40C66FF867C}">
                  <a14:compatExt spid="_x0000_s43013"/>
                </a:ext>
                <a:ext uri="{FF2B5EF4-FFF2-40B4-BE49-F238E27FC236}">
                  <a16:creationId xmlns:a16="http://schemas.microsoft.com/office/drawing/2014/main" id="{00000000-0008-0000-0900-00000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19050</xdr:rowOff>
        </xdr:from>
        <xdr:to>
          <xdr:col>28</xdr:col>
          <xdr:colOff>171450</xdr:colOff>
          <xdr:row>15</xdr:row>
          <xdr:rowOff>238125</xdr:rowOff>
        </xdr:to>
        <xdr:sp macro="" textlink="">
          <xdr:nvSpPr>
            <xdr:cNvPr id="43014" name="Option Button 6" hidden="1">
              <a:extLst>
                <a:ext uri="{63B3BB69-23CF-44E3-9099-C40C66FF867C}">
                  <a14:compatExt spid="_x0000_s43014"/>
                </a:ext>
                <a:ext uri="{FF2B5EF4-FFF2-40B4-BE49-F238E27FC236}">
                  <a16:creationId xmlns:a16="http://schemas.microsoft.com/office/drawing/2014/main" id="{00000000-0008-0000-09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219075</xdr:rowOff>
        </xdr:from>
        <xdr:to>
          <xdr:col>28</xdr:col>
          <xdr:colOff>171450</xdr:colOff>
          <xdr:row>15</xdr:row>
          <xdr:rowOff>438150</xdr:rowOff>
        </xdr:to>
        <xdr:sp macro="" textlink="">
          <xdr:nvSpPr>
            <xdr:cNvPr id="43015" name="Option Button 7" hidden="1">
              <a:extLst>
                <a:ext uri="{63B3BB69-23CF-44E3-9099-C40C66FF867C}">
                  <a14:compatExt spid="_x0000_s43015"/>
                </a:ext>
                <a:ext uri="{FF2B5EF4-FFF2-40B4-BE49-F238E27FC236}">
                  <a16:creationId xmlns:a16="http://schemas.microsoft.com/office/drawing/2014/main" id="{00000000-0008-0000-09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Lens removed;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447675</xdr:rowOff>
        </xdr:from>
        <xdr:to>
          <xdr:col>29</xdr:col>
          <xdr:colOff>47625</xdr:colOff>
          <xdr:row>15</xdr:row>
          <xdr:rowOff>666750</xdr:rowOff>
        </xdr:to>
        <xdr:sp macro="" textlink="">
          <xdr:nvSpPr>
            <xdr:cNvPr id="43016" name="Option Button 8" hidden="1">
              <a:extLst>
                <a:ext uri="{63B3BB69-23CF-44E3-9099-C40C66FF867C}">
                  <a14:compatExt spid="_x0000_s43016"/>
                </a:ext>
                <a:ext uri="{FF2B5EF4-FFF2-40B4-BE49-F238E27FC236}">
                  <a16:creationId xmlns:a16="http://schemas.microsoft.com/office/drawing/2014/main" id="{00000000-0008-0000-09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Lens removed; no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18</xdr:row>
          <xdr:rowOff>219075</xdr:rowOff>
        </xdr:from>
        <xdr:to>
          <xdr:col>2</xdr:col>
          <xdr:colOff>123825</xdr:colOff>
          <xdr:row>19</xdr:row>
          <xdr:rowOff>209550</xdr:rowOff>
        </xdr:to>
        <xdr:sp macro="" textlink="">
          <xdr:nvSpPr>
            <xdr:cNvPr id="43017" name="Check Box 9" hidden="1">
              <a:extLst>
                <a:ext uri="{63B3BB69-23CF-44E3-9099-C40C66FF867C}">
                  <a14:compatExt spid="_x0000_s43017"/>
                </a:ext>
                <a:ext uri="{FF2B5EF4-FFF2-40B4-BE49-F238E27FC236}">
                  <a16:creationId xmlns:a16="http://schemas.microsoft.com/office/drawing/2014/main" id="{00000000-0008-0000-0900-00000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19</xdr:row>
          <xdr:rowOff>0</xdr:rowOff>
        </xdr:from>
        <xdr:to>
          <xdr:col>19</xdr:col>
          <xdr:colOff>171450</xdr:colOff>
          <xdr:row>19</xdr:row>
          <xdr:rowOff>219075</xdr:rowOff>
        </xdr:to>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0900-00000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55</xdr:row>
          <xdr:rowOff>9525</xdr:rowOff>
        </xdr:from>
        <xdr:to>
          <xdr:col>13</xdr:col>
          <xdr:colOff>133350</xdr:colOff>
          <xdr:row>55</xdr:row>
          <xdr:rowOff>219075</xdr:rowOff>
        </xdr:to>
        <xdr:sp macro="" textlink="">
          <xdr:nvSpPr>
            <xdr:cNvPr id="43096" name="Check Box 88" hidden="1">
              <a:extLst>
                <a:ext uri="{63B3BB69-23CF-44E3-9099-C40C66FF867C}">
                  <a14:compatExt spid="_x0000_s43096"/>
                </a:ext>
                <a:ext uri="{FF2B5EF4-FFF2-40B4-BE49-F238E27FC236}">
                  <a16:creationId xmlns:a16="http://schemas.microsoft.com/office/drawing/2014/main" id="{00000000-0008-0000-0900-00005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55</xdr:row>
          <xdr:rowOff>9525</xdr:rowOff>
        </xdr:from>
        <xdr:to>
          <xdr:col>31</xdr:col>
          <xdr:colOff>0</xdr:colOff>
          <xdr:row>55</xdr:row>
          <xdr:rowOff>219075</xdr:rowOff>
        </xdr:to>
        <xdr:sp macro="" textlink="">
          <xdr:nvSpPr>
            <xdr:cNvPr id="43097" name="Check Box 89" hidden="1">
              <a:extLst>
                <a:ext uri="{63B3BB69-23CF-44E3-9099-C40C66FF867C}">
                  <a14:compatExt spid="_x0000_s43097"/>
                </a:ext>
                <a:ext uri="{FF2B5EF4-FFF2-40B4-BE49-F238E27FC236}">
                  <a16:creationId xmlns:a16="http://schemas.microsoft.com/office/drawing/2014/main" id="{00000000-0008-0000-0900-00005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15</xdr:col>
          <xdr:colOff>0</xdr:colOff>
          <xdr:row>25</xdr:row>
          <xdr:rowOff>0</xdr:rowOff>
        </xdr:to>
        <xdr:grpSp>
          <xdr:nvGrpSpPr>
            <xdr:cNvPr id="36313" name="Group 26">
              <a:extLst>
                <a:ext uri="{FF2B5EF4-FFF2-40B4-BE49-F238E27FC236}">
                  <a16:creationId xmlns:a16="http://schemas.microsoft.com/office/drawing/2014/main" id="{00000000-0008-0000-0A00-0000D98D0000}"/>
                </a:ext>
              </a:extLst>
            </xdr:cNvPr>
            <xdr:cNvGrpSpPr>
              <a:grpSpLocks/>
            </xdr:cNvGrpSpPr>
          </xdr:nvGrpSpPr>
          <xdr:grpSpPr bwMode="auto">
            <a:xfrm>
              <a:off x="95250" y="6492875"/>
              <a:ext cx="5580063" cy="984250"/>
              <a:chOff x="10" y="663"/>
              <a:chExt cx="579" cy="104"/>
            </a:xfrm>
          </xdr:grpSpPr>
          <xdr:sp macro="" textlink="">
            <xdr:nvSpPr>
              <xdr:cNvPr id="35842" name="Group Box 2" hidden="1">
                <a:extLst>
                  <a:ext uri="{63B3BB69-23CF-44E3-9099-C40C66FF867C}">
                    <a14:compatExt spid="_x0000_s35842"/>
                  </a:ext>
                  <a:ext uri="{FF2B5EF4-FFF2-40B4-BE49-F238E27FC236}">
                    <a16:creationId xmlns:a16="http://schemas.microsoft.com/office/drawing/2014/main" id="{00000000-0008-0000-0A00-0000028C0000}"/>
                  </a:ext>
                </a:extLst>
              </xdr:cNvPr>
              <xdr:cNvSpPr/>
            </xdr:nvSpPr>
            <xdr:spPr bwMode="auto">
              <a:xfrm>
                <a:off x="10" y="663"/>
                <a:ext cx="579" cy="26"/>
              </a:xfrm>
              <a:prstGeom prst="rect">
                <a:avLst/>
              </a:prstGeom>
              <a:noFill/>
              <a:ln w="9525">
                <a:miter lim="800000"/>
                <a:headEnd/>
                <a:tailEnd/>
              </a:ln>
              <a:extLst>
                <a:ext uri="{909E8E84-426E-40DD-AFC4-6F175D3DCCD1}">
                  <a14:hiddenFill>
                    <a:noFill/>
                  </a14:hiddenFill>
                </a:ext>
              </a:extLst>
            </xdr:spPr>
          </xdr:sp>
          <xdr:sp macro="" textlink="">
            <xdr:nvSpPr>
              <xdr:cNvPr id="35843" name="Option Button 3" hidden="1">
                <a:extLst>
                  <a:ext uri="{63B3BB69-23CF-44E3-9099-C40C66FF867C}">
                    <a14:compatExt spid="_x0000_s35843"/>
                  </a:ext>
                  <a:ext uri="{FF2B5EF4-FFF2-40B4-BE49-F238E27FC236}">
                    <a16:creationId xmlns:a16="http://schemas.microsoft.com/office/drawing/2014/main" id="{00000000-0008-0000-0A00-0000038C0000}"/>
                  </a:ext>
                </a:extLst>
              </xdr:cNvPr>
              <xdr:cNvSpPr/>
            </xdr:nvSpPr>
            <xdr:spPr bwMode="auto">
              <a:xfrm>
                <a:off x="13" y="664"/>
                <a:ext cx="14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Clavicle: Total resection</a:t>
                </a:r>
              </a:p>
            </xdr:txBody>
          </xdr:sp>
          <xdr:sp macro="" textlink="">
            <xdr:nvSpPr>
              <xdr:cNvPr id="35844" name="Option Button 4" hidden="1">
                <a:extLst>
                  <a:ext uri="{63B3BB69-23CF-44E3-9099-C40C66FF867C}">
                    <a14:compatExt spid="_x0000_s35844"/>
                  </a:ext>
                  <a:ext uri="{FF2B5EF4-FFF2-40B4-BE49-F238E27FC236}">
                    <a16:creationId xmlns:a16="http://schemas.microsoft.com/office/drawing/2014/main" id="{00000000-0008-0000-0A00-0000048C0000}"/>
                  </a:ext>
                </a:extLst>
              </xdr:cNvPr>
              <xdr:cNvSpPr/>
            </xdr:nvSpPr>
            <xdr:spPr bwMode="auto">
              <a:xfrm>
                <a:off x="192" y="664"/>
                <a:ext cx="1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Clavicle: Partial resection</a:t>
                </a:r>
              </a:p>
            </xdr:txBody>
          </xdr:sp>
          <xdr:sp macro="" textlink="">
            <xdr:nvSpPr>
              <xdr:cNvPr id="35845" name="Option Button 5" hidden="1">
                <a:extLst>
                  <a:ext uri="{63B3BB69-23CF-44E3-9099-C40C66FF867C}">
                    <a14:compatExt spid="_x0000_s35845"/>
                  </a:ext>
                  <a:ext uri="{FF2B5EF4-FFF2-40B4-BE49-F238E27FC236}">
                    <a16:creationId xmlns:a16="http://schemas.microsoft.com/office/drawing/2014/main" id="{00000000-0008-0000-0A00-0000058C0000}"/>
                  </a:ext>
                </a:extLst>
              </xdr:cNvPr>
              <xdr:cNvSpPr/>
            </xdr:nvSpPr>
            <xdr:spPr bwMode="auto">
              <a:xfrm>
                <a:off x="373" y="664"/>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46" name="Group Box 6" hidden="1">
                <a:extLst>
                  <a:ext uri="{63B3BB69-23CF-44E3-9099-C40C66FF867C}">
                    <a14:compatExt spid="_x0000_s35846"/>
                  </a:ext>
                  <a:ext uri="{FF2B5EF4-FFF2-40B4-BE49-F238E27FC236}">
                    <a16:creationId xmlns:a16="http://schemas.microsoft.com/office/drawing/2014/main" id="{00000000-0008-0000-0A00-0000068C0000}"/>
                  </a:ext>
                </a:extLst>
              </xdr:cNvPr>
              <xdr:cNvSpPr/>
            </xdr:nvSpPr>
            <xdr:spPr bwMode="auto">
              <a:xfrm>
                <a:off x="10" y="689"/>
                <a:ext cx="579" cy="26"/>
              </a:xfrm>
              <a:prstGeom prst="rect">
                <a:avLst/>
              </a:prstGeom>
              <a:noFill/>
              <a:ln w="9525">
                <a:miter lim="800000"/>
                <a:headEnd/>
                <a:tailEnd/>
              </a:ln>
              <a:extLst>
                <a:ext uri="{909E8E84-426E-40DD-AFC4-6F175D3DCCD1}">
                  <a14:hiddenFill>
                    <a:noFill/>
                  </a14:hiddenFill>
                </a:ext>
              </a:extLst>
            </xdr:spPr>
          </xdr:sp>
          <xdr:sp macro="" textlink="">
            <xdr:nvSpPr>
              <xdr:cNvPr id="35847" name="Option Button 7" hidden="1">
                <a:extLst>
                  <a:ext uri="{63B3BB69-23CF-44E3-9099-C40C66FF867C}">
                    <a14:compatExt spid="_x0000_s35847"/>
                  </a:ext>
                  <a:ext uri="{FF2B5EF4-FFF2-40B4-BE49-F238E27FC236}">
                    <a16:creationId xmlns:a16="http://schemas.microsoft.com/office/drawing/2014/main" id="{00000000-0008-0000-0A00-0000078C0000}"/>
                  </a:ext>
                </a:extLst>
              </xdr:cNvPr>
              <xdr:cNvSpPr/>
            </xdr:nvSpPr>
            <xdr:spPr bwMode="auto">
              <a:xfrm>
                <a:off x="13" y="690"/>
                <a:ext cx="1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Acromion: Partial resection</a:t>
                </a:r>
              </a:p>
            </xdr:txBody>
          </xdr:sp>
          <xdr:sp macro="" textlink="">
            <xdr:nvSpPr>
              <xdr:cNvPr id="35848" name="Option Button 8" hidden="1">
                <a:extLst>
                  <a:ext uri="{63B3BB69-23CF-44E3-9099-C40C66FF867C}">
                    <a14:compatExt spid="_x0000_s35848"/>
                  </a:ext>
                  <a:ext uri="{FF2B5EF4-FFF2-40B4-BE49-F238E27FC236}">
                    <a16:creationId xmlns:a16="http://schemas.microsoft.com/office/drawing/2014/main" id="{00000000-0008-0000-0A00-0000088C0000}"/>
                  </a:ext>
                </a:extLst>
              </xdr:cNvPr>
              <xdr:cNvSpPr/>
            </xdr:nvSpPr>
            <xdr:spPr bwMode="auto">
              <a:xfrm>
                <a:off x="373" y="690"/>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49" name="Group Box 9" hidden="1">
                <a:extLst>
                  <a:ext uri="{63B3BB69-23CF-44E3-9099-C40C66FF867C}">
                    <a14:compatExt spid="_x0000_s35849"/>
                  </a:ext>
                  <a:ext uri="{FF2B5EF4-FFF2-40B4-BE49-F238E27FC236}">
                    <a16:creationId xmlns:a16="http://schemas.microsoft.com/office/drawing/2014/main" id="{00000000-0008-0000-0A00-0000098C0000}"/>
                  </a:ext>
                </a:extLst>
              </xdr:cNvPr>
              <xdr:cNvSpPr/>
            </xdr:nvSpPr>
            <xdr:spPr bwMode="auto">
              <a:xfrm>
                <a:off x="10" y="715"/>
                <a:ext cx="579" cy="26"/>
              </a:xfrm>
              <a:prstGeom prst="rect">
                <a:avLst/>
              </a:prstGeom>
              <a:noFill/>
              <a:ln w="9525">
                <a:miter lim="800000"/>
                <a:headEnd/>
                <a:tailEnd/>
              </a:ln>
              <a:extLst>
                <a:ext uri="{909E8E84-426E-40DD-AFC4-6F175D3DCCD1}">
                  <a14:hiddenFill>
                    <a:noFill/>
                  </a14:hiddenFill>
                </a:ext>
              </a:extLst>
            </xdr:spPr>
          </xdr:sp>
          <xdr:sp macro="" textlink="">
            <xdr:nvSpPr>
              <xdr:cNvPr id="35850" name="Option Button 10" hidden="1">
                <a:extLst>
                  <a:ext uri="{63B3BB69-23CF-44E3-9099-C40C66FF867C}">
                    <a14:compatExt spid="_x0000_s35850"/>
                  </a:ext>
                  <a:ext uri="{FF2B5EF4-FFF2-40B4-BE49-F238E27FC236}">
                    <a16:creationId xmlns:a16="http://schemas.microsoft.com/office/drawing/2014/main" id="{00000000-0008-0000-0A00-00000A8C0000}"/>
                  </a:ext>
                </a:extLst>
              </xdr:cNvPr>
              <xdr:cNvSpPr/>
            </xdr:nvSpPr>
            <xdr:spPr bwMode="auto">
              <a:xfrm>
                <a:off x="13" y="71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Total shoulder arthroplasty</a:t>
                </a:r>
              </a:p>
            </xdr:txBody>
          </xdr:sp>
          <xdr:sp macro="" textlink="">
            <xdr:nvSpPr>
              <xdr:cNvPr id="35851" name="Option Button 11" hidden="1">
                <a:extLst>
                  <a:ext uri="{63B3BB69-23CF-44E3-9099-C40C66FF867C}">
                    <a14:compatExt spid="_x0000_s35851"/>
                  </a:ext>
                  <a:ext uri="{FF2B5EF4-FFF2-40B4-BE49-F238E27FC236}">
                    <a16:creationId xmlns:a16="http://schemas.microsoft.com/office/drawing/2014/main" id="{00000000-0008-0000-0A00-00000B8C0000}"/>
                  </a:ext>
                </a:extLst>
              </xdr:cNvPr>
              <xdr:cNvSpPr/>
            </xdr:nvSpPr>
            <xdr:spPr bwMode="auto">
              <a:xfrm>
                <a:off x="373" y="716"/>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52" name="Group Box 12" hidden="1">
                <a:extLst>
                  <a:ext uri="{63B3BB69-23CF-44E3-9099-C40C66FF867C}">
                    <a14:compatExt spid="_x0000_s35852"/>
                  </a:ext>
                  <a:ext uri="{FF2B5EF4-FFF2-40B4-BE49-F238E27FC236}">
                    <a16:creationId xmlns:a16="http://schemas.microsoft.com/office/drawing/2014/main" id="{00000000-0008-0000-0A00-00000C8C0000}"/>
                  </a:ext>
                </a:extLst>
              </xdr:cNvPr>
              <xdr:cNvSpPr/>
            </xdr:nvSpPr>
            <xdr:spPr bwMode="auto">
              <a:xfrm>
                <a:off x="10" y="741"/>
                <a:ext cx="579" cy="26"/>
              </a:xfrm>
              <a:prstGeom prst="rect">
                <a:avLst/>
              </a:prstGeom>
              <a:noFill/>
              <a:ln w="9525">
                <a:miter lim="800000"/>
                <a:headEnd/>
                <a:tailEnd/>
              </a:ln>
              <a:extLst>
                <a:ext uri="{909E8E84-426E-40DD-AFC4-6F175D3DCCD1}">
                  <a14:hiddenFill>
                    <a:noFill/>
                  </a14:hiddenFill>
                </a:ext>
              </a:extLst>
            </xdr:spPr>
          </xdr:sp>
          <xdr:sp macro="" textlink="">
            <xdr:nvSpPr>
              <xdr:cNvPr id="35853" name="Option Button 13" hidden="1">
                <a:extLst>
                  <a:ext uri="{63B3BB69-23CF-44E3-9099-C40C66FF867C}">
                    <a14:compatExt spid="_x0000_s35853"/>
                  </a:ext>
                  <a:ext uri="{FF2B5EF4-FFF2-40B4-BE49-F238E27FC236}">
                    <a16:creationId xmlns:a16="http://schemas.microsoft.com/office/drawing/2014/main" id="{00000000-0008-0000-0A00-00000D8C0000}"/>
                  </a:ext>
                </a:extLst>
              </xdr:cNvPr>
              <xdr:cNvSpPr/>
            </xdr:nvSpPr>
            <xdr:spPr bwMode="auto">
              <a:xfrm>
                <a:off x="13" y="742"/>
                <a:ext cx="192"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Repeat total shoulder arthroplasty</a:t>
                </a:r>
              </a:p>
            </xdr:txBody>
          </xdr:sp>
          <xdr:sp macro="" textlink="">
            <xdr:nvSpPr>
              <xdr:cNvPr id="35854" name="Option Button 14" hidden="1">
                <a:extLst>
                  <a:ext uri="{63B3BB69-23CF-44E3-9099-C40C66FF867C}">
                    <a14:compatExt spid="_x0000_s35854"/>
                  </a:ext>
                  <a:ext uri="{FF2B5EF4-FFF2-40B4-BE49-F238E27FC236}">
                    <a16:creationId xmlns:a16="http://schemas.microsoft.com/office/drawing/2014/main" id="{00000000-0008-0000-0A00-00000E8C0000}"/>
                  </a:ext>
                </a:extLst>
              </xdr:cNvPr>
              <xdr:cNvSpPr/>
            </xdr:nvSpPr>
            <xdr:spPr bwMode="auto">
              <a:xfrm>
                <a:off x="373" y="742"/>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0</xdr:rowOff>
        </xdr:from>
        <xdr:to>
          <xdr:col>4</xdr:col>
          <xdr:colOff>142875</xdr:colOff>
          <xdr:row>30</xdr:row>
          <xdr:rowOff>238125</xdr:rowOff>
        </xdr:to>
        <xdr:sp macro="" textlink="">
          <xdr:nvSpPr>
            <xdr:cNvPr id="35855" name="Check Box 15" hidden="1">
              <a:extLst>
                <a:ext uri="{63B3BB69-23CF-44E3-9099-C40C66FF867C}">
                  <a14:compatExt spid="_x0000_s35855"/>
                </a:ext>
                <a:ext uri="{FF2B5EF4-FFF2-40B4-BE49-F238E27FC236}">
                  <a16:creationId xmlns:a16="http://schemas.microsoft.com/office/drawing/2014/main" id="{00000000-0008-0000-0A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Chronic dislocations of the shoulder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238125</xdr:rowOff>
        </xdr:from>
        <xdr:to>
          <xdr:col>4</xdr:col>
          <xdr:colOff>38100</xdr:colOff>
          <xdr:row>31</xdr:row>
          <xdr:rowOff>247650</xdr:rowOff>
        </xdr:to>
        <xdr:sp macro="" textlink="">
          <xdr:nvSpPr>
            <xdr:cNvPr id="35856" name="Check Box 16" hidden="1">
              <a:extLst>
                <a:ext uri="{63B3BB69-23CF-44E3-9099-C40C66FF867C}">
                  <a14:compatExt spid="_x0000_s35856"/>
                </a:ext>
                <a:ext uri="{FF2B5EF4-FFF2-40B4-BE49-F238E27FC236}">
                  <a16:creationId xmlns:a16="http://schemas.microsoft.com/office/drawing/2014/main" id="{00000000-0008-0000-0A00-00001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Diastasis of the sternal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87</xdr:row>
          <xdr:rowOff>0</xdr:rowOff>
        </xdr:from>
        <xdr:to>
          <xdr:col>15</xdr:col>
          <xdr:colOff>0</xdr:colOff>
          <xdr:row>87</xdr:row>
          <xdr:rowOff>247650</xdr:rowOff>
        </xdr:to>
        <xdr:sp macro="" textlink="">
          <xdr:nvSpPr>
            <xdr:cNvPr id="35857" name="Group Box 17" hidden="1">
              <a:extLst>
                <a:ext uri="{63B3BB69-23CF-44E3-9099-C40C66FF867C}">
                  <a14:compatExt spid="_x0000_s35857"/>
                </a:ext>
                <a:ext uri="{FF2B5EF4-FFF2-40B4-BE49-F238E27FC236}">
                  <a16:creationId xmlns:a16="http://schemas.microsoft.com/office/drawing/2014/main" id="{00000000-0008-0000-0A00-000011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87</xdr:row>
          <xdr:rowOff>0</xdr:rowOff>
        </xdr:from>
        <xdr:to>
          <xdr:col>13</xdr:col>
          <xdr:colOff>0</xdr:colOff>
          <xdr:row>87</xdr:row>
          <xdr:rowOff>219075</xdr:rowOff>
        </xdr:to>
        <xdr:sp macro="" textlink="">
          <xdr:nvSpPr>
            <xdr:cNvPr id="35858" name="Option Button 18" hidden="1">
              <a:extLst>
                <a:ext uri="{63B3BB69-23CF-44E3-9099-C40C66FF867C}">
                  <a14:compatExt spid="_x0000_s35858"/>
                </a:ext>
                <a:ext uri="{FF2B5EF4-FFF2-40B4-BE49-F238E27FC236}">
                  <a16:creationId xmlns:a16="http://schemas.microsoft.com/office/drawing/2014/main" id="{00000000-0008-0000-0A00-00001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87</xdr:row>
          <xdr:rowOff>0</xdr:rowOff>
        </xdr:from>
        <xdr:to>
          <xdr:col>14</xdr:col>
          <xdr:colOff>619125</xdr:colOff>
          <xdr:row>87</xdr:row>
          <xdr:rowOff>219075</xdr:rowOff>
        </xdr:to>
        <xdr:sp macro="" textlink="">
          <xdr:nvSpPr>
            <xdr:cNvPr id="35859" name="Option Button 19" hidden="1">
              <a:extLst>
                <a:ext uri="{63B3BB69-23CF-44E3-9099-C40C66FF867C}">
                  <a14:compatExt spid="_x0000_s35859"/>
                </a:ext>
                <a:ext uri="{FF2B5EF4-FFF2-40B4-BE49-F238E27FC236}">
                  <a16:creationId xmlns:a16="http://schemas.microsoft.com/office/drawing/2014/main" id="{00000000-0008-0000-0A00-00001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hristina.Scheungrab@dcbs.oregon.gov" TargetMode="External"/><Relationship Id="rId1" Type="http://schemas.openxmlformats.org/officeDocument/2006/relationships/hyperlink" Target="mailto:steve.s.passantino@dcbs.oregon.gove"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659.xml"/><Relationship Id="rId13" Type="http://schemas.openxmlformats.org/officeDocument/2006/relationships/ctrlProp" Target="../ctrlProps/ctrlProp664.xml"/><Relationship Id="rId3" Type="http://schemas.openxmlformats.org/officeDocument/2006/relationships/vmlDrawing" Target="../drawings/vmlDrawing8.vml"/><Relationship Id="rId7" Type="http://schemas.openxmlformats.org/officeDocument/2006/relationships/ctrlProp" Target="../ctrlProps/ctrlProp658.xml"/><Relationship Id="rId12" Type="http://schemas.openxmlformats.org/officeDocument/2006/relationships/ctrlProp" Target="../ctrlProps/ctrlProp663.xml"/><Relationship Id="rId2" Type="http://schemas.openxmlformats.org/officeDocument/2006/relationships/drawing" Target="../drawings/drawing8.xml"/><Relationship Id="rId16" Type="http://schemas.openxmlformats.org/officeDocument/2006/relationships/comments" Target="../comments8.xml"/><Relationship Id="rId1" Type="http://schemas.openxmlformats.org/officeDocument/2006/relationships/printerSettings" Target="../printerSettings/printerSettings10.bin"/><Relationship Id="rId6" Type="http://schemas.openxmlformats.org/officeDocument/2006/relationships/ctrlProp" Target="../ctrlProps/ctrlProp657.xml"/><Relationship Id="rId11" Type="http://schemas.openxmlformats.org/officeDocument/2006/relationships/ctrlProp" Target="../ctrlProps/ctrlProp662.xml"/><Relationship Id="rId5" Type="http://schemas.openxmlformats.org/officeDocument/2006/relationships/ctrlProp" Target="../ctrlProps/ctrlProp656.xml"/><Relationship Id="rId15" Type="http://schemas.openxmlformats.org/officeDocument/2006/relationships/ctrlProp" Target="../ctrlProps/ctrlProp666.xml"/><Relationship Id="rId10" Type="http://schemas.openxmlformats.org/officeDocument/2006/relationships/ctrlProp" Target="../ctrlProps/ctrlProp661.xml"/><Relationship Id="rId4" Type="http://schemas.openxmlformats.org/officeDocument/2006/relationships/ctrlProp" Target="../ctrlProps/ctrlProp655.xml"/><Relationship Id="rId9" Type="http://schemas.openxmlformats.org/officeDocument/2006/relationships/ctrlProp" Target="../ctrlProps/ctrlProp660.xml"/><Relationship Id="rId14" Type="http://schemas.openxmlformats.org/officeDocument/2006/relationships/ctrlProp" Target="../ctrlProps/ctrlProp665.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71.xml"/><Relationship Id="rId13" Type="http://schemas.openxmlformats.org/officeDocument/2006/relationships/ctrlProp" Target="../ctrlProps/ctrlProp676.xml"/><Relationship Id="rId18" Type="http://schemas.openxmlformats.org/officeDocument/2006/relationships/ctrlProp" Target="../ctrlProps/ctrlProp681.xml"/><Relationship Id="rId3" Type="http://schemas.openxmlformats.org/officeDocument/2006/relationships/vmlDrawing" Target="../drawings/vmlDrawing9.vml"/><Relationship Id="rId21" Type="http://schemas.openxmlformats.org/officeDocument/2006/relationships/ctrlProp" Target="../ctrlProps/ctrlProp684.xml"/><Relationship Id="rId7" Type="http://schemas.openxmlformats.org/officeDocument/2006/relationships/ctrlProp" Target="../ctrlProps/ctrlProp670.xml"/><Relationship Id="rId12" Type="http://schemas.openxmlformats.org/officeDocument/2006/relationships/ctrlProp" Target="../ctrlProps/ctrlProp675.xml"/><Relationship Id="rId17" Type="http://schemas.openxmlformats.org/officeDocument/2006/relationships/ctrlProp" Target="../ctrlProps/ctrlProp680.xml"/><Relationship Id="rId2" Type="http://schemas.openxmlformats.org/officeDocument/2006/relationships/drawing" Target="../drawings/drawing9.xml"/><Relationship Id="rId16" Type="http://schemas.openxmlformats.org/officeDocument/2006/relationships/ctrlProp" Target="../ctrlProps/ctrlProp679.xml"/><Relationship Id="rId20" Type="http://schemas.openxmlformats.org/officeDocument/2006/relationships/ctrlProp" Target="../ctrlProps/ctrlProp683.xml"/><Relationship Id="rId1" Type="http://schemas.openxmlformats.org/officeDocument/2006/relationships/printerSettings" Target="../printerSettings/printerSettings11.bin"/><Relationship Id="rId6" Type="http://schemas.openxmlformats.org/officeDocument/2006/relationships/ctrlProp" Target="../ctrlProps/ctrlProp669.xml"/><Relationship Id="rId11" Type="http://schemas.openxmlformats.org/officeDocument/2006/relationships/ctrlProp" Target="../ctrlProps/ctrlProp674.xml"/><Relationship Id="rId5" Type="http://schemas.openxmlformats.org/officeDocument/2006/relationships/ctrlProp" Target="../ctrlProps/ctrlProp668.xml"/><Relationship Id="rId15" Type="http://schemas.openxmlformats.org/officeDocument/2006/relationships/ctrlProp" Target="../ctrlProps/ctrlProp678.xml"/><Relationship Id="rId10" Type="http://schemas.openxmlformats.org/officeDocument/2006/relationships/ctrlProp" Target="../ctrlProps/ctrlProp673.xml"/><Relationship Id="rId19" Type="http://schemas.openxmlformats.org/officeDocument/2006/relationships/ctrlProp" Target="../ctrlProps/ctrlProp682.xml"/><Relationship Id="rId4" Type="http://schemas.openxmlformats.org/officeDocument/2006/relationships/ctrlProp" Target="../ctrlProps/ctrlProp667.xml"/><Relationship Id="rId9" Type="http://schemas.openxmlformats.org/officeDocument/2006/relationships/ctrlProp" Target="../ctrlProps/ctrlProp672.xml"/><Relationship Id="rId14" Type="http://schemas.openxmlformats.org/officeDocument/2006/relationships/ctrlProp" Target="../ctrlProps/ctrlProp677.xml"/><Relationship Id="rId22"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689.xml"/><Relationship Id="rId13" Type="http://schemas.openxmlformats.org/officeDocument/2006/relationships/ctrlProp" Target="../ctrlProps/ctrlProp694.xml"/><Relationship Id="rId18" Type="http://schemas.openxmlformats.org/officeDocument/2006/relationships/ctrlProp" Target="../ctrlProps/ctrlProp699.xml"/><Relationship Id="rId3" Type="http://schemas.openxmlformats.org/officeDocument/2006/relationships/vmlDrawing" Target="../drawings/vmlDrawing10.vml"/><Relationship Id="rId21" Type="http://schemas.openxmlformats.org/officeDocument/2006/relationships/ctrlProp" Target="../ctrlProps/ctrlProp702.xml"/><Relationship Id="rId7" Type="http://schemas.openxmlformats.org/officeDocument/2006/relationships/ctrlProp" Target="../ctrlProps/ctrlProp688.xml"/><Relationship Id="rId12" Type="http://schemas.openxmlformats.org/officeDocument/2006/relationships/ctrlProp" Target="../ctrlProps/ctrlProp693.xml"/><Relationship Id="rId17" Type="http://schemas.openxmlformats.org/officeDocument/2006/relationships/ctrlProp" Target="../ctrlProps/ctrlProp698.xml"/><Relationship Id="rId2" Type="http://schemas.openxmlformats.org/officeDocument/2006/relationships/drawing" Target="../drawings/drawing10.xml"/><Relationship Id="rId16" Type="http://schemas.openxmlformats.org/officeDocument/2006/relationships/ctrlProp" Target="../ctrlProps/ctrlProp697.xml"/><Relationship Id="rId20" Type="http://schemas.openxmlformats.org/officeDocument/2006/relationships/ctrlProp" Target="../ctrlProps/ctrlProp701.xml"/><Relationship Id="rId1" Type="http://schemas.openxmlformats.org/officeDocument/2006/relationships/printerSettings" Target="../printerSettings/printerSettings12.bin"/><Relationship Id="rId6" Type="http://schemas.openxmlformats.org/officeDocument/2006/relationships/ctrlProp" Target="../ctrlProps/ctrlProp687.xml"/><Relationship Id="rId11" Type="http://schemas.openxmlformats.org/officeDocument/2006/relationships/ctrlProp" Target="../ctrlProps/ctrlProp692.xml"/><Relationship Id="rId5" Type="http://schemas.openxmlformats.org/officeDocument/2006/relationships/ctrlProp" Target="../ctrlProps/ctrlProp686.xml"/><Relationship Id="rId15" Type="http://schemas.openxmlformats.org/officeDocument/2006/relationships/ctrlProp" Target="../ctrlProps/ctrlProp696.xml"/><Relationship Id="rId10" Type="http://schemas.openxmlformats.org/officeDocument/2006/relationships/ctrlProp" Target="../ctrlProps/ctrlProp691.xml"/><Relationship Id="rId19" Type="http://schemas.openxmlformats.org/officeDocument/2006/relationships/ctrlProp" Target="../ctrlProps/ctrlProp700.xml"/><Relationship Id="rId4" Type="http://schemas.openxmlformats.org/officeDocument/2006/relationships/ctrlProp" Target="../ctrlProps/ctrlProp685.xml"/><Relationship Id="rId9" Type="http://schemas.openxmlformats.org/officeDocument/2006/relationships/ctrlProp" Target="../ctrlProps/ctrlProp690.xml"/><Relationship Id="rId14" Type="http://schemas.openxmlformats.org/officeDocument/2006/relationships/ctrlProp" Target="../ctrlProps/ctrlProp695.xml"/><Relationship Id="rId22"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707.xml"/><Relationship Id="rId13" Type="http://schemas.openxmlformats.org/officeDocument/2006/relationships/comments" Target="../comments11.xml"/><Relationship Id="rId3" Type="http://schemas.openxmlformats.org/officeDocument/2006/relationships/vmlDrawing" Target="../drawings/vmlDrawing11.vml"/><Relationship Id="rId7" Type="http://schemas.openxmlformats.org/officeDocument/2006/relationships/ctrlProp" Target="../ctrlProps/ctrlProp706.xml"/><Relationship Id="rId12" Type="http://schemas.openxmlformats.org/officeDocument/2006/relationships/ctrlProp" Target="../ctrlProps/ctrlProp711.xml"/><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ctrlProp" Target="../ctrlProps/ctrlProp705.xml"/><Relationship Id="rId11" Type="http://schemas.openxmlformats.org/officeDocument/2006/relationships/ctrlProp" Target="../ctrlProps/ctrlProp710.xml"/><Relationship Id="rId5" Type="http://schemas.openxmlformats.org/officeDocument/2006/relationships/ctrlProp" Target="../ctrlProps/ctrlProp704.xml"/><Relationship Id="rId10" Type="http://schemas.openxmlformats.org/officeDocument/2006/relationships/ctrlProp" Target="../ctrlProps/ctrlProp709.xml"/><Relationship Id="rId4" Type="http://schemas.openxmlformats.org/officeDocument/2006/relationships/ctrlProp" Target="../ctrlProps/ctrlProp703.xml"/><Relationship Id="rId9" Type="http://schemas.openxmlformats.org/officeDocument/2006/relationships/ctrlProp" Target="../ctrlProps/ctrlProp708.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716.xml"/><Relationship Id="rId13" Type="http://schemas.openxmlformats.org/officeDocument/2006/relationships/comments" Target="../comments12.xml"/><Relationship Id="rId3" Type="http://schemas.openxmlformats.org/officeDocument/2006/relationships/vmlDrawing" Target="../drawings/vmlDrawing12.vml"/><Relationship Id="rId7" Type="http://schemas.openxmlformats.org/officeDocument/2006/relationships/ctrlProp" Target="../ctrlProps/ctrlProp715.xml"/><Relationship Id="rId12" Type="http://schemas.openxmlformats.org/officeDocument/2006/relationships/ctrlProp" Target="../ctrlProps/ctrlProp720.xml"/><Relationship Id="rId2" Type="http://schemas.openxmlformats.org/officeDocument/2006/relationships/drawing" Target="../drawings/drawing12.xml"/><Relationship Id="rId1" Type="http://schemas.openxmlformats.org/officeDocument/2006/relationships/printerSettings" Target="../printerSettings/printerSettings14.bin"/><Relationship Id="rId6" Type="http://schemas.openxmlformats.org/officeDocument/2006/relationships/ctrlProp" Target="../ctrlProps/ctrlProp714.xml"/><Relationship Id="rId11" Type="http://schemas.openxmlformats.org/officeDocument/2006/relationships/ctrlProp" Target="../ctrlProps/ctrlProp719.xml"/><Relationship Id="rId5" Type="http://schemas.openxmlformats.org/officeDocument/2006/relationships/ctrlProp" Target="../ctrlProps/ctrlProp713.xml"/><Relationship Id="rId10" Type="http://schemas.openxmlformats.org/officeDocument/2006/relationships/ctrlProp" Target="../ctrlProps/ctrlProp718.xml"/><Relationship Id="rId4" Type="http://schemas.openxmlformats.org/officeDocument/2006/relationships/ctrlProp" Target="../ctrlProps/ctrlProp712.xml"/><Relationship Id="rId9" Type="http://schemas.openxmlformats.org/officeDocument/2006/relationships/ctrlProp" Target="../ctrlProps/ctrlProp717.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725.xml"/><Relationship Id="rId13" Type="http://schemas.openxmlformats.org/officeDocument/2006/relationships/comments" Target="../comments13.xml"/><Relationship Id="rId3" Type="http://schemas.openxmlformats.org/officeDocument/2006/relationships/vmlDrawing" Target="../drawings/vmlDrawing13.vml"/><Relationship Id="rId7" Type="http://schemas.openxmlformats.org/officeDocument/2006/relationships/ctrlProp" Target="../ctrlProps/ctrlProp724.xml"/><Relationship Id="rId12" Type="http://schemas.openxmlformats.org/officeDocument/2006/relationships/ctrlProp" Target="../ctrlProps/ctrlProp729.x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trlProp" Target="../ctrlProps/ctrlProp723.xml"/><Relationship Id="rId11" Type="http://schemas.openxmlformats.org/officeDocument/2006/relationships/ctrlProp" Target="../ctrlProps/ctrlProp728.xml"/><Relationship Id="rId5" Type="http://schemas.openxmlformats.org/officeDocument/2006/relationships/ctrlProp" Target="../ctrlProps/ctrlProp722.xml"/><Relationship Id="rId10" Type="http://schemas.openxmlformats.org/officeDocument/2006/relationships/ctrlProp" Target="../ctrlProps/ctrlProp727.xml"/><Relationship Id="rId4" Type="http://schemas.openxmlformats.org/officeDocument/2006/relationships/ctrlProp" Target="../ctrlProps/ctrlProp721.xml"/><Relationship Id="rId9" Type="http://schemas.openxmlformats.org/officeDocument/2006/relationships/ctrlProp" Target="../ctrlProps/ctrlProp726.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734.xml"/><Relationship Id="rId13" Type="http://schemas.openxmlformats.org/officeDocument/2006/relationships/ctrlProp" Target="../ctrlProps/ctrlProp739.xml"/><Relationship Id="rId3" Type="http://schemas.openxmlformats.org/officeDocument/2006/relationships/vmlDrawing" Target="../drawings/vmlDrawing14.vml"/><Relationship Id="rId7" Type="http://schemas.openxmlformats.org/officeDocument/2006/relationships/ctrlProp" Target="../ctrlProps/ctrlProp733.xml"/><Relationship Id="rId12" Type="http://schemas.openxmlformats.org/officeDocument/2006/relationships/ctrlProp" Target="../ctrlProps/ctrlProp738.xml"/><Relationship Id="rId2" Type="http://schemas.openxmlformats.org/officeDocument/2006/relationships/drawing" Target="../drawings/drawing14.xml"/><Relationship Id="rId1" Type="http://schemas.openxmlformats.org/officeDocument/2006/relationships/printerSettings" Target="../printerSettings/printerSettings16.bin"/><Relationship Id="rId6" Type="http://schemas.openxmlformats.org/officeDocument/2006/relationships/ctrlProp" Target="../ctrlProps/ctrlProp732.xml"/><Relationship Id="rId11" Type="http://schemas.openxmlformats.org/officeDocument/2006/relationships/ctrlProp" Target="../ctrlProps/ctrlProp737.xml"/><Relationship Id="rId5" Type="http://schemas.openxmlformats.org/officeDocument/2006/relationships/ctrlProp" Target="../ctrlProps/ctrlProp731.xml"/><Relationship Id="rId15" Type="http://schemas.openxmlformats.org/officeDocument/2006/relationships/comments" Target="../comments14.xml"/><Relationship Id="rId10" Type="http://schemas.openxmlformats.org/officeDocument/2006/relationships/ctrlProp" Target="../ctrlProps/ctrlProp736.xml"/><Relationship Id="rId4" Type="http://schemas.openxmlformats.org/officeDocument/2006/relationships/ctrlProp" Target="../ctrlProps/ctrlProp730.xml"/><Relationship Id="rId9" Type="http://schemas.openxmlformats.org/officeDocument/2006/relationships/ctrlProp" Target="../ctrlProps/ctrlProp735.xml"/><Relationship Id="rId14" Type="http://schemas.openxmlformats.org/officeDocument/2006/relationships/ctrlProp" Target="../ctrlProps/ctrlProp740.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745.xml"/><Relationship Id="rId3" Type="http://schemas.openxmlformats.org/officeDocument/2006/relationships/vmlDrawing" Target="../drawings/vmlDrawing15.vml"/><Relationship Id="rId7" Type="http://schemas.openxmlformats.org/officeDocument/2006/relationships/ctrlProp" Target="../ctrlProps/ctrlProp744.x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trlProp" Target="../ctrlProps/ctrlProp743.xml"/><Relationship Id="rId5" Type="http://schemas.openxmlformats.org/officeDocument/2006/relationships/ctrlProp" Target="../ctrlProps/ctrlProp742.xml"/><Relationship Id="rId4" Type="http://schemas.openxmlformats.org/officeDocument/2006/relationships/ctrlProp" Target="../ctrlProps/ctrlProp741.xml"/><Relationship Id="rId9"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7" Type="http://schemas.openxmlformats.org/officeDocument/2006/relationships/comments" Target="../comments16.x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openxmlformats.org/officeDocument/2006/relationships/ctrlProp" Target="../ctrlProps/ctrlProp748.xml"/><Relationship Id="rId5" Type="http://schemas.openxmlformats.org/officeDocument/2006/relationships/ctrlProp" Target="../ctrlProps/ctrlProp747.xml"/><Relationship Id="rId4" Type="http://schemas.openxmlformats.org/officeDocument/2006/relationships/ctrlProp" Target="../ctrlProps/ctrlProp746.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751.xml"/><Relationship Id="rId13" Type="http://schemas.openxmlformats.org/officeDocument/2006/relationships/ctrlProp" Target="../ctrlProps/ctrlProp756.xml"/><Relationship Id="rId18" Type="http://schemas.openxmlformats.org/officeDocument/2006/relationships/ctrlProp" Target="../ctrlProps/ctrlProp761.xml"/><Relationship Id="rId26" Type="http://schemas.openxmlformats.org/officeDocument/2006/relationships/ctrlProp" Target="../ctrlProps/ctrlProp769.xml"/><Relationship Id="rId39" Type="http://schemas.openxmlformats.org/officeDocument/2006/relationships/ctrlProp" Target="../ctrlProps/ctrlProp782.xml"/><Relationship Id="rId3" Type="http://schemas.openxmlformats.org/officeDocument/2006/relationships/vmlDrawing" Target="../drawings/vmlDrawing17.vml"/><Relationship Id="rId21" Type="http://schemas.openxmlformats.org/officeDocument/2006/relationships/ctrlProp" Target="../ctrlProps/ctrlProp764.xml"/><Relationship Id="rId34" Type="http://schemas.openxmlformats.org/officeDocument/2006/relationships/ctrlProp" Target="../ctrlProps/ctrlProp777.xml"/><Relationship Id="rId42" Type="http://schemas.openxmlformats.org/officeDocument/2006/relationships/ctrlProp" Target="../ctrlProps/ctrlProp785.xml"/><Relationship Id="rId7" Type="http://schemas.openxmlformats.org/officeDocument/2006/relationships/ctrlProp" Target="../ctrlProps/ctrlProp750.xml"/><Relationship Id="rId12" Type="http://schemas.openxmlformats.org/officeDocument/2006/relationships/ctrlProp" Target="../ctrlProps/ctrlProp755.xml"/><Relationship Id="rId17" Type="http://schemas.openxmlformats.org/officeDocument/2006/relationships/ctrlProp" Target="../ctrlProps/ctrlProp760.xml"/><Relationship Id="rId25" Type="http://schemas.openxmlformats.org/officeDocument/2006/relationships/ctrlProp" Target="../ctrlProps/ctrlProp768.xml"/><Relationship Id="rId33" Type="http://schemas.openxmlformats.org/officeDocument/2006/relationships/ctrlProp" Target="../ctrlProps/ctrlProp776.xml"/><Relationship Id="rId38" Type="http://schemas.openxmlformats.org/officeDocument/2006/relationships/ctrlProp" Target="../ctrlProps/ctrlProp781.xml"/><Relationship Id="rId2" Type="http://schemas.openxmlformats.org/officeDocument/2006/relationships/drawing" Target="../drawings/drawing17.xml"/><Relationship Id="rId16" Type="http://schemas.openxmlformats.org/officeDocument/2006/relationships/ctrlProp" Target="../ctrlProps/ctrlProp759.xml"/><Relationship Id="rId20" Type="http://schemas.openxmlformats.org/officeDocument/2006/relationships/ctrlProp" Target="../ctrlProps/ctrlProp763.xml"/><Relationship Id="rId29" Type="http://schemas.openxmlformats.org/officeDocument/2006/relationships/ctrlProp" Target="../ctrlProps/ctrlProp772.xml"/><Relationship Id="rId41" Type="http://schemas.openxmlformats.org/officeDocument/2006/relationships/ctrlProp" Target="../ctrlProps/ctrlProp784.xml"/><Relationship Id="rId1" Type="http://schemas.openxmlformats.org/officeDocument/2006/relationships/printerSettings" Target="../printerSettings/printerSettings19.bin"/><Relationship Id="rId6" Type="http://schemas.openxmlformats.org/officeDocument/2006/relationships/ctrlProp" Target="../ctrlProps/ctrlProp749.xml"/><Relationship Id="rId11" Type="http://schemas.openxmlformats.org/officeDocument/2006/relationships/ctrlProp" Target="../ctrlProps/ctrlProp754.xml"/><Relationship Id="rId24" Type="http://schemas.openxmlformats.org/officeDocument/2006/relationships/ctrlProp" Target="../ctrlProps/ctrlProp767.xml"/><Relationship Id="rId32" Type="http://schemas.openxmlformats.org/officeDocument/2006/relationships/ctrlProp" Target="../ctrlProps/ctrlProp775.xml"/><Relationship Id="rId37" Type="http://schemas.openxmlformats.org/officeDocument/2006/relationships/ctrlProp" Target="../ctrlProps/ctrlProp780.xml"/><Relationship Id="rId40" Type="http://schemas.openxmlformats.org/officeDocument/2006/relationships/ctrlProp" Target="../ctrlProps/ctrlProp783.xml"/><Relationship Id="rId45" Type="http://schemas.openxmlformats.org/officeDocument/2006/relationships/comments" Target="../comments17.xml"/><Relationship Id="rId5" Type="http://schemas.openxmlformats.org/officeDocument/2006/relationships/image" Target="../media/image3.emf"/><Relationship Id="rId15" Type="http://schemas.openxmlformats.org/officeDocument/2006/relationships/ctrlProp" Target="../ctrlProps/ctrlProp758.xml"/><Relationship Id="rId23" Type="http://schemas.openxmlformats.org/officeDocument/2006/relationships/ctrlProp" Target="../ctrlProps/ctrlProp766.xml"/><Relationship Id="rId28" Type="http://schemas.openxmlformats.org/officeDocument/2006/relationships/ctrlProp" Target="../ctrlProps/ctrlProp771.xml"/><Relationship Id="rId36" Type="http://schemas.openxmlformats.org/officeDocument/2006/relationships/ctrlProp" Target="../ctrlProps/ctrlProp779.xml"/><Relationship Id="rId10" Type="http://schemas.openxmlformats.org/officeDocument/2006/relationships/ctrlProp" Target="../ctrlProps/ctrlProp753.xml"/><Relationship Id="rId19" Type="http://schemas.openxmlformats.org/officeDocument/2006/relationships/ctrlProp" Target="../ctrlProps/ctrlProp762.xml"/><Relationship Id="rId31" Type="http://schemas.openxmlformats.org/officeDocument/2006/relationships/ctrlProp" Target="../ctrlProps/ctrlProp774.xml"/><Relationship Id="rId44" Type="http://schemas.openxmlformats.org/officeDocument/2006/relationships/ctrlProp" Target="../ctrlProps/ctrlProp787.xml"/><Relationship Id="rId4" Type="http://schemas.openxmlformats.org/officeDocument/2006/relationships/oleObject" Target="../embeddings/Microsoft_Word_97_-_2003_Document.doc"/><Relationship Id="rId9" Type="http://schemas.openxmlformats.org/officeDocument/2006/relationships/ctrlProp" Target="../ctrlProps/ctrlProp752.xml"/><Relationship Id="rId14" Type="http://schemas.openxmlformats.org/officeDocument/2006/relationships/ctrlProp" Target="../ctrlProps/ctrlProp757.xml"/><Relationship Id="rId22" Type="http://schemas.openxmlformats.org/officeDocument/2006/relationships/ctrlProp" Target="../ctrlProps/ctrlProp765.xml"/><Relationship Id="rId27" Type="http://schemas.openxmlformats.org/officeDocument/2006/relationships/ctrlProp" Target="../ctrlProps/ctrlProp770.xml"/><Relationship Id="rId30" Type="http://schemas.openxmlformats.org/officeDocument/2006/relationships/ctrlProp" Target="../ctrlProps/ctrlProp773.xml"/><Relationship Id="rId35" Type="http://schemas.openxmlformats.org/officeDocument/2006/relationships/ctrlProp" Target="../ctrlProps/ctrlProp778.xml"/><Relationship Id="rId43" Type="http://schemas.openxmlformats.org/officeDocument/2006/relationships/ctrlProp" Target="../ctrlProps/ctrlProp78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package" Target="../embeddings/Microsoft_Word_Document1.docx"/><Relationship Id="rId11" Type="http://schemas.openxmlformats.org/officeDocument/2006/relationships/comments" Target="../comments1.xml"/><Relationship Id="rId5" Type="http://schemas.openxmlformats.org/officeDocument/2006/relationships/image" Target="../media/image1.emf"/><Relationship Id="rId10" Type="http://schemas.openxmlformats.org/officeDocument/2006/relationships/ctrlProp" Target="../ctrlProps/ctrlProp3.xml"/><Relationship Id="rId4" Type="http://schemas.openxmlformats.org/officeDocument/2006/relationships/package" Target="../embeddings/Microsoft_Word_Document.docx"/><Relationship Id="rId9" Type="http://schemas.openxmlformats.org/officeDocument/2006/relationships/ctrlProp" Target="../ctrlProps/ctrlProp2.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790.xml"/><Relationship Id="rId13" Type="http://schemas.openxmlformats.org/officeDocument/2006/relationships/ctrlProp" Target="../ctrlProps/ctrlProp795.xml"/><Relationship Id="rId18" Type="http://schemas.openxmlformats.org/officeDocument/2006/relationships/ctrlProp" Target="../ctrlProps/ctrlProp800.xml"/><Relationship Id="rId26" Type="http://schemas.openxmlformats.org/officeDocument/2006/relationships/ctrlProp" Target="../ctrlProps/ctrlProp808.xml"/><Relationship Id="rId3" Type="http://schemas.openxmlformats.org/officeDocument/2006/relationships/vmlDrawing" Target="../drawings/vmlDrawing18.vml"/><Relationship Id="rId21" Type="http://schemas.openxmlformats.org/officeDocument/2006/relationships/ctrlProp" Target="../ctrlProps/ctrlProp803.xml"/><Relationship Id="rId7" Type="http://schemas.openxmlformats.org/officeDocument/2006/relationships/ctrlProp" Target="../ctrlProps/ctrlProp789.xml"/><Relationship Id="rId12" Type="http://schemas.openxmlformats.org/officeDocument/2006/relationships/ctrlProp" Target="../ctrlProps/ctrlProp794.xml"/><Relationship Id="rId17" Type="http://schemas.openxmlformats.org/officeDocument/2006/relationships/ctrlProp" Target="../ctrlProps/ctrlProp799.xml"/><Relationship Id="rId25" Type="http://schemas.openxmlformats.org/officeDocument/2006/relationships/ctrlProp" Target="../ctrlProps/ctrlProp807.xml"/><Relationship Id="rId2" Type="http://schemas.openxmlformats.org/officeDocument/2006/relationships/drawing" Target="../drawings/drawing18.xml"/><Relationship Id="rId16" Type="http://schemas.openxmlformats.org/officeDocument/2006/relationships/ctrlProp" Target="../ctrlProps/ctrlProp798.xml"/><Relationship Id="rId20" Type="http://schemas.openxmlformats.org/officeDocument/2006/relationships/ctrlProp" Target="../ctrlProps/ctrlProp802.xml"/><Relationship Id="rId1" Type="http://schemas.openxmlformats.org/officeDocument/2006/relationships/printerSettings" Target="../printerSettings/printerSettings20.bin"/><Relationship Id="rId6" Type="http://schemas.openxmlformats.org/officeDocument/2006/relationships/ctrlProp" Target="../ctrlProps/ctrlProp788.xml"/><Relationship Id="rId11" Type="http://schemas.openxmlformats.org/officeDocument/2006/relationships/ctrlProp" Target="../ctrlProps/ctrlProp793.xml"/><Relationship Id="rId24" Type="http://schemas.openxmlformats.org/officeDocument/2006/relationships/ctrlProp" Target="../ctrlProps/ctrlProp806.xml"/><Relationship Id="rId5" Type="http://schemas.openxmlformats.org/officeDocument/2006/relationships/image" Target="../media/image4.emf"/><Relationship Id="rId15" Type="http://schemas.openxmlformats.org/officeDocument/2006/relationships/ctrlProp" Target="../ctrlProps/ctrlProp797.xml"/><Relationship Id="rId23" Type="http://schemas.openxmlformats.org/officeDocument/2006/relationships/ctrlProp" Target="../ctrlProps/ctrlProp805.xml"/><Relationship Id="rId28" Type="http://schemas.openxmlformats.org/officeDocument/2006/relationships/comments" Target="../comments18.xml"/><Relationship Id="rId10" Type="http://schemas.openxmlformats.org/officeDocument/2006/relationships/ctrlProp" Target="../ctrlProps/ctrlProp792.xml"/><Relationship Id="rId19" Type="http://schemas.openxmlformats.org/officeDocument/2006/relationships/ctrlProp" Target="../ctrlProps/ctrlProp801.xml"/><Relationship Id="rId4" Type="http://schemas.openxmlformats.org/officeDocument/2006/relationships/oleObject" Target="../embeddings/Microsoft_Word_97_-_2003_Document1.doc"/><Relationship Id="rId9" Type="http://schemas.openxmlformats.org/officeDocument/2006/relationships/ctrlProp" Target="../ctrlProps/ctrlProp791.xml"/><Relationship Id="rId14" Type="http://schemas.openxmlformats.org/officeDocument/2006/relationships/ctrlProp" Target="../ctrlProps/ctrlProp796.xml"/><Relationship Id="rId22" Type="http://schemas.openxmlformats.org/officeDocument/2006/relationships/ctrlProp" Target="../ctrlProps/ctrlProp804.xml"/><Relationship Id="rId27" Type="http://schemas.openxmlformats.org/officeDocument/2006/relationships/ctrlProp" Target="../ctrlProps/ctrlProp809.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812.xml"/><Relationship Id="rId13" Type="http://schemas.openxmlformats.org/officeDocument/2006/relationships/ctrlProp" Target="../ctrlProps/ctrlProp817.xml"/><Relationship Id="rId18" Type="http://schemas.openxmlformats.org/officeDocument/2006/relationships/ctrlProp" Target="../ctrlProps/ctrlProp822.xml"/><Relationship Id="rId26" Type="http://schemas.openxmlformats.org/officeDocument/2006/relationships/ctrlProp" Target="../ctrlProps/ctrlProp830.xml"/><Relationship Id="rId3" Type="http://schemas.openxmlformats.org/officeDocument/2006/relationships/vmlDrawing" Target="../drawings/vmlDrawing19.vml"/><Relationship Id="rId21" Type="http://schemas.openxmlformats.org/officeDocument/2006/relationships/ctrlProp" Target="../ctrlProps/ctrlProp825.xml"/><Relationship Id="rId34" Type="http://schemas.openxmlformats.org/officeDocument/2006/relationships/ctrlProp" Target="../ctrlProps/ctrlProp838.xml"/><Relationship Id="rId7" Type="http://schemas.openxmlformats.org/officeDocument/2006/relationships/ctrlProp" Target="../ctrlProps/ctrlProp811.xml"/><Relationship Id="rId12" Type="http://schemas.openxmlformats.org/officeDocument/2006/relationships/ctrlProp" Target="../ctrlProps/ctrlProp816.xml"/><Relationship Id="rId17" Type="http://schemas.openxmlformats.org/officeDocument/2006/relationships/ctrlProp" Target="../ctrlProps/ctrlProp821.xml"/><Relationship Id="rId25" Type="http://schemas.openxmlformats.org/officeDocument/2006/relationships/ctrlProp" Target="../ctrlProps/ctrlProp829.xml"/><Relationship Id="rId33" Type="http://schemas.openxmlformats.org/officeDocument/2006/relationships/ctrlProp" Target="../ctrlProps/ctrlProp837.xml"/><Relationship Id="rId2" Type="http://schemas.openxmlformats.org/officeDocument/2006/relationships/drawing" Target="../drawings/drawing19.xml"/><Relationship Id="rId16" Type="http://schemas.openxmlformats.org/officeDocument/2006/relationships/ctrlProp" Target="../ctrlProps/ctrlProp820.xml"/><Relationship Id="rId20" Type="http://schemas.openxmlformats.org/officeDocument/2006/relationships/ctrlProp" Target="../ctrlProps/ctrlProp824.xml"/><Relationship Id="rId29" Type="http://schemas.openxmlformats.org/officeDocument/2006/relationships/ctrlProp" Target="../ctrlProps/ctrlProp833.xml"/><Relationship Id="rId1" Type="http://schemas.openxmlformats.org/officeDocument/2006/relationships/printerSettings" Target="../printerSettings/printerSettings21.bin"/><Relationship Id="rId6" Type="http://schemas.openxmlformats.org/officeDocument/2006/relationships/ctrlProp" Target="../ctrlProps/ctrlProp810.xml"/><Relationship Id="rId11" Type="http://schemas.openxmlformats.org/officeDocument/2006/relationships/ctrlProp" Target="../ctrlProps/ctrlProp815.xml"/><Relationship Id="rId24" Type="http://schemas.openxmlformats.org/officeDocument/2006/relationships/ctrlProp" Target="../ctrlProps/ctrlProp828.xml"/><Relationship Id="rId32" Type="http://schemas.openxmlformats.org/officeDocument/2006/relationships/ctrlProp" Target="../ctrlProps/ctrlProp836.xml"/><Relationship Id="rId5" Type="http://schemas.openxmlformats.org/officeDocument/2006/relationships/image" Target="../media/image5.emf"/><Relationship Id="rId15" Type="http://schemas.openxmlformats.org/officeDocument/2006/relationships/ctrlProp" Target="../ctrlProps/ctrlProp819.xml"/><Relationship Id="rId23" Type="http://schemas.openxmlformats.org/officeDocument/2006/relationships/ctrlProp" Target="../ctrlProps/ctrlProp827.xml"/><Relationship Id="rId28" Type="http://schemas.openxmlformats.org/officeDocument/2006/relationships/ctrlProp" Target="../ctrlProps/ctrlProp832.xml"/><Relationship Id="rId36" Type="http://schemas.openxmlformats.org/officeDocument/2006/relationships/comments" Target="../comments19.xml"/><Relationship Id="rId10" Type="http://schemas.openxmlformats.org/officeDocument/2006/relationships/ctrlProp" Target="../ctrlProps/ctrlProp814.xml"/><Relationship Id="rId19" Type="http://schemas.openxmlformats.org/officeDocument/2006/relationships/ctrlProp" Target="../ctrlProps/ctrlProp823.xml"/><Relationship Id="rId31" Type="http://schemas.openxmlformats.org/officeDocument/2006/relationships/ctrlProp" Target="../ctrlProps/ctrlProp835.xml"/><Relationship Id="rId4" Type="http://schemas.openxmlformats.org/officeDocument/2006/relationships/oleObject" Target="../embeddings/Microsoft_Word_97_-_2003_Document2.doc"/><Relationship Id="rId9" Type="http://schemas.openxmlformats.org/officeDocument/2006/relationships/ctrlProp" Target="../ctrlProps/ctrlProp813.xml"/><Relationship Id="rId14" Type="http://schemas.openxmlformats.org/officeDocument/2006/relationships/ctrlProp" Target="../ctrlProps/ctrlProp818.xml"/><Relationship Id="rId22" Type="http://schemas.openxmlformats.org/officeDocument/2006/relationships/ctrlProp" Target="../ctrlProps/ctrlProp826.xml"/><Relationship Id="rId27" Type="http://schemas.openxmlformats.org/officeDocument/2006/relationships/ctrlProp" Target="../ctrlProps/ctrlProp831.xml"/><Relationship Id="rId30" Type="http://schemas.openxmlformats.org/officeDocument/2006/relationships/ctrlProp" Target="../ctrlProps/ctrlProp834.xml"/><Relationship Id="rId35" Type="http://schemas.openxmlformats.org/officeDocument/2006/relationships/ctrlProp" Target="../ctrlProps/ctrlProp839.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844.xml"/><Relationship Id="rId3" Type="http://schemas.openxmlformats.org/officeDocument/2006/relationships/vmlDrawing" Target="../drawings/vmlDrawing20.vml"/><Relationship Id="rId7" Type="http://schemas.openxmlformats.org/officeDocument/2006/relationships/ctrlProp" Target="../ctrlProps/ctrlProp843.xml"/><Relationship Id="rId2" Type="http://schemas.openxmlformats.org/officeDocument/2006/relationships/drawing" Target="../drawings/drawing20.xml"/><Relationship Id="rId1" Type="http://schemas.openxmlformats.org/officeDocument/2006/relationships/printerSettings" Target="../printerSettings/printerSettings22.bin"/><Relationship Id="rId6" Type="http://schemas.openxmlformats.org/officeDocument/2006/relationships/ctrlProp" Target="../ctrlProps/ctrlProp842.xml"/><Relationship Id="rId11" Type="http://schemas.openxmlformats.org/officeDocument/2006/relationships/comments" Target="../comments20.xml"/><Relationship Id="rId5" Type="http://schemas.openxmlformats.org/officeDocument/2006/relationships/ctrlProp" Target="../ctrlProps/ctrlProp841.xml"/><Relationship Id="rId10" Type="http://schemas.openxmlformats.org/officeDocument/2006/relationships/ctrlProp" Target="../ctrlProps/ctrlProp846.xml"/><Relationship Id="rId4" Type="http://schemas.openxmlformats.org/officeDocument/2006/relationships/ctrlProp" Target="../ctrlProps/ctrlProp840.xml"/><Relationship Id="rId9" Type="http://schemas.openxmlformats.org/officeDocument/2006/relationships/ctrlProp" Target="../ctrlProps/ctrlProp845.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849.xml"/><Relationship Id="rId13" Type="http://schemas.openxmlformats.org/officeDocument/2006/relationships/ctrlProp" Target="../ctrlProps/ctrlProp854.xml"/><Relationship Id="rId18" Type="http://schemas.openxmlformats.org/officeDocument/2006/relationships/ctrlProp" Target="../ctrlProps/ctrlProp859.xml"/><Relationship Id="rId26" Type="http://schemas.openxmlformats.org/officeDocument/2006/relationships/ctrlProp" Target="../ctrlProps/ctrlProp867.xml"/><Relationship Id="rId3" Type="http://schemas.openxmlformats.org/officeDocument/2006/relationships/vmlDrawing" Target="../drawings/vmlDrawing21.vml"/><Relationship Id="rId21" Type="http://schemas.openxmlformats.org/officeDocument/2006/relationships/ctrlProp" Target="../ctrlProps/ctrlProp862.xml"/><Relationship Id="rId34" Type="http://schemas.openxmlformats.org/officeDocument/2006/relationships/ctrlProp" Target="../ctrlProps/ctrlProp875.xml"/><Relationship Id="rId7" Type="http://schemas.openxmlformats.org/officeDocument/2006/relationships/ctrlProp" Target="../ctrlProps/ctrlProp848.xml"/><Relationship Id="rId12" Type="http://schemas.openxmlformats.org/officeDocument/2006/relationships/ctrlProp" Target="../ctrlProps/ctrlProp853.xml"/><Relationship Id="rId17" Type="http://schemas.openxmlformats.org/officeDocument/2006/relationships/ctrlProp" Target="../ctrlProps/ctrlProp858.xml"/><Relationship Id="rId25" Type="http://schemas.openxmlformats.org/officeDocument/2006/relationships/ctrlProp" Target="../ctrlProps/ctrlProp866.xml"/><Relationship Id="rId33" Type="http://schemas.openxmlformats.org/officeDocument/2006/relationships/ctrlProp" Target="../ctrlProps/ctrlProp874.xml"/><Relationship Id="rId2" Type="http://schemas.openxmlformats.org/officeDocument/2006/relationships/drawing" Target="../drawings/drawing21.xml"/><Relationship Id="rId16" Type="http://schemas.openxmlformats.org/officeDocument/2006/relationships/ctrlProp" Target="../ctrlProps/ctrlProp857.xml"/><Relationship Id="rId20" Type="http://schemas.openxmlformats.org/officeDocument/2006/relationships/ctrlProp" Target="../ctrlProps/ctrlProp861.xml"/><Relationship Id="rId29" Type="http://schemas.openxmlformats.org/officeDocument/2006/relationships/ctrlProp" Target="../ctrlProps/ctrlProp870.xml"/><Relationship Id="rId1" Type="http://schemas.openxmlformats.org/officeDocument/2006/relationships/printerSettings" Target="../printerSettings/printerSettings23.bin"/><Relationship Id="rId6" Type="http://schemas.openxmlformats.org/officeDocument/2006/relationships/ctrlProp" Target="../ctrlProps/ctrlProp847.xml"/><Relationship Id="rId11" Type="http://schemas.openxmlformats.org/officeDocument/2006/relationships/ctrlProp" Target="../ctrlProps/ctrlProp852.xml"/><Relationship Id="rId24" Type="http://schemas.openxmlformats.org/officeDocument/2006/relationships/ctrlProp" Target="../ctrlProps/ctrlProp865.xml"/><Relationship Id="rId32" Type="http://schemas.openxmlformats.org/officeDocument/2006/relationships/ctrlProp" Target="../ctrlProps/ctrlProp873.xml"/><Relationship Id="rId5" Type="http://schemas.openxmlformats.org/officeDocument/2006/relationships/image" Target="../media/image6.emf"/><Relationship Id="rId15" Type="http://schemas.openxmlformats.org/officeDocument/2006/relationships/ctrlProp" Target="../ctrlProps/ctrlProp856.xml"/><Relationship Id="rId23" Type="http://schemas.openxmlformats.org/officeDocument/2006/relationships/ctrlProp" Target="../ctrlProps/ctrlProp864.xml"/><Relationship Id="rId28" Type="http://schemas.openxmlformats.org/officeDocument/2006/relationships/ctrlProp" Target="../ctrlProps/ctrlProp869.xml"/><Relationship Id="rId10" Type="http://schemas.openxmlformats.org/officeDocument/2006/relationships/ctrlProp" Target="../ctrlProps/ctrlProp851.xml"/><Relationship Id="rId19" Type="http://schemas.openxmlformats.org/officeDocument/2006/relationships/ctrlProp" Target="../ctrlProps/ctrlProp860.xml"/><Relationship Id="rId31" Type="http://schemas.openxmlformats.org/officeDocument/2006/relationships/ctrlProp" Target="../ctrlProps/ctrlProp872.xml"/><Relationship Id="rId4" Type="http://schemas.openxmlformats.org/officeDocument/2006/relationships/oleObject" Target="../embeddings/Microsoft_Word_97_-_2003_Document3.doc"/><Relationship Id="rId9" Type="http://schemas.openxmlformats.org/officeDocument/2006/relationships/ctrlProp" Target="../ctrlProps/ctrlProp850.xml"/><Relationship Id="rId14" Type="http://schemas.openxmlformats.org/officeDocument/2006/relationships/ctrlProp" Target="../ctrlProps/ctrlProp855.xml"/><Relationship Id="rId22" Type="http://schemas.openxmlformats.org/officeDocument/2006/relationships/ctrlProp" Target="../ctrlProps/ctrlProp863.xml"/><Relationship Id="rId27" Type="http://schemas.openxmlformats.org/officeDocument/2006/relationships/ctrlProp" Target="../ctrlProps/ctrlProp868.xml"/><Relationship Id="rId30" Type="http://schemas.openxmlformats.org/officeDocument/2006/relationships/ctrlProp" Target="../ctrlProps/ctrlProp871.xml"/><Relationship Id="rId35"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880.xml"/><Relationship Id="rId13" Type="http://schemas.openxmlformats.org/officeDocument/2006/relationships/ctrlProp" Target="../ctrlProps/ctrlProp885.xml"/><Relationship Id="rId18" Type="http://schemas.openxmlformats.org/officeDocument/2006/relationships/ctrlProp" Target="../ctrlProps/ctrlProp890.xml"/><Relationship Id="rId3" Type="http://schemas.openxmlformats.org/officeDocument/2006/relationships/vmlDrawing" Target="../drawings/vmlDrawing22.vml"/><Relationship Id="rId7" Type="http://schemas.openxmlformats.org/officeDocument/2006/relationships/ctrlProp" Target="../ctrlProps/ctrlProp879.xml"/><Relationship Id="rId12" Type="http://schemas.openxmlformats.org/officeDocument/2006/relationships/ctrlProp" Target="../ctrlProps/ctrlProp884.xml"/><Relationship Id="rId17" Type="http://schemas.openxmlformats.org/officeDocument/2006/relationships/ctrlProp" Target="../ctrlProps/ctrlProp889.xml"/><Relationship Id="rId2" Type="http://schemas.openxmlformats.org/officeDocument/2006/relationships/drawing" Target="../drawings/drawing22.xml"/><Relationship Id="rId16" Type="http://schemas.openxmlformats.org/officeDocument/2006/relationships/ctrlProp" Target="../ctrlProps/ctrlProp888.xml"/><Relationship Id="rId1" Type="http://schemas.openxmlformats.org/officeDocument/2006/relationships/printerSettings" Target="../printerSettings/printerSettings24.bin"/><Relationship Id="rId6" Type="http://schemas.openxmlformats.org/officeDocument/2006/relationships/ctrlProp" Target="../ctrlProps/ctrlProp878.xml"/><Relationship Id="rId11" Type="http://schemas.openxmlformats.org/officeDocument/2006/relationships/ctrlProp" Target="../ctrlProps/ctrlProp883.xml"/><Relationship Id="rId5" Type="http://schemas.openxmlformats.org/officeDocument/2006/relationships/ctrlProp" Target="../ctrlProps/ctrlProp877.xml"/><Relationship Id="rId15" Type="http://schemas.openxmlformats.org/officeDocument/2006/relationships/ctrlProp" Target="../ctrlProps/ctrlProp887.xml"/><Relationship Id="rId10" Type="http://schemas.openxmlformats.org/officeDocument/2006/relationships/ctrlProp" Target="../ctrlProps/ctrlProp882.xml"/><Relationship Id="rId19" Type="http://schemas.openxmlformats.org/officeDocument/2006/relationships/comments" Target="../comments22.xml"/><Relationship Id="rId4" Type="http://schemas.openxmlformats.org/officeDocument/2006/relationships/ctrlProp" Target="../ctrlProps/ctrlProp876.xml"/><Relationship Id="rId9" Type="http://schemas.openxmlformats.org/officeDocument/2006/relationships/ctrlProp" Target="../ctrlProps/ctrlProp881.xml"/><Relationship Id="rId14" Type="http://schemas.openxmlformats.org/officeDocument/2006/relationships/ctrlProp" Target="../ctrlProps/ctrlProp886.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898.xml"/><Relationship Id="rId18" Type="http://schemas.openxmlformats.org/officeDocument/2006/relationships/ctrlProp" Target="../ctrlProps/ctrlProp903.xml"/><Relationship Id="rId26" Type="http://schemas.openxmlformats.org/officeDocument/2006/relationships/ctrlProp" Target="../ctrlProps/ctrlProp911.xml"/><Relationship Id="rId39" Type="http://schemas.openxmlformats.org/officeDocument/2006/relationships/ctrlProp" Target="../ctrlProps/ctrlProp924.xml"/><Relationship Id="rId21" Type="http://schemas.openxmlformats.org/officeDocument/2006/relationships/ctrlProp" Target="../ctrlProps/ctrlProp906.xml"/><Relationship Id="rId34" Type="http://schemas.openxmlformats.org/officeDocument/2006/relationships/ctrlProp" Target="../ctrlProps/ctrlProp919.xml"/><Relationship Id="rId42" Type="http://schemas.openxmlformats.org/officeDocument/2006/relationships/ctrlProp" Target="../ctrlProps/ctrlProp927.xml"/><Relationship Id="rId47" Type="http://schemas.openxmlformats.org/officeDocument/2006/relationships/ctrlProp" Target="../ctrlProps/ctrlProp932.xml"/><Relationship Id="rId50" Type="http://schemas.openxmlformats.org/officeDocument/2006/relationships/ctrlProp" Target="../ctrlProps/ctrlProp935.xml"/><Relationship Id="rId55" Type="http://schemas.openxmlformats.org/officeDocument/2006/relationships/ctrlProp" Target="../ctrlProps/ctrlProp940.xml"/><Relationship Id="rId63" Type="http://schemas.openxmlformats.org/officeDocument/2006/relationships/ctrlProp" Target="../ctrlProps/ctrlProp948.xml"/><Relationship Id="rId68" Type="http://schemas.openxmlformats.org/officeDocument/2006/relationships/ctrlProp" Target="../ctrlProps/ctrlProp953.xml"/><Relationship Id="rId76" Type="http://schemas.openxmlformats.org/officeDocument/2006/relationships/ctrlProp" Target="../ctrlProps/ctrlProp961.xml"/><Relationship Id="rId7" Type="http://schemas.openxmlformats.org/officeDocument/2006/relationships/ctrlProp" Target="../ctrlProps/ctrlProp892.xml"/><Relationship Id="rId71" Type="http://schemas.openxmlformats.org/officeDocument/2006/relationships/ctrlProp" Target="../ctrlProps/ctrlProp956.xml"/><Relationship Id="rId2" Type="http://schemas.openxmlformats.org/officeDocument/2006/relationships/drawing" Target="../drawings/drawing23.xml"/><Relationship Id="rId16" Type="http://schemas.openxmlformats.org/officeDocument/2006/relationships/ctrlProp" Target="../ctrlProps/ctrlProp901.xml"/><Relationship Id="rId29" Type="http://schemas.openxmlformats.org/officeDocument/2006/relationships/ctrlProp" Target="../ctrlProps/ctrlProp914.xml"/><Relationship Id="rId11" Type="http://schemas.openxmlformats.org/officeDocument/2006/relationships/ctrlProp" Target="../ctrlProps/ctrlProp896.xml"/><Relationship Id="rId24" Type="http://schemas.openxmlformats.org/officeDocument/2006/relationships/ctrlProp" Target="../ctrlProps/ctrlProp909.xml"/><Relationship Id="rId32" Type="http://schemas.openxmlformats.org/officeDocument/2006/relationships/ctrlProp" Target="../ctrlProps/ctrlProp917.xml"/><Relationship Id="rId37" Type="http://schemas.openxmlformats.org/officeDocument/2006/relationships/ctrlProp" Target="../ctrlProps/ctrlProp922.xml"/><Relationship Id="rId40" Type="http://schemas.openxmlformats.org/officeDocument/2006/relationships/ctrlProp" Target="../ctrlProps/ctrlProp925.xml"/><Relationship Id="rId45" Type="http://schemas.openxmlformats.org/officeDocument/2006/relationships/ctrlProp" Target="../ctrlProps/ctrlProp930.xml"/><Relationship Id="rId53" Type="http://schemas.openxmlformats.org/officeDocument/2006/relationships/ctrlProp" Target="../ctrlProps/ctrlProp938.xml"/><Relationship Id="rId58" Type="http://schemas.openxmlformats.org/officeDocument/2006/relationships/ctrlProp" Target="../ctrlProps/ctrlProp943.xml"/><Relationship Id="rId66" Type="http://schemas.openxmlformats.org/officeDocument/2006/relationships/ctrlProp" Target="../ctrlProps/ctrlProp951.xml"/><Relationship Id="rId74" Type="http://schemas.openxmlformats.org/officeDocument/2006/relationships/ctrlProp" Target="../ctrlProps/ctrlProp959.xml"/><Relationship Id="rId79" Type="http://schemas.openxmlformats.org/officeDocument/2006/relationships/comments" Target="../comments23.xml"/><Relationship Id="rId5" Type="http://schemas.openxmlformats.org/officeDocument/2006/relationships/image" Target="../media/image7.emf"/><Relationship Id="rId61" Type="http://schemas.openxmlformats.org/officeDocument/2006/relationships/ctrlProp" Target="../ctrlProps/ctrlProp946.xml"/><Relationship Id="rId10" Type="http://schemas.openxmlformats.org/officeDocument/2006/relationships/ctrlProp" Target="../ctrlProps/ctrlProp895.xml"/><Relationship Id="rId19" Type="http://schemas.openxmlformats.org/officeDocument/2006/relationships/ctrlProp" Target="../ctrlProps/ctrlProp904.xml"/><Relationship Id="rId31" Type="http://schemas.openxmlformats.org/officeDocument/2006/relationships/ctrlProp" Target="../ctrlProps/ctrlProp916.xml"/><Relationship Id="rId44" Type="http://schemas.openxmlformats.org/officeDocument/2006/relationships/ctrlProp" Target="../ctrlProps/ctrlProp929.xml"/><Relationship Id="rId52" Type="http://schemas.openxmlformats.org/officeDocument/2006/relationships/ctrlProp" Target="../ctrlProps/ctrlProp937.xml"/><Relationship Id="rId60" Type="http://schemas.openxmlformats.org/officeDocument/2006/relationships/ctrlProp" Target="../ctrlProps/ctrlProp945.xml"/><Relationship Id="rId65" Type="http://schemas.openxmlformats.org/officeDocument/2006/relationships/ctrlProp" Target="../ctrlProps/ctrlProp950.xml"/><Relationship Id="rId73" Type="http://schemas.openxmlformats.org/officeDocument/2006/relationships/ctrlProp" Target="../ctrlProps/ctrlProp958.xml"/><Relationship Id="rId78" Type="http://schemas.openxmlformats.org/officeDocument/2006/relationships/ctrlProp" Target="../ctrlProps/ctrlProp963.xml"/><Relationship Id="rId4" Type="http://schemas.openxmlformats.org/officeDocument/2006/relationships/oleObject" Target="../embeddings/Microsoft_Word_97_-_2003_Document4.doc"/><Relationship Id="rId9" Type="http://schemas.openxmlformats.org/officeDocument/2006/relationships/ctrlProp" Target="../ctrlProps/ctrlProp894.xml"/><Relationship Id="rId14" Type="http://schemas.openxmlformats.org/officeDocument/2006/relationships/ctrlProp" Target="../ctrlProps/ctrlProp899.xml"/><Relationship Id="rId22" Type="http://schemas.openxmlformats.org/officeDocument/2006/relationships/ctrlProp" Target="../ctrlProps/ctrlProp907.xml"/><Relationship Id="rId27" Type="http://schemas.openxmlformats.org/officeDocument/2006/relationships/ctrlProp" Target="../ctrlProps/ctrlProp912.xml"/><Relationship Id="rId30" Type="http://schemas.openxmlformats.org/officeDocument/2006/relationships/ctrlProp" Target="../ctrlProps/ctrlProp915.xml"/><Relationship Id="rId35" Type="http://schemas.openxmlformats.org/officeDocument/2006/relationships/ctrlProp" Target="../ctrlProps/ctrlProp920.xml"/><Relationship Id="rId43" Type="http://schemas.openxmlformats.org/officeDocument/2006/relationships/ctrlProp" Target="../ctrlProps/ctrlProp928.xml"/><Relationship Id="rId48" Type="http://schemas.openxmlformats.org/officeDocument/2006/relationships/ctrlProp" Target="../ctrlProps/ctrlProp933.xml"/><Relationship Id="rId56" Type="http://schemas.openxmlformats.org/officeDocument/2006/relationships/ctrlProp" Target="../ctrlProps/ctrlProp941.xml"/><Relationship Id="rId64" Type="http://schemas.openxmlformats.org/officeDocument/2006/relationships/ctrlProp" Target="../ctrlProps/ctrlProp949.xml"/><Relationship Id="rId69" Type="http://schemas.openxmlformats.org/officeDocument/2006/relationships/ctrlProp" Target="../ctrlProps/ctrlProp954.xml"/><Relationship Id="rId77" Type="http://schemas.openxmlformats.org/officeDocument/2006/relationships/ctrlProp" Target="../ctrlProps/ctrlProp962.xml"/><Relationship Id="rId8" Type="http://schemas.openxmlformats.org/officeDocument/2006/relationships/ctrlProp" Target="../ctrlProps/ctrlProp893.xml"/><Relationship Id="rId51" Type="http://schemas.openxmlformats.org/officeDocument/2006/relationships/ctrlProp" Target="../ctrlProps/ctrlProp936.xml"/><Relationship Id="rId72" Type="http://schemas.openxmlformats.org/officeDocument/2006/relationships/ctrlProp" Target="../ctrlProps/ctrlProp957.xml"/><Relationship Id="rId3" Type="http://schemas.openxmlformats.org/officeDocument/2006/relationships/vmlDrawing" Target="../drawings/vmlDrawing23.vml"/><Relationship Id="rId12" Type="http://schemas.openxmlformats.org/officeDocument/2006/relationships/ctrlProp" Target="../ctrlProps/ctrlProp897.xml"/><Relationship Id="rId17" Type="http://schemas.openxmlformats.org/officeDocument/2006/relationships/ctrlProp" Target="../ctrlProps/ctrlProp902.xml"/><Relationship Id="rId25" Type="http://schemas.openxmlformats.org/officeDocument/2006/relationships/ctrlProp" Target="../ctrlProps/ctrlProp910.xml"/><Relationship Id="rId33" Type="http://schemas.openxmlformats.org/officeDocument/2006/relationships/ctrlProp" Target="../ctrlProps/ctrlProp918.xml"/><Relationship Id="rId38" Type="http://schemas.openxmlformats.org/officeDocument/2006/relationships/ctrlProp" Target="../ctrlProps/ctrlProp923.xml"/><Relationship Id="rId46" Type="http://schemas.openxmlformats.org/officeDocument/2006/relationships/ctrlProp" Target="../ctrlProps/ctrlProp931.xml"/><Relationship Id="rId59" Type="http://schemas.openxmlformats.org/officeDocument/2006/relationships/ctrlProp" Target="../ctrlProps/ctrlProp944.xml"/><Relationship Id="rId67" Type="http://schemas.openxmlformats.org/officeDocument/2006/relationships/ctrlProp" Target="../ctrlProps/ctrlProp952.xml"/><Relationship Id="rId20" Type="http://schemas.openxmlformats.org/officeDocument/2006/relationships/ctrlProp" Target="../ctrlProps/ctrlProp905.xml"/><Relationship Id="rId41" Type="http://schemas.openxmlformats.org/officeDocument/2006/relationships/ctrlProp" Target="../ctrlProps/ctrlProp926.xml"/><Relationship Id="rId54" Type="http://schemas.openxmlformats.org/officeDocument/2006/relationships/ctrlProp" Target="../ctrlProps/ctrlProp939.xml"/><Relationship Id="rId62" Type="http://schemas.openxmlformats.org/officeDocument/2006/relationships/ctrlProp" Target="../ctrlProps/ctrlProp947.xml"/><Relationship Id="rId70" Type="http://schemas.openxmlformats.org/officeDocument/2006/relationships/ctrlProp" Target="../ctrlProps/ctrlProp955.xml"/><Relationship Id="rId75" Type="http://schemas.openxmlformats.org/officeDocument/2006/relationships/ctrlProp" Target="../ctrlProps/ctrlProp960.xml"/><Relationship Id="rId1" Type="http://schemas.openxmlformats.org/officeDocument/2006/relationships/printerSettings" Target="../printerSettings/printerSettings25.bin"/><Relationship Id="rId6" Type="http://schemas.openxmlformats.org/officeDocument/2006/relationships/ctrlProp" Target="../ctrlProps/ctrlProp891.xml"/><Relationship Id="rId15" Type="http://schemas.openxmlformats.org/officeDocument/2006/relationships/ctrlProp" Target="../ctrlProps/ctrlProp900.xml"/><Relationship Id="rId23" Type="http://schemas.openxmlformats.org/officeDocument/2006/relationships/ctrlProp" Target="../ctrlProps/ctrlProp908.xml"/><Relationship Id="rId28" Type="http://schemas.openxmlformats.org/officeDocument/2006/relationships/ctrlProp" Target="../ctrlProps/ctrlProp913.xml"/><Relationship Id="rId36" Type="http://schemas.openxmlformats.org/officeDocument/2006/relationships/ctrlProp" Target="../ctrlProps/ctrlProp921.xml"/><Relationship Id="rId49" Type="http://schemas.openxmlformats.org/officeDocument/2006/relationships/ctrlProp" Target="../ctrlProps/ctrlProp934.xml"/><Relationship Id="rId57" Type="http://schemas.openxmlformats.org/officeDocument/2006/relationships/ctrlProp" Target="../ctrlProps/ctrlProp942.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973.xml"/><Relationship Id="rId18" Type="http://schemas.openxmlformats.org/officeDocument/2006/relationships/ctrlProp" Target="../ctrlProps/ctrlProp978.xml"/><Relationship Id="rId26" Type="http://schemas.openxmlformats.org/officeDocument/2006/relationships/ctrlProp" Target="../ctrlProps/ctrlProp986.xml"/><Relationship Id="rId39" Type="http://schemas.openxmlformats.org/officeDocument/2006/relationships/ctrlProp" Target="../ctrlProps/ctrlProp999.xml"/><Relationship Id="rId3" Type="http://schemas.openxmlformats.org/officeDocument/2006/relationships/vmlDrawing" Target="../drawings/vmlDrawing24.vml"/><Relationship Id="rId21" Type="http://schemas.openxmlformats.org/officeDocument/2006/relationships/ctrlProp" Target="../ctrlProps/ctrlProp981.xml"/><Relationship Id="rId34" Type="http://schemas.openxmlformats.org/officeDocument/2006/relationships/ctrlProp" Target="../ctrlProps/ctrlProp994.xml"/><Relationship Id="rId42" Type="http://schemas.openxmlformats.org/officeDocument/2006/relationships/ctrlProp" Target="../ctrlProps/ctrlProp1002.xml"/><Relationship Id="rId47" Type="http://schemas.openxmlformats.org/officeDocument/2006/relationships/ctrlProp" Target="../ctrlProps/ctrlProp1007.xml"/><Relationship Id="rId50" Type="http://schemas.openxmlformats.org/officeDocument/2006/relationships/ctrlProp" Target="../ctrlProps/ctrlProp1010.xml"/><Relationship Id="rId7" Type="http://schemas.openxmlformats.org/officeDocument/2006/relationships/ctrlProp" Target="../ctrlProps/ctrlProp967.xml"/><Relationship Id="rId12" Type="http://schemas.openxmlformats.org/officeDocument/2006/relationships/ctrlProp" Target="../ctrlProps/ctrlProp972.xml"/><Relationship Id="rId17" Type="http://schemas.openxmlformats.org/officeDocument/2006/relationships/ctrlProp" Target="../ctrlProps/ctrlProp977.xml"/><Relationship Id="rId25" Type="http://schemas.openxmlformats.org/officeDocument/2006/relationships/ctrlProp" Target="../ctrlProps/ctrlProp985.xml"/><Relationship Id="rId33" Type="http://schemas.openxmlformats.org/officeDocument/2006/relationships/ctrlProp" Target="../ctrlProps/ctrlProp993.xml"/><Relationship Id="rId38" Type="http://schemas.openxmlformats.org/officeDocument/2006/relationships/ctrlProp" Target="../ctrlProps/ctrlProp998.xml"/><Relationship Id="rId46" Type="http://schemas.openxmlformats.org/officeDocument/2006/relationships/ctrlProp" Target="../ctrlProps/ctrlProp1006.xml"/><Relationship Id="rId2" Type="http://schemas.openxmlformats.org/officeDocument/2006/relationships/drawing" Target="../drawings/drawing24.xml"/><Relationship Id="rId16" Type="http://schemas.openxmlformats.org/officeDocument/2006/relationships/ctrlProp" Target="../ctrlProps/ctrlProp976.xml"/><Relationship Id="rId20" Type="http://schemas.openxmlformats.org/officeDocument/2006/relationships/ctrlProp" Target="../ctrlProps/ctrlProp980.xml"/><Relationship Id="rId29" Type="http://schemas.openxmlformats.org/officeDocument/2006/relationships/ctrlProp" Target="../ctrlProps/ctrlProp989.xml"/><Relationship Id="rId41" Type="http://schemas.openxmlformats.org/officeDocument/2006/relationships/ctrlProp" Target="../ctrlProps/ctrlProp1001.xml"/><Relationship Id="rId1" Type="http://schemas.openxmlformats.org/officeDocument/2006/relationships/printerSettings" Target="../printerSettings/printerSettings26.bin"/><Relationship Id="rId6" Type="http://schemas.openxmlformats.org/officeDocument/2006/relationships/ctrlProp" Target="../ctrlProps/ctrlProp966.xml"/><Relationship Id="rId11" Type="http://schemas.openxmlformats.org/officeDocument/2006/relationships/ctrlProp" Target="../ctrlProps/ctrlProp971.xml"/><Relationship Id="rId24" Type="http://schemas.openxmlformats.org/officeDocument/2006/relationships/ctrlProp" Target="../ctrlProps/ctrlProp984.xml"/><Relationship Id="rId32" Type="http://schemas.openxmlformats.org/officeDocument/2006/relationships/ctrlProp" Target="../ctrlProps/ctrlProp992.xml"/><Relationship Id="rId37" Type="http://schemas.openxmlformats.org/officeDocument/2006/relationships/ctrlProp" Target="../ctrlProps/ctrlProp997.xml"/><Relationship Id="rId40" Type="http://schemas.openxmlformats.org/officeDocument/2006/relationships/ctrlProp" Target="../ctrlProps/ctrlProp1000.xml"/><Relationship Id="rId45" Type="http://schemas.openxmlformats.org/officeDocument/2006/relationships/ctrlProp" Target="../ctrlProps/ctrlProp1005.xml"/><Relationship Id="rId5" Type="http://schemas.openxmlformats.org/officeDocument/2006/relationships/ctrlProp" Target="../ctrlProps/ctrlProp965.xml"/><Relationship Id="rId15" Type="http://schemas.openxmlformats.org/officeDocument/2006/relationships/ctrlProp" Target="../ctrlProps/ctrlProp975.xml"/><Relationship Id="rId23" Type="http://schemas.openxmlformats.org/officeDocument/2006/relationships/ctrlProp" Target="../ctrlProps/ctrlProp983.xml"/><Relationship Id="rId28" Type="http://schemas.openxmlformats.org/officeDocument/2006/relationships/ctrlProp" Target="../ctrlProps/ctrlProp988.xml"/><Relationship Id="rId36" Type="http://schemas.openxmlformats.org/officeDocument/2006/relationships/ctrlProp" Target="../ctrlProps/ctrlProp996.xml"/><Relationship Id="rId49" Type="http://schemas.openxmlformats.org/officeDocument/2006/relationships/ctrlProp" Target="../ctrlProps/ctrlProp1009.xml"/><Relationship Id="rId10" Type="http://schemas.openxmlformats.org/officeDocument/2006/relationships/ctrlProp" Target="../ctrlProps/ctrlProp970.xml"/><Relationship Id="rId19" Type="http://schemas.openxmlformats.org/officeDocument/2006/relationships/ctrlProp" Target="../ctrlProps/ctrlProp979.xml"/><Relationship Id="rId31" Type="http://schemas.openxmlformats.org/officeDocument/2006/relationships/ctrlProp" Target="../ctrlProps/ctrlProp991.xml"/><Relationship Id="rId44" Type="http://schemas.openxmlformats.org/officeDocument/2006/relationships/ctrlProp" Target="../ctrlProps/ctrlProp1004.xml"/><Relationship Id="rId4" Type="http://schemas.openxmlformats.org/officeDocument/2006/relationships/ctrlProp" Target="../ctrlProps/ctrlProp964.xml"/><Relationship Id="rId9" Type="http://schemas.openxmlformats.org/officeDocument/2006/relationships/ctrlProp" Target="../ctrlProps/ctrlProp969.xml"/><Relationship Id="rId14" Type="http://schemas.openxmlformats.org/officeDocument/2006/relationships/ctrlProp" Target="../ctrlProps/ctrlProp974.xml"/><Relationship Id="rId22" Type="http://schemas.openxmlformats.org/officeDocument/2006/relationships/ctrlProp" Target="../ctrlProps/ctrlProp982.xml"/><Relationship Id="rId27" Type="http://schemas.openxmlformats.org/officeDocument/2006/relationships/ctrlProp" Target="../ctrlProps/ctrlProp987.xml"/><Relationship Id="rId30" Type="http://schemas.openxmlformats.org/officeDocument/2006/relationships/ctrlProp" Target="../ctrlProps/ctrlProp990.xml"/><Relationship Id="rId35" Type="http://schemas.openxmlformats.org/officeDocument/2006/relationships/ctrlProp" Target="../ctrlProps/ctrlProp995.xml"/><Relationship Id="rId43" Type="http://schemas.openxmlformats.org/officeDocument/2006/relationships/ctrlProp" Target="../ctrlProps/ctrlProp1003.xml"/><Relationship Id="rId48" Type="http://schemas.openxmlformats.org/officeDocument/2006/relationships/ctrlProp" Target="../ctrlProps/ctrlProp1008.xml"/><Relationship Id="rId8" Type="http://schemas.openxmlformats.org/officeDocument/2006/relationships/ctrlProp" Target="../ctrlProps/ctrlProp968.xml"/><Relationship Id="rId51"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1015.xml"/><Relationship Id="rId13" Type="http://schemas.openxmlformats.org/officeDocument/2006/relationships/ctrlProp" Target="../ctrlProps/ctrlProp1020.xml"/><Relationship Id="rId3" Type="http://schemas.openxmlformats.org/officeDocument/2006/relationships/vmlDrawing" Target="../drawings/vmlDrawing25.vml"/><Relationship Id="rId7" Type="http://schemas.openxmlformats.org/officeDocument/2006/relationships/ctrlProp" Target="../ctrlProps/ctrlProp1014.xml"/><Relationship Id="rId12" Type="http://schemas.openxmlformats.org/officeDocument/2006/relationships/ctrlProp" Target="../ctrlProps/ctrlProp1019.xml"/><Relationship Id="rId2" Type="http://schemas.openxmlformats.org/officeDocument/2006/relationships/drawing" Target="../drawings/drawing25.xml"/><Relationship Id="rId16" Type="http://schemas.openxmlformats.org/officeDocument/2006/relationships/comments" Target="../comments25.xml"/><Relationship Id="rId1" Type="http://schemas.openxmlformats.org/officeDocument/2006/relationships/printerSettings" Target="../printerSettings/printerSettings27.bin"/><Relationship Id="rId6" Type="http://schemas.openxmlformats.org/officeDocument/2006/relationships/ctrlProp" Target="../ctrlProps/ctrlProp1013.xml"/><Relationship Id="rId11" Type="http://schemas.openxmlformats.org/officeDocument/2006/relationships/ctrlProp" Target="../ctrlProps/ctrlProp1018.xml"/><Relationship Id="rId5" Type="http://schemas.openxmlformats.org/officeDocument/2006/relationships/ctrlProp" Target="../ctrlProps/ctrlProp1012.xml"/><Relationship Id="rId15" Type="http://schemas.openxmlformats.org/officeDocument/2006/relationships/ctrlProp" Target="../ctrlProps/ctrlProp1022.xml"/><Relationship Id="rId10" Type="http://schemas.openxmlformats.org/officeDocument/2006/relationships/ctrlProp" Target="../ctrlProps/ctrlProp1017.xml"/><Relationship Id="rId4" Type="http://schemas.openxmlformats.org/officeDocument/2006/relationships/ctrlProp" Target="../ctrlProps/ctrlProp1011.xml"/><Relationship Id="rId9" Type="http://schemas.openxmlformats.org/officeDocument/2006/relationships/ctrlProp" Target="../ctrlProps/ctrlProp1016.xml"/><Relationship Id="rId14" Type="http://schemas.openxmlformats.org/officeDocument/2006/relationships/ctrlProp" Target="../ctrlProps/ctrlProp1021.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1027.xml"/><Relationship Id="rId3" Type="http://schemas.openxmlformats.org/officeDocument/2006/relationships/vmlDrawing" Target="../drawings/vmlDrawing26.vml"/><Relationship Id="rId7" Type="http://schemas.openxmlformats.org/officeDocument/2006/relationships/ctrlProp" Target="../ctrlProps/ctrlProp1026.xml"/><Relationship Id="rId2" Type="http://schemas.openxmlformats.org/officeDocument/2006/relationships/drawing" Target="../drawings/drawing26.xml"/><Relationship Id="rId1" Type="http://schemas.openxmlformats.org/officeDocument/2006/relationships/printerSettings" Target="../printerSettings/printerSettings28.bin"/><Relationship Id="rId6" Type="http://schemas.openxmlformats.org/officeDocument/2006/relationships/ctrlProp" Target="../ctrlProps/ctrlProp1025.xml"/><Relationship Id="rId5" Type="http://schemas.openxmlformats.org/officeDocument/2006/relationships/ctrlProp" Target="../ctrlProps/ctrlProp1024.xml"/><Relationship Id="rId4" Type="http://schemas.openxmlformats.org/officeDocument/2006/relationships/ctrlProp" Target="../ctrlProps/ctrlProp1023.xml"/><Relationship Id="rId9"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ctrlProp" Target="../ctrlProps/ctrlProp7.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30.xml"/><Relationship Id="rId117" Type="http://schemas.openxmlformats.org/officeDocument/2006/relationships/ctrlProp" Target="../ctrlProps/ctrlProp121.xml"/><Relationship Id="rId21" Type="http://schemas.openxmlformats.org/officeDocument/2006/relationships/ctrlProp" Target="../ctrlProps/ctrlProp25.xml"/><Relationship Id="rId42" Type="http://schemas.openxmlformats.org/officeDocument/2006/relationships/ctrlProp" Target="../ctrlProps/ctrlProp46.xml"/><Relationship Id="rId47" Type="http://schemas.openxmlformats.org/officeDocument/2006/relationships/ctrlProp" Target="../ctrlProps/ctrlProp51.xml"/><Relationship Id="rId63" Type="http://schemas.openxmlformats.org/officeDocument/2006/relationships/ctrlProp" Target="../ctrlProps/ctrlProp67.xml"/><Relationship Id="rId68" Type="http://schemas.openxmlformats.org/officeDocument/2006/relationships/ctrlProp" Target="../ctrlProps/ctrlProp72.xml"/><Relationship Id="rId84" Type="http://schemas.openxmlformats.org/officeDocument/2006/relationships/ctrlProp" Target="../ctrlProps/ctrlProp88.xml"/><Relationship Id="rId89" Type="http://schemas.openxmlformats.org/officeDocument/2006/relationships/ctrlProp" Target="../ctrlProps/ctrlProp93.xml"/><Relationship Id="rId112" Type="http://schemas.openxmlformats.org/officeDocument/2006/relationships/ctrlProp" Target="../ctrlProps/ctrlProp116.xml"/><Relationship Id="rId133" Type="http://schemas.openxmlformats.org/officeDocument/2006/relationships/ctrlProp" Target="../ctrlProps/ctrlProp137.xml"/><Relationship Id="rId138" Type="http://schemas.openxmlformats.org/officeDocument/2006/relationships/ctrlProp" Target="../ctrlProps/ctrlProp142.xml"/><Relationship Id="rId154" Type="http://schemas.openxmlformats.org/officeDocument/2006/relationships/ctrlProp" Target="../ctrlProps/ctrlProp158.xml"/><Relationship Id="rId159" Type="http://schemas.openxmlformats.org/officeDocument/2006/relationships/ctrlProp" Target="../ctrlProps/ctrlProp163.xml"/><Relationship Id="rId175" Type="http://schemas.openxmlformats.org/officeDocument/2006/relationships/ctrlProp" Target="../ctrlProps/ctrlProp179.xml"/><Relationship Id="rId170" Type="http://schemas.openxmlformats.org/officeDocument/2006/relationships/ctrlProp" Target="../ctrlProps/ctrlProp174.xml"/><Relationship Id="rId16" Type="http://schemas.openxmlformats.org/officeDocument/2006/relationships/ctrlProp" Target="../ctrlProps/ctrlProp20.xml"/><Relationship Id="rId107" Type="http://schemas.openxmlformats.org/officeDocument/2006/relationships/ctrlProp" Target="../ctrlProps/ctrlProp111.xml"/><Relationship Id="rId11" Type="http://schemas.openxmlformats.org/officeDocument/2006/relationships/ctrlProp" Target="../ctrlProps/ctrlProp15.xml"/><Relationship Id="rId32" Type="http://schemas.openxmlformats.org/officeDocument/2006/relationships/ctrlProp" Target="../ctrlProps/ctrlProp36.xml"/><Relationship Id="rId37" Type="http://schemas.openxmlformats.org/officeDocument/2006/relationships/ctrlProp" Target="../ctrlProps/ctrlProp41.xml"/><Relationship Id="rId53" Type="http://schemas.openxmlformats.org/officeDocument/2006/relationships/ctrlProp" Target="../ctrlProps/ctrlProp57.xml"/><Relationship Id="rId58" Type="http://schemas.openxmlformats.org/officeDocument/2006/relationships/ctrlProp" Target="../ctrlProps/ctrlProp62.xml"/><Relationship Id="rId74" Type="http://schemas.openxmlformats.org/officeDocument/2006/relationships/ctrlProp" Target="../ctrlProps/ctrlProp78.xml"/><Relationship Id="rId79" Type="http://schemas.openxmlformats.org/officeDocument/2006/relationships/ctrlProp" Target="../ctrlProps/ctrlProp83.xml"/><Relationship Id="rId102" Type="http://schemas.openxmlformats.org/officeDocument/2006/relationships/ctrlProp" Target="../ctrlProps/ctrlProp106.xml"/><Relationship Id="rId123" Type="http://schemas.openxmlformats.org/officeDocument/2006/relationships/ctrlProp" Target="../ctrlProps/ctrlProp127.xml"/><Relationship Id="rId128" Type="http://schemas.openxmlformats.org/officeDocument/2006/relationships/ctrlProp" Target="../ctrlProps/ctrlProp132.xml"/><Relationship Id="rId144" Type="http://schemas.openxmlformats.org/officeDocument/2006/relationships/ctrlProp" Target="../ctrlProps/ctrlProp148.xml"/><Relationship Id="rId149" Type="http://schemas.openxmlformats.org/officeDocument/2006/relationships/ctrlProp" Target="../ctrlProps/ctrlProp153.xml"/><Relationship Id="rId5" Type="http://schemas.openxmlformats.org/officeDocument/2006/relationships/ctrlProp" Target="../ctrlProps/ctrlProp9.xml"/><Relationship Id="rId90" Type="http://schemas.openxmlformats.org/officeDocument/2006/relationships/ctrlProp" Target="../ctrlProps/ctrlProp94.xml"/><Relationship Id="rId95" Type="http://schemas.openxmlformats.org/officeDocument/2006/relationships/ctrlProp" Target="../ctrlProps/ctrlProp99.xml"/><Relationship Id="rId160" Type="http://schemas.openxmlformats.org/officeDocument/2006/relationships/ctrlProp" Target="../ctrlProps/ctrlProp164.xml"/><Relationship Id="rId165" Type="http://schemas.openxmlformats.org/officeDocument/2006/relationships/ctrlProp" Target="../ctrlProps/ctrlProp169.xml"/><Relationship Id="rId181" Type="http://schemas.openxmlformats.org/officeDocument/2006/relationships/ctrlProp" Target="../ctrlProps/ctrlProp185.xml"/><Relationship Id="rId186" Type="http://schemas.openxmlformats.org/officeDocument/2006/relationships/comments" Target="../comments3.xml"/><Relationship Id="rId22" Type="http://schemas.openxmlformats.org/officeDocument/2006/relationships/ctrlProp" Target="../ctrlProps/ctrlProp26.xml"/><Relationship Id="rId27" Type="http://schemas.openxmlformats.org/officeDocument/2006/relationships/ctrlProp" Target="../ctrlProps/ctrlProp31.xml"/><Relationship Id="rId43" Type="http://schemas.openxmlformats.org/officeDocument/2006/relationships/ctrlProp" Target="../ctrlProps/ctrlProp47.xml"/><Relationship Id="rId48" Type="http://schemas.openxmlformats.org/officeDocument/2006/relationships/ctrlProp" Target="../ctrlProps/ctrlProp52.xml"/><Relationship Id="rId64" Type="http://schemas.openxmlformats.org/officeDocument/2006/relationships/ctrlProp" Target="../ctrlProps/ctrlProp68.xml"/><Relationship Id="rId69" Type="http://schemas.openxmlformats.org/officeDocument/2006/relationships/ctrlProp" Target="../ctrlProps/ctrlProp73.xml"/><Relationship Id="rId113" Type="http://schemas.openxmlformats.org/officeDocument/2006/relationships/ctrlProp" Target="../ctrlProps/ctrlProp117.xml"/><Relationship Id="rId118" Type="http://schemas.openxmlformats.org/officeDocument/2006/relationships/ctrlProp" Target="../ctrlProps/ctrlProp122.xml"/><Relationship Id="rId134" Type="http://schemas.openxmlformats.org/officeDocument/2006/relationships/ctrlProp" Target="../ctrlProps/ctrlProp138.xml"/><Relationship Id="rId139" Type="http://schemas.openxmlformats.org/officeDocument/2006/relationships/ctrlProp" Target="../ctrlProps/ctrlProp143.xml"/><Relationship Id="rId80" Type="http://schemas.openxmlformats.org/officeDocument/2006/relationships/ctrlProp" Target="../ctrlProps/ctrlProp84.xml"/><Relationship Id="rId85" Type="http://schemas.openxmlformats.org/officeDocument/2006/relationships/ctrlProp" Target="../ctrlProps/ctrlProp89.xml"/><Relationship Id="rId150" Type="http://schemas.openxmlformats.org/officeDocument/2006/relationships/ctrlProp" Target="../ctrlProps/ctrlProp154.xml"/><Relationship Id="rId155" Type="http://schemas.openxmlformats.org/officeDocument/2006/relationships/ctrlProp" Target="../ctrlProps/ctrlProp159.xml"/><Relationship Id="rId171" Type="http://schemas.openxmlformats.org/officeDocument/2006/relationships/ctrlProp" Target="../ctrlProps/ctrlProp175.xml"/><Relationship Id="rId176" Type="http://schemas.openxmlformats.org/officeDocument/2006/relationships/ctrlProp" Target="../ctrlProps/ctrlProp180.xml"/><Relationship Id="rId12" Type="http://schemas.openxmlformats.org/officeDocument/2006/relationships/ctrlProp" Target="../ctrlProps/ctrlProp16.xml"/><Relationship Id="rId17" Type="http://schemas.openxmlformats.org/officeDocument/2006/relationships/ctrlProp" Target="../ctrlProps/ctrlProp21.xml"/><Relationship Id="rId33" Type="http://schemas.openxmlformats.org/officeDocument/2006/relationships/ctrlProp" Target="../ctrlProps/ctrlProp37.xml"/><Relationship Id="rId38" Type="http://schemas.openxmlformats.org/officeDocument/2006/relationships/ctrlProp" Target="../ctrlProps/ctrlProp42.xml"/><Relationship Id="rId59" Type="http://schemas.openxmlformats.org/officeDocument/2006/relationships/ctrlProp" Target="../ctrlProps/ctrlProp63.xml"/><Relationship Id="rId103" Type="http://schemas.openxmlformats.org/officeDocument/2006/relationships/ctrlProp" Target="../ctrlProps/ctrlProp107.xml"/><Relationship Id="rId108" Type="http://schemas.openxmlformats.org/officeDocument/2006/relationships/ctrlProp" Target="../ctrlProps/ctrlProp112.xml"/><Relationship Id="rId124" Type="http://schemas.openxmlformats.org/officeDocument/2006/relationships/ctrlProp" Target="../ctrlProps/ctrlProp128.xml"/><Relationship Id="rId129" Type="http://schemas.openxmlformats.org/officeDocument/2006/relationships/ctrlProp" Target="../ctrlProps/ctrlProp133.xml"/><Relationship Id="rId54" Type="http://schemas.openxmlformats.org/officeDocument/2006/relationships/ctrlProp" Target="../ctrlProps/ctrlProp58.xml"/><Relationship Id="rId70" Type="http://schemas.openxmlformats.org/officeDocument/2006/relationships/ctrlProp" Target="../ctrlProps/ctrlProp74.xml"/><Relationship Id="rId75" Type="http://schemas.openxmlformats.org/officeDocument/2006/relationships/ctrlProp" Target="../ctrlProps/ctrlProp79.xml"/><Relationship Id="rId91" Type="http://schemas.openxmlformats.org/officeDocument/2006/relationships/ctrlProp" Target="../ctrlProps/ctrlProp95.xml"/><Relationship Id="rId96" Type="http://schemas.openxmlformats.org/officeDocument/2006/relationships/ctrlProp" Target="../ctrlProps/ctrlProp100.xml"/><Relationship Id="rId140" Type="http://schemas.openxmlformats.org/officeDocument/2006/relationships/ctrlProp" Target="../ctrlProps/ctrlProp144.xml"/><Relationship Id="rId145" Type="http://schemas.openxmlformats.org/officeDocument/2006/relationships/ctrlProp" Target="../ctrlProps/ctrlProp149.xml"/><Relationship Id="rId161" Type="http://schemas.openxmlformats.org/officeDocument/2006/relationships/ctrlProp" Target="../ctrlProps/ctrlProp165.xml"/><Relationship Id="rId166" Type="http://schemas.openxmlformats.org/officeDocument/2006/relationships/ctrlProp" Target="../ctrlProps/ctrlProp170.xml"/><Relationship Id="rId182" Type="http://schemas.openxmlformats.org/officeDocument/2006/relationships/ctrlProp" Target="../ctrlProps/ctrlProp186.xml"/><Relationship Id="rId1" Type="http://schemas.openxmlformats.org/officeDocument/2006/relationships/printerSettings" Target="../printerSettings/printerSettings5.bin"/><Relationship Id="rId6" Type="http://schemas.openxmlformats.org/officeDocument/2006/relationships/ctrlProp" Target="../ctrlProps/ctrlProp10.xml"/><Relationship Id="rId23" Type="http://schemas.openxmlformats.org/officeDocument/2006/relationships/ctrlProp" Target="../ctrlProps/ctrlProp27.xml"/><Relationship Id="rId28" Type="http://schemas.openxmlformats.org/officeDocument/2006/relationships/ctrlProp" Target="../ctrlProps/ctrlProp32.xml"/><Relationship Id="rId49" Type="http://schemas.openxmlformats.org/officeDocument/2006/relationships/ctrlProp" Target="../ctrlProps/ctrlProp53.xml"/><Relationship Id="rId114" Type="http://schemas.openxmlformats.org/officeDocument/2006/relationships/ctrlProp" Target="../ctrlProps/ctrlProp118.xml"/><Relationship Id="rId119" Type="http://schemas.openxmlformats.org/officeDocument/2006/relationships/ctrlProp" Target="../ctrlProps/ctrlProp123.xml"/><Relationship Id="rId44" Type="http://schemas.openxmlformats.org/officeDocument/2006/relationships/ctrlProp" Target="../ctrlProps/ctrlProp48.xml"/><Relationship Id="rId60" Type="http://schemas.openxmlformats.org/officeDocument/2006/relationships/ctrlProp" Target="../ctrlProps/ctrlProp64.xml"/><Relationship Id="rId65" Type="http://schemas.openxmlformats.org/officeDocument/2006/relationships/ctrlProp" Target="../ctrlProps/ctrlProp69.xml"/><Relationship Id="rId81" Type="http://schemas.openxmlformats.org/officeDocument/2006/relationships/ctrlProp" Target="../ctrlProps/ctrlProp85.xml"/><Relationship Id="rId86" Type="http://schemas.openxmlformats.org/officeDocument/2006/relationships/ctrlProp" Target="../ctrlProps/ctrlProp90.xml"/><Relationship Id="rId130" Type="http://schemas.openxmlformats.org/officeDocument/2006/relationships/ctrlProp" Target="../ctrlProps/ctrlProp134.xml"/><Relationship Id="rId135" Type="http://schemas.openxmlformats.org/officeDocument/2006/relationships/ctrlProp" Target="../ctrlProps/ctrlProp139.xml"/><Relationship Id="rId151" Type="http://schemas.openxmlformats.org/officeDocument/2006/relationships/ctrlProp" Target="../ctrlProps/ctrlProp155.xml"/><Relationship Id="rId156" Type="http://schemas.openxmlformats.org/officeDocument/2006/relationships/ctrlProp" Target="../ctrlProps/ctrlProp160.xml"/><Relationship Id="rId177" Type="http://schemas.openxmlformats.org/officeDocument/2006/relationships/ctrlProp" Target="../ctrlProps/ctrlProp181.xml"/><Relationship Id="rId4" Type="http://schemas.openxmlformats.org/officeDocument/2006/relationships/ctrlProp" Target="../ctrlProps/ctrlProp8.xml"/><Relationship Id="rId9" Type="http://schemas.openxmlformats.org/officeDocument/2006/relationships/ctrlProp" Target="../ctrlProps/ctrlProp13.xml"/><Relationship Id="rId172" Type="http://schemas.openxmlformats.org/officeDocument/2006/relationships/ctrlProp" Target="../ctrlProps/ctrlProp176.xml"/><Relationship Id="rId180" Type="http://schemas.openxmlformats.org/officeDocument/2006/relationships/ctrlProp" Target="../ctrlProps/ctrlProp184.xml"/><Relationship Id="rId13" Type="http://schemas.openxmlformats.org/officeDocument/2006/relationships/ctrlProp" Target="../ctrlProps/ctrlProp17.xml"/><Relationship Id="rId18" Type="http://schemas.openxmlformats.org/officeDocument/2006/relationships/ctrlProp" Target="../ctrlProps/ctrlProp22.xml"/><Relationship Id="rId39" Type="http://schemas.openxmlformats.org/officeDocument/2006/relationships/ctrlProp" Target="../ctrlProps/ctrlProp43.xml"/><Relationship Id="rId109" Type="http://schemas.openxmlformats.org/officeDocument/2006/relationships/ctrlProp" Target="../ctrlProps/ctrlProp113.xml"/><Relationship Id="rId34" Type="http://schemas.openxmlformats.org/officeDocument/2006/relationships/ctrlProp" Target="../ctrlProps/ctrlProp38.xml"/><Relationship Id="rId50" Type="http://schemas.openxmlformats.org/officeDocument/2006/relationships/ctrlProp" Target="../ctrlProps/ctrlProp54.xml"/><Relationship Id="rId55" Type="http://schemas.openxmlformats.org/officeDocument/2006/relationships/ctrlProp" Target="../ctrlProps/ctrlProp59.xml"/><Relationship Id="rId76" Type="http://schemas.openxmlformats.org/officeDocument/2006/relationships/ctrlProp" Target="../ctrlProps/ctrlProp80.xml"/><Relationship Id="rId97" Type="http://schemas.openxmlformats.org/officeDocument/2006/relationships/ctrlProp" Target="../ctrlProps/ctrlProp101.xml"/><Relationship Id="rId104" Type="http://schemas.openxmlformats.org/officeDocument/2006/relationships/ctrlProp" Target="../ctrlProps/ctrlProp108.xml"/><Relationship Id="rId120" Type="http://schemas.openxmlformats.org/officeDocument/2006/relationships/ctrlProp" Target="../ctrlProps/ctrlProp124.xml"/><Relationship Id="rId125" Type="http://schemas.openxmlformats.org/officeDocument/2006/relationships/ctrlProp" Target="../ctrlProps/ctrlProp129.xml"/><Relationship Id="rId141" Type="http://schemas.openxmlformats.org/officeDocument/2006/relationships/ctrlProp" Target="../ctrlProps/ctrlProp145.xml"/><Relationship Id="rId146" Type="http://schemas.openxmlformats.org/officeDocument/2006/relationships/ctrlProp" Target="../ctrlProps/ctrlProp150.xml"/><Relationship Id="rId167" Type="http://schemas.openxmlformats.org/officeDocument/2006/relationships/ctrlProp" Target="../ctrlProps/ctrlProp171.xml"/><Relationship Id="rId7" Type="http://schemas.openxmlformats.org/officeDocument/2006/relationships/ctrlProp" Target="../ctrlProps/ctrlProp11.xml"/><Relationship Id="rId71" Type="http://schemas.openxmlformats.org/officeDocument/2006/relationships/ctrlProp" Target="../ctrlProps/ctrlProp75.xml"/><Relationship Id="rId92" Type="http://schemas.openxmlformats.org/officeDocument/2006/relationships/ctrlProp" Target="../ctrlProps/ctrlProp96.xml"/><Relationship Id="rId162" Type="http://schemas.openxmlformats.org/officeDocument/2006/relationships/ctrlProp" Target="../ctrlProps/ctrlProp166.xml"/><Relationship Id="rId183" Type="http://schemas.openxmlformats.org/officeDocument/2006/relationships/ctrlProp" Target="../ctrlProps/ctrlProp187.xml"/><Relationship Id="rId2" Type="http://schemas.openxmlformats.org/officeDocument/2006/relationships/drawing" Target="../drawings/drawing3.xml"/><Relationship Id="rId29" Type="http://schemas.openxmlformats.org/officeDocument/2006/relationships/ctrlProp" Target="../ctrlProps/ctrlProp33.xml"/><Relationship Id="rId24" Type="http://schemas.openxmlformats.org/officeDocument/2006/relationships/ctrlProp" Target="../ctrlProps/ctrlProp28.xml"/><Relationship Id="rId40" Type="http://schemas.openxmlformats.org/officeDocument/2006/relationships/ctrlProp" Target="../ctrlProps/ctrlProp44.xml"/><Relationship Id="rId45" Type="http://schemas.openxmlformats.org/officeDocument/2006/relationships/ctrlProp" Target="../ctrlProps/ctrlProp49.xml"/><Relationship Id="rId66" Type="http://schemas.openxmlformats.org/officeDocument/2006/relationships/ctrlProp" Target="../ctrlProps/ctrlProp70.xml"/><Relationship Id="rId87" Type="http://schemas.openxmlformats.org/officeDocument/2006/relationships/ctrlProp" Target="../ctrlProps/ctrlProp91.xml"/><Relationship Id="rId110" Type="http://schemas.openxmlformats.org/officeDocument/2006/relationships/ctrlProp" Target="../ctrlProps/ctrlProp114.xml"/><Relationship Id="rId115" Type="http://schemas.openxmlformats.org/officeDocument/2006/relationships/ctrlProp" Target="../ctrlProps/ctrlProp119.xml"/><Relationship Id="rId131" Type="http://schemas.openxmlformats.org/officeDocument/2006/relationships/ctrlProp" Target="../ctrlProps/ctrlProp135.xml"/><Relationship Id="rId136" Type="http://schemas.openxmlformats.org/officeDocument/2006/relationships/ctrlProp" Target="../ctrlProps/ctrlProp140.xml"/><Relationship Id="rId157" Type="http://schemas.openxmlformats.org/officeDocument/2006/relationships/ctrlProp" Target="../ctrlProps/ctrlProp161.xml"/><Relationship Id="rId178" Type="http://schemas.openxmlformats.org/officeDocument/2006/relationships/ctrlProp" Target="../ctrlProps/ctrlProp182.xml"/><Relationship Id="rId61" Type="http://schemas.openxmlformats.org/officeDocument/2006/relationships/ctrlProp" Target="../ctrlProps/ctrlProp65.xml"/><Relationship Id="rId82" Type="http://schemas.openxmlformats.org/officeDocument/2006/relationships/ctrlProp" Target="../ctrlProps/ctrlProp86.xml"/><Relationship Id="rId152" Type="http://schemas.openxmlformats.org/officeDocument/2006/relationships/ctrlProp" Target="../ctrlProps/ctrlProp156.xml"/><Relationship Id="rId173" Type="http://schemas.openxmlformats.org/officeDocument/2006/relationships/ctrlProp" Target="../ctrlProps/ctrlProp177.xml"/><Relationship Id="rId19" Type="http://schemas.openxmlformats.org/officeDocument/2006/relationships/ctrlProp" Target="../ctrlProps/ctrlProp23.xml"/><Relationship Id="rId14" Type="http://schemas.openxmlformats.org/officeDocument/2006/relationships/ctrlProp" Target="../ctrlProps/ctrlProp18.xml"/><Relationship Id="rId30" Type="http://schemas.openxmlformats.org/officeDocument/2006/relationships/ctrlProp" Target="../ctrlProps/ctrlProp34.xml"/><Relationship Id="rId35" Type="http://schemas.openxmlformats.org/officeDocument/2006/relationships/ctrlProp" Target="../ctrlProps/ctrlProp39.xml"/><Relationship Id="rId56" Type="http://schemas.openxmlformats.org/officeDocument/2006/relationships/ctrlProp" Target="../ctrlProps/ctrlProp60.xml"/><Relationship Id="rId77" Type="http://schemas.openxmlformats.org/officeDocument/2006/relationships/ctrlProp" Target="../ctrlProps/ctrlProp81.xml"/><Relationship Id="rId100" Type="http://schemas.openxmlformats.org/officeDocument/2006/relationships/ctrlProp" Target="../ctrlProps/ctrlProp104.xml"/><Relationship Id="rId105" Type="http://schemas.openxmlformats.org/officeDocument/2006/relationships/ctrlProp" Target="../ctrlProps/ctrlProp109.xml"/><Relationship Id="rId126" Type="http://schemas.openxmlformats.org/officeDocument/2006/relationships/ctrlProp" Target="../ctrlProps/ctrlProp130.xml"/><Relationship Id="rId147" Type="http://schemas.openxmlformats.org/officeDocument/2006/relationships/ctrlProp" Target="../ctrlProps/ctrlProp151.xml"/><Relationship Id="rId168" Type="http://schemas.openxmlformats.org/officeDocument/2006/relationships/ctrlProp" Target="../ctrlProps/ctrlProp172.xml"/><Relationship Id="rId8" Type="http://schemas.openxmlformats.org/officeDocument/2006/relationships/ctrlProp" Target="../ctrlProps/ctrlProp12.xml"/><Relationship Id="rId51" Type="http://schemas.openxmlformats.org/officeDocument/2006/relationships/ctrlProp" Target="../ctrlProps/ctrlProp55.xml"/><Relationship Id="rId72" Type="http://schemas.openxmlformats.org/officeDocument/2006/relationships/ctrlProp" Target="../ctrlProps/ctrlProp76.xml"/><Relationship Id="rId93" Type="http://schemas.openxmlformats.org/officeDocument/2006/relationships/ctrlProp" Target="../ctrlProps/ctrlProp97.xml"/><Relationship Id="rId98" Type="http://schemas.openxmlformats.org/officeDocument/2006/relationships/ctrlProp" Target="../ctrlProps/ctrlProp102.xml"/><Relationship Id="rId121" Type="http://schemas.openxmlformats.org/officeDocument/2006/relationships/ctrlProp" Target="../ctrlProps/ctrlProp125.xml"/><Relationship Id="rId142" Type="http://schemas.openxmlformats.org/officeDocument/2006/relationships/ctrlProp" Target="../ctrlProps/ctrlProp146.xml"/><Relationship Id="rId163" Type="http://schemas.openxmlformats.org/officeDocument/2006/relationships/ctrlProp" Target="../ctrlProps/ctrlProp167.xml"/><Relationship Id="rId184" Type="http://schemas.openxmlformats.org/officeDocument/2006/relationships/ctrlProp" Target="../ctrlProps/ctrlProp188.xml"/><Relationship Id="rId3" Type="http://schemas.openxmlformats.org/officeDocument/2006/relationships/vmlDrawing" Target="../drawings/vmlDrawing3.vml"/><Relationship Id="rId25" Type="http://schemas.openxmlformats.org/officeDocument/2006/relationships/ctrlProp" Target="../ctrlProps/ctrlProp29.xml"/><Relationship Id="rId46" Type="http://schemas.openxmlformats.org/officeDocument/2006/relationships/ctrlProp" Target="../ctrlProps/ctrlProp50.xml"/><Relationship Id="rId67" Type="http://schemas.openxmlformats.org/officeDocument/2006/relationships/ctrlProp" Target="../ctrlProps/ctrlProp71.xml"/><Relationship Id="rId116" Type="http://schemas.openxmlformats.org/officeDocument/2006/relationships/ctrlProp" Target="../ctrlProps/ctrlProp120.xml"/><Relationship Id="rId137" Type="http://schemas.openxmlformats.org/officeDocument/2006/relationships/ctrlProp" Target="../ctrlProps/ctrlProp141.xml"/><Relationship Id="rId158" Type="http://schemas.openxmlformats.org/officeDocument/2006/relationships/ctrlProp" Target="../ctrlProps/ctrlProp162.xml"/><Relationship Id="rId20" Type="http://schemas.openxmlformats.org/officeDocument/2006/relationships/ctrlProp" Target="../ctrlProps/ctrlProp24.xml"/><Relationship Id="rId41" Type="http://schemas.openxmlformats.org/officeDocument/2006/relationships/ctrlProp" Target="../ctrlProps/ctrlProp45.xml"/><Relationship Id="rId62" Type="http://schemas.openxmlformats.org/officeDocument/2006/relationships/ctrlProp" Target="../ctrlProps/ctrlProp66.xml"/><Relationship Id="rId83" Type="http://schemas.openxmlformats.org/officeDocument/2006/relationships/ctrlProp" Target="../ctrlProps/ctrlProp87.xml"/><Relationship Id="rId88" Type="http://schemas.openxmlformats.org/officeDocument/2006/relationships/ctrlProp" Target="../ctrlProps/ctrlProp92.xml"/><Relationship Id="rId111" Type="http://schemas.openxmlformats.org/officeDocument/2006/relationships/ctrlProp" Target="../ctrlProps/ctrlProp115.xml"/><Relationship Id="rId132" Type="http://schemas.openxmlformats.org/officeDocument/2006/relationships/ctrlProp" Target="../ctrlProps/ctrlProp136.xml"/><Relationship Id="rId153" Type="http://schemas.openxmlformats.org/officeDocument/2006/relationships/ctrlProp" Target="../ctrlProps/ctrlProp157.xml"/><Relationship Id="rId174" Type="http://schemas.openxmlformats.org/officeDocument/2006/relationships/ctrlProp" Target="../ctrlProps/ctrlProp178.xml"/><Relationship Id="rId179" Type="http://schemas.openxmlformats.org/officeDocument/2006/relationships/ctrlProp" Target="../ctrlProps/ctrlProp183.xml"/><Relationship Id="rId15" Type="http://schemas.openxmlformats.org/officeDocument/2006/relationships/ctrlProp" Target="../ctrlProps/ctrlProp19.xml"/><Relationship Id="rId36" Type="http://schemas.openxmlformats.org/officeDocument/2006/relationships/ctrlProp" Target="../ctrlProps/ctrlProp40.xml"/><Relationship Id="rId57" Type="http://schemas.openxmlformats.org/officeDocument/2006/relationships/ctrlProp" Target="../ctrlProps/ctrlProp61.xml"/><Relationship Id="rId106" Type="http://schemas.openxmlformats.org/officeDocument/2006/relationships/ctrlProp" Target="../ctrlProps/ctrlProp110.xml"/><Relationship Id="rId127" Type="http://schemas.openxmlformats.org/officeDocument/2006/relationships/ctrlProp" Target="../ctrlProps/ctrlProp131.xml"/><Relationship Id="rId10" Type="http://schemas.openxmlformats.org/officeDocument/2006/relationships/ctrlProp" Target="../ctrlProps/ctrlProp14.xml"/><Relationship Id="rId31" Type="http://schemas.openxmlformats.org/officeDocument/2006/relationships/ctrlProp" Target="../ctrlProps/ctrlProp35.xml"/><Relationship Id="rId52" Type="http://schemas.openxmlformats.org/officeDocument/2006/relationships/ctrlProp" Target="../ctrlProps/ctrlProp56.xml"/><Relationship Id="rId73" Type="http://schemas.openxmlformats.org/officeDocument/2006/relationships/ctrlProp" Target="../ctrlProps/ctrlProp77.xml"/><Relationship Id="rId78" Type="http://schemas.openxmlformats.org/officeDocument/2006/relationships/ctrlProp" Target="../ctrlProps/ctrlProp82.xml"/><Relationship Id="rId94" Type="http://schemas.openxmlformats.org/officeDocument/2006/relationships/ctrlProp" Target="../ctrlProps/ctrlProp98.xml"/><Relationship Id="rId99" Type="http://schemas.openxmlformats.org/officeDocument/2006/relationships/ctrlProp" Target="../ctrlProps/ctrlProp103.xml"/><Relationship Id="rId101" Type="http://schemas.openxmlformats.org/officeDocument/2006/relationships/ctrlProp" Target="../ctrlProps/ctrlProp105.xml"/><Relationship Id="rId122" Type="http://schemas.openxmlformats.org/officeDocument/2006/relationships/ctrlProp" Target="../ctrlProps/ctrlProp126.xml"/><Relationship Id="rId143" Type="http://schemas.openxmlformats.org/officeDocument/2006/relationships/ctrlProp" Target="../ctrlProps/ctrlProp147.xml"/><Relationship Id="rId148" Type="http://schemas.openxmlformats.org/officeDocument/2006/relationships/ctrlProp" Target="../ctrlProps/ctrlProp152.xml"/><Relationship Id="rId164" Type="http://schemas.openxmlformats.org/officeDocument/2006/relationships/ctrlProp" Target="../ctrlProps/ctrlProp168.xml"/><Relationship Id="rId169" Type="http://schemas.openxmlformats.org/officeDocument/2006/relationships/ctrlProp" Target="../ctrlProps/ctrlProp173.xml"/><Relationship Id="rId185" Type="http://schemas.openxmlformats.org/officeDocument/2006/relationships/ctrlProp" Target="../ctrlProps/ctrlProp189.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12.xml"/><Relationship Id="rId117" Type="http://schemas.openxmlformats.org/officeDocument/2006/relationships/ctrlProp" Target="../ctrlProps/ctrlProp303.xml"/><Relationship Id="rId21" Type="http://schemas.openxmlformats.org/officeDocument/2006/relationships/ctrlProp" Target="../ctrlProps/ctrlProp207.xml"/><Relationship Id="rId42" Type="http://schemas.openxmlformats.org/officeDocument/2006/relationships/ctrlProp" Target="../ctrlProps/ctrlProp228.xml"/><Relationship Id="rId47" Type="http://schemas.openxmlformats.org/officeDocument/2006/relationships/ctrlProp" Target="../ctrlProps/ctrlProp233.xml"/><Relationship Id="rId63" Type="http://schemas.openxmlformats.org/officeDocument/2006/relationships/ctrlProp" Target="../ctrlProps/ctrlProp249.xml"/><Relationship Id="rId68" Type="http://schemas.openxmlformats.org/officeDocument/2006/relationships/ctrlProp" Target="../ctrlProps/ctrlProp254.xml"/><Relationship Id="rId84" Type="http://schemas.openxmlformats.org/officeDocument/2006/relationships/ctrlProp" Target="../ctrlProps/ctrlProp270.xml"/><Relationship Id="rId89" Type="http://schemas.openxmlformats.org/officeDocument/2006/relationships/ctrlProp" Target="../ctrlProps/ctrlProp275.xml"/><Relationship Id="rId112" Type="http://schemas.openxmlformats.org/officeDocument/2006/relationships/ctrlProp" Target="../ctrlProps/ctrlProp298.xml"/><Relationship Id="rId133" Type="http://schemas.openxmlformats.org/officeDocument/2006/relationships/ctrlProp" Target="../ctrlProps/ctrlProp319.xml"/><Relationship Id="rId138" Type="http://schemas.openxmlformats.org/officeDocument/2006/relationships/ctrlProp" Target="../ctrlProps/ctrlProp324.xml"/><Relationship Id="rId154" Type="http://schemas.openxmlformats.org/officeDocument/2006/relationships/ctrlProp" Target="../ctrlProps/ctrlProp340.xml"/><Relationship Id="rId159" Type="http://schemas.openxmlformats.org/officeDocument/2006/relationships/ctrlProp" Target="../ctrlProps/ctrlProp345.xml"/><Relationship Id="rId175" Type="http://schemas.openxmlformats.org/officeDocument/2006/relationships/ctrlProp" Target="../ctrlProps/ctrlProp361.xml"/><Relationship Id="rId170" Type="http://schemas.openxmlformats.org/officeDocument/2006/relationships/ctrlProp" Target="../ctrlProps/ctrlProp356.xml"/><Relationship Id="rId16" Type="http://schemas.openxmlformats.org/officeDocument/2006/relationships/ctrlProp" Target="../ctrlProps/ctrlProp202.xml"/><Relationship Id="rId107" Type="http://schemas.openxmlformats.org/officeDocument/2006/relationships/ctrlProp" Target="../ctrlProps/ctrlProp293.xml"/><Relationship Id="rId11" Type="http://schemas.openxmlformats.org/officeDocument/2006/relationships/ctrlProp" Target="../ctrlProps/ctrlProp197.xml"/><Relationship Id="rId32" Type="http://schemas.openxmlformats.org/officeDocument/2006/relationships/ctrlProp" Target="../ctrlProps/ctrlProp218.xml"/><Relationship Id="rId37" Type="http://schemas.openxmlformats.org/officeDocument/2006/relationships/ctrlProp" Target="../ctrlProps/ctrlProp223.xml"/><Relationship Id="rId53" Type="http://schemas.openxmlformats.org/officeDocument/2006/relationships/ctrlProp" Target="../ctrlProps/ctrlProp239.xml"/><Relationship Id="rId58" Type="http://schemas.openxmlformats.org/officeDocument/2006/relationships/ctrlProp" Target="../ctrlProps/ctrlProp244.xml"/><Relationship Id="rId74" Type="http://schemas.openxmlformats.org/officeDocument/2006/relationships/ctrlProp" Target="../ctrlProps/ctrlProp260.xml"/><Relationship Id="rId79" Type="http://schemas.openxmlformats.org/officeDocument/2006/relationships/ctrlProp" Target="../ctrlProps/ctrlProp265.xml"/><Relationship Id="rId102" Type="http://schemas.openxmlformats.org/officeDocument/2006/relationships/ctrlProp" Target="../ctrlProps/ctrlProp288.xml"/><Relationship Id="rId123" Type="http://schemas.openxmlformats.org/officeDocument/2006/relationships/ctrlProp" Target="../ctrlProps/ctrlProp309.xml"/><Relationship Id="rId128" Type="http://schemas.openxmlformats.org/officeDocument/2006/relationships/ctrlProp" Target="../ctrlProps/ctrlProp314.xml"/><Relationship Id="rId144" Type="http://schemas.openxmlformats.org/officeDocument/2006/relationships/ctrlProp" Target="../ctrlProps/ctrlProp330.xml"/><Relationship Id="rId149" Type="http://schemas.openxmlformats.org/officeDocument/2006/relationships/ctrlProp" Target="../ctrlProps/ctrlProp335.xml"/><Relationship Id="rId5" Type="http://schemas.openxmlformats.org/officeDocument/2006/relationships/ctrlProp" Target="../ctrlProps/ctrlProp191.xml"/><Relationship Id="rId90" Type="http://schemas.openxmlformats.org/officeDocument/2006/relationships/ctrlProp" Target="../ctrlProps/ctrlProp276.xml"/><Relationship Id="rId95" Type="http://schemas.openxmlformats.org/officeDocument/2006/relationships/ctrlProp" Target="../ctrlProps/ctrlProp281.xml"/><Relationship Id="rId160" Type="http://schemas.openxmlformats.org/officeDocument/2006/relationships/ctrlProp" Target="../ctrlProps/ctrlProp346.xml"/><Relationship Id="rId165" Type="http://schemas.openxmlformats.org/officeDocument/2006/relationships/ctrlProp" Target="../ctrlProps/ctrlProp351.xml"/><Relationship Id="rId22" Type="http://schemas.openxmlformats.org/officeDocument/2006/relationships/ctrlProp" Target="../ctrlProps/ctrlProp208.xml"/><Relationship Id="rId27" Type="http://schemas.openxmlformats.org/officeDocument/2006/relationships/ctrlProp" Target="../ctrlProps/ctrlProp213.xml"/><Relationship Id="rId43" Type="http://schemas.openxmlformats.org/officeDocument/2006/relationships/ctrlProp" Target="../ctrlProps/ctrlProp229.xml"/><Relationship Id="rId48" Type="http://schemas.openxmlformats.org/officeDocument/2006/relationships/ctrlProp" Target="../ctrlProps/ctrlProp234.xml"/><Relationship Id="rId64" Type="http://schemas.openxmlformats.org/officeDocument/2006/relationships/ctrlProp" Target="../ctrlProps/ctrlProp250.xml"/><Relationship Id="rId69" Type="http://schemas.openxmlformats.org/officeDocument/2006/relationships/ctrlProp" Target="../ctrlProps/ctrlProp255.xml"/><Relationship Id="rId113" Type="http://schemas.openxmlformats.org/officeDocument/2006/relationships/ctrlProp" Target="../ctrlProps/ctrlProp299.xml"/><Relationship Id="rId118" Type="http://schemas.openxmlformats.org/officeDocument/2006/relationships/ctrlProp" Target="../ctrlProps/ctrlProp304.xml"/><Relationship Id="rId134" Type="http://schemas.openxmlformats.org/officeDocument/2006/relationships/ctrlProp" Target="../ctrlProps/ctrlProp320.xml"/><Relationship Id="rId139" Type="http://schemas.openxmlformats.org/officeDocument/2006/relationships/ctrlProp" Target="../ctrlProps/ctrlProp325.xml"/><Relationship Id="rId80" Type="http://schemas.openxmlformats.org/officeDocument/2006/relationships/ctrlProp" Target="../ctrlProps/ctrlProp266.xml"/><Relationship Id="rId85" Type="http://schemas.openxmlformats.org/officeDocument/2006/relationships/ctrlProp" Target="../ctrlProps/ctrlProp271.xml"/><Relationship Id="rId150" Type="http://schemas.openxmlformats.org/officeDocument/2006/relationships/ctrlProp" Target="../ctrlProps/ctrlProp336.xml"/><Relationship Id="rId155" Type="http://schemas.openxmlformats.org/officeDocument/2006/relationships/ctrlProp" Target="../ctrlProps/ctrlProp341.xml"/><Relationship Id="rId171" Type="http://schemas.openxmlformats.org/officeDocument/2006/relationships/ctrlProp" Target="../ctrlProps/ctrlProp357.xml"/><Relationship Id="rId176" Type="http://schemas.openxmlformats.org/officeDocument/2006/relationships/ctrlProp" Target="../ctrlProps/ctrlProp362.xml"/><Relationship Id="rId12" Type="http://schemas.openxmlformats.org/officeDocument/2006/relationships/ctrlProp" Target="../ctrlProps/ctrlProp198.xml"/><Relationship Id="rId17" Type="http://schemas.openxmlformats.org/officeDocument/2006/relationships/ctrlProp" Target="../ctrlProps/ctrlProp203.xml"/><Relationship Id="rId33" Type="http://schemas.openxmlformats.org/officeDocument/2006/relationships/ctrlProp" Target="../ctrlProps/ctrlProp219.xml"/><Relationship Id="rId38" Type="http://schemas.openxmlformats.org/officeDocument/2006/relationships/ctrlProp" Target="../ctrlProps/ctrlProp224.xml"/><Relationship Id="rId59" Type="http://schemas.openxmlformats.org/officeDocument/2006/relationships/ctrlProp" Target="../ctrlProps/ctrlProp245.xml"/><Relationship Id="rId103" Type="http://schemas.openxmlformats.org/officeDocument/2006/relationships/ctrlProp" Target="../ctrlProps/ctrlProp289.xml"/><Relationship Id="rId108" Type="http://schemas.openxmlformats.org/officeDocument/2006/relationships/ctrlProp" Target="../ctrlProps/ctrlProp294.xml"/><Relationship Id="rId124" Type="http://schemas.openxmlformats.org/officeDocument/2006/relationships/ctrlProp" Target="../ctrlProps/ctrlProp310.xml"/><Relationship Id="rId129" Type="http://schemas.openxmlformats.org/officeDocument/2006/relationships/ctrlProp" Target="../ctrlProps/ctrlProp315.xml"/><Relationship Id="rId54" Type="http://schemas.openxmlformats.org/officeDocument/2006/relationships/ctrlProp" Target="../ctrlProps/ctrlProp240.xml"/><Relationship Id="rId70" Type="http://schemas.openxmlformats.org/officeDocument/2006/relationships/ctrlProp" Target="../ctrlProps/ctrlProp256.xml"/><Relationship Id="rId75" Type="http://schemas.openxmlformats.org/officeDocument/2006/relationships/ctrlProp" Target="../ctrlProps/ctrlProp261.xml"/><Relationship Id="rId91" Type="http://schemas.openxmlformats.org/officeDocument/2006/relationships/ctrlProp" Target="../ctrlProps/ctrlProp277.xml"/><Relationship Id="rId96" Type="http://schemas.openxmlformats.org/officeDocument/2006/relationships/ctrlProp" Target="../ctrlProps/ctrlProp282.xml"/><Relationship Id="rId140" Type="http://schemas.openxmlformats.org/officeDocument/2006/relationships/ctrlProp" Target="../ctrlProps/ctrlProp326.xml"/><Relationship Id="rId145" Type="http://schemas.openxmlformats.org/officeDocument/2006/relationships/ctrlProp" Target="../ctrlProps/ctrlProp331.xml"/><Relationship Id="rId161" Type="http://schemas.openxmlformats.org/officeDocument/2006/relationships/ctrlProp" Target="../ctrlProps/ctrlProp347.xml"/><Relationship Id="rId166" Type="http://schemas.openxmlformats.org/officeDocument/2006/relationships/ctrlProp" Target="../ctrlProps/ctrlProp352.xml"/><Relationship Id="rId1" Type="http://schemas.openxmlformats.org/officeDocument/2006/relationships/printerSettings" Target="../printerSettings/printerSettings6.bin"/><Relationship Id="rId6" Type="http://schemas.openxmlformats.org/officeDocument/2006/relationships/ctrlProp" Target="../ctrlProps/ctrlProp192.xml"/><Relationship Id="rId23" Type="http://schemas.openxmlformats.org/officeDocument/2006/relationships/ctrlProp" Target="../ctrlProps/ctrlProp209.xml"/><Relationship Id="rId28" Type="http://schemas.openxmlformats.org/officeDocument/2006/relationships/ctrlProp" Target="../ctrlProps/ctrlProp214.xml"/><Relationship Id="rId49" Type="http://schemas.openxmlformats.org/officeDocument/2006/relationships/ctrlProp" Target="../ctrlProps/ctrlProp235.xml"/><Relationship Id="rId114" Type="http://schemas.openxmlformats.org/officeDocument/2006/relationships/ctrlProp" Target="../ctrlProps/ctrlProp300.xml"/><Relationship Id="rId119" Type="http://schemas.openxmlformats.org/officeDocument/2006/relationships/ctrlProp" Target="../ctrlProps/ctrlProp305.xml"/><Relationship Id="rId10" Type="http://schemas.openxmlformats.org/officeDocument/2006/relationships/ctrlProp" Target="../ctrlProps/ctrlProp196.xml"/><Relationship Id="rId31" Type="http://schemas.openxmlformats.org/officeDocument/2006/relationships/ctrlProp" Target="../ctrlProps/ctrlProp217.xml"/><Relationship Id="rId44" Type="http://schemas.openxmlformats.org/officeDocument/2006/relationships/ctrlProp" Target="../ctrlProps/ctrlProp230.xml"/><Relationship Id="rId52" Type="http://schemas.openxmlformats.org/officeDocument/2006/relationships/ctrlProp" Target="../ctrlProps/ctrlProp238.xml"/><Relationship Id="rId60" Type="http://schemas.openxmlformats.org/officeDocument/2006/relationships/ctrlProp" Target="../ctrlProps/ctrlProp246.xml"/><Relationship Id="rId65" Type="http://schemas.openxmlformats.org/officeDocument/2006/relationships/ctrlProp" Target="../ctrlProps/ctrlProp251.xml"/><Relationship Id="rId73" Type="http://schemas.openxmlformats.org/officeDocument/2006/relationships/ctrlProp" Target="../ctrlProps/ctrlProp259.xml"/><Relationship Id="rId78" Type="http://schemas.openxmlformats.org/officeDocument/2006/relationships/ctrlProp" Target="../ctrlProps/ctrlProp264.xml"/><Relationship Id="rId81" Type="http://schemas.openxmlformats.org/officeDocument/2006/relationships/ctrlProp" Target="../ctrlProps/ctrlProp267.xml"/><Relationship Id="rId86" Type="http://schemas.openxmlformats.org/officeDocument/2006/relationships/ctrlProp" Target="../ctrlProps/ctrlProp272.xml"/><Relationship Id="rId94" Type="http://schemas.openxmlformats.org/officeDocument/2006/relationships/ctrlProp" Target="../ctrlProps/ctrlProp280.xml"/><Relationship Id="rId99" Type="http://schemas.openxmlformats.org/officeDocument/2006/relationships/ctrlProp" Target="../ctrlProps/ctrlProp285.xml"/><Relationship Id="rId101" Type="http://schemas.openxmlformats.org/officeDocument/2006/relationships/ctrlProp" Target="../ctrlProps/ctrlProp287.xml"/><Relationship Id="rId122" Type="http://schemas.openxmlformats.org/officeDocument/2006/relationships/ctrlProp" Target="../ctrlProps/ctrlProp308.xml"/><Relationship Id="rId130" Type="http://schemas.openxmlformats.org/officeDocument/2006/relationships/ctrlProp" Target="../ctrlProps/ctrlProp316.xml"/><Relationship Id="rId135" Type="http://schemas.openxmlformats.org/officeDocument/2006/relationships/ctrlProp" Target="../ctrlProps/ctrlProp321.xml"/><Relationship Id="rId143" Type="http://schemas.openxmlformats.org/officeDocument/2006/relationships/ctrlProp" Target="../ctrlProps/ctrlProp329.xml"/><Relationship Id="rId148" Type="http://schemas.openxmlformats.org/officeDocument/2006/relationships/ctrlProp" Target="../ctrlProps/ctrlProp334.xml"/><Relationship Id="rId151" Type="http://schemas.openxmlformats.org/officeDocument/2006/relationships/ctrlProp" Target="../ctrlProps/ctrlProp337.xml"/><Relationship Id="rId156" Type="http://schemas.openxmlformats.org/officeDocument/2006/relationships/ctrlProp" Target="../ctrlProps/ctrlProp342.xml"/><Relationship Id="rId164" Type="http://schemas.openxmlformats.org/officeDocument/2006/relationships/ctrlProp" Target="../ctrlProps/ctrlProp350.xml"/><Relationship Id="rId169" Type="http://schemas.openxmlformats.org/officeDocument/2006/relationships/ctrlProp" Target="../ctrlProps/ctrlProp355.xml"/><Relationship Id="rId177" Type="http://schemas.openxmlformats.org/officeDocument/2006/relationships/ctrlProp" Target="../ctrlProps/ctrlProp363.xml"/><Relationship Id="rId4" Type="http://schemas.openxmlformats.org/officeDocument/2006/relationships/ctrlProp" Target="../ctrlProps/ctrlProp190.xml"/><Relationship Id="rId9" Type="http://schemas.openxmlformats.org/officeDocument/2006/relationships/ctrlProp" Target="../ctrlProps/ctrlProp195.xml"/><Relationship Id="rId172" Type="http://schemas.openxmlformats.org/officeDocument/2006/relationships/ctrlProp" Target="../ctrlProps/ctrlProp358.xml"/><Relationship Id="rId13" Type="http://schemas.openxmlformats.org/officeDocument/2006/relationships/ctrlProp" Target="../ctrlProps/ctrlProp199.xml"/><Relationship Id="rId18" Type="http://schemas.openxmlformats.org/officeDocument/2006/relationships/ctrlProp" Target="../ctrlProps/ctrlProp204.xml"/><Relationship Id="rId39" Type="http://schemas.openxmlformats.org/officeDocument/2006/relationships/ctrlProp" Target="../ctrlProps/ctrlProp225.xml"/><Relationship Id="rId109" Type="http://schemas.openxmlformats.org/officeDocument/2006/relationships/ctrlProp" Target="../ctrlProps/ctrlProp295.xml"/><Relationship Id="rId34" Type="http://schemas.openxmlformats.org/officeDocument/2006/relationships/ctrlProp" Target="../ctrlProps/ctrlProp220.xml"/><Relationship Id="rId50" Type="http://schemas.openxmlformats.org/officeDocument/2006/relationships/ctrlProp" Target="../ctrlProps/ctrlProp236.xml"/><Relationship Id="rId55" Type="http://schemas.openxmlformats.org/officeDocument/2006/relationships/ctrlProp" Target="../ctrlProps/ctrlProp241.xml"/><Relationship Id="rId76" Type="http://schemas.openxmlformats.org/officeDocument/2006/relationships/ctrlProp" Target="../ctrlProps/ctrlProp262.xml"/><Relationship Id="rId97" Type="http://schemas.openxmlformats.org/officeDocument/2006/relationships/ctrlProp" Target="../ctrlProps/ctrlProp283.xml"/><Relationship Id="rId104" Type="http://schemas.openxmlformats.org/officeDocument/2006/relationships/ctrlProp" Target="../ctrlProps/ctrlProp290.xml"/><Relationship Id="rId120" Type="http://schemas.openxmlformats.org/officeDocument/2006/relationships/ctrlProp" Target="../ctrlProps/ctrlProp306.xml"/><Relationship Id="rId125" Type="http://schemas.openxmlformats.org/officeDocument/2006/relationships/ctrlProp" Target="../ctrlProps/ctrlProp311.xml"/><Relationship Id="rId141" Type="http://schemas.openxmlformats.org/officeDocument/2006/relationships/ctrlProp" Target="../ctrlProps/ctrlProp327.xml"/><Relationship Id="rId146" Type="http://schemas.openxmlformats.org/officeDocument/2006/relationships/ctrlProp" Target="../ctrlProps/ctrlProp332.xml"/><Relationship Id="rId167" Type="http://schemas.openxmlformats.org/officeDocument/2006/relationships/ctrlProp" Target="../ctrlProps/ctrlProp353.xml"/><Relationship Id="rId7" Type="http://schemas.openxmlformats.org/officeDocument/2006/relationships/ctrlProp" Target="../ctrlProps/ctrlProp193.xml"/><Relationship Id="rId71" Type="http://schemas.openxmlformats.org/officeDocument/2006/relationships/ctrlProp" Target="../ctrlProps/ctrlProp257.xml"/><Relationship Id="rId92" Type="http://schemas.openxmlformats.org/officeDocument/2006/relationships/ctrlProp" Target="../ctrlProps/ctrlProp278.xml"/><Relationship Id="rId162" Type="http://schemas.openxmlformats.org/officeDocument/2006/relationships/ctrlProp" Target="../ctrlProps/ctrlProp348.xml"/><Relationship Id="rId2" Type="http://schemas.openxmlformats.org/officeDocument/2006/relationships/drawing" Target="../drawings/drawing4.xml"/><Relationship Id="rId29" Type="http://schemas.openxmlformats.org/officeDocument/2006/relationships/ctrlProp" Target="../ctrlProps/ctrlProp215.xml"/><Relationship Id="rId24" Type="http://schemas.openxmlformats.org/officeDocument/2006/relationships/ctrlProp" Target="../ctrlProps/ctrlProp210.xml"/><Relationship Id="rId40" Type="http://schemas.openxmlformats.org/officeDocument/2006/relationships/ctrlProp" Target="../ctrlProps/ctrlProp226.xml"/><Relationship Id="rId45" Type="http://schemas.openxmlformats.org/officeDocument/2006/relationships/ctrlProp" Target="../ctrlProps/ctrlProp231.xml"/><Relationship Id="rId66" Type="http://schemas.openxmlformats.org/officeDocument/2006/relationships/ctrlProp" Target="../ctrlProps/ctrlProp252.xml"/><Relationship Id="rId87" Type="http://schemas.openxmlformats.org/officeDocument/2006/relationships/ctrlProp" Target="../ctrlProps/ctrlProp273.xml"/><Relationship Id="rId110" Type="http://schemas.openxmlformats.org/officeDocument/2006/relationships/ctrlProp" Target="../ctrlProps/ctrlProp296.xml"/><Relationship Id="rId115" Type="http://schemas.openxmlformats.org/officeDocument/2006/relationships/ctrlProp" Target="../ctrlProps/ctrlProp301.xml"/><Relationship Id="rId131" Type="http://schemas.openxmlformats.org/officeDocument/2006/relationships/ctrlProp" Target="../ctrlProps/ctrlProp317.xml"/><Relationship Id="rId136" Type="http://schemas.openxmlformats.org/officeDocument/2006/relationships/ctrlProp" Target="../ctrlProps/ctrlProp322.xml"/><Relationship Id="rId157" Type="http://schemas.openxmlformats.org/officeDocument/2006/relationships/ctrlProp" Target="../ctrlProps/ctrlProp343.xml"/><Relationship Id="rId178" Type="http://schemas.openxmlformats.org/officeDocument/2006/relationships/ctrlProp" Target="../ctrlProps/ctrlProp364.xml"/><Relationship Id="rId61" Type="http://schemas.openxmlformats.org/officeDocument/2006/relationships/ctrlProp" Target="../ctrlProps/ctrlProp247.xml"/><Relationship Id="rId82" Type="http://schemas.openxmlformats.org/officeDocument/2006/relationships/ctrlProp" Target="../ctrlProps/ctrlProp268.xml"/><Relationship Id="rId152" Type="http://schemas.openxmlformats.org/officeDocument/2006/relationships/ctrlProp" Target="../ctrlProps/ctrlProp338.xml"/><Relationship Id="rId173" Type="http://schemas.openxmlformats.org/officeDocument/2006/relationships/ctrlProp" Target="../ctrlProps/ctrlProp359.xml"/><Relationship Id="rId19" Type="http://schemas.openxmlformats.org/officeDocument/2006/relationships/ctrlProp" Target="../ctrlProps/ctrlProp205.xml"/><Relationship Id="rId14" Type="http://schemas.openxmlformats.org/officeDocument/2006/relationships/ctrlProp" Target="../ctrlProps/ctrlProp200.xml"/><Relationship Id="rId30" Type="http://schemas.openxmlformats.org/officeDocument/2006/relationships/ctrlProp" Target="../ctrlProps/ctrlProp216.xml"/><Relationship Id="rId35" Type="http://schemas.openxmlformats.org/officeDocument/2006/relationships/ctrlProp" Target="../ctrlProps/ctrlProp221.xml"/><Relationship Id="rId56" Type="http://schemas.openxmlformats.org/officeDocument/2006/relationships/ctrlProp" Target="../ctrlProps/ctrlProp242.xml"/><Relationship Id="rId77" Type="http://schemas.openxmlformats.org/officeDocument/2006/relationships/ctrlProp" Target="../ctrlProps/ctrlProp263.xml"/><Relationship Id="rId100" Type="http://schemas.openxmlformats.org/officeDocument/2006/relationships/ctrlProp" Target="../ctrlProps/ctrlProp286.xml"/><Relationship Id="rId105" Type="http://schemas.openxmlformats.org/officeDocument/2006/relationships/ctrlProp" Target="../ctrlProps/ctrlProp291.xml"/><Relationship Id="rId126" Type="http://schemas.openxmlformats.org/officeDocument/2006/relationships/ctrlProp" Target="../ctrlProps/ctrlProp312.xml"/><Relationship Id="rId147" Type="http://schemas.openxmlformats.org/officeDocument/2006/relationships/ctrlProp" Target="../ctrlProps/ctrlProp333.xml"/><Relationship Id="rId168" Type="http://schemas.openxmlformats.org/officeDocument/2006/relationships/ctrlProp" Target="../ctrlProps/ctrlProp354.xml"/><Relationship Id="rId8" Type="http://schemas.openxmlformats.org/officeDocument/2006/relationships/ctrlProp" Target="../ctrlProps/ctrlProp194.xml"/><Relationship Id="rId51" Type="http://schemas.openxmlformats.org/officeDocument/2006/relationships/ctrlProp" Target="../ctrlProps/ctrlProp237.xml"/><Relationship Id="rId72" Type="http://schemas.openxmlformats.org/officeDocument/2006/relationships/ctrlProp" Target="../ctrlProps/ctrlProp258.xml"/><Relationship Id="rId93" Type="http://schemas.openxmlformats.org/officeDocument/2006/relationships/ctrlProp" Target="../ctrlProps/ctrlProp279.xml"/><Relationship Id="rId98" Type="http://schemas.openxmlformats.org/officeDocument/2006/relationships/ctrlProp" Target="../ctrlProps/ctrlProp284.xml"/><Relationship Id="rId121" Type="http://schemas.openxmlformats.org/officeDocument/2006/relationships/ctrlProp" Target="../ctrlProps/ctrlProp307.xml"/><Relationship Id="rId142" Type="http://schemas.openxmlformats.org/officeDocument/2006/relationships/ctrlProp" Target="../ctrlProps/ctrlProp328.xml"/><Relationship Id="rId163" Type="http://schemas.openxmlformats.org/officeDocument/2006/relationships/ctrlProp" Target="../ctrlProps/ctrlProp349.xml"/><Relationship Id="rId3" Type="http://schemas.openxmlformats.org/officeDocument/2006/relationships/vmlDrawing" Target="../drawings/vmlDrawing4.vml"/><Relationship Id="rId25" Type="http://schemas.openxmlformats.org/officeDocument/2006/relationships/ctrlProp" Target="../ctrlProps/ctrlProp211.xml"/><Relationship Id="rId46" Type="http://schemas.openxmlformats.org/officeDocument/2006/relationships/ctrlProp" Target="../ctrlProps/ctrlProp232.xml"/><Relationship Id="rId67" Type="http://schemas.openxmlformats.org/officeDocument/2006/relationships/ctrlProp" Target="../ctrlProps/ctrlProp253.xml"/><Relationship Id="rId116" Type="http://schemas.openxmlformats.org/officeDocument/2006/relationships/ctrlProp" Target="../ctrlProps/ctrlProp302.xml"/><Relationship Id="rId137" Type="http://schemas.openxmlformats.org/officeDocument/2006/relationships/ctrlProp" Target="../ctrlProps/ctrlProp323.xml"/><Relationship Id="rId158" Type="http://schemas.openxmlformats.org/officeDocument/2006/relationships/ctrlProp" Target="../ctrlProps/ctrlProp344.xml"/><Relationship Id="rId20" Type="http://schemas.openxmlformats.org/officeDocument/2006/relationships/ctrlProp" Target="../ctrlProps/ctrlProp206.xml"/><Relationship Id="rId41" Type="http://schemas.openxmlformats.org/officeDocument/2006/relationships/ctrlProp" Target="../ctrlProps/ctrlProp227.xml"/><Relationship Id="rId62" Type="http://schemas.openxmlformats.org/officeDocument/2006/relationships/ctrlProp" Target="../ctrlProps/ctrlProp248.xml"/><Relationship Id="rId83" Type="http://schemas.openxmlformats.org/officeDocument/2006/relationships/ctrlProp" Target="../ctrlProps/ctrlProp269.xml"/><Relationship Id="rId88" Type="http://schemas.openxmlformats.org/officeDocument/2006/relationships/ctrlProp" Target="../ctrlProps/ctrlProp274.xml"/><Relationship Id="rId111" Type="http://schemas.openxmlformats.org/officeDocument/2006/relationships/ctrlProp" Target="../ctrlProps/ctrlProp297.xml"/><Relationship Id="rId132" Type="http://schemas.openxmlformats.org/officeDocument/2006/relationships/ctrlProp" Target="../ctrlProps/ctrlProp318.xml"/><Relationship Id="rId153" Type="http://schemas.openxmlformats.org/officeDocument/2006/relationships/ctrlProp" Target="../ctrlProps/ctrlProp339.xml"/><Relationship Id="rId174" Type="http://schemas.openxmlformats.org/officeDocument/2006/relationships/ctrlProp" Target="../ctrlProps/ctrlProp360.xml"/><Relationship Id="rId179" Type="http://schemas.openxmlformats.org/officeDocument/2006/relationships/comments" Target="../comments4.xml"/><Relationship Id="rId15" Type="http://schemas.openxmlformats.org/officeDocument/2006/relationships/ctrlProp" Target="../ctrlProps/ctrlProp201.xml"/><Relationship Id="rId36" Type="http://schemas.openxmlformats.org/officeDocument/2006/relationships/ctrlProp" Target="../ctrlProps/ctrlProp222.xml"/><Relationship Id="rId57" Type="http://schemas.openxmlformats.org/officeDocument/2006/relationships/ctrlProp" Target="../ctrlProps/ctrlProp243.xml"/><Relationship Id="rId106" Type="http://schemas.openxmlformats.org/officeDocument/2006/relationships/ctrlProp" Target="../ctrlProps/ctrlProp292.xml"/><Relationship Id="rId127" Type="http://schemas.openxmlformats.org/officeDocument/2006/relationships/ctrlProp" Target="../ctrlProps/ctrlProp313.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387.xml"/><Relationship Id="rId117" Type="http://schemas.openxmlformats.org/officeDocument/2006/relationships/ctrlProp" Target="../ctrlProps/ctrlProp478.xml"/><Relationship Id="rId21" Type="http://schemas.openxmlformats.org/officeDocument/2006/relationships/ctrlProp" Target="../ctrlProps/ctrlProp382.xml"/><Relationship Id="rId42" Type="http://schemas.openxmlformats.org/officeDocument/2006/relationships/ctrlProp" Target="../ctrlProps/ctrlProp403.xml"/><Relationship Id="rId47" Type="http://schemas.openxmlformats.org/officeDocument/2006/relationships/ctrlProp" Target="../ctrlProps/ctrlProp408.xml"/><Relationship Id="rId63" Type="http://schemas.openxmlformats.org/officeDocument/2006/relationships/ctrlProp" Target="../ctrlProps/ctrlProp424.xml"/><Relationship Id="rId68" Type="http://schemas.openxmlformats.org/officeDocument/2006/relationships/ctrlProp" Target="../ctrlProps/ctrlProp429.xml"/><Relationship Id="rId84" Type="http://schemas.openxmlformats.org/officeDocument/2006/relationships/ctrlProp" Target="../ctrlProps/ctrlProp445.xml"/><Relationship Id="rId89" Type="http://schemas.openxmlformats.org/officeDocument/2006/relationships/ctrlProp" Target="../ctrlProps/ctrlProp450.xml"/><Relationship Id="rId112" Type="http://schemas.openxmlformats.org/officeDocument/2006/relationships/ctrlProp" Target="../ctrlProps/ctrlProp473.xml"/><Relationship Id="rId133" Type="http://schemas.openxmlformats.org/officeDocument/2006/relationships/ctrlProp" Target="../ctrlProps/ctrlProp494.xml"/><Relationship Id="rId138" Type="http://schemas.openxmlformats.org/officeDocument/2006/relationships/ctrlProp" Target="../ctrlProps/ctrlProp499.xml"/><Relationship Id="rId16" Type="http://schemas.openxmlformats.org/officeDocument/2006/relationships/ctrlProp" Target="../ctrlProps/ctrlProp377.xml"/><Relationship Id="rId107" Type="http://schemas.openxmlformats.org/officeDocument/2006/relationships/ctrlProp" Target="../ctrlProps/ctrlProp468.xml"/><Relationship Id="rId11" Type="http://schemas.openxmlformats.org/officeDocument/2006/relationships/ctrlProp" Target="../ctrlProps/ctrlProp372.xml"/><Relationship Id="rId32" Type="http://schemas.openxmlformats.org/officeDocument/2006/relationships/ctrlProp" Target="../ctrlProps/ctrlProp393.xml"/><Relationship Id="rId37" Type="http://schemas.openxmlformats.org/officeDocument/2006/relationships/ctrlProp" Target="../ctrlProps/ctrlProp398.xml"/><Relationship Id="rId53" Type="http://schemas.openxmlformats.org/officeDocument/2006/relationships/ctrlProp" Target="../ctrlProps/ctrlProp414.xml"/><Relationship Id="rId58" Type="http://schemas.openxmlformats.org/officeDocument/2006/relationships/ctrlProp" Target="../ctrlProps/ctrlProp419.xml"/><Relationship Id="rId74" Type="http://schemas.openxmlformats.org/officeDocument/2006/relationships/ctrlProp" Target="../ctrlProps/ctrlProp435.xml"/><Relationship Id="rId79" Type="http://schemas.openxmlformats.org/officeDocument/2006/relationships/ctrlProp" Target="../ctrlProps/ctrlProp440.xml"/><Relationship Id="rId102" Type="http://schemas.openxmlformats.org/officeDocument/2006/relationships/ctrlProp" Target="../ctrlProps/ctrlProp463.xml"/><Relationship Id="rId123" Type="http://schemas.openxmlformats.org/officeDocument/2006/relationships/ctrlProp" Target="../ctrlProps/ctrlProp484.xml"/><Relationship Id="rId128" Type="http://schemas.openxmlformats.org/officeDocument/2006/relationships/ctrlProp" Target="../ctrlProps/ctrlProp489.xml"/><Relationship Id="rId144" Type="http://schemas.openxmlformats.org/officeDocument/2006/relationships/ctrlProp" Target="../ctrlProps/ctrlProp505.xml"/><Relationship Id="rId5" Type="http://schemas.openxmlformats.org/officeDocument/2006/relationships/ctrlProp" Target="../ctrlProps/ctrlProp366.xml"/><Relationship Id="rId90" Type="http://schemas.openxmlformats.org/officeDocument/2006/relationships/ctrlProp" Target="../ctrlProps/ctrlProp451.xml"/><Relationship Id="rId95" Type="http://schemas.openxmlformats.org/officeDocument/2006/relationships/ctrlProp" Target="../ctrlProps/ctrlProp456.xml"/><Relationship Id="rId22" Type="http://schemas.openxmlformats.org/officeDocument/2006/relationships/ctrlProp" Target="../ctrlProps/ctrlProp383.xml"/><Relationship Id="rId27" Type="http://schemas.openxmlformats.org/officeDocument/2006/relationships/ctrlProp" Target="../ctrlProps/ctrlProp388.xml"/><Relationship Id="rId43" Type="http://schemas.openxmlformats.org/officeDocument/2006/relationships/ctrlProp" Target="../ctrlProps/ctrlProp404.xml"/><Relationship Id="rId48" Type="http://schemas.openxmlformats.org/officeDocument/2006/relationships/ctrlProp" Target="../ctrlProps/ctrlProp409.xml"/><Relationship Id="rId64" Type="http://schemas.openxmlformats.org/officeDocument/2006/relationships/ctrlProp" Target="../ctrlProps/ctrlProp425.xml"/><Relationship Id="rId69" Type="http://schemas.openxmlformats.org/officeDocument/2006/relationships/ctrlProp" Target="../ctrlProps/ctrlProp430.xml"/><Relationship Id="rId113" Type="http://schemas.openxmlformats.org/officeDocument/2006/relationships/ctrlProp" Target="../ctrlProps/ctrlProp474.xml"/><Relationship Id="rId118" Type="http://schemas.openxmlformats.org/officeDocument/2006/relationships/ctrlProp" Target="../ctrlProps/ctrlProp479.xml"/><Relationship Id="rId134" Type="http://schemas.openxmlformats.org/officeDocument/2006/relationships/ctrlProp" Target="../ctrlProps/ctrlProp495.xml"/><Relationship Id="rId139" Type="http://schemas.openxmlformats.org/officeDocument/2006/relationships/ctrlProp" Target="../ctrlProps/ctrlProp500.xml"/><Relationship Id="rId80" Type="http://schemas.openxmlformats.org/officeDocument/2006/relationships/ctrlProp" Target="../ctrlProps/ctrlProp441.xml"/><Relationship Id="rId85" Type="http://schemas.openxmlformats.org/officeDocument/2006/relationships/ctrlProp" Target="../ctrlProps/ctrlProp446.xml"/><Relationship Id="rId3" Type="http://schemas.openxmlformats.org/officeDocument/2006/relationships/vmlDrawing" Target="../drawings/vmlDrawing5.vml"/><Relationship Id="rId12" Type="http://schemas.openxmlformats.org/officeDocument/2006/relationships/ctrlProp" Target="../ctrlProps/ctrlProp373.xml"/><Relationship Id="rId17" Type="http://schemas.openxmlformats.org/officeDocument/2006/relationships/ctrlProp" Target="../ctrlProps/ctrlProp378.xml"/><Relationship Id="rId25" Type="http://schemas.openxmlformats.org/officeDocument/2006/relationships/ctrlProp" Target="../ctrlProps/ctrlProp386.xml"/><Relationship Id="rId33" Type="http://schemas.openxmlformats.org/officeDocument/2006/relationships/ctrlProp" Target="../ctrlProps/ctrlProp394.xml"/><Relationship Id="rId38" Type="http://schemas.openxmlformats.org/officeDocument/2006/relationships/ctrlProp" Target="../ctrlProps/ctrlProp399.xml"/><Relationship Id="rId46" Type="http://schemas.openxmlformats.org/officeDocument/2006/relationships/ctrlProp" Target="../ctrlProps/ctrlProp407.xml"/><Relationship Id="rId59" Type="http://schemas.openxmlformats.org/officeDocument/2006/relationships/ctrlProp" Target="../ctrlProps/ctrlProp420.xml"/><Relationship Id="rId67" Type="http://schemas.openxmlformats.org/officeDocument/2006/relationships/ctrlProp" Target="../ctrlProps/ctrlProp428.xml"/><Relationship Id="rId103" Type="http://schemas.openxmlformats.org/officeDocument/2006/relationships/ctrlProp" Target="../ctrlProps/ctrlProp464.xml"/><Relationship Id="rId108" Type="http://schemas.openxmlformats.org/officeDocument/2006/relationships/ctrlProp" Target="../ctrlProps/ctrlProp469.xml"/><Relationship Id="rId116" Type="http://schemas.openxmlformats.org/officeDocument/2006/relationships/ctrlProp" Target="../ctrlProps/ctrlProp477.xml"/><Relationship Id="rId124" Type="http://schemas.openxmlformats.org/officeDocument/2006/relationships/ctrlProp" Target="../ctrlProps/ctrlProp485.xml"/><Relationship Id="rId129" Type="http://schemas.openxmlformats.org/officeDocument/2006/relationships/ctrlProp" Target="../ctrlProps/ctrlProp490.xml"/><Relationship Id="rId137" Type="http://schemas.openxmlformats.org/officeDocument/2006/relationships/ctrlProp" Target="../ctrlProps/ctrlProp498.xml"/><Relationship Id="rId20" Type="http://schemas.openxmlformats.org/officeDocument/2006/relationships/ctrlProp" Target="../ctrlProps/ctrlProp381.xml"/><Relationship Id="rId41" Type="http://schemas.openxmlformats.org/officeDocument/2006/relationships/ctrlProp" Target="../ctrlProps/ctrlProp402.xml"/><Relationship Id="rId54" Type="http://schemas.openxmlformats.org/officeDocument/2006/relationships/ctrlProp" Target="../ctrlProps/ctrlProp415.xml"/><Relationship Id="rId62" Type="http://schemas.openxmlformats.org/officeDocument/2006/relationships/ctrlProp" Target="../ctrlProps/ctrlProp423.xml"/><Relationship Id="rId70" Type="http://schemas.openxmlformats.org/officeDocument/2006/relationships/ctrlProp" Target="../ctrlProps/ctrlProp431.xml"/><Relationship Id="rId75" Type="http://schemas.openxmlformats.org/officeDocument/2006/relationships/ctrlProp" Target="../ctrlProps/ctrlProp436.xml"/><Relationship Id="rId83" Type="http://schemas.openxmlformats.org/officeDocument/2006/relationships/ctrlProp" Target="../ctrlProps/ctrlProp444.xml"/><Relationship Id="rId88" Type="http://schemas.openxmlformats.org/officeDocument/2006/relationships/ctrlProp" Target="../ctrlProps/ctrlProp449.xml"/><Relationship Id="rId91" Type="http://schemas.openxmlformats.org/officeDocument/2006/relationships/ctrlProp" Target="../ctrlProps/ctrlProp452.xml"/><Relationship Id="rId96" Type="http://schemas.openxmlformats.org/officeDocument/2006/relationships/ctrlProp" Target="../ctrlProps/ctrlProp457.xml"/><Relationship Id="rId111" Type="http://schemas.openxmlformats.org/officeDocument/2006/relationships/ctrlProp" Target="../ctrlProps/ctrlProp472.xml"/><Relationship Id="rId132" Type="http://schemas.openxmlformats.org/officeDocument/2006/relationships/ctrlProp" Target="../ctrlProps/ctrlProp493.xml"/><Relationship Id="rId140" Type="http://schemas.openxmlformats.org/officeDocument/2006/relationships/ctrlProp" Target="../ctrlProps/ctrlProp501.xml"/><Relationship Id="rId145" Type="http://schemas.openxmlformats.org/officeDocument/2006/relationships/ctrlProp" Target="../ctrlProps/ctrlProp506.xml"/><Relationship Id="rId1" Type="http://schemas.openxmlformats.org/officeDocument/2006/relationships/printerSettings" Target="../printerSettings/printerSettings7.bin"/><Relationship Id="rId6" Type="http://schemas.openxmlformats.org/officeDocument/2006/relationships/ctrlProp" Target="../ctrlProps/ctrlProp367.xml"/><Relationship Id="rId15" Type="http://schemas.openxmlformats.org/officeDocument/2006/relationships/ctrlProp" Target="../ctrlProps/ctrlProp376.xml"/><Relationship Id="rId23" Type="http://schemas.openxmlformats.org/officeDocument/2006/relationships/ctrlProp" Target="../ctrlProps/ctrlProp384.xml"/><Relationship Id="rId28" Type="http://schemas.openxmlformats.org/officeDocument/2006/relationships/ctrlProp" Target="../ctrlProps/ctrlProp389.xml"/><Relationship Id="rId36" Type="http://schemas.openxmlformats.org/officeDocument/2006/relationships/ctrlProp" Target="../ctrlProps/ctrlProp397.xml"/><Relationship Id="rId49" Type="http://schemas.openxmlformats.org/officeDocument/2006/relationships/ctrlProp" Target="../ctrlProps/ctrlProp410.xml"/><Relationship Id="rId57" Type="http://schemas.openxmlformats.org/officeDocument/2006/relationships/ctrlProp" Target="../ctrlProps/ctrlProp418.xml"/><Relationship Id="rId106" Type="http://schemas.openxmlformats.org/officeDocument/2006/relationships/ctrlProp" Target="../ctrlProps/ctrlProp467.xml"/><Relationship Id="rId114" Type="http://schemas.openxmlformats.org/officeDocument/2006/relationships/ctrlProp" Target="../ctrlProps/ctrlProp475.xml"/><Relationship Id="rId119" Type="http://schemas.openxmlformats.org/officeDocument/2006/relationships/ctrlProp" Target="../ctrlProps/ctrlProp480.xml"/><Relationship Id="rId127" Type="http://schemas.openxmlformats.org/officeDocument/2006/relationships/ctrlProp" Target="../ctrlProps/ctrlProp488.xml"/><Relationship Id="rId10" Type="http://schemas.openxmlformats.org/officeDocument/2006/relationships/ctrlProp" Target="../ctrlProps/ctrlProp371.xml"/><Relationship Id="rId31" Type="http://schemas.openxmlformats.org/officeDocument/2006/relationships/ctrlProp" Target="../ctrlProps/ctrlProp392.xml"/><Relationship Id="rId44" Type="http://schemas.openxmlformats.org/officeDocument/2006/relationships/ctrlProp" Target="../ctrlProps/ctrlProp405.xml"/><Relationship Id="rId52" Type="http://schemas.openxmlformats.org/officeDocument/2006/relationships/ctrlProp" Target="../ctrlProps/ctrlProp413.xml"/><Relationship Id="rId60" Type="http://schemas.openxmlformats.org/officeDocument/2006/relationships/ctrlProp" Target="../ctrlProps/ctrlProp421.xml"/><Relationship Id="rId65" Type="http://schemas.openxmlformats.org/officeDocument/2006/relationships/ctrlProp" Target="../ctrlProps/ctrlProp426.xml"/><Relationship Id="rId73" Type="http://schemas.openxmlformats.org/officeDocument/2006/relationships/ctrlProp" Target="../ctrlProps/ctrlProp434.xml"/><Relationship Id="rId78" Type="http://schemas.openxmlformats.org/officeDocument/2006/relationships/ctrlProp" Target="../ctrlProps/ctrlProp439.xml"/><Relationship Id="rId81" Type="http://schemas.openxmlformats.org/officeDocument/2006/relationships/ctrlProp" Target="../ctrlProps/ctrlProp442.xml"/><Relationship Id="rId86" Type="http://schemas.openxmlformats.org/officeDocument/2006/relationships/ctrlProp" Target="../ctrlProps/ctrlProp447.xml"/><Relationship Id="rId94" Type="http://schemas.openxmlformats.org/officeDocument/2006/relationships/ctrlProp" Target="../ctrlProps/ctrlProp455.xml"/><Relationship Id="rId99" Type="http://schemas.openxmlformats.org/officeDocument/2006/relationships/ctrlProp" Target="../ctrlProps/ctrlProp460.xml"/><Relationship Id="rId101" Type="http://schemas.openxmlformats.org/officeDocument/2006/relationships/ctrlProp" Target="../ctrlProps/ctrlProp462.xml"/><Relationship Id="rId122" Type="http://schemas.openxmlformats.org/officeDocument/2006/relationships/ctrlProp" Target="../ctrlProps/ctrlProp483.xml"/><Relationship Id="rId130" Type="http://schemas.openxmlformats.org/officeDocument/2006/relationships/ctrlProp" Target="../ctrlProps/ctrlProp491.xml"/><Relationship Id="rId135" Type="http://schemas.openxmlformats.org/officeDocument/2006/relationships/ctrlProp" Target="../ctrlProps/ctrlProp496.xml"/><Relationship Id="rId143" Type="http://schemas.openxmlformats.org/officeDocument/2006/relationships/ctrlProp" Target="../ctrlProps/ctrlProp504.xml"/><Relationship Id="rId148" Type="http://schemas.openxmlformats.org/officeDocument/2006/relationships/comments" Target="../comments5.xml"/><Relationship Id="rId4" Type="http://schemas.openxmlformats.org/officeDocument/2006/relationships/ctrlProp" Target="../ctrlProps/ctrlProp365.xml"/><Relationship Id="rId9" Type="http://schemas.openxmlformats.org/officeDocument/2006/relationships/ctrlProp" Target="../ctrlProps/ctrlProp370.xml"/><Relationship Id="rId13" Type="http://schemas.openxmlformats.org/officeDocument/2006/relationships/ctrlProp" Target="../ctrlProps/ctrlProp374.xml"/><Relationship Id="rId18" Type="http://schemas.openxmlformats.org/officeDocument/2006/relationships/ctrlProp" Target="../ctrlProps/ctrlProp379.xml"/><Relationship Id="rId39" Type="http://schemas.openxmlformats.org/officeDocument/2006/relationships/ctrlProp" Target="../ctrlProps/ctrlProp400.xml"/><Relationship Id="rId109" Type="http://schemas.openxmlformats.org/officeDocument/2006/relationships/ctrlProp" Target="../ctrlProps/ctrlProp470.xml"/><Relationship Id="rId34" Type="http://schemas.openxmlformats.org/officeDocument/2006/relationships/ctrlProp" Target="../ctrlProps/ctrlProp395.xml"/><Relationship Id="rId50" Type="http://schemas.openxmlformats.org/officeDocument/2006/relationships/ctrlProp" Target="../ctrlProps/ctrlProp411.xml"/><Relationship Id="rId55" Type="http://schemas.openxmlformats.org/officeDocument/2006/relationships/ctrlProp" Target="../ctrlProps/ctrlProp416.xml"/><Relationship Id="rId76" Type="http://schemas.openxmlformats.org/officeDocument/2006/relationships/ctrlProp" Target="../ctrlProps/ctrlProp437.xml"/><Relationship Id="rId97" Type="http://schemas.openxmlformats.org/officeDocument/2006/relationships/ctrlProp" Target="../ctrlProps/ctrlProp458.xml"/><Relationship Id="rId104" Type="http://schemas.openxmlformats.org/officeDocument/2006/relationships/ctrlProp" Target="../ctrlProps/ctrlProp465.xml"/><Relationship Id="rId120" Type="http://schemas.openxmlformats.org/officeDocument/2006/relationships/ctrlProp" Target="../ctrlProps/ctrlProp481.xml"/><Relationship Id="rId125" Type="http://schemas.openxmlformats.org/officeDocument/2006/relationships/ctrlProp" Target="../ctrlProps/ctrlProp486.xml"/><Relationship Id="rId141" Type="http://schemas.openxmlformats.org/officeDocument/2006/relationships/ctrlProp" Target="../ctrlProps/ctrlProp502.xml"/><Relationship Id="rId146" Type="http://schemas.openxmlformats.org/officeDocument/2006/relationships/ctrlProp" Target="../ctrlProps/ctrlProp507.xml"/><Relationship Id="rId7" Type="http://schemas.openxmlformats.org/officeDocument/2006/relationships/ctrlProp" Target="../ctrlProps/ctrlProp368.xml"/><Relationship Id="rId71" Type="http://schemas.openxmlformats.org/officeDocument/2006/relationships/ctrlProp" Target="../ctrlProps/ctrlProp432.xml"/><Relationship Id="rId92" Type="http://schemas.openxmlformats.org/officeDocument/2006/relationships/ctrlProp" Target="../ctrlProps/ctrlProp453.xml"/><Relationship Id="rId2" Type="http://schemas.openxmlformats.org/officeDocument/2006/relationships/drawing" Target="../drawings/drawing5.xml"/><Relationship Id="rId29" Type="http://schemas.openxmlformats.org/officeDocument/2006/relationships/ctrlProp" Target="../ctrlProps/ctrlProp390.xml"/><Relationship Id="rId24" Type="http://schemas.openxmlformats.org/officeDocument/2006/relationships/ctrlProp" Target="../ctrlProps/ctrlProp385.xml"/><Relationship Id="rId40" Type="http://schemas.openxmlformats.org/officeDocument/2006/relationships/ctrlProp" Target="../ctrlProps/ctrlProp401.xml"/><Relationship Id="rId45" Type="http://schemas.openxmlformats.org/officeDocument/2006/relationships/ctrlProp" Target="../ctrlProps/ctrlProp406.xml"/><Relationship Id="rId66" Type="http://schemas.openxmlformats.org/officeDocument/2006/relationships/ctrlProp" Target="../ctrlProps/ctrlProp427.xml"/><Relationship Id="rId87" Type="http://schemas.openxmlformats.org/officeDocument/2006/relationships/ctrlProp" Target="../ctrlProps/ctrlProp448.xml"/><Relationship Id="rId110" Type="http://schemas.openxmlformats.org/officeDocument/2006/relationships/ctrlProp" Target="../ctrlProps/ctrlProp471.xml"/><Relationship Id="rId115" Type="http://schemas.openxmlformats.org/officeDocument/2006/relationships/ctrlProp" Target="../ctrlProps/ctrlProp476.xml"/><Relationship Id="rId131" Type="http://schemas.openxmlformats.org/officeDocument/2006/relationships/ctrlProp" Target="../ctrlProps/ctrlProp492.xml"/><Relationship Id="rId136" Type="http://schemas.openxmlformats.org/officeDocument/2006/relationships/ctrlProp" Target="../ctrlProps/ctrlProp497.xml"/><Relationship Id="rId61" Type="http://schemas.openxmlformats.org/officeDocument/2006/relationships/ctrlProp" Target="../ctrlProps/ctrlProp422.xml"/><Relationship Id="rId82" Type="http://schemas.openxmlformats.org/officeDocument/2006/relationships/ctrlProp" Target="../ctrlProps/ctrlProp443.xml"/><Relationship Id="rId19" Type="http://schemas.openxmlformats.org/officeDocument/2006/relationships/ctrlProp" Target="../ctrlProps/ctrlProp380.xml"/><Relationship Id="rId14" Type="http://schemas.openxmlformats.org/officeDocument/2006/relationships/ctrlProp" Target="../ctrlProps/ctrlProp375.xml"/><Relationship Id="rId30" Type="http://schemas.openxmlformats.org/officeDocument/2006/relationships/ctrlProp" Target="../ctrlProps/ctrlProp391.xml"/><Relationship Id="rId35" Type="http://schemas.openxmlformats.org/officeDocument/2006/relationships/ctrlProp" Target="../ctrlProps/ctrlProp396.xml"/><Relationship Id="rId56" Type="http://schemas.openxmlformats.org/officeDocument/2006/relationships/ctrlProp" Target="../ctrlProps/ctrlProp417.xml"/><Relationship Id="rId77" Type="http://schemas.openxmlformats.org/officeDocument/2006/relationships/ctrlProp" Target="../ctrlProps/ctrlProp438.xml"/><Relationship Id="rId100" Type="http://schemas.openxmlformats.org/officeDocument/2006/relationships/ctrlProp" Target="../ctrlProps/ctrlProp461.xml"/><Relationship Id="rId105" Type="http://schemas.openxmlformats.org/officeDocument/2006/relationships/ctrlProp" Target="../ctrlProps/ctrlProp466.xml"/><Relationship Id="rId126" Type="http://schemas.openxmlformats.org/officeDocument/2006/relationships/ctrlProp" Target="../ctrlProps/ctrlProp487.xml"/><Relationship Id="rId147" Type="http://schemas.openxmlformats.org/officeDocument/2006/relationships/ctrlProp" Target="../ctrlProps/ctrlProp508.xml"/><Relationship Id="rId8" Type="http://schemas.openxmlformats.org/officeDocument/2006/relationships/ctrlProp" Target="../ctrlProps/ctrlProp369.xml"/><Relationship Id="rId51" Type="http://schemas.openxmlformats.org/officeDocument/2006/relationships/ctrlProp" Target="../ctrlProps/ctrlProp412.xml"/><Relationship Id="rId72" Type="http://schemas.openxmlformats.org/officeDocument/2006/relationships/ctrlProp" Target="../ctrlProps/ctrlProp433.xml"/><Relationship Id="rId93" Type="http://schemas.openxmlformats.org/officeDocument/2006/relationships/ctrlProp" Target="../ctrlProps/ctrlProp454.xml"/><Relationship Id="rId98" Type="http://schemas.openxmlformats.org/officeDocument/2006/relationships/ctrlProp" Target="../ctrlProps/ctrlProp459.xml"/><Relationship Id="rId121" Type="http://schemas.openxmlformats.org/officeDocument/2006/relationships/ctrlProp" Target="../ctrlProps/ctrlProp482.xml"/><Relationship Id="rId142" Type="http://schemas.openxmlformats.org/officeDocument/2006/relationships/ctrlProp" Target="../ctrlProps/ctrlProp503.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531.xml"/><Relationship Id="rId117" Type="http://schemas.openxmlformats.org/officeDocument/2006/relationships/ctrlProp" Target="../ctrlProps/ctrlProp622.xml"/><Relationship Id="rId21" Type="http://schemas.openxmlformats.org/officeDocument/2006/relationships/ctrlProp" Target="../ctrlProps/ctrlProp526.xml"/><Relationship Id="rId42" Type="http://schemas.openxmlformats.org/officeDocument/2006/relationships/ctrlProp" Target="../ctrlProps/ctrlProp547.xml"/><Relationship Id="rId47" Type="http://schemas.openxmlformats.org/officeDocument/2006/relationships/ctrlProp" Target="../ctrlProps/ctrlProp552.xml"/><Relationship Id="rId63" Type="http://schemas.openxmlformats.org/officeDocument/2006/relationships/ctrlProp" Target="../ctrlProps/ctrlProp568.xml"/><Relationship Id="rId68" Type="http://schemas.openxmlformats.org/officeDocument/2006/relationships/ctrlProp" Target="../ctrlProps/ctrlProp573.xml"/><Relationship Id="rId84" Type="http://schemas.openxmlformats.org/officeDocument/2006/relationships/ctrlProp" Target="../ctrlProps/ctrlProp589.xml"/><Relationship Id="rId89" Type="http://schemas.openxmlformats.org/officeDocument/2006/relationships/ctrlProp" Target="../ctrlProps/ctrlProp594.xml"/><Relationship Id="rId112" Type="http://schemas.openxmlformats.org/officeDocument/2006/relationships/ctrlProp" Target="../ctrlProps/ctrlProp617.xml"/><Relationship Id="rId133" Type="http://schemas.openxmlformats.org/officeDocument/2006/relationships/ctrlProp" Target="../ctrlProps/ctrlProp638.xml"/><Relationship Id="rId138" Type="http://schemas.openxmlformats.org/officeDocument/2006/relationships/ctrlProp" Target="../ctrlProps/ctrlProp643.xml"/><Relationship Id="rId16" Type="http://schemas.openxmlformats.org/officeDocument/2006/relationships/ctrlProp" Target="../ctrlProps/ctrlProp521.xml"/><Relationship Id="rId107" Type="http://schemas.openxmlformats.org/officeDocument/2006/relationships/ctrlProp" Target="../ctrlProps/ctrlProp612.xml"/><Relationship Id="rId11" Type="http://schemas.openxmlformats.org/officeDocument/2006/relationships/ctrlProp" Target="../ctrlProps/ctrlProp516.xml"/><Relationship Id="rId32" Type="http://schemas.openxmlformats.org/officeDocument/2006/relationships/ctrlProp" Target="../ctrlProps/ctrlProp537.xml"/><Relationship Id="rId37" Type="http://schemas.openxmlformats.org/officeDocument/2006/relationships/ctrlProp" Target="../ctrlProps/ctrlProp542.xml"/><Relationship Id="rId53" Type="http://schemas.openxmlformats.org/officeDocument/2006/relationships/ctrlProp" Target="../ctrlProps/ctrlProp558.xml"/><Relationship Id="rId58" Type="http://schemas.openxmlformats.org/officeDocument/2006/relationships/ctrlProp" Target="../ctrlProps/ctrlProp563.xml"/><Relationship Id="rId74" Type="http://schemas.openxmlformats.org/officeDocument/2006/relationships/ctrlProp" Target="../ctrlProps/ctrlProp579.xml"/><Relationship Id="rId79" Type="http://schemas.openxmlformats.org/officeDocument/2006/relationships/ctrlProp" Target="../ctrlProps/ctrlProp584.xml"/><Relationship Id="rId102" Type="http://schemas.openxmlformats.org/officeDocument/2006/relationships/ctrlProp" Target="../ctrlProps/ctrlProp607.xml"/><Relationship Id="rId123" Type="http://schemas.openxmlformats.org/officeDocument/2006/relationships/ctrlProp" Target="../ctrlProps/ctrlProp628.xml"/><Relationship Id="rId128" Type="http://schemas.openxmlformats.org/officeDocument/2006/relationships/ctrlProp" Target="../ctrlProps/ctrlProp633.xml"/><Relationship Id="rId144" Type="http://schemas.openxmlformats.org/officeDocument/2006/relationships/ctrlProp" Target="../ctrlProps/ctrlProp649.xml"/><Relationship Id="rId149" Type="http://schemas.openxmlformats.org/officeDocument/2006/relationships/comments" Target="../comments6.xml"/><Relationship Id="rId5" Type="http://schemas.openxmlformats.org/officeDocument/2006/relationships/ctrlProp" Target="../ctrlProps/ctrlProp510.xml"/><Relationship Id="rId90" Type="http://schemas.openxmlformats.org/officeDocument/2006/relationships/ctrlProp" Target="../ctrlProps/ctrlProp595.xml"/><Relationship Id="rId95" Type="http://schemas.openxmlformats.org/officeDocument/2006/relationships/ctrlProp" Target="../ctrlProps/ctrlProp600.xml"/><Relationship Id="rId22" Type="http://schemas.openxmlformats.org/officeDocument/2006/relationships/ctrlProp" Target="../ctrlProps/ctrlProp527.xml"/><Relationship Id="rId27" Type="http://schemas.openxmlformats.org/officeDocument/2006/relationships/ctrlProp" Target="../ctrlProps/ctrlProp532.xml"/><Relationship Id="rId43" Type="http://schemas.openxmlformats.org/officeDocument/2006/relationships/ctrlProp" Target="../ctrlProps/ctrlProp548.xml"/><Relationship Id="rId48" Type="http://schemas.openxmlformats.org/officeDocument/2006/relationships/ctrlProp" Target="../ctrlProps/ctrlProp553.xml"/><Relationship Id="rId64" Type="http://schemas.openxmlformats.org/officeDocument/2006/relationships/ctrlProp" Target="../ctrlProps/ctrlProp569.xml"/><Relationship Id="rId69" Type="http://schemas.openxmlformats.org/officeDocument/2006/relationships/ctrlProp" Target="../ctrlProps/ctrlProp574.xml"/><Relationship Id="rId113" Type="http://schemas.openxmlformats.org/officeDocument/2006/relationships/ctrlProp" Target="../ctrlProps/ctrlProp618.xml"/><Relationship Id="rId118" Type="http://schemas.openxmlformats.org/officeDocument/2006/relationships/ctrlProp" Target="../ctrlProps/ctrlProp623.xml"/><Relationship Id="rId134" Type="http://schemas.openxmlformats.org/officeDocument/2006/relationships/ctrlProp" Target="../ctrlProps/ctrlProp639.xml"/><Relationship Id="rId139" Type="http://schemas.openxmlformats.org/officeDocument/2006/relationships/ctrlProp" Target="../ctrlProps/ctrlProp644.xml"/><Relationship Id="rId80" Type="http://schemas.openxmlformats.org/officeDocument/2006/relationships/ctrlProp" Target="../ctrlProps/ctrlProp585.xml"/><Relationship Id="rId85" Type="http://schemas.openxmlformats.org/officeDocument/2006/relationships/ctrlProp" Target="../ctrlProps/ctrlProp590.xml"/><Relationship Id="rId3" Type="http://schemas.openxmlformats.org/officeDocument/2006/relationships/vmlDrawing" Target="../drawings/vmlDrawing6.vml"/><Relationship Id="rId12" Type="http://schemas.openxmlformats.org/officeDocument/2006/relationships/ctrlProp" Target="../ctrlProps/ctrlProp517.xml"/><Relationship Id="rId17" Type="http://schemas.openxmlformats.org/officeDocument/2006/relationships/ctrlProp" Target="../ctrlProps/ctrlProp522.xml"/><Relationship Id="rId25" Type="http://schemas.openxmlformats.org/officeDocument/2006/relationships/ctrlProp" Target="../ctrlProps/ctrlProp530.xml"/><Relationship Id="rId33" Type="http://schemas.openxmlformats.org/officeDocument/2006/relationships/ctrlProp" Target="../ctrlProps/ctrlProp538.xml"/><Relationship Id="rId38" Type="http://schemas.openxmlformats.org/officeDocument/2006/relationships/ctrlProp" Target="../ctrlProps/ctrlProp543.xml"/><Relationship Id="rId46" Type="http://schemas.openxmlformats.org/officeDocument/2006/relationships/ctrlProp" Target="../ctrlProps/ctrlProp551.xml"/><Relationship Id="rId59" Type="http://schemas.openxmlformats.org/officeDocument/2006/relationships/ctrlProp" Target="../ctrlProps/ctrlProp564.xml"/><Relationship Id="rId67" Type="http://schemas.openxmlformats.org/officeDocument/2006/relationships/ctrlProp" Target="../ctrlProps/ctrlProp572.xml"/><Relationship Id="rId103" Type="http://schemas.openxmlformats.org/officeDocument/2006/relationships/ctrlProp" Target="../ctrlProps/ctrlProp608.xml"/><Relationship Id="rId108" Type="http://schemas.openxmlformats.org/officeDocument/2006/relationships/ctrlProp" Target="../ctrlProps/ctrlProp613.xml"/><Relationship Id="rId116" Type="http://schemas.openxmlformats.org/officeDocument/2006/relationships/ctrlProp" Target="../ctrlProps/ctrlProp621.xml"/><Relationship Id="rId124" Type="http://schemas.openxmlformats.org/officeDocument/2006/relationships/ctrlProp" Target="../ctrlProps/ctrlProp629.xml"/><Relationship Id="rId129" Type="http://schemas.openxmlformats.org/officeDocument/2006/relationships/ctrlProp" Target="../ctrlProps/ctrlProp634.xml"/><Relationship Id="rId137" Type="http://schemas.openxmlformats.org/officeDocument/2006/relationships/ctrlProp" Target="../ctrlProps/ctrlProp642.xml"/><Relationship Id="rId20" Type="http://schemas.openxmlformats.org/officeDocument/2006/relationships/ctrlProp" Target="../ctrlProps/ctrlProp525.xml"/><Relationship Id="rId41" Type="http://schemas.openxmlformats.org/officeDocument/2006/relationships/ctrlProp" Target="../ctrlProps/ctrlProp546.xml"/><Relationship Id="rId54" Type="http://schemas.openxmlformats.org/officeDocument/2006/relationships/ctrlProp" Target="../ctrlProps/ctrlProp559.xml"/><Relationship Id="rId62" Type="http://schemas.openxmlformats.org/officeDocument/2006/relationships/ctrlProp" Target="../ctrlProps/ctrlProp567.xml"/><Relationship Id="rId70" Type="http://schemas.openxmlformats.org/officeDocument/2006/relationships/ctrlProp" Target="../ctrlProps/ctrlProp575.xml"/><Relationship Id="rId75" Type="http://schemas.openxmlformats.org/officeDocument/2006/relationships/ctrlProp" Target="../ctrlProps/ctrlProp580.xml"/><Relationship Id="rId83" Type="http://schemas.openxmlformats.org/officeDocument/2006/relationships/ctrlProp" Target="../ctrlProps/ctrlProp588.xml"/><Relationship Id="rId88" Type="http://schemas.openxmlformats.org/officeDocument/2006/relationships/ctrlProp" Target="../ctrlProps/ctrlProp593.xml"/><Relationship Id="rId91" Type="http://schemas.openxmlformats.org/officeDocument/2006/relationships/ctrlProp" Target="../ctrlProps/ctrlProp596.xml"/><Relationship Id="rId96" Type="http://schemas.openxmlformats.org/officeDocument/2006/relationships/ctrlProp" Target="../ctrlProps/ctrlProp601.xml"/><Relationship Id="rId111" Type="http://schemas.openxmlformats.org/officeDocument/2006/relationships/ctrlProp" Target="../ctrlProps/ctrlProp616.xml"/><Relationship Id="rId132" Type="http://schemas.openxmlformats.org/officeDocument/2006/relationships/ctrlProp" Target="../ctrlProps/ctrlProp637.xml"/><Relationship Id="rId140" Type="http://schemas.openxmlformats.org/officeDocument/2006/relationships/ctrlProp" Target="../ctrlProps/ctrlProp645.xml"/><Relationship Id="rId145" Type="http://schemas.openxmlformats.org/officeDocument/2006/relationships/ctrlProp" Target="../ctrlProps/ctrlProp650.xml"/><Relationship Id="rId1" Type="http://schemas.openxmlformats.org/officeDocument/2006/relationships/printerSettings" Target="../printerSettings/printerSettings8.bin"/><Relationship Id="rId6" Type="http://schemas.openxmlformats.org/officeDocument/2006/relationships/ctrlProp" Target="../ctrlProps/ctrlProp511.xml"/><Relationship Id="rId15" Type="http://schemas.openxmlformats.org/officeDocument/2006/relationships/ctrlProp" Target="../ctrlProps/ctrlProp520.xml"/><Relationship Id="rId23" Type="http://schemas.openxmlformats.org/officeDocument/2006/relationships/ctrlProp" Target="../ctrlProps/ctrlProp528.xml"/><Relationship Id="rId28" Type="http://schemas.openxmlformats.org/officeDocument/2006/relationships/ctrlProp" Target="../ctrlProps/ctrlProp533.xml"/><Relationship Id="rId36" Type="http://schemas.openxmlformats.org/officeDocument/2006/relationships/ctrlProp" Target="../ctrlProps/ctrlProp541.xml"/><Relationship Id="rId49" Type="http://schemas.openxmlformats.org/officeDocument/2006/relationships/ctrlProp" Target="../ctrlProps/ctrlProp554.xml"/><Relationship Id="rId57" Type="http://schemas.openxmlformats.org/officeDocument/2006/relationships/ctrlProp" Target="../ctrlProps/ctrlProp562.xml"/><Relationship Id="rId106" Type="http://schemas.openxmlformats.org/officeDocument/2006/relationships/ctrlProp" Target="../ctrlProps/ctrlProp611.xml"/><Relationship Id="rId114" Type="http://schemas.openxmlformats.org/officeDocument/2006/relationships/ctrlProp" Target="../ctrlProps/ctrlProp619.xml"/><Relationship Id="rId119" Type="http://schemas.openxmlformats.org/officeDocument/2006/relationships/ctrlProp" Target="../ctrlProps/ctrlProp624.xml"/><Relationship Id="rId127" Type="http://schemas.openxmlformats.org/officeDocument/2006/relationships/ctrlProp" Target="../ctrlProps/ctrlProp632.xml"/><Relationship Id="rId10" Type="http://schemas.openxmlformats.org/officeDocument/2006/relationships/ctrlProp" Target="../ctrlProps/ctrlProp515.xml"/><Relationship Id="rId31" Type="http://schemas.openxmlformats.org/officeDocument/2006/relationships/ctrlProp" Target="../ctrlProps/ctrlProp536.xml"/><Relationship Id="rId44" Type="http://schemas.openxmlformats.org/officeDocument/2006/relationships/ctrlProp" Target="../ctrlProps/ctrlProp549.xml"/><Relationship Id="rId52" Type="http://schemas.openxmlformats.org/officeDocument/2006/relationships/ctrlProp" Target="../ctrlProps/ctrlProp557.xml"/><Relationship Id="rId60" Type="http://schemas.openxmlformats.org/officeDocument/2006/relationships/ctrlProp" Target="../ctrlProps/ctrlProp565.xml"/><Relationship Id="rId65" Type="http://schemas.openxmlformats.org/officeDocument/2006/relationships/ctrlProp" Target="../ctrlProps/ctrlProp570.xml"/><Relationship Id="rId73" Type="http://schemas.openxmlformats.org/officeDocument/2006/relationships/ctrlProp" Target="../ctrlProps/ctrlProp578.xml"/><Relationship Id="rId78" Type="http://schemas.openxmlformats.org/officeDocument/2006/relationships/ctrlProp" Target="../ctrlProps/ctrlProp583.xml"/><Relationship Id="rId81" Type="http://schemas.openxmlformats.org/officeDocument/2006/relationships/ctrlProp" Target="../ctrlProps/ctrlProp586.xml"/><Relationship Id="rId86" Type="http://schemas.openxmlformats.org/officeDocument/2006/relationships/ctrlProp" Target="../ctrlProps/ctrlProp591.xml"/><Relationship Id="rId94" Type="http://schemas.openxmlformats.org/officeDocument/2006/relationships/ctrlProp" Target="../ctrlProps/ctrlProp599.xml"/><Relationship Id="rId99" Type="http://schemas.openxmlformats.org/officeDocument/2006/relationships/ctrlProp" Target="../ctrlProps/ctrlProp604.xml"/><Relationship Id="rId101" Type="http://schemas.openxmlformats.org/officeDocument/2006/relationships/ctrlProp" Target="../ctrlProps/ctrlProp606.xml"/><Relationship Id="rId122" Type="http://schemas.openxmlformats.org/officeDocument/2006/relationships/ctrlProp" Target="../ctrlProps/ctrlProp627.xml"/><Relationship Id="rId130" Type="http://schemas.openxmlformats.org/officeDocument/2006/relationships/ctrlProp" Target="../ctrlProps/ctrlProp635.xml"/><Relationship Id="rId135" Type="http://schemas.openxmlformats.org/officeDocument/2006/relationships/ctrlProp" Target="../ctrlProps/ctrlProp640.xml"/><Relationship Id="rId143" Type="http://schemas.openxmlformats.org/officeDocument/2006/relationships/ctrlProp" Target="../ctrlProps/ctrlProp648.xml"/><Relationship Id="rId148" Type="http://schemas.openxmlformats.org/officeDocument/2006/relationships/ctrlProp" Target="../ctrlProps/ctrlProp653.xml"/><Relationship Id="rId4" Type="http://schemas.openxmlformats.org/officeDocument/2006/relationships/ctrlProp" Target="../ctrlProps/ctrlProp509.xml"/><Relationship Id="rId9" Type="http://schemas.openxmlformats.org/officeDocument/2006/relationships/ctrlProp" Target="../ctrlProps/ctrlProp514.xml"/><Relationship Id="rId13" Type="http://schemas.openxmlformats.org/officeDocument/2006/relationships/ctrlProp" Target="../ctrlProps/ctrlProp518.xml"/><Relationship Id="rId18" Type="http://schemas.openxmlformats.org/officeDocument/2006/relationships/ctrlProp" Target="../ctrlProps/ctrlProp523.xml"/><Relationship Id="rId39" Type="http://schemas.openxmlformats.org/officeDocument/2006/relationships/ctrlProp" Target="../ctrlProps/ctrlProp544.xml"/><Relationship Id="rId109" Type="http://schemas.openxmlformats.org/officeDocument/2006/relationships/ctrlProp" Target="../ctrlProps/ctrlProp614.xml"/><Relationship Id="rId34" Type="http://schemas.openxmlformats.org/officeDocument/2006/relationships/ctrlProp" Target="../ctrlProps/ctrlProp539.xml"/><Relationship Id="rId50" Type="http://schemas.openxmlformats.org/officeDocument/2006/relationships/ctrlProp" Target="../ctrlProps/ctrlProp555.xml"/><Relationship Id="rId55" Type="http://schemas.openxmlformats.org/officeDocument/2006/relationships/ctrlProp" Target="../ctrlProps/ctrlProp560.xml"/><Relationship Id="rId76" Type="http://schemas.openxmlformats.org/officeDocument/2006/relationships/ctrlProp" Target="../ctrlProps/ctrlProp581.xml"/><Relationship Id="rId97" Type="http://schemas.openxmlformats.org/officeDocument/2006/relationships/ctrlProp" Target="../ctrlProps/ctrlProp602.xml"/><Relationship Id="rId104" Type="http://schemas.openxmlformats.org/officeDocument/2006/relationships/ctrlProp" Target="../ctrlProps/ctrlProp609.xml"/><Relationship Id="rId120" Type="http://schemas.openxmlformats.org/officeDocument/2006/relationships/ctrlProp" Target="../ctrlProps/ctrlProp625.xml"/><Relationship Id="rId125" Type="http://schemas.openxmlformats.org/officeDocument/2006/relationships/ctrlProp" Target="../ctrlProps/ctrlProp630.xml"/><Relationship Id="rId141" Type="http://schemas.openxmlformats.org/officeDocument/2006/relationships/ctrlProp" Target="../ctrlProps/ctrlProp646.xml"/><Relationship Id="rId146" Type="http://schemas.openxmlformats.org/officeDocument/2006/relationships/ctrlProp" Target="../ctrlProps/ctrlProp651.xml"/><Relationship Id="rId7" Type="http://schemas.openxmlformats.org/officeDocument/2006/relationships/ctrlProp" Target="../ctrlProps/ctrlProp512.xml"/><Relationship Id="rId71" Type="http://schemas.openxmlformats.org/officeDocument/2006/relationships/ctrlProp" Target="../ctrlProps/ctrlProp576.xml"/><Relationship Id="rId92" Type="http://schemas.openxmlformats.org/officeDocument/2006/relationships/ctrlProp" Target="../ctrlProps/ctrlProp597.xml"/><Relationship Id="rId2" Type="http://schemas.openxmlformats.org/officeDocument/2006/relationships/drawing" Target="../drawings/drawing6.xml"/><Relationship Id="rId29" Type="http://schemas.openxmlformats.org/officeDocument/2006/relationships/ctrlProp" Target="../ctrlProps/ctrlProp534.xml"/><Relationship Id="rId24" Type="http://schemas.openxmlformats.org/officeDocument/2006/relationships/ctrlProp" Target="../ctrlProps/ctrlProp529.xml"/><Relationship Id="rId40" Type="http://schemas.openxmlformats.org/officeDocument/2006/relationships/ctrlProp" Target="../ctrlProps/ctrlProp545.xml"/><Relationship Id="rId45" Type="http://schemas.openxmlformats.org/officeDocument/2006/relationships/ctrlProp" Target="../ctrlProps/ctrlProp550.xml"/><Relationship Id="rId66" Type="http://schemas.openxmlformats.org/officeDocument/2006/relationships/ctrlProp" Target="../ctrlProps/ctrlProp571.xml"/><Relationship Id="rId87" Type="http://schemas.openxmlformats.org/officeDocument/2006/relationships/ctrlProp" Target="../ctrlProps/ctrlProp592.xml"/><Relationship Id="rId110" Type="http://schemas.openxmlformats.org/officeDocument/2006/relationships/ctrlProp" Target="../ctrlProps/ctrlProp615.xml"/><Relationship Id="rId115" Type="http://schemas.openxmlformats.org/officeDocument/2006/relationships/ctrlProp" Target="../ctrlProps/ctrlProp620.xml"/><Relationship Id="rId131" Type="http://schemas.openxmlformats.org/officeDocument/2006/relationships/ctrlProp" Target="../ctrlProps/ctrlProp636.xml"/><Relationship Id="rId136" Type="http://schemas.openxmlformats.org/officeDocument/2006/relationships/ctrlProp" Target="../ctrlProps/ctrlProp641.xml"/><Relationship Id="rId61" Type="http://schemas.openxmlformats.org/officeDocument/2006/relationships/ctrlProp" Target="../ctrlProps/ctrlProp566.xml"/><Relationship Id="rId82" Type="http://schemas.openxmlformats.org/officeDocument/2006/relationships/ctrlProp" Target="../ctrlProps/ctrlProp587.xml"/><Relationship Id="rId19" Type="http://schemas.openxmlformats.org/officeDocument/2006/relationships/ctrlProp" Target="../ctrlProps/ctrlProp524.xml"/><Relationship Id="rId14" Type="http://schemas.openxmlformats.org/officeDocument/2006/relationships/ctrlProp" Target="../ctrlProps/ctrlProp519.xml"/><Relationship Id="rId30" Type="http://schemas.openxmlformats.org/officeDocument/2006/relationships/ctrlProp" Target="../ctrlProps/ctrlProp535.xml"/><Relationship Id="rId35" Type="http://schemas.openxmlformats.org/officeDocument/2006/relationships/ctrlProp" Target="../ctrlProps/ctrlProp540.xml"/><Relationship Id="rId56" Type="http://schemas.openxmlformats.org/officeDocument/2006/relationships/ctrlProp" Target="../ctrlProps/ctrlProp561.xml"/><Relationship Id="rId77" Type="http://schemas.openxmlformats.org/officeDocument/2006/relationships/ctrlProp" Target="../ctrlProps/ctrlProp582.xml"/><Relationship Id="rId100" Type="http://schemas.openxmlformats.org/officeDocument/2006/relationships/ctrlProp" Target="../ctrlProps/ctrlProp605.xml"/><Relationship Id="rId105" Type="http://schemas.openxmlformats.org/officeDocument/2006/relationships/ctrlProp" Target="../ctrlProps/ctrlProp610.xml"/><Relationship Id="rId126" Type="http://schemas.openxmlformats.org/officeDocument/2006/relationships/ctrlProp" Target="../ctrlProps/ctrlProp631.xml"/><Relationship Id="rId147" Type="http://schemas.openxmlformats.org/officeDocument/2006/relationships/ctrlProp" Target="../ctrlProps/ctrlProp652.xml"/><Relationship Id="rId8" Type="http://schemas.openxmlformats.org/officeDocument/2006/relationships/ctrlProp" Target="../ctrlProps/ctrlProp513.xml"/><Relationship Id="rId51" Type="http://schemas.openxmlformats.org/officeDocument/2006/relationships/ctrlProp" Target="../ctrlProps/ctrlProp556.xml"/><Relationship Id="rId72" Type="http://schemas.openxmlformats.org/officeDocument/2006/relationships/ctrlProp" Target="../ctrlProps/ctrlProp577.xml"/><Relationship Id="rId93" Type="http://schemas.openxmlformats.org/officeDocument/2006/relationships/ctrlProp" Target="../ctrlProps/ctrlProp598.xml"/><Relationship Id="rId98" Type="http://schemas.openxmlformats.org/officeDocument/2006/relationships/ctrlProp" Target="../ctrlProps/ctrlProp603.xml"/><Relationship Id="rId121" Type="http://schemas.openxmlformats.org/officeDocument/2006/relationships/ctrlProp" Target="../ctrlProps/ctrlProp626.xml"/><Relationship Id="rId142" Type="http://schemas.openxmlformats.org/officeDocument/2006/relationships/ctrlProp" Target="../ctrlProps/ctrlProp64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5" Type="http://schemas.openxmlformats.org/officeDocument/2006/relationships/comments" Target="../comments7.xml"/><Relationship Id="rId4" Type="http://schemas.openxmlformats.org/officeDocument/2006/relationships/ctrlProp" Target="../ctrlProps/ctrlProp65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Z88"/>
  <sheetViews>
    <sheetView showGridLines="0" tabSelected="1" zoomScale="120" zoomScaleNormal="120" workbookViewId="0">
      <selection activeCell="E36" sqref="E36"/>
    </sheetView>
  </sheetViews>
  <sheetFormatPr defaultColWidth="2.85546875" defaultRowHeight="12.75" x14ac:dyDescent="0.2"/>
  <cols>
    <col min="1" max="1" width="14" style="2" customWidth="1"/>
    <col min="2" max="10" width="9.140625" style="2" customWidth="1"/>
    <col min="11" max="11" width="12.28515625" style="2" hidden="1" customWidth="1"/>
    <col min="12" max="130" width="9.140625" style="2" hidden="1" customWidth="1"/>
    <col min="131" max="255" width="9.140625" style="2" customWidth="1"/>
    <col min="256" max="16384" width="2.85546875" style="2"/>
  </cols>
  <sheetData>
    <row r="1" spans="1:17" ht="18.75" x14ac:dyDescent="0.3">
      <c r="A1" s="710" t="s">
        <v>913</v>
      </c>
      <c r="B1" s="710"/>
      <c r="C1" s="710"/>
      <c r="D1" s="710"/>
      <c r="E1" s="710"/>
      <c r="F1" s="710"/>
      <c r="G1" s="710"/>
      <c r="H1" s="710"/>
      <c r="I1" s="710"/>
    </row>
    <row r="2" spans="1:17" ht="17.25" customHeight="1" x14ac:dyDescent="0.25">
      <c r="A2" s="711" t="s">
        <v>2298</v>
      </c>
      <c r="B2" s="711"/>
      <c r="C2" s="711"/>
      <c r="D2" s="711"/>
      <c r="E2" s="711"/>
      <c r="F2" s="711"/>
      <c r="G2" s="711"/>
      <c r="H2" s="711"/>
      <c r="I2" s="711"/>
    </row>
    <row r="3" spans="1:17" x14ac:dyDescent="0.2">
      <c r="D3" s="1"/>
      <c r="E3" s="1"/>
      <c r="K3" s="329">
        <f ca="1">TODAY()</f>
        <v>45469</v>
      </c>
    </row>
    <row r="4" spans="1:17" ht="15.75" customHeight="1" x14ac:dyDescent="0.25">
      <c r="A4" s="342" t="s">
        <v>2106</v>
      </c>
      <c r="I4" s="532"/>
      <c r="K4" s="329">
        <v>38353</v>
      </c>
    </row>
    <row r="5" spans="1:17" ht="18" customHeight="1" x14ac:dyDescent="0.25">
      <c r="A5" s="533" t="s">
        <v>2107</v>
      </c>
      <c r="H5" s="531"/>
      <c r="I5" s="530"/>
    </row>
    <row r="6" spans="1:17" ht="15.75" customHeight="1" x14ac:dyDescent="0.2">
      <c r="A6" s="694"/>
      <c r="B6" s="694"/>
      <c r="C6" s="2" t="s">
        <v>540</v>
      </c>
      <c r="E6" s="715" t="s">
        <v>574</v>
      </c>
      <c r="F6" s="716"/>
      <c r="G6" s="716"/>
      <c r="H6" s="716"/>
      <c r="I6" s="717"/>
      <c r="K6" s="304" t="s">
        <v>2299</v>
      </c>
      <c r="L6" s="305"/>
      <c r="M6" s="305"/>
      <c r="N6" s="305"/>
      <c r="O6" s="305"/>
      <c r="P6" s="305"/>
      <c r="Q6" s="306"/>
    </row>
    <row r="7" spans="1:17" ht="15.75" customHeight="1" x14ac:dyDescent="0.2">
      <c r="A7" s="694"/>
      <c r="B7" s="694"/>
      <c r="C7" s="2" t="s">
        <v>541</v>
      </c>
      <c r="E7" s="718"/>
      <c r="F7" s="719"/>
      <c r="G7" s="719"/>
      <c r="H7" s="719"/>
      <c r="I7" s="720"/>
      <c r="K7" s="304" t="s">
        <v>1175</v>
      </c>
      <c r="L7" s="305"/>
      <c r="M7" s="305"/>
      <c r="N7" s="305"/>
      <c r="O7" s="305"/>
      <c r="P7" s="305"/>
      <c r="Q7" s="306"/>
    </row>
    <row r="8" spans="1:17" ht="18" customHeight="1" x14ac:dyDescent="0.2">
      <c r="A8" s="695"/>
      <c r="B8" s="695"/>
      <c r="C8" s="2" t="s">
        <v>1170</v>
      </c>
      <c r="E8" s="721"/>
      <c r="F8" s="722"/>
      <c r="G8" s="722"/>
      <c r="H8" s="722"/>
      <c r="I8" s="723"/>
      <c r="K8" s="304" t="s">
        <v>2104</v>
      </c>
      <c r="L8" s="305"/>
      <c r="M8" s="305"/>
      <c r="N8" s="305"/>
      <c r="O8" s="305"/>
      <c r="P8" s="305"/>
      <c r="Q8" s="306"/>
    </row>
    <row r="9" spans="1:17" ht="18" customHeight="1" x14ac:dyDescent="0.2">
      <c r="A9" s="695"/>
      <c r="B9" s="695"/>
      <c r="C9" s="2" t="str">
        <f>IF(A9&gt;A8,K8,K6)</f>
        <v>Date of birth (required if social/vocational factors apply)</v>
      </c>
      <c r="K9" s="304" t="s">
        <v>2105</v>
      </c>
      <c r="L9" s="305"/>
      <c r="M9" s="305"/>
      <c r="N9" s="305"/>
      <c r="O9" s="305"/>
      <c r="P9" s="305"/>
      <c r="Q9" s="306"/>
    </row>
    <row r="10" spans="1:17" ht="18" customHeight="1" x14ac:dyDescent="0.2">
      <c r="A10" s="714"/>
      <c r="B10" s="714"/>
      <c r="C10" s="2" t="s">
        <v>1370</v>
      </c>
      <c r="K10" s="304" t="s">
        <v>1198</v>
      </c>
      <c r="L10" s="305"/>
      <c r="M10" s="305"/>
      <c r="N10" s="305"/>
      <c r="O10" s="305"/>
      <c r="P10" s="305"/>
      <c r="Q10" s="306"/>
    </row>
    <row r="11" spans="1:17" ht="18" customHeight="1" x14ac:dyDescent="0.2">
      <c r="A11" s="695"/>
      <c r="B11" s="695"/>
      <c r="C11" s="2" t="str">
        <f>IF(A11="","Date of issuance (required for calculation of age)",IF(A11&lt;A9,K9,IF(A11&lt;A8,K10,K7)))</f>
        <v>Date of issuance (required for calculation of age)</v>
      </c>
      <c r="E11" s="343"/>
      <c r="F11" s="344"/>
      <c r="G11" s="344"/>
      <c r="H11" s="344"/>
      <c r="I11" s="344"/>
    </row>
    <row r="12" spans="1:17" ht="47.25" customHeight="1" x14ac:dyDescent="0.25">
      <c r="A12" s="345" t="s">
        <v>1743</v>
      </c>
      <c r="B12" s="235"/>
      <c r="C12" s="1687" t="s">
        <v>2310</v>
      </c>
      <c r="D12" s="1687"/>
      <c r="E12" s="1687"/>
      <c r="F12" s="1687"/>
      <c r="G12" s="1687"/>
      <c r="H12" s="1687"/>
      <c r="I12" s="1687"/>
    </row>
    <row r="13" spans="1:17" ht="37.5" customHeight="1" x14ac:dyDescent="0.25">
      <c r="A13" s="712" t="s">
        <v>1162</v>
      </c>
      <c r="B13" s="712"/>
      <c r="C13" s="712"/>
      <c r="D13" s="712"/>
      <c r="E13" s="712" t="s">
        <v>606</v>
      </c>
      <c r="F13" s="713"/>
      <c r="G13" s="713"/>
      <c r="H13" s="713"/>
      <c r="I13" s="713"/>
    </row>
    <row r="14" spans="1:17" x14ac:dyDescent="0.2">
      <c r="A14" s="696" t="s">
        <v>1463</v>
      </c>
      <c r="B14" s="696"/>
      <c r="C14" s="696"/>
      <c r="F14" s="10"/>
      <c r="G14" s="10"/>
      <c r="H14" s="10"/>
      <c r="I14" s="10"/>
      <c r="J14" s="10"/>
      <c r="K14" s="10"/>
      <c r="L14" s="10"/>
      <c r="M14" s="10"/>
    </row>
    <row r="15" spans="1:17" x14ac:dyDescent="0.2">
      <c r="A15" s="696" t="s">
        <v>262</v>
      </c>
      <c r="B15" s="696"/>
      <c r="C15" s="696"/>
      <c r="D15" s="6" t="s">
        <v>19</v>
      </c>
      <c r="E15" s="698" t="s">
        <v>1429</v>
      </c>
      <c r="F15" s="700"/>
      <c r="G15" s="700"/>
      <c r="H15" s="700"/>
      <c r="I15" s="700"/>
      <c r="J15" s="10"/>
      <c r="K15" s="10"/>
      <c r="L15" s="10"/>
      <c r="M15" s="10"/>
    </row>
    <row r="16" spans="1:17" x14ac:dyDescent="0.2">
      <c r="A16" s="696" t="s">
        <v>554</v>
      </c>
      <c r="B16" s="696"/>
      <c r="C16" s="696"/>
      <c r="D16" s="6"/>
      <c r="E16" s="700"/>
      <c r="F16" s="700"/>
      <c r="G16" s="700"/>
      <c r="H16" s="700"/>
      <c r="I16" s="700"/>
      <c r="J16" s="10"/>
      <c r="K16" s="10"/>
      <c r="L16" s="10"/>
      <c r="M16" s="10"/>
    </row>
    <row r="17" spans="1:13" x14ac:dyDescent="0.2">
      <c r="A17" s="696" t="s">
        <v>264</v>
      </c>
      <c r="B17" s="696"/>
      <c r="C17" s="696"/>
      <c r="D17" s="6" t="s">
        <v>20</v>
      </c>
      <c r="E17" s="698" t="s">
        <v>1161</v>
      </c>
      <c r="F17" s="698"/>
      <c r="G17" s="698"/>
      <c r="H17" s="698"/>
      <c r="I17" s="698"/>
      <c r="J17" s="10"/>
      <c r="K17" s="10"/>
      <c r="L17" s="10"/>
      <c r="M17" s="10"/>
    </row>
    <row r="18" spans="1:13" x14ac:dyDescent="0.2">
      <c r="A18" s="696" t="s">
        <v>14</v>
      </c>
      <c r="B18" s="696"/>
      <c r="C18" s="696"/>
      <c r="D18" s="6"/>
      <c r="E18" s="698"/>
      <c r="F18" s="698"/>
      <c r="G18" s="698"/>
      <c r="H18" s="698"/>
      <c r="I18" s="698"/>
      <c r="J18" s="10"/>
      <c r="K18" s="10"/>
      <c r="L18" s="10"/>
      <c r="M18" s="10"/>
    </row>
    <row r="19" spans="1:13" x14ac:dyDescent="0.2">
      <c r="A19" s="696" t="s">
        <v>13</v>
      </c>
      <c r="B19" s="696"/>
      <c r="C19" s="696"/>
      <c r="D19" s="6" t="s">
        <v>21</v>
      </c>
      <c r="E19" s="698" t="s">
        <v>1829</v>
      </c>
      <c r="F19" s="698"/>
      <c r="G19" s="698"/>
      <c r="H19" s="698"/>
      <c r="I19" s="698"/>
      <c r="J19" s="10"/>
      <c r="K19" s="10"/>
      <c r="L19" s="10"/>
      <c r="M19" s="10"/>
    </row>
    <row r="20" spans="1:13" x14ac:dyDescent="0.2">
      <c r="A20" s="696" t="s">
        <v>1459</v>
      </c>
      <c r="B20" s="696"/>
      <c r="C20" s="696"/>
      <c r="D20" s="6"/>
      <c r="E20" s="698"/>
      <c r="F20" s="698"/>
      <c r="G20" s="698"/>
      <c r="H20" s="698"/>
      <c r="I20" s="698"/>
      <c r="J20" s="10"/>
      <c r="K20" s="10"/>
      <c r="L20" s="10"/>
      <c r="M20" s="10"/>
    </row>
    <row r="21" spans="1:13" ht="12.75" customHeight="1" x14ac:dyDescent="0.2">
      <c r="A21" s="696" t="s">
        <v>266</v>
      </c>
      <c r="B21" s="696"/>
      <c r="C21" s="696"/>
      <c r="D21" s="6" t="s">
        <v>22</v>
      </c>
      <c r="E21" s="697" t="s">
        <v>1428</v>
      </c>
      <c r="F21" s="697"/>
      <c r="G21" s="697"/>
      <c r="H21" s="697"/>
      <c r="I21" s="697"/>
      <c r="J21" s="10"/>
      <c r="K21" s="10"/>
      <c r="L21" s="10"/>
      <c r="M21" s="10"/>
    </row>
    <row r="22" spans="1:13" x14ac:dyDescent="0.2">
      <c r="A22" s="696" t="s">
        <v>17</v>
      </c>
      <c r="B22" s="696"/>
      <c r="C22" s="696"/>
      <c r="D22" s="6" t="s">
        <v>23</v>
      </c>
      <c r="E22" s="698" t="s">
        <v>604</v>
      </c>
      <c r="F22" s="699"/>
      <c r="G22" s="699"/>
      <c r="H22" s="699"/>
      <c r="I22" s="699"/>
    </row>
    <row r="23" spans="1:13" x14ac:dyDescent="0.2">
      <c r="A23" s="696" t="s">
        <v>18</v>
      </c>
      <c r="B23" s="696"/>
      <c r="C23" s="696"/>
      <c r="E23" s="699"/>
      <c r="F23" s="699"/>
      <c r="G23" s="699"/>
      <c r="H23" s="699"/>
      <c r="I23" s="699"/>
    </row>
    <row r="24" spans="1:13" x14ac:dyDescent="0.2">
      <c r="A24" s="696" t="s">
        <v>16</v>
      </c>
      <c r="B24" s="696"/>
      <c r="C24" s="696"/>
      <c r="D24" s="6" t="s">
        <v>24</v>
      </c>
      <c r="E24" s="698" t="s">
        <v>1160</v>
      </c>
      <c r="F24" s="699"/>
      <c r="G24" s="699"/>
      <c r="H24" s="699"/>
      <c r="I24" s="699"/>
    </row>
    <row r="25" spans="1:13" x14ac:dyDescent="0.2">
      <c r="A25" s="696" t="s">
        <v>15</v>
      </c>
      <c r="B25" s="696"/>
      <c r="C25" s="696"/>
      <c r="E25" s="699"/>
      <c r="F25" s="699"/>
      <c r="G25" s="699"/>
      <c r="H25" s="699"/>
      <c r="I25" s="699"/>
    </row>
    <row r="26" spans="1:13" x14ac:dyDescent="0.2">
      <c r="A26" s="696" t="s">
        <v>1457</v>
      </c>
      <c r="B26" s="696"/>
      <c r="C26" s="696"/>
      <c r="D26" s="6" t="s">
        <v>25</v>
      </c>
      <c r="E26" s="698" t="s">
        <v>605</v>
      </c>
      <c r="F26" s="699"/>
      <c r="G26" s="699"/>
      <c r="H26" s="699"/>
      <c r="I26" s="699"/>
    </row>
    <row r="27" spans="1:13" x14ac:dyDescent="0.2">
      <c r="A27" s="696" t="s">
        <v>1458</v>
      </c>
      <c r="B27" s="696"/>
      <c r="C27" s="696"/>
      <c r="E27" s="699"/>
      <c r="F27" s="699"/>
      <c r="G27" s="699"/>
      <c r="H27" s="699"/>
      <c r="I27" s="699"/>
    </row>
    <row r="28" spans="1:13" x14ac:dyDescent="0.2">
      <c r="A28" s="696" t="s">
        <v>1053</v>
      </c>
      <c r="B28" s="696"/>
      <c r="C28" s="696"/>
      <c r="D28" s="6"/>
      <c r="F28" s="10"/>
      <c r="G28" s="10"/>
      <c r="H28" s="10"/>
      <c r="I28" s="10"/>
    </row>
    <row r="29" spans="1:13" x14ac:dyDescent="0.2">
      <c r="A29" s="696" t="s">
        <v>1465</v>
      </c>
      <c r="B29" s="696"/>
      <c r="C29" s="696"/>
      <c r="F29" s="1686" t="s">
        <v>2306</v>
      </c>
    </row>
    <row r="30" spans="1:13" x14ac:dyDescent="0.2">
      <c r="A30" s="696" t="s">
        <v>263</v>
      </c>
      <c r="B30" s="696"/>
      <c r="C30" s="696"/>
      <c r="E30" s="2" t="s">
        <v>2307</v>
      </c>
    </row>
    <row r="31" spans="1:13" x14ac:dyDescent="0.2">
      <c r="A31" s="696" t="s">
        <v>1461</v>
      </c>
      <c r="B31" s="696"/>
      <c r="C31" s="696"/>
      <c r="E31" s="2" t="s">
        <v>2308</v>
      </c>
      <c r="F31" s="243"/>
    </row>
    <row r="32" spans="1:13" ht="15.75" x14ac:dyDescent="0.25">
      <c r="A32" s="696" t="s">
        <v>1462</v>
      </c>
      <c r="B32" s="696"/>
      <c r="C32" s="696"/>
      <c r="D32" s="342"/>
      <c r="E32" s="243" t="s">
        <v>2309</v>
      </c>
      <c r="F32" s="342"/>
      <c r="G32" s="342"/>
      <c r="H32" s="342"/>
      <c r="I32" s="342"/>
    </row>
    <row r="33" spans="1:9" ht="15.75" x14ac:dyDescent="0.25">
      <c r="A33" s="696" t="s">
        <v>265</v>
      </c>
      <c r="B33" s="696"/>
      <c r="C33" s="696"/>
      <c r="D33" s="342"/>
      <c r="E33" s="342"/>
      <c r="F33" s="346" t="s">
        <v>1715</v>
      </c>
      <c r="G33" s="342"/>
      <c r="H33" s="342"/>
      <c r="I33" s="342"/>
    </row>
    <row r="34" spans="1:9" ht="15.75" x14ac:dyDescent="0.25">
      <c r="A34" s="696" t="s">
        <v>1464</v>
      </c>
      <c r="B34" s="696"/>
      <c r="C34" s="696"/>
      <c r="D34" s="342"/>
      <c r="E34" s="2" t="s">
        <v>2311</v>
      </c>
      <c r="F34" s="342"/>
      <c r="G34" s="342"/>
      <c r="H34" s="342"/>
      <c r="I34" s="342"/>
    </row>
    <row r="35" spans="1:9" x14ac:dyDescent="0.2">
      <c r="A35" s="696" t="s">
        <v>1163</v>
      </c>
      <c r="B35" s="696"/>
      <c r="C35" s="696"/>
      <c r="E35" s="2" t="s">
        <v>2312</v>
      </c>
    </row>
    <row r="36" spans="1:9" ht="15.75" x14ac:dyDescent="0.25">
      <c r="A36" s="696" t="s">
        <v>1456</v>
      </c>
      <c r="B36" s="696"/>
      <c r="C36" s="696"/>
      <c r="D36" s="173"/>
      <c r="E36" s="243" t="s">
        <v>2313</v>
      </c>
    </row>
    <row r="37" spans="1:9" x14ac:dyDescent="0.2">
      <c r="A37" s="696" t="s">
        <v>1460</v>
      </c>
      <c r="B37" s="696"/>
      <c r="C37" s="696"/>
      <c r="D37" s="174"/>
      <c r="E37" s="174"/>
    </row>
    <row r="40" spans="1:9" ht="15" customHeight="1" x14ac:dyDescent="0.25">
      <c r="A40" s="346" t="s">
        <v>1744</v>
      </c>
    </row>
    <row r="41" spans="1:9" ht="15" customHeight="1" x14ac:dyDescent="0.2">
      <c r="A41" s="701"/>
      <c r="B41" s="702"/>
      <c r="C41" s="702"/>
      <c r="D41" s="702"/>
      <c r="E41" s="702"/>
      <c r="F41" s="702"/>
      <c r="G41" s="702"/>
      <c r="H41" s="702"/>
      <c r="I41" s="703"/>
    </row>
    <row r="42" spans="1:9" ht="15" customHeight="1" x14ac:dyDescent="0.2">
      <c r="A42" s="704"/>
      <c r="B42" s="705"/>
      <c r="C42" s="705"/>
      <c r="D42" s="705"/>
      <c r="E42" s="705"/>
      <c r="F42" s="705"/>
      <c r="G42" s="705"/>
      <c r="H42" s="705"/>
      <c r="I42" s="706"/>
    </row>
    <row r="43" spans="1:9" x14ac:dyDescent="0.2">
      <c r="A43" s="704"/>
      <c r="B43" s="705"/>
      <c r="C43" s="705"/>
      <c r="D43" s="705"/>
      <c r="E43" s="705"/>
      <c r="F43" s="705"/>
      <c r="G43" s="705"/>
      <c r="H43" s="705"/>
      <c r="I43" s="706"/>
    </row>
    <row r="44" spans="1:9" x14ac:dyDescent="0.2">
      <c r="A44" s="704"/>
      <c r="B44" s="705"/>
      <c r="C44" s="705"/>
      <c r="D44" s="705"/>
      <c r="E44" s="705"/>
      <c r="F44" s="705"/>
      <c r="G44" s="705"/>
      <c r="H44" s="705"/>
      <c r="I44" s="706"/>
    </row>
    <row r="45" spans="1:9" x14ac:dyDescent="0.2">
      <c r="A45" s="704"/>
      <c r="B45" s="705"/>
      <c r="C45" s="705"/>
      <c r="D45" s="705"/>
      <c r="E45" s="705"/>
      <c r="F45" s="705"/>
      <c r="G45" s="705"/>
      <c r="H45" s="705"/>
      <c r="I45" s="706"/>
    </row>
    <row r="46" spans="1:9" x14ac:dyDescent="0.2">
      <c r="A46" s="704"/>
      <c r="B46" s="705"/>
      <c r="C46" s="705"/>
      <c r="D46" s="705"/>
      <c r="E46" s="705"/>
      <c r="F46" s="705"/>
      <c r="G46" s="705"/>
      <c r="H46" s="705"/>
      <c r="I46" s="706"/>
    </row>
    <row r="47" spans="1:9" x14ac:dyDescent="0.2">
      <c r="A47" s="704"/>
      <c r="B47" s="705"/>
      <c r="C47" s="705"/>
      <c r="D47" s="705"/>
      <c r="E47" s="705"/>
      <c r="F47" s="705"/>
      <c r="G47" s="705"/>
      <c r="H47" s="705"/>
      <c r="I47" s="706"/>
    </row>
    <row r="48" spans="1:9" x14ac:dyDescent="0.2">
      <c r="A48" s="704"/>
      <c r="B48" s="705"/>
      <c r="C48" s="705"/>
      <c r="D48" s="705"/>
      <c r="E48" s="705"/>
      <c r="F48" s="705"/>
      <c r="G48" s="705"/>
      <c r="H48" s="705"/>
      <c r="I48" s="706"/>
    </row>
    <row r="49" spans="1:9" ht="15" customHeight="1" x14ac:dyDescent="0.2">
      <c r="A49" s="704"/>
      <c r="B49" s="705"/>
      <c r="C49" s="705"/>
      <c r="D49" s="705"/>
      <c r="E49" s="705"/>
      <c r="F49" s="705"/>
      <c r="G49" s="705"/>
      <c r="H49" s="705"/>
      <c r="I49" s="706"/>
    </row>
    <row r="50" spans="1:9" ht="15" customHeight="1" x14ac:dyDescent="0.2">
      <c r="A50" s="704"/>
      <c r="B50" s="705"/>
      <c r="C50" s="705"/>
      <c r="D50" s="705"/>
      <c r="E50" s="705"/>
      <c r="F50" s="705"/>
      <c r="G50" s="705"/>
      <c r="H50" s="705"/>
      <c r="I50" s="706"/>
    </row>
    <row r="51" spans="1:9" x14ac:dyDescent="0.2">
      <c r="A51" s="704"/>
      <c r="B51" s="705"/>
      <c r="C51" s="705"/>
      <c r="D51" s="705"/>
      <c r="E51" s="705"/>
      <c r="F51" s="705"/>
      <c r="G51" s="705"/>
      <c r="H51" s="705"/>
      <c r="I51" s="706"/>
    </row>
    <row r="52" spans="1:9" x14ac:dyDescent="0.2">
      <c r="A52" s="704"/>
      <c r="B52" s="705"/>
      <c r="C52" s="705"/>
      <c r="D52" s="705"/>
      <c r="E52" s="705"/>
      <c r="F52" s="705"/>
      <c r="G52" s="705"/>
      <c r="H52" s="705"/>
      <c r="I52" s="706"/>
    </row>
    <row r="53" spans="1:9" x14ac:dyDescent="0.2">
      <c r="A53" s="704"/>
      <c r="B53" s="705"/>
      <c r="C53" s="705"/>
      <c r="D53" s="705"/>
      <c r="E53" s="705"/>
      <c r="F53" s="705"/>
      <c r="G53" s="705"/>
      <c r="H53" s="705"/>
      <c r="I53" s="706"/>
    </row>
    <row r="54" spans="1:9" x14ac:dyDescent="0.2">
      <c r="A54" s="704"/>
      <c r="B54" s="705"/>
      <c r="C54" s="705"/>
      <c r="D54" s="705"/>
      <c r="E54" s="705"/>
      <c r="F54" s="705"/>
      <c r="G54" s="705"/>
      <c r="H54" s="705"/>
      <c r="I54" s="706"/>
    </row>
    <row r="55" spans="1:9" x14ac:dyDescent="0.2">
      <c r="A55" s="704"/>
      <c r="B55" s="705"/>
      <c r="C55" s="705"/>
      <c r="D55" s="705"/>
      <c r="E55" s="705"/>
      <c r="F55" s="705"/>
      <c r="G55" s="705"/>
      <c r="H55" s="705"/>
      <c r="I55" s="706"/>
    </row>
    <row r="56" spans="1:9" x14ac:dyDescent="0.2">
      <c r="A56" s="704"/>
      <c r="B56" s="705"/>
      <c r="C56" s="705"/>
      <c r="D56" s="705"/>
      <c r="E56" s="705"/>
      <c r="F56" s="705"/>
      <c r="G56" s="705"/>
      <c r="H56" s="705"/>
      <c r="I56" s="706"/>
    </row>
    <row r="57" spans="1:9" ht="15" customHeight="1" x14ac:dyDescent="0.2">
      <c r="A57" s="704"/>
      <c r="B57" s="705"/>
      <c r="C57" s="705"/>
      <c r="D57" s="705"/>
      <c r="E57" s="705"/>
      <c r="F57" s="705"/>
      <c r="G57" s="705"/>
      <c r="H57" s="705"/>
      <c r="I57" s="706"/>
    </row>
    <row r="58" spans="1:9" ht="15" customHeight="1" x14ac:dyDescent="0.2">
      <c r="A58" s="704"/>
      <c r="B58" s="705"/>
      <c r="C58" s="705"/>
      <c r="D58" s="705"/>
      <c r="E58" s="705"/>
      <c r="F58" s="705"/>
      <c r="G58" s="705"/>
      <c r="H58" s="705"/>
      <c r="I58" s="706"/>
    </row>
    <row r="59" spans="1:9" x14ac:dyDescent="0.2">
      <c r="A59" s="704"/>
      <c r="B59" s="705"/>
      <c r="C59" s="705"/>
      <c r="D59" s="705"/>
      <c r="E59" s="705"/>
      <c r="F59" s="705"/>
      <c r="G59" s="705"/>
      <c r="H59" s="705"/>
      <c r="I59" s="706"/>
    </row>
    <row r="60" spans="1:9" x14ac:dyDescent="0.2">
      <c r="A60" s="704"/>
      <c r="B60" s="705"/>
      <c r="C60" s="705"/>
      <c r="D60" s="705"/>
      <c r="E60" s="705"/>
      <c r="F60" s="705"/>
      <c r="G60" s="705"/>
      <c r="H60" s="705"/>
      <c r="I60" s="706"/>
    </row>
    <row r="61" spans="1:9" x14ac:dyDescent="0.2">
      <c r="A61" s="704"/>
      <c r="B61" s="705"/>
      <c r="C61" s="705"/>
      <c r="D61" s="705"/>
      <c r="E61" s="705"/>
      <c r="F61" s="705"/>
      <c r="G61" s="705"/>
      <c r="H61" s="705"/>
      <c r="I61" s="706"/>
    </row>
    <row r="62" spans="1:9" x14ac:dyDescent="0.2">
      <c r="A62" s="704"/>
      <c r="B62" s="705"/>
      <c r="C62" s="705"/>
      <c r="D62" s="705"/>
      <c r="E62" s="705"/>
      <c r="F62" s="705"/>
      <c r="G62" s="705"/>
      <c r="H62" s="705"/>
      <c r="I62" s="706"/>
    </row>
    <row r="63" spans="1:9" x14ac:dyDescent="0.2">
      <c r="A63" s="704"/>
      <c r="B63" s="705"/>
      <c r="C63" s="705"/>
      <c r="D63" s="705"/>
      <c r="E63" s="705"/>
      <c r="F63" s="705"/>
      <c r="G63" s="705"/>
      <c r="H63" s="705"/>
      <c r="I63" s="706"/>
    </row>
    <row r="64" spans="1:9" x14ac:dyDescent="0.2">
      <c r="A64" s="704"/>
      <c r="B64" s="705"/>
      <c r="C64" s="705"/>
      <c r="D64" s="705"/>
      <c r="E64" s="705"/>
      <c r="F64" s="705"/>
      <c r="G64" s="705"/>
      <c r="H64" s="705"/>
      <c r="I64" s="706"/>
    </row>
    <row r="65" spans="1:9" ht="15" customHeight="1" x14ac:dyDescent="0.2">
      <c r="A65" s="704"/>
      <c r="B65" s="705"/>
      <c r="C65" s="705"/>
      <c r="D65" s="705"/>
      <c r="E65" s="705"/>
      <c r="F65" s="705"/>
      <c r="G65" s="705"/>
      <c r="H65" s="705"/>
      <c r="I65" s="706"/>
    </row>
    <row r="66" spans="1:9" ht="15" customHeight="1" x14ac:dyDescent="0.2">
      <c r="A66" s="704"/>
      <c r="B66" s="705"/>
      <c r="C66" s="705"/>
      <c r="D66" s="705"/>
      <c r="E66" s="705"/>
      <c r="F66" s="705"/>
      <c r="G66" s="705"/>
      <c r="H66" s="705"/>
      <c r="I66" s="706"/>
    </row>
    <row r="67" spans="1:9" x14ac:dyDescent="0.2">
      <c r="A67" s="704"/>
      <c r="B67" s="705"/>
      <c r="C67" s="705"/>
      <c r="D67" s="705"/>
      <c r="E67" s="705"/>
      <c r="F67" s="705"/>
      <c r="G67" s="705"/>
      <c r="H67" s="705"/>
      <c r="I67" s="706"/>
    </row>
    <row r="68" spans="1:9" x14ac:dyDescent="0.2">
      <c r="A68" s="704"/>
      <c r="B68" s="705"/>
      <c r="C68" s="705"/>
      <c r="D68" s="705"/>
      <c r="E68" s="705"/>
      <c r="F68" s="705"/>
      <c r="G68" s="705"/>
      <c r="H68" s="705"/>
      <c r="I68" s="706"/>
    </row>
    <row r="69" spans="1:9" x14ac:dyDescent="0.2">
      <c r="A69" s="704"/>
      <c r="B69" s="705"/>
      <c r="C69" s="705"/>
      <c r="D69" s="705"/>
      <c r="E69" s="705"/>
      <c r="F69" s="705"/>
      <c r="G69" s="705"/>
      <c r="H69" s="705"/>
      <c r="I69" s="706"/>
    </row>
    <row r="70" spans="1:9" x14ac:dyDescent="0.2">
      <c r="A70" s="704"/>
      <c r="B70" s="705"/>
      <c r="C70" s="705"/>
      <c r="D70" s="705"/>
      <c r="E70" s="705"/>
      <c r="F70" s="705"/>
      <c r="G70" s="705"/>
      <c r="H70" s="705"/>
      <c r="I70" s="706"/>
    </row>
    <row r="71" spans="1:9" x14ac:dyDescent="0.2">
      <c r="A71" s="704"/>
      <c r="B71" s="705"/>
      <c r="C71" s="705"/>
      <c r="D71" s="705"/>
      <c r="E71" s="705"/>
      <c r="F71" s="705"/>
      <c r="G71" s="705"/>
      <c r="H71" s="705"/>
      <c r="I71" s="706"/>
    </row>
    <row r="72" spans="1:9" x14ac:dyDescent="0.2">
      <c r="A72" s="704"/>
      <c r="B72" s="705"/>
      <c r="C72" s="705"/>
      <c r="D72" s="705"/>
      <c r="E72" s="705"/>
      <c r="F72" s="705"/>
      <c r="G72" s="705"/>
      <c r="H72" s="705"/>
      <c r="I72" s="706"/>
    </row>
    <row r="73" spans="1:9" ht="15" customHeight="1" x14ac:dyDescent="0.2">
      <c r="A73" s="704"/>
      <c r="B73" s="705"/>
      <c r="C73" s="705"/>
      <c r="D73" s="705"/>
      <c r="E73" s="705"/>
      <c r="F73" s="705"/>
      <c r="G73" s="705"/>
      <c r="H73" s="705"/>
      <c r="I73" s="706"/>
    </row>
    <row r="74" spans="1:9" ht="15" customHeight="1" x14ac:dyDescent="0.2">
      <c r="A74" s="704"/>
      <c r="B74" s="705"/>
      <c r="C74" s="705"/>
      <c r="D74" s="705"/>
      <c r="E74" s="705"/>
      <c r="F74" s="705"/>
      <c r="G74" s="705"/>
      <c r="H74" s="705"/>
      <c r="I74" s="706"/>
    </row>
    <row r="75" spans="1:9" x14ac:dyDescent="0.2">
      <c r="A75" s="704"/>
      <c r="B75" s="705"/>
      <c r="C75" s="705"/>
      <c r="D75" s="705"/>
      <c r="E75" s="705"/>
      <c r="F75" s="705"/>
      <c r="G75" s="705"/>
      <c r="H75" s="705"/>
      <c r="I75" s="706"/>
    </row>
    <row r="76" spans="1:9" x14ac:dyDescent="0.2">
      <c r="A76" s="704"/>
      <c r="B76" s="705"/>
      <c r="C76" s="705"/>
      <c r="D76" s="705"/>
      <c r="E76" s="705"/>
      <c r="F76" s="705"/>
      <c r="G76" s="705"/>
      <c r="H76" s="705"/>
      <c r="I76" s="706"/>
    </row>
    <row r="77" spans="1:9" x14ac:dyDescent="0.2">
      <c r="A77" s="704"/>
      <c r="B77" s="705"/>
      <c r="C77" s="705"/>
      <c r="D77" s="705"/>
      <c r="E77" s="705"/>
      <c r="F77" s="705"/>
      <c r="G77" s="705"/>
      <c r="H77" s="705"/>
      <c r="I77" s="706"/>
    </row>
    <row r="78" spans="1:9" x14ac:dyDescent="0.2">
      <c r="A78" s="704"/>
      <c r="B78" s="705"/>
      <c r="C78" s="705"/>
      <c r="D78" s="705"/>
      <c r="E78" s="705"/>
      <c r="F78" s="705"/>
      <c r="G78" s="705"/>
      <c r="H78" s="705"/>
      <c r="I78" s="706"/>
    </row>
    <row r="79" spans="1:9" x14ac:dyDescent="0.2">
      <c r="A79" s="704"/>
      <c r="B79" s="705"/>
      <c r="C79" s="705"/>
      <c r="D79" s="705"/>
      <c r="E79" s="705"/>
      <c r="F79" s="705"/>
      <c r="G79" s="705"/>
      <c r="H79" s="705"/>
      <c r="I79" s="706"/>
    </row>
    <row r="80" spans="1:9" x14ac:dyDescent="0.2">
      <c r="A80" s="704"/>
      <c r="B80" s="705"/>
      <c r="C80" s="705"/>
      <c r="D80" s="705"/>
      <c r="E80" s="705"/>
      <c r="F80" s="705"/>
      <c r="G80" s="705"/>
      <c r="H80" s="705"/>
      <c r="I80" s="706"/>
    </row>
    <row r="81" spans="1:9" ht="15" customHeight="1" x14ac:dyDescent="0.2">
      <c r="A81" s="704"/>
      <c r="B81" s="705"/>
      <c r="C81" s="705"/>
      <c r="D81" s="705"/>
      <c r="E81" s="705"/>
      <c r="F81" s="705"/>
      <c r="G81" s="705"/>
      <c r="H81" s="705"/>
      <c r="I81" s="706"/>
    </row>
    <row r="82" spans="1:9" ht="15" customHeight="1" x14ac:dyDescent="0.2">
      <c r="A82" s="704"/>
      <c r="B82" s="705"/>
      <c r="C82" s="705"/>
      <c r="D82" s="705"/>
      <c r="E82" s="705"/>
      <c r="F82" s="705"/>
      <c r="G82" s="705"/>
      <c r="H82" s="705"/>
      <c r="I82" s="706"/>
    </row>
    <row r="83" spans="1:9" x14ac:dyDescent="0.2">
      <c r="A83" s="704"/>
      <c r="B83" s="705"/>
      <c r="C83" s="705"/>
      <c r="D83" s="705"/>
      <c r="E83" s="705"/>
      <c r="F83" s="705"/>
      <c r="G83" s="705"/>
      <c r="H83" s="705"/>
      <c r="I83" s="706"/>
    </row>
    <row r="84" spans="1:9" x14ac:dyDescent="0.2">
      <c r="A84" s="704"/>
      <c r="B84" s="705"/>
      <c r="C84" s="705"/>
      <c r="D84" s="705"/>
      <c r="E84" s="705"/>
      <c r="F84" s="705"/>
      <c r="G84" s="705"/>
      <c r="H84" s="705"/>
      <c r="I84" s="706"/>
    </row>
    <row r="85" spans="1:9" x14ac:dyDescent="0.2">
      <c r="A85" s="704"/>
      <c r="B85" s="705"/>
      <c r="C85" s="705"/>
      <c r="D85" s="705"/>
      <c r="E85" s="705"/>
      <c r="F85" s="705"/>
      <c r="G85" s="705"/>
      <c r="H85" s="705"/>
      <c r="I85" s="706"/>
    </row>
    <row r="86" spans="1:9" x14ac:dyDescent="0.2">
      <c r="A86" s="704"/>
      <c r="B86" s="705"/>
      <c r="C86" s="705"/>
      <c r="D86" s="705"/>
      <c r="E86" s="705"/>
      <c r="F86" s="705"/>
      <c r="G86" s="705"/>
      <c r="H86" s="705"/>
      <c r="I86" s="706"/>
    </row>
    <row r="87" spans="1:9" x14ac:dyDescent="0.2">
      <c r="A87" s="704"/>
      <c r="B87" s="705"/>
      <c r="C87" s="705"/>
      <c r="D87" s="705"/>
      <c r="E87" s="705"/>
      <c r="F87" s="705"/>
      <c r="G87" s="705"/>
      <c r="H87" s="705"/>
      <c r="I87" s="706"/>
    </row>
    <row r="88" spans="1:9" x14ac:dyDescent="0.2">
      <c r="A88" s="707"/>
      <c r="B88" s="708"/>
      <c r="C88" s="708"/>
      <c r="D88" s="708"/>
      <c r="E88" s="708"/>
      <c r="F88" s="708"/>
      <c r="G88" s="708"/>
      <c r="H88" s="708"/>
      <c r="I88" s="709"/>
    </row>
  </sheetData>
  <sheetProtection sheet="1" objects="1" scenarios="1"/>
  <mergeCells count="44">
    <mergeCell ref="A41:I88"/>
    <mergeCell ref="A1:I1"/>
    <mergeCell ref="A2:I2"/>
    <mergeCell ref="A20:C20"/>
    <mergeCell ref="A13:D13"/>
    <mergeCell ref="E13:I13"/>
    <mergeCell ref="E17:I18"/>
    <mergeCell ref="A10:B10"/>
    <mergeCell ref="A11:B11"/>
    <mergeCell ref="E6:I8"/>
    <mergeCell ref="A31:C31"/>
    <mergeCell ref="A32:C32"/>
    <mergeCell ref="A37:C37"/>
    <mergeCell ref="A33:C33"/>
    <mergeCell ref="A34:C34"/>
    <mergeCell ref="A35:C35"/>
    <mergeCell ref="A36:C36"/>
    <mergeCell ref="A30:C30"/>
    <mergeCell ref="A24:C24"/>
    <mergeCell ref="A25:C25"/>
    <mergeCell ref="C12:I12"/>
    <mergeCell ref="E21:I21"/>
    <mergeCell ref="A14:C14"/>
    <mergeCell ref="A15:C15"/>
    <mergeCell ref="A17:C17"/>
    <mergeCell ref="A18:C18"/>
    <mergeCell ref="A19:C19"/>
    <mergeCell ref="E24:I25"/>
    <mergeCell ref="E26:I27"/>
    <mergeCell ref="E15:I16"/>
    <mergeCell ref="E22:I23"/>
    <mergeCell ref="E19:I20"/>
    <mergeCell ref="A6:B6"/>
    <mergeCell ref="A7:B7"/>
    <mergeCell ref="A8:B8"/>
    <mergeCell ref="A29:C29"/>
    <mergeCell ref="A26:C26"/>
    <mergeCell ref="A27:C27"/>
    <mergeCell ref="A28:C28"/>
    <mergeCell ref="A9:B9"/>
    <mergeCell ref="A22:C22"/>
    <mergeCell ref="A16:C16"/>
    <mergeCell ref="A21:C21"/>
    <mergeCell ref="A23:C23"/>
  </mergeCells>
  <phoneticPr fontId="0" type="noConversion"/>
  <conditionalFormatting sqref="A9:B9">
    <cfRule type="cellIs" dxfId="60" priority="2" stopIfTrue="1" operator="greaterThan">
      <formula>$A$8</formula>
    </cfRule>
  </conditionalFormatting>
  <conditionalFormatting sqref="C9">
    <cfRule type="cellIs" dxfId="59" priority="150" stopIfTrue="1" operator="equal">
      <formula>$K$8</formula>
    </cfRule>
  </conditionalFormatting>
  <conditionalFormatting sqref="C11">
    <cfRule type="cellIs" dxfId="58" priority="153" stopIfTrue="1" operator="equal">
      <formula>$K$9</formula>
    </cfRule>
    <cfRule type="cellIs" dxfId="57" priority="154" stopIfTrue="1" operator="equal">
      <formula>$K$10</formula>
    </cfRule>
  </conditionalFormatting>
  <dataValidations xWindow="819" yWindow="269" count="3">
    <dataValidation type="date" operator="lessThan" allowBlank="1" showInputMessage="1" showErrorMessage="1" errorTitle="ERROR" error="Date of birth cannot be a future date. Enter four digits for years prior to 1930 or Excel will assume a 21st Century date." sqref="A9:B9" xr:uid="{00000000-0002-0000-0000-000000000000}">
      <formula1>K3</formula1>
    </dataValidation>
    <dataValidation type="date" operator="greaterThan" allowBlank="1" showInputMessage="1" showErrorMessage="1" sqref="A8:B8" xr:uid="{00000000-0002-0000-0000-000001000000}">
      <formula1>367</formula1>
    </dataValidation>
    <dataValidation type="date" operator="greaterThan" allowBlank="1" showInputMessage="1" showErrorMessage="1" promptTitle="Date of Issuance" prompt="Date of Issuance means the mailing date of a Notice of Closure or Order on Reconsideration under ORS 656.268 and ORS 656.283(7)." sqref="A11:B11" xr:uid="{00000000-0002-0000-0000-000002000000}">
      <formula1>367</formula1>
    </dataValidation>
  </dataValidations>
  <hyperlinks>
    <hyperlink ref="A14" location="Abdomen!A1" display="Abdomen" xr:uid="{00000000-0004-0000-0000-000001000000}"/>
    <hyperlink ref="A15" location="Cardiovascular!A1" display="Cardiovascular" xr:uid="{00000000-0004-0000-0000-000002000000}"/>
    <hyperlink ref="A17" location="'Cranial Nerves-Brain'!A1" display="Cranial nerves - Brain" xr:uid="{00000000-0004-0000-0000-000003000000}"/>
    <hyperlink ref="A18" location="Endocrine!A1" display="Endocrine" xr:uid="{00000000-0004-0000-0000-000004000000}"/>
    <hyperlink ref="A19" location="'GI &amp; GU'!A1" display="Gastrointestinal &amp; Genitourinary" xr:uid="{00000000-0004-0000-0000-000005000000}"/>
    <hyperlink ref="A20" location="Hearing!A1" display="Hearing" xr:uid="{00000000-0004-0000-0000-000006000000}"/>
    <hyperlink ref="A21" location="Hematopoietic!A1" display="Hematopoietic" xr:uid="{00000000-0004-0000-0000-000007000000}"/>
    <hyperlink ref="A22" location="'Hip-Right'!A1" display="Hip - Right" xr:uid="{00000000-0004-0000-0000-000008000000}"/>
    <hyperlink ref="A23" location="'Hip-Left'!A1" display="Hip - Left" xr:uid="{00000000-0004-0000-0000-000009000000}"/>
    <hyperlink ref="A24" location="'Immune system'!A1" display="Immune System" xr:uid="{00000000-0004-0000-0000-00000A000000}"/>
    <hyperlink ref="A25" location="'Integument &amp; Lacrimal'!A1" display="Integument &amp; Lacrimal" xr:uid="{00000000-0004-0000-0000-00000B000000}"/>
    <hyperlink ref="A26" location="'Lower Extremity-Right'!A1" display="Lower extremity - Right" xr:uid="{00000000-0004-0000-0000-00000C000000}"/>
    <hyperlink ref="A27" location="'Lower Extremity-Left'!A1" display="Lower extremity - Left" xr:uid="{00000000-0004-0000-0000-00000D000000}"/>
    <hyperlink ref="A28" location="'Mental illness'!A1" display="Mental illness" xr:uid="{00000000-0004-0000-0000-00000E000000}"/>
    <hyperlink ref="A29" location="Pelvis!A1" display="Pelvis" xr:uid="{00000000-0004-0000-0000-00000F000000}"/>
    <hyperlink ref="A30" location="Respiratory!A1" display="Respiratory" xr:uid="{00000000-0004-0000-0000-000010000000}"/>
    <hyperlink ref="A31" location="'Shoulder-Right'!A1" display="Shoulder - Right" xr:uid="{00000000-0004-0000-0000-000011000000}"/>
    <hyperlink ref="A32" location="'Shoulder-Left'!A1" display="Shoulder - Left" xr:uid="{00000000-0004-0000-0000-000012000000}"/>
    <hyperlink ref="A33" location="'Spinal cord'!A1" display="Spinal cord" xr:uid="{00000000-0004-0000-0000-000013000000}"/>
    <hyperlink ref="A34" location="Spine!A1" display="Spine" xr:uid="{00000000-0004-0000-0000-000014000000}"/>
    <hyperlink ref="A35" location="'Upper Extremity-Right'!A1" display="Upper extremity - Right" xr:uid="{00000000-0004-0000-0000-000015000000}"/>
    <hyperlink ref="A36" location="'Upper Extremity-Left'!A1" display="Upper extremity - Left" xr:uid="{00000000-0004-0000-0000-000016000000}"/>
    <hyperlink ref="A37" location="Vision!A1" display="Vision" xr:uid="{00000000-0004-0000-0000-000017000000}"/>
    <hyperlink ref="C12:I12" location="'Start here'!A41" display="Click here to describe errors or problems below. Send copy of file to steve.s.passantino@dcbs.oregon.gov. Remove the injured worker's name from this file before sending. Thank you!" xr:uid="{00000000-0004-0000-0000-000018000000}"/>
    <hyperlink ref="A12" location="Combiner!A5" display="Combining tool" xr:uid="{00000000-0004-0000-0000-000019000000}"/>
    <hyperlink ref="A16" location="Chest!A1" display="Chest (chronic condition)" xr:uid="{00000000-0004-0000-0000-00001A000000}"/>
    <hyperlink ref="E32" r:id="rId1" xr:uid="{E23163B2-C26C-4E22-886B-C9752923089C}"/>
    <hyperlink ref="E36" r:id="rId2" display="mailto:Christina.Scheungrab@dcbs.oregon.gov" xr:uid="{A782EB34-87D9-42FB-86B3-B9FEE88D3136}"/>
  </hyperlinks>
  <pageMargins left="0.75" right="0.75" top="1" bottom="1" header="0.5" footer="0.5"/>
  <pageSetup orientation="portrait" horizontalDpi="300" verticalDpi="300" r:id="rId3"/>
  <headerFooter alignWithMargins="0"/>
  <rowBreaks count="1" manualBreakCount="1">
    <brk id="38"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S141"/>
  <sheetViews>
    <sheetView showGridLines="0" zoomScale="120" zoomScaleNormal="120" workbookViewId="0"/>
  </sheetViews>
  <sheetFormatPr defaultColWidth="1.5703125" defaultRowHeight="12.75" x14ac:dyDescent="0.2"/>
  <cols>
    <col min="1" max="1" width="0.85546875" style="2" customWidth="1"/>
    <col min="2" max="2" width="3.140625" style="2" customWidth="1"/>
    <col min="3" max="7" width="2.7109375" style="2" customWidth="1"/>
    <col min="8" max="8" width="4.140625" style="2" customWidth="1"/>
    <col min="9" max="10" width="2.7109375" style="2" customWidth="1"/>
    <col min="11" max="11" width="3.140625" style="2" customWidth="1"/>
    <col min="12" max="14" width="2.7109375" style="2" customWidth="1"/>
    <col min="15" max="15" width="3.140625" style="2" customWidth="1"/>
    <col min="16" max="16" width="2.7109375" style="2" customWidth="1"/>
    <col min="17" max="17" width="3.140625" style="2" customWidth="1"/>
    <col min="18" max="18" width="0.85546875" style="2" customWidth="1"/>
    <col min="19" max="19" width="3.28515625" style="2" customWidth="1"/>
    <col min="20" max="20" width="2.85546875" style="2" customWidth="1"/>
    <col min="21" max="21" width="2.7109375" style="2" customWidth="1"/>
    <col min="22" max="22" width="3.28515625" style="2" customWidth="1"/>
    <col min="23" max="23" width="3.85546875" style="2" customWidth="1"/>
    <col min="24" max="24" width="2.85546875" style="2" customWidth="1"/>
    <col min="25" max="25" width="2" style="2" customWidth="1"/>
    <col min="26" max="26" width="5.140625" style="2" customWidth="1"/>
    <col min="27" max="27" width="2.7109375" style="2" customWidth="1"/>
    <col min="28" max="29" width="3.140625" style="2" customWidth="1"/>
    <col min="30" max="30" width="2.7109375" style="2" customWidth="1"/>
    <col min="31" max="31" width="2.42578125" style="2" customWidth="1"/>
    <col min="32" max="32" width="3.28515625" style="2" customWidth="1"/>
    <col min="33" max="34" width="2.7109375" style="2" customWidth="1"/>
    <col min="35" max="35" width="0.42578125" style="2" customWidth="1"/>
    <col min="36" max="36" width="2.7109375" style="2" hidden="1" customWidth="1"/>
    <col min="37" max="37" width="8" style="2" hidden="1" customWidth="1"/>
    <col min="38" max="39" width="12.85546875" style="2" hidden="1" customWidth="1"/>
    <col min="40" max="40" width="14.28515625" style="2" hidden="1" customWidth="1"/>
    <col min="41" max="41" width="10.42578125" style="2" hidden="1" customWidth="1"/>
    <col min="42" max="42" width="13.7109375" style="2" hidden="1" customWidth="1"/>
    <col min="43" max="43" width="8.85546875" style="2" hidden="1" customWidth="1"/>
    <col min="44" max="44" width="9.5703125" style="2" hidden="1" customWidth="1"/>
    <col min="45" max="45" width="9" style="2" hidden="1" customWidth="1"/>
    <col min="46" max="46" width="8.85546875" style="2" hidden="1" customWidth="1"/>
    <col min="47" max="47" width="9.28515625" style="2" hidden="1" customWidth="1"/>
    <col min="48" max="48" width="9.42578125" style="2" hidden="1" customWidth="1"/>
    <col min="49" max="49" width="8.42578125" style="2" hidden="1" customWidth="1"/>
    <col min="50" max="78" width="7.28515625" style="2" hidden="1" customWidth="1"/>
    <col min="79" max="130" width="2.7109375" style="2" hidden="1" customWidth="1"/>
    <col min="131" max="179" width="2.7109375" style="2" customWidth="1"/>
    <col min="180" max="255" width="9.140625" style="2" customWidth="1"/>
    <col min="256" max="16384" width="1.5703125" style="2"/>
  </cols>
  <sheetData>
    <row r="1" spans="1:193" ht="15" customHeight="1" x14ac:dyDescent="0.2">
      <c r="B1" s="10" t="s">
        <v>1697</v>
      </c>
      <c r="J1" s="732" t="str">
        <f>IF('Start here'!A6="","",'Start here'!A6)</f>
        <v/>
      </c>
      <c r="K1" s="736"/>
      <c r="L1" s="736"/>
      <c r="M1" s="736"/>
      <c r="N1" s="736"/>
      <c r="O1" s="736"/>
      <c r="P1" s="736"/>
      <c r="Q1" s="736"/>
      <c r="R1" s="736"/>
      <c r="S1" s="736"/>
      <c r="T1" s="737"/>
      <c r="U1" s="6"/>
      <c r="V1" s="732" t="str">
        <f>IF('Start here'!A7="","",'Start here'!A7)</f>
        <v/>
      </c>
      <c r="W1" s="736"/>
      <c r="X1" s="736"/>
      <c r="Y1" s="736"/>
      <c r="Z1" s="736"/>
      <c r="AA1" s="736"/>
      <c r="AB1" s="736"/>
      <c r="AC1" s="736"/>
      <c r="AD1" s="736"/>
      <c r="AE1" s="736"/>
      <c r="AF1" s="736"/>
      <c r="AG1" s="736"/>
      <c r="AH1" s="737"/>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93" ht="7.5" customHeight="1" x14ac:dyDescent="0.2">
      <c r="B2" s="777"/>
      <c r="C2" s="777"/>
      <c r="D2" s="777"/>
      <c r="E2" s="777"/>
      <c r="F2" s="777"/>
      <c r="G2" s="777"/>
      <c r="H2" s="777"/>
      <c r="I2" s="777"/>
      <c r="J2" s="777"/>
      <c r="K2" s="777"/>
      <c r="L2" s="777"/>
      <c r="M2" s="777"/>
      <c r="N2" s="777"/>
      <c r="O2" s="777"/>
      <c r="P2" s="777"/>
      <c r="Q2" s="777"/>
      <c r="R2" s="777"/>
      <c r="S2" s="777"/>
      <c r="T2" s="777"/>
      <c r="U2" s="777"/>
      <c r="V2" s="777"/>
      <c r="W2" s="777"/>
      <c r="X2" s="777"/>
      <c r="Y2" s="777"/>
      <c r="Z2" s="777"/>
      <c r="AA2" s="777"/>
      <c r="AB2" s="777"/>
      <c r="AC2" s="777"/>
      <c r="AD2" s="777"/>
      <c r="AE2" s="777"/>
      <c r="AF2" s="777"/>
      <c r="AG2" s="777"/>
      <c r="AH2" s="777"/>
    </row>
    <row r="3" spans="1:193" ht="21" customHeight="1" x14ac:dyDescent="0.3">
      <c r="B3" s="1413" t="s">
        <v>518</v>
      </c>
      <c r="C3" s="1413"/>
      <c r="D3" s="1413"/>
      <c r="E3" s="1413"/>
      <c r="F3" s="1413"/>
      <c r="G3" s="1413"/>
      <c r="H3" s="1413"/>
      <c r="I3" s="1413"/>
      <c r="J3" s="1413"/>
      <c r="K3" s="1413"/>
      <c r="L3" s="1413"/>
      <c r="M3" s="1413"/>
      <c r="N3" s="1413"/>
      <c r="O3" s="1413"/>
      <c r="P3" s="1413"/>
      <c r="Q3" s="1413"/>
      <c r="R3" s="1413"/>
      <c r="S3" s="1413"/>
      <c r="T3" s="1413"/>
      <c r="U3" s="1413"/>
      <c r="V3" s="1413"/>
      <c r="W3" s="1413"/>
      <c r="X3" s="1413"/>
      <c r="Y3" s="1413"/>
      <c r="Z3" s="1413"/>
      <c r="AA3" s="1413"/>
      <c r="AB3" s="1413"/>
      <c r="AC3" s="1413"/>
      <c r="AD3" s="1413"/>
      <c r="AE3" s="1413"/>
      <c r="AF3" s="1413"/>
      <c r="AG3" s="1413"/>
      <c r="AH3" s="1413"/>
      <c r="AI3" s="6"/>
      <c r="AJ3" s="6"/>
      <c r="AK3" s="6"/>
      <c r="AL3" s="242">
        <v>38353</v>
      </c>
      <c r="AM3" s="155">
        <f>'Start here'!A8</f>
        <v>0</v>
      </c>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row>
    <row r="4" spans="1:193" ht="21" customHeight="1" x14ac:dyDescent="0.2">
      <c r="B4" s="895" t="s">
        <v>519</v>
      </c>
      <c r="C4" s="896"/>
      <c r="D4" s="896"/>
      <c r="E4" s="896"/>
      <c r="F4" s="896"/>
      <c r="G4" s="896"/>
      <c r="H4" s="896"/>
      <c r="I4" s="896"/>
      <c r="J4" s="896"/>
      <c r="K4" s="896"/>
      <c r="L4" s="896"/>
      <c r="M4" s="896"/>
      <c r="N4" s="896"/>
      <c r="O4" s="896"/>
      <c r="P4" s="896"/>
      <c r="Q4" s="897"/>
      <c r="R4" s="1123"/>
      <c r="S4" s="947" t="s">
        <v>455</v>
      </c>
      <c r="T4" s="947"/>
      <c r="U4" s="947"/>
      <c r="V4" s="947"/>
      <c r="W4" s="947"/>
      <c r="X4" s="947"/>
      <c r="Y4" s="947"/>
      <c r="Z4" s="947"/>
      <c r="AA4" s="947"/>
      <c r="AB4" s="947"/>
      <c r="AC4" s="947"/>
      <c r="AD4" s="947"/>
      <c r="AE4" s="947"/>
      <c r="AF4" s="947"/>
      <c r="AG4" s="947"/>
      <c r="AH4" s="947"/>
      <c r="AI4" s="6"/>
      <c r="AJ4" s="6"/>
      <c r="AK4" s="6"/>
      <c r="AL4" s="742" t="str">
        <f>IF(AM3&gt;=AL3,"Go to PPD Worksheet","")</f>
        <v/>
      </c>
      <c r="AM4" s="744"/>
      <c r="AN4" s="910" t="str">
        <f>IF(AM3&lt;AL3,"Go to PPD Worksheet","")</f>
        <v>Go to PPD Worksheet</v>
      </c>
      <c r="AO4" s="910"/>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row>
    <row r="5" spans="1:193" ht="27" customHeight="1" thickBot="1" x14ac:dyDescent="0.25">
      <c r="B5" s="761" t="s">
        <v>456</v>
      </c>
      <c r="C5" s="761"/>
      <c r="D5" s="761"/>
      <c r="E5" s="761"/>
      <c r="F5" s="761"/>
      <c r="G5" s="1414" t="s">
        <v>457</v>
      </c>
      <c r="H5" s="1414"/>
      <c r="I5" s="1414"/>
      <c r="J5" s="1414"/>
      <c r="K5" s="1414"/>
      <c r="L5" s="1414"/>
      <c r="M5" s="1414"/>
      <c r="N5" s="1414"/>
      <c r="O5" s="1421"/>
      <c r="P5" s="1421"/>
      <c r="Q5" s="1421"/>
      <c r="R5" s="1149"/>
      <c r="S5" s="761" t="s">
        <v>456</v>
      </c>
      <c r="T5" s="761"/>
      <c r="U5" s="761"/>
      <c r="V5" s="761"/>
      <c r="W5" s="761"/>
      <c r="X5" s="1414" t="s">
        <v>457</v>
      </c>
      <c r="Y5" s="1414"/>
      <c r="Z5" s="1414"/>
      <c r="AA5" s="1414"/>
      <c r="AB5" s="1414"/>
      <c r="AC5" s="1414"/>
      <c r="AD5" s="1414"/>
      <c r="AE5" s="1414"/>
      <c r="AF5" s="1421"/>
      <c r="AG5" s="1421"/>
      <c r="AH5" s="1421"/>
      <c r="AI5" s="6"/>
      <c r="AJ5" s="6"/>
      <c r="AK5" s="6"/>
      <c r="AL5" s="6"/>
      <c r="AM5" s="6"/>
      <c r="AN5" s="92" t="s">
        <v>764</v>
      </c>
      <c r="AO5" s="92" t="s">
        <v>765</v>
      </c>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row>
    <row r="6" spans="1:193" ht="18" customHeight="1" x14ac:dyDescent="0.2">
      <c r="B6" s="761" t="s">
        <v>1100</v>
      </c>
      <c r="C6" s="761"/>
      <c r="D6" s="761"/>
      <c r="E6" s="761"/>
      <c r="F6" s="761"/>
      <c r="G6" s="1035"/>
      <c r="H6" s="1035"/>
      <c r="I6" s="1035"/>
      <c r="J6" s="1035"/>
      <c r="K6" s="1035"/>
      <c r="L6" s="1035"/>
      <c r="M6" s="1035"/>
      <c r="N6" s="1035"/>
      <c r="O6" s="1421"/>
      <c r="P6" s="1421"/>
      <c r="Q6" s="1421"/>
      <c r="R6" s="1149"/>
      <c r="S6" s="761" t="s">
        <v>1100</v>
      </c>
      <c r="T6" s="761"/>
      <c r="U6" s="761"/>
      <c r="V6" s="761"/>
      <c r="W6" s="761"/>
      <c r="X6" s="1035"/>
      <c r="Y6" s="1035"/>
      <c r="Z6" s="1035"/>
      <c r="AA6" s="1035"/>
      <c r="AB6" s="1035"/>
      <c r="AC6" s="1035"/>
      <c r="AD6" s="1035"/>
      <c r="AE6" s="1035"/>
      <c r="AF6" s="1421"/>
      <c r="AG6" s="1421"/>
      <c r="AH6" s="1421"/>
      <c r="AI6" s="6"/>
      <c r="AJ6" s="6"/>
      <c r="AK6" s="6"/>
      <c r="AN6" s="640">
        <f>SUMIF(C107:S107,G6,C108:S108)</f>
        <v>0</v>
      </c>
      <c r="AO6" s="641">
        <f>SUMIF(C107:S107,X6,C108:S108)</f>
        <v>0</v>
      </c>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row>
    <row r="7" spans="1:193" ht="18" customHeight="1" x14ac:dyDescent="0.2">
      <c r="B7" s="791" t="s">
        <v>766</v>
      </c>
      <c r="C7" s="791"/>
      <c r="D7" s="791"/>
      <c r="E7" s="791"/>
      <c r="F7" s="791"/>
      <c r="G7" s="1035"/>
      <c r="H7" s="1035"/>
      <c r="I7" s="1035"/>
      <c r="J7" s="1035"/>
      <c r="K7" s="1035"/>
      <c r="L7" s="1035"/>
      <c r="M7" s="1035"/>
      <c r="N7" s="1035"/>
      <c r="O7" s="748">
        <f>IF(B8&lt;&gt;"","ERROR",AN8/100)</f>
        <v>0</v>
      </c>
      <c r="P7" s="769"/>
      <c r="Q7" s="770"/>
      <c r="R7" s="1149"/>
      <c r="S7" s="791" t="s">
        <v>766</v>
      </c>
      <c r="T7" s="791"/>
      <c r="U7" s="791"/>
      <c r="V7" s="791"/>
      <c r="W7" s="791"/>
      <c r="X7" s="1035"/>
      <c r="Y7" s="1035"/>
      <c r="Z7" s="1035"/>
      <c r="AA7" s="1035"/>
      <c r="AB7" s="1035"/>
      <c r="AC7" s="1035"/>
      <c r="AD7" s="1035"/>
      <c r="AE7" s="1035"/>
      <c r="AF7" s="748">
        <f>IF(S8&lt;&gt;"","ERROR",AO8/100)</f>
        <v>0</v>
      </c>
      <c r="AG7" s="769"/>
      <c r="AH7" s="770"/>
      <c r="AI7" s="6"/>
      <c r="AJ7" s="6"/>
      <c r="AK7" s="6"/>
      <c r="AN7" s="642">
        <f>SUMIF(C109:S109,G7,C110:S110)</f>
        <v>0</v>
      </c>
      <c r="AO7" s="643">
        <f>SUMIF(C109:S109,X7,C110:S110)</f>
        <v>0</v>
      </c>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row>
    <row r="8" spans="1:193" ht="18" customHeight="1" thickBot="1" x14ac:dyDescent="0.25">
      <c r="B8" s="1086" t="str">
        <f>IF(AND(G6&lt;&gt;"",G7&lt;&gt;""),"ERROR: Enter English or Metric, not both.","")</f>
        <v/>
      </c>
      <c r="C8" s="1086"/>
      <c r="D8" s="1086"/>
      <c r="E8" s="1086"/>
      <c r="F8" s="1086"/>
      <c r="G8" s="1086"/>
      <c r="H8" s="1086"/>
      <c r="I8" s="1086"/>
      <c r="J8" s="1086"/>
      <c r="K8" s="1086"/>
      <c r="L8" s="1086"/>
      <c r="M8" s="1086"/>
      <c r="N8" s="1086"/>
      <c r="O8" s="910"/>
      <c r="P8" s="910"/>
      <c r="Q8" s="910"/>
      <c r="R8" s="1149"/>
      <c r="S8" s="1086" t="str">
        <f>IF(AND(X6&lt;&gt;"",X7&lt;&gt;""),"ERROR: Enter English or Metric, not both.","")</f>
        <v/>
      </c>
      <c r="T8" s="1086"/>
      <c r="U8" s="1086"/>
      <c r="V8" s="1086"/>
      <c r="W8" s="1086"/>
      <c r="X8" s="1086"/>
      <c r="Y8" s="1086"/>
      <c r="Z8" s="1086"/>
      <c r="AA8" s="1086"/>
      <c r="AB8" s="1086"/>
      <c r="AC8" s="1086"/>
      <c r="AD8" s="1086"/>
      <c r="AE8" s="1086"/>
      <c r="AF8" s="910"/>
      <c r="AG8" s="910"/>
      <c r="AH8" s="910"/>
      <c r="AI8" s="6"/>
      <c r="AJ8" s="6"/>
      <c r="AK8" s="6"/>
      <c r="AN8" s="644">
        <f>AN6+AN7</f>
        <v>0</v>
      </c>
      <c r="AO8" s="645">
        <f>AO6+AO7</f>
        <v>0</v>
      </c>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row>
    <row r="9" spans="1:193" ht="27" customHeight="1" thickBot="1" x14ac:dyDescent="0.25">
      <c r="B9" s="791" t="s">
        <v>767</v>
      </c>
      <c r="C9" s="791"/>
      <c r="D9" s="791"/>
      <c r="E9" s="791"/>
      <c r="F9" s="791"/>
      <c r="G9" s="1412" t="s">
        <v>768</v>
      </c>
      <c r="H9" s="1412"/>
      <c r="I9" s="1412"/>
      <c r="J9" s="1412"/>
      <c r="K9" s="1412"/>
      <c r="L9" s="1412"/>
      <c r="M9" s="1412"/>
      <c r="N9" s="912"/>
      <c r="O9" s="910"/>
      <c r="P9" s="910"/>
      <c r="Q9" s="910"/>
      <c r="R9" s="1149"/>
      <c r="S9" s="791" t="s">
        <v>767</v>
      </c>
      <c r="T9" s="791"/>
      <c r="U9" s="791"/>
      <c r="V9" s="791"/>
      <c r="W9" s="791"/>
      <c r="X9" s="1412" t="s">
        <v>768</v>
      </c>
      <c r="Y9" s="1412"/>
      <c r="Z9" s="1412"/>
      <c r="AA9" s="1412"/>
      <c r="AB9" s="1412"/>
      <c r="AC9" s="1412"/>
      <c r="AD9" s="1412"/>
      <c r="AE9" s="912"/>
      <c r="AF9" s="910"/>
      <c r="AG9" s="910"/>
      <c r="AH9" s="910"/>
      <c r="AI9" s="6"/>
      <c r="AJ9" s="6"/>
      <c r="AK9" s="6"/>
      <c r="AN9" s="13" t="s">
        <v>2265</v>
      </c>
      <c r="AO9" s="13" t="s">
        <v>2266</v>
      </c>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row>
    <row r="10" spans="1:193" ht="18" customHeight="1" x14ac:dyDescent="0.2">
      <c r="B10" s="791" t="s">
        <v>769</v>
      </c>
      <c r="C10" s="791"/>
      <c r="D10" s="791"/>
      <c r="E10" s="791"/>
      <c r="F10" s="791"/>
      <c r="G10" s="791"/>
      <c r="H10" s="791"/>
      <c r="I10" s="791"/>
      <c r="J10" s="694"/>
      <c r="K10" s="694"/>
      <c r="L10" s="694"/>
      <c r="M10" s="694"/>
      <c r="N10" s="694"/>
      <c r="O10" s="910"/>
      <c r="P10" s="910"/>
      <c r="Q10" s="910"/>
      <c r="R10" s="1149"/>
      <c r="S10" s="791" t="s">
        <v>769</v>
      </c>
      <c r="T10" s="791"/>
      <c r="U10" s="791"/>
      <c r="V10" s="791"/>
      <c r="W10" s="791"/>
      <c r="X10" s="791"/>
      <c r="Y10" s="791"/>
      <c r="Z10" s="791"/>
      <c r="AA10" s="694"/>
      <c r="AB10" s="694"/>
      <c r="AC10" s="694"/>
      <c r="AD10" s="694"/>
      <c r="AE10" s="694"/>
      <c r="AF10" s="910"/>
      <c r="AG10" s="910"/>
      <c r="AH10" s="910"/>
      <c r="AI10" s="6"/>
      <c r="AJ10" s="6"/>
      <c r="AK10" s="6"/>
      <c r="AL10" s="640">
        <f>IF(J10="",0,1)</f>
        <v>0</v>
      </c>
      <c r="AM10" s="641">
        <f>IF(AA10="",0,1)</f>
        <v>0</v>
      </c>
      <c r="AN10" s="640">
        <f>SUMIF(C111:P111,J10,C112:P112)</f>
        <v>0</v>
      </c>
      <c r="AO10" s="641">
        <f>SUMIF(C111:P111,AA10,C112:P112)</f>
        <v>0</v>
      </c>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row>
    <row r="11" spans="1:193" ht="18" customHeight="1" x14ac:dyDescent="0.2">
      <c r="B11" s="791" t="s">
        <v>770</v>
      </c>
      <c r="C11" s="791"/>
      <c r="D11" s="791"/>
      <c r="E11" s="791"/>
      <c r="F11" s="791"/>
      <c r="G11" s="791"/>
      <c r="H11" s="791"/>
      <c r="I11" s="791"/>
      <c r="J11" s="694"/>
      <c r="K11" s="694"/>
      <c r="L11" s="694"/>
      <c r="M11" s="694"/>
      <c r="N11" s="694"/>
      <c r="O11" s="910"/>
      <c r="P11" s="910"/>
      <c r="Q11" s="910"/>
      <c r="R11" s="1149"/>
      <c r="S11" s="791" t="s">
        <v>770</v>
      </c>
      <c r="T11" s="791"/>
      <c r="U11" s="791"/>
      <c r="V11" s="791"/>
      <c r="W11" s="791"/>
      <c r="X11" s="791"/>
      <c r="Y11" s="791"/>
      <c r="Z11" s="791"/>
      <c r="AA11" s="694"/>
      <c r="AB11" s="694"/>
      <c r="AC11" s="694"/>
      <c r="AD11" s="694"/>
      <c r="AE11" s="694"/>
      <c r="AF11" s="910"/>
      <c r="AG11" s="910"/>
      <c r="AH11" s="910"/>
      <c r="AI11" s="6"/>
      <c r="AJ11" s="6"/>
      <c r="AK11" s="6"/>
      <c r="AL11" s="642">
        <f>IF(J11="",0,1)</f>
        <v>0</v>
      </c>
      <c r="AM11" s="643">
        <f>IF(AA11="",0,1)</f>
        <v>0</v>
      </c>
      <c r="AN11" s="642">
        <f>SUMIF(C113:P113,J11,C114:P114)</f>
        <v>0</v>
      </c>
      <c r="AO11" s="643">
        <f>SUMIF(C113:P113,AA11,C114:P114)</f>
        <v>0</v>
      </c>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row>
    <row r="12" spans="1:193" ht="18" customHeight="1" x14ac:dyDescent="0.2">
      <c r="B12" s="791" t="s">
        <v>771</v>
      </c>
      <c r="C12" s="791"/>
      <c r="D12" s="791"/>
      <c r="E12" s="791"/>
      <c r="F12" s="791"/>
      <c r="G12" s="791"/>
      <c r="H12" s="791"/>
      <c r="I12" s="791"/>
      <c r="J12" s="694"/>
      <c r="K12" s="694"/>
      <c r="L12" s="694"/>
      <c r="M12" s="694"/>
      <c r="N12" s="694"/>
      <c r="O12" s="748">
        <f>IF(B13&lt;&gt;"","ERROR",AN13/100)</f>
        <v>0</v>
      </c>
      <c r="P12" s="769"/>
      <c r="Q12" s="770"/>
      <c r="R12" s="1149"/>
      <c r="S12" s="791" t="s">
        <v>771</v>
      </c>
      <c r="T12" s="791"/>
      <c r="U12" s="791"/>
      <c r="V12" s="791"/>
      <c r="W12" s="791"/>
      <c r="X12" s="791"/>
      <c r="Y12" s="791"/>
      <c r="Z12" s="791"/>
      <c r="AA12" s="694"/>
      <c r="AB12" s="694"/>
      <c r="AC12" s="694"/>
      <c r="AD12" s="694"/>
      <c r="AE12" s="694"/>
      <c r="AF12" s="748">
        <f>IF(S13&lt;&gt;"","ERROR",AO13/100)</f>
        <v>0</v>
      </c>
      <c r="AG12" s="769"/>
      <c r="AH12" s="770"/>
      <c r="AI12" s="6"/>
      <c r="AJ12" s="6"/>
      <c r="AK12" s="6"/>
      <c r="AL12" s="642">
        <f>IF(J12="",0,1)</f>
        <v>0</v>
      </c>
      <c r="AM12" s="643">
        <f>IF(AA12="",0,1)</f>
        <v>0</v>
      </c>
      <c r="AN12" s="642">
        <f>SUMIF(C115:P115,J12,C116:P116)</f>
        <v>0</v>
      </c>
      <c r="AO12" s="643">
        <f>SUMIF(C115:P115,AA12,C116:P116)</f>
        <v>0</v>
      </c>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row>
    <row r="13" spans="1:193" ht="18" customHeight="1" thickBot="1" x14ac:dyDescent="0.25">
      <c r="B13" s="1086" t="str">
        <f>IF(AL13&gt;1,"ERROR: Enter one near acuity measure only.","")</f>
        <v/>
      </c>
      <c r="C13" s="1086"/>
      <c r="D13" s="1086"/>
      <c r="E13" s="1086"/>
      <c r="F13" s="1086"/>
      <c r="G13" s="1086"/>
      <c r="H13" s="1086"/>
      <c r="I13" s="1086"/>
      <c r="J13" s="1086"/>
      <c r="K13" s="1086"/>
      <c r="L13" s="1086"/>
      <c r="M13" s="1086"/>
      <c r="N13" s="1086"/>
      <c r="O13" s="912"/>
      <c r="P13" s="912"/>
      <c r="Q13" s="912"/>
      <c r="R13" s="1149"/>
      <c r="S13" s="1086" t="str">
        <f>IF(AM13&gt;1,"ERROR: Enter one near acuity measure only.","")</f>
        <v/>
      </c>
      <c r="T13" s="1086"/>
      <c r="U13" s="1086"/>
      <c r="V13" s="1086"/>
      <c r="W13" s="1086"/>
      <c r="X13" s="1086"/>
      <c r="Y13" s="1086"/>
      <c r="Z13" s="1086"/>
      <c r="AA13" s="1086"/>
      <c r="AB13" s="1086"/>
      <c r="AC13" s="1086"/>
      <c r="AD13" s="1086"/>
      <c r="AE13" s="1086"/>
      <c r="AF13" s="912"/>
      <c r="AG13" s="912"/>
      <c r="AH13" s="912"/>
      <c r="AI13" s="6"/>
      <c r="AJ13" s="6"/>
      <c r="AK13" s="6"/>
      <c r="AL13" s="644">
        <f>SUM(AL10:AL12)</f>
        <v>0</v>
      </c>
      <c r="AM13" s="645">
        <f>SUM(AM10:AM12)</f>
        <v>0</v>
      </c>
      <c r="AN13" s="644">
        <f>SUM(AN10:AN12)</f>
        <v>0</v>
      </c>
      <c r="AO13" s="645">
        <f>SUM(AO10:AO12)</f>
        <v>0</v>
      </c>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row>
    <row r="14" spans="1:193" ht="15" customHeight="1" x14ac:dyDescent="0.2">
      <c r="B14" s="791" t="s">
        <v>1307</v>
      </c>
      <c r="C14" s="791"/>
      <c r="D14" s="791"/>
      <c r="E14" s="791"/>
      <c r="F14" s="791"/>
      <c r="G14" s="791"/>
      <c r="H14" s="791"/>
      <c r="I14" s="791"/>
      <c r="J14" s="791"/>
      <c r="K14" s="791"/>
      <c r="L14" s="791"/>
      <c r="M14" s="791"/>
      <c r="N14" s="791"/>
      <c r="O14" s="1411">
        <f>(O7+O12)/2</f>
        <v>0</v>
      </c>
      <c r="P14" s="1411"/>
      <c r="Q14" s="1411"/>
      <c r="R14" s="1149"/>
      <c r="S14" s="791" t="s">
        <v>1307</v>
      </c>
      <c r="T14" s="791"/>
      <c r="U14" s="791"/>
      <c r="V14" s="791"/>
      <c r="W14" s="791"/>
      <c r="X14" s="791"/>
      <c r="Y14" s="791"/>
      <c r="Z14" s="791"/>
      <c r="AA14" s="791"/>
      <c r="AB14" s="791"/>
      <c r="AC14" s="791"/>
      <c r="AD14" s="791"/>
      <c r="AE14" s="791"/>
      <c r="AF14" s="1411">
        <f>(AF7+AF12)/2</f>
        <v>0</v>
      </c>
      <c r="AG14" s="1411"/>
      <c r="AH14" s="1411"/>
      <c r="AI14" s="6"/>
      <c r="AJ14" s="6"/>
      <c r="AK14" s="6"/>
      <c r="AL14" s="6"/>
      <c r="AM14" s="640" t="s">
        <v>1272</v>
      </c>
      <c r="AN14" s="647" t="s">
        <v>211</v>
      </c>
      <c r="AO14" s="641" t="s">
        <v>1273</v>
      </c>
      <c r="AP14" s="640" t="s">
        <v>1274</v>
      </c>
      <c r="AQ14" s="653" t="s">
        <v>212</v>
      </c>
      <c r="AR14" s="641" t="s">
        <v>1275</v>
      </c>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row>
    <row r="15" spans="1:193" ht="15" customHeight="1" x14ac:dyDescent="0.2">
      <c r="B15" s="791" t="s">
        <v>1276</v>
      </c>
      <c r="C15" s="791"/>
      <c r="D15" s="791"/>
      <c r="E15" s="791"/>
      <c r="F15" s="791"/>
      <c r="G15" s="791"/>
      <c r="H15" s="791"/>
      <c r="I15" s="791"/>
      <c r="J15" s="791"/>
      <c r="K15" s="791"/>
      <c r="L15" s="791"/>
      <c r="M15" s="791"/>
      <c r="N15" s="791"/>
      <c r="O15" s="1415">
        <f>IF(AL16=2,0.25,IF(AL16=3,0.5,0))</f>
        <v>0</v>
      </c>
      <c r="P15" s="1416"/>
      <c r="Q15" s="1417"/>
      <c r="R15" s="1149"/>
      <c r="S15" s="791" t="s">
        <v>1276</v>
      </c>
      <c r="T15" s="791"/>
      <c r="U15" s="791"/>
      <c r="V15" s="791"/>
      <c r="W15" s="791"/>
      <c r="X15" s="791"/>
      <c r="Y15" s="791"/>
      <c r="Z15" s="791"/>
      <c r="AA15" s="791"/>
      <c r="AB15" s="791"/>
      <c r="AC15" s="791"/>
      <c r="AD15" s="791"/>
      <c r="AE15" s="791"/>
      <c r="AF15" s="1411">
        <f>IF(AL17=2,0.25,IF(AL17=3,0.5,0))</f>
        <v>0</v>
      </c>
      <c r="AG15" s="1411"/>
      <c r="AH15" s="1411"/>
      <c r="AI15" s="6"/>
      <c r="AJ15" s="6"/>
      <c r="AK15" s="6"/>
      <c r="AL15" s="6"/>
      <c r="AM15" s="648">
        <f>LARGE(O14:O15,1)</f>
        <v>0</v>
      </c>
      <c r="AN15" s="402">
        <f>ROUND(AM15,2)</f>
        <v>0</v>
      </c>
      <c r="AO15" s="649">
        <f>ROUND(AN15+AN16*(1-AN15),2)</f>
        <v>0</v>
      </c>
      <c r="AP15" s="648">
        <f>LARGE(AF14:AF15,1)</f>
        <v>0</v>
      </c>
      <c r="AQ15" s="402">
        <f>ROUND(AP15,2)</f>
        <v>0</v>
      </c>
      <c r="AR15" s="649">
        <f>ROUND(AQ15+AQ16*(1-AQ15),2)</f>
        <v>0</v>
      </c>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row>
    <row r="16" spans="1:193" ht="60" customHeight="1" thickBot="1" x14ac:dyDescent="0.25">
      <c r="A16" s="15"/>
      <c r="B16" s="1374"/>
      <c r="C16" s="1374"/>
      <c r="D16" s="1374"/>
      <c r="E16" s="1374"/>
      <c r="F16" s="1374"/>
      <c r="G16" s="1374"/>
      <c r="H16" s="1374"/>
      <c r="I16" s="1374"/>
      <c r="J16" s="1374"/>
      <c r="K16" s="1374"/>
      <c r="L16" s="1374"/>
      <c r="M16" s="1374"/>
      <c r="N16" s="1374"/>
      <c r="O16" s="1418"/>
      <c r="P16" s="1419"/>
      <c r="Q16" s="1420"/>
      <c r="R16" s="1149"/>
      <c r="S16" s="1374"/>
      <c r="T16" s="1374"/>
      <c r="U16" s="1374"/>
      <c r="V16" s="1374"/>
      <c r="W16" s="1374"/>
      <c r="X16" s="1374"/>
      <c r="Y16" s="1374"/>
      <c r="Z16" s="1374"/>
      <c r="AA16" s="1374"/>
      <c r="AB16" s="1374"/>
      <c r="AC16" s="1374"/>
      <c r="AD16" s="1374"/>
      <c r="AE16" s="1374"/>
      <c r="AF16" s="1411"/>
      <c r="AG16" s="1411"/>
      <c r="AH16" s="1411"/>
      <c r="AI16" s="6"/>
      <c r="AJ16" s="6"/>
      <c r="AK16" s="6"/>
      <c r="AL16" s="646">
        <v>1</v>
      </c>
      <c r="AM16" s="650">
        <f>LARGE(O14:O15,2)</f>
        <v>0</v>
      </c>
      <c r="AN16" s="651">
        <f>ROUND(AM16,2)</f>
        <v>0</v>
      </c>
      <c r="AO16" s="652"/>
      <c r="AP16" s="650">
        <f>LARGE(AF14:AF15,2)</f>
        <v>0</v>
      </c>
      <c r="AQ16" s="651">
        <f>ROUND(AP16,2)</f>
        <v>0</v>
      </c>
      <c r="AR16" s="77"/>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row>
    <row r="17" spans="1:214" ht="27.75" customHeight="1" x14ac:dyDescent="0.2">
      <c r="B17" s="761" t="s">
        <v>1277</v>
      </c>
      <c r="C17" s="761"/>
      <c r="D17" s="761"/>
      <c r="E17" s="761"/>
      <c r="F17" s="761"/>
      <c r="G17" s="761"/>
      <c r="H17" s="761"/>
      <c r="I17" s="761"/>
      <c r="J17" s="761"/>
      <c r="K17" s="761"/>
      <c r="L17" s="761"/>
      <c r="M17" s="761"/>
      <c r="N17" s="761"/>
      <c r="O17" s="1338">
        <f>IF(OR(O14=0,O15=0),SUM(O14,O15),AO15)</f>
        <v>0</v>
      </c>
      <c r="P17" s="1338"/>
      <c r="Q17" s="1338"/>
      <c r="R17" s="1066"/>
      <c r="S17" s="761" t="s">
        <v>1278</v>
      </c>
      <c r="T17" s="761"/>
      <c r="U17" s="761"/>
      <c r="V17" s="761"/>
      <c r="W17" s="761"/>
      <c r="X17" s="761"/>
      <c r="Y17" s="761"/>
      <c r="Z17" s="761"/>
      <c r="AA17" s="761"/>
      <c r="AB17" s="761"/>
      <c r="AC17" s="761"/>
      <c r="AD17" s="761"/>
      <c r="AE17" s="761"/>
      <c r="AF17" s="1338">
        <f>IF(OR(AF14=0,AF15=0),SUM(AF14,AF15),AR15)</f>
        <v>0</v>
      </c>
      <c r="AG17" s="1338"/>
      <c r="AH17" s="1338"/>
      <c r="AI17" s="6"/>
      <c r="AJ17" s="6"/>
      <c r="AK17" s="6"/>
      <c r="AL17" s="613">
        <v>1</v>
      </c>
      <c r="AM17" s="6"/>
      <c r="AN17" s="6"/>
      <c r="AO17" s="6"/>
      <c r="AP17" s="6"/>
      <c r="AQ17" s="77"/>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row>
    <row r="18" spans="1:214" ht="8.25" customHeight="1" x14ac:dyDescent="0.2">
      <c r="B18" s="697"/>
      <c r="C18" s="697"/>
      <c r="D18" s="697"/>
      <c r="E18" s="697"/>
      <c r="F18" s="697"/>
      <c r="G18" s="697"/>
      <c r="H18" s="697"/>
      <c r="I18" s="697"/>
      <c r="J18" s="697"/>
      <c r="K18" s="697"/>
      <c r="L18" s="697"/>
      <c r="M18" s="697"/>
      <c r="N18" s="697"/>
      <c r="O18" s="697"/>
      <c r="P18" s="697"/>
      <c r="Q18" s="697"/>
      <c r="R18" s="697"/>
      <c r="S18" s="697"/>
      <c r="T18" s="697"/>
      <c r="U18" s="697"/>
      <c r="V18" s="697"/>
      <c r="W18" s="697"/>
      <c r="X18" s="697"/>
      <c r="Y18" s="697"/>
      <c r="Z18" s="697"/>
      <c r="AA18" s="697"/>
      <c r="AB18" s="697"/>
      <c r="AC18" s="697"/>
      <c r="AD18" s="697"/>
      <c r="AE18" s="697"/>
      <c r="AF18" s="697"/>
      <c r="AG18" s="697"/>
      <c r="AH18" s="697"/>
      <c r="AI18" s="6"/>
      <c r="AJ18" s="6"/>
      <c r="AK18" s="6"/>
      <c r="AL18" s="6"/>
      <c r="AM18" s="108"/>
      <c r="AN18" s="108"/>
      <c r="AO18" s="106"/>
      <c r="AP18" s="77"/>
      <c r="AQ18" s="77"/>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row>
    <row r="19" spans="1:214" ht="18" customHeight="1" x14ac:dyDescent="0.2">
      <c r="B19" s="947" t="s">
        <v>256</v>
      </c>
      <c r="C19" s="947"/>
      <c r="D19" s="947"/>
      <c r="E19" s="947"/>
      <c r="F19" s="947"/>
      <c r="G19" s="947"/>
      <c r="H19" s="947"/>
      <c r="I19" s="947"/>
      <c r="J19" s="947"/>
      <c r="K19" s="947"/>
      <c r="L19" s="947"/>
      <c r="M19" s="947"/>
      <c r="N19" s="947"/>
      <c r="O19" s="947"/>
      <c r="P19" s="947"/>
      <c r="Q19" s="947"/>
      <c r="R19" s="1123"/>
      <c r="S19" s="947" t="s">
        <v>257</v>
      </c>
      <c r="T19" s="947"/>
      <c r="U19" s="947"/>
      <c r="V19" s="947"/>
      <c r="W19" s="947"/>
      <c r="X19" s="947"/>
      <c r="Y19" s="947"/>
      <c r="Z19" s="947"/>
      <c r="AA19" s="947"/>
      <c r="AB19" s="947"/>
      <c r="AC19" s="947"/>
      <c r="AD19" s="947"/>
      <c r="AE19" s="947"/>
      <c r="AF19" s="947"/>
      <c r="AG19" s="947"/>
      <c r="AH19" s="947"/>
      <c r="AI19" s="6"/>
      <c r="AJ19" s="6"/>
      <c r="AQ19" s="77"/>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row>
    <row r="20" spans="1:214" ht="27" customHeight="1" x14ac:dyDescent="0.2">
      <c r="A20" s="15"/>
      <c r="B20" s="937"/>
      <c r="C20" s="938"/>
      <c r="D20" s="756" t="s">
        <v>1800</v>
      </c>
      <c r="E20" s="757"/>
      <c r="F20" s="757"/>
      <c r="G20" s="757"/>
      <c r="H20" s="757"/>
      <c r="I20" s="757"/>
      <c r="J20" s="757"/>
      <c r="K20" s="757"/>
      <c r="L20" s="757"/>
      <c r="M20" s="757"/>
      <c r="N20" s="757"/>
      <c r="O20" s="757"/>
      <c r="P20" s="757"/>
      <c r="Q20" s="758"/>
      <c r="R20" s="1149"/>
      <c r="S20" s="937"/>
      <c r="T20" s="938"/>
      <c r="U20" s="756" t="s">
        <v>1800</v>
      </c>
      <c r="V20" s="757"/>
      <c r="W20" s="757"/>
      <c r="X20" s="757"/>
      <c r="Y20" s="757"/>
      <c r="Z20" s="757"/>
      <c r="AA20" s="757"/>
      <c r="AB20" s="757"/>
      <c r="AC20" s="757"/>
      <c r="AD20" s="757"/>
      <c r="AE20" s="757"/>
      <c r="AF20" s="757"/>
      <c r="AG20" s="757"/>
      <c r="AH20" s="758"/>
      <c r="AI20" s="6"/>
      <c r="AJ20" s="6"/>
      <c r="AK20" s="613" t="b">
        <v>0</v>
      </c>
      <c r="AL20" s="613" t="b">
        <v>0</v>
      </c>
      <c r="AM20" s="52" t="s">
        <v>258</v>
      </c>
      <c r="AN20" s="52" t="s">
        <v>259</v>
      </c>
      <c r="AO20" s="53" t="s">
        <v>260</v>
      </c>
      <c r="AP20" s="12" t="s">
        <v>261</v>
      </c>
      <c r="AQ20" s="77"/>
      <c r="AR20" s="6">
        <v>1E-4</v>
      </c>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row>
    <row r="21" spans="1:214" ht="18" customHeight="1" x14ac:dyDescent="0.2">
      <c r="B21" s="791" t="s">
        <v>1714</v>
      </c>
      <c r="C21" s="791"/>
      <c r="D21" s="791"/>
      <c r="E21" s="791"/>
      <c r="F21" s="791"/>
      <c r="G21" s="791"/>
      <c r="H21" s="791"/>
      <c r="I21" s="791"/>
      <c r="J21" s="791"/>
      <c r="K21" s="694"/>
      <c r="L21" s="694"/>
      <c r="M21" s="694"/>
      <c r="N21" s="1412" t="s">
        <v>1715</v>
      </c>
      <c r="O21" s="1412"/>
      <c r="P21" s="1412"/>
      <c r="Q21" s="1412"/>
      <c r="R21" s="1149"/>
      <c r="S21" s="791" t="s">
        <v>1714</v>
      </c>
      <c r="T21" s="791"/>
      <c r="U21" s="791"/>
      <c r="V21" s="791"/>
      <c r="W21" s="791"/>
      <c r="X21" s="791"/>
      <c r="Y21" s="791"/>
      <c r="Z21" s="791"/>
      <c r="AA21" s="791"/>
      <c r="AB21" s="694"/>
      <c r="AC21" s="694"/>
      <c r="AD21" s="694"/>
      <c r="AE21" s="1412" t="s">
        <v>1715</v>
      </c>
      <c r="AF21" s="1412"/>
      <c r="AG21" s="1412"/>
      <c r="AH21" s="1412"/>
      <c r="AI21" s="6"/>
      <c r="AJ21" s="6"/>
      <c r="AK21" s="13">
        <f>IF(AK20=TRUE,1,0)</f>
        <v>0</v>
      </c>
      <c r="AL21" s="13">
        <f>IF(AL20=TRUE,1,0)</f>
        <v>0</v>
      </c>
      <c r="AM21" s="54">
        <f>K21/100</f>
        <v>0</v>
      </c>
      <c r="AN21" s="54">
        <f>AB21/100</f>
        <v>0</v>
      </c>
      <c r="AO21" s="54">
        <f>'Eye-Table'!D9</f>
        <v>0</v>
      </c>
      <c r="AP21" s="55">
        <f>'Eye-Table'!E9</f>
        <v>0</v>
      </c>
      <c r="AQ21" s="77"/>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row>
    <row r="22" spans="1:214" ht="44.25" customHeight="1" x14ac:dyDescent="0.2">
      <c r="B22" s="818" t="s">
        <v>1103</v>
      </c>
      <c r="C22" s="698"/>
      <c r="D22" s="698"/>
      <c r="E22" s="698"/>
      <c r="F22" s="698"/>
      <c r="G22" s="698"/>
      <c r="H22" s="698"/>
      <c r="I22" s="698"/>
      <c r="J22" s="698"/>
      <c r="K22" s="698"/>
      <c r="L22" s="698"/>
      <c r="M22" s="698"/>
      <c r="N22" s="698"/>
      <c r="O22" s="698"/>
      <c r="P22" s="698"/>
      <c r="Q22" s="698"/>
      <c r="R22" s="698"/>
      <c r="S22" s="698"/>
      <c r="T22" s="698"/>
      <c r="U22" s="698"/>
      <c r="V22" s="698"/>
      <c r="W22" s="698"/>
      <c r="X22" s="698"/>
      <c r="Y22" s="698"/>
      <c r="Z22" s="698"/>
      <c r="AA22" s="698"/>
      <c r="AB22" s="698"/>
      <c r="AC22" s="698"/>
      <c r="AD22" s="698"/>
      <c r="AE22" s="698"/>
      <c r="AF22" s="698"/>
      <c r="AG22" s="698"/>
      <c r="AH22" s="819"/>
      <c r="AI22" s="6"/>
      <c r="AJ22" s="6"/>
      <c r="AK22" s="6"/>
      <c r="AL22" s="1410" t="s">
        <v>1716</v>
      </c>
      <c r="AM22" s="1410"/>
      <c r="AN22" s="1410" t="s">
        <v>1309</v>
      </c>
      <c r="AO22" s="1410"/>
      <c r="AP22" s="122"/>
      <c r="AQ22" s="122"/>
      <c r="AR22" s="1400" t="s">
        <v>1310</v>
      </c>
      <c r="AS22" s="1400"/>
      <c r="AT22" s="5"/>
      <c r="AU22" s="5"/>
      <c r="AV22" s="5"/>
      <c r="AW22" s="5"/>
      <c r="AX22" s="5"/>
      <c r="AY22" s="5"/>
      <c r="AZ22" s="5"/>
      <c r="BA22" s="5"/>
      <c r="BB22" s="5"/>
      <c r="BC22" s="5"/>
      <c r="BD22" s="6"/>
      <c r="BE22" s="5"/>
      <c r="BF22" s="5"/>
      <c r="BG22" s="5"/>
      <c r="BH22" s="6"/>
      <c r="BI22" s="5"/>
      <c r="BJ22" s="5"/>
      <c r="BK22" s="5"/>
      <c r="BL22" s="6"/>
      <c r="BM22" s="5"/>
      <c r="BN22" s="5"/>
      <c r="BO22" s="5"/>
      <c r="BP22" s="6"/>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171"/>
      <c r="GM22" s="171"/>
      <c r="GN22" s="171"/>
      <c r="GO22" s="171"/>
      <c r="GP22" s="171"/>
      <c r="GQ22" s="171"/>
      <c r="GR22" s="171"/>
      <c r="GS22" s="171"/>
      <c r="GT22" s="171"/>
      <c r="GU22" s="171"/>
      <c r="GV22" s="171"/>
      <c r="GW22" s="171"/>
      <c r="GX22" s="171"/>
      <c r="GY22" s="171"/>
      <c r="GZ22" s="171"/>
      <c r="HA22" s="171"/>
      <c r="HB22" s="171"/>
      <c r="HC22" s="171"/>
      <c r="HD22" s="171"/>
      <c r="HE22" s="171"/>
      <c r="HF22" s="171"/>
    </row>
    <row r="23" spans="1:214" ht="18.95" customHeight="1" x14ac:dyDescent="0.2">
      <c r="B23" s="791" t="s">
        <v>1311</v>
      </c>
      <c r="C23" s="791"/>
      <c r="D23" s="791"/>
      <c r="E23" s="791"/>
      <c r="F23" s="791"/>
      <c r="G23" s="791"/>
      <c r="H23" s="730"/>
      <c r="I23" s="877"/>
      <c r="J23" s="820"/>
      <c r="K23" s="1339" t="str">
        <f>IF(AK21=1,85,IF(AL23&lt;&gt;"",AL23,IF(H23&gt;85,85,IF(H23="","",H23))))</f>
        <v/>
      </c>
      <c r="L23" s="1339"/>
      <c r="M23" s="1339"/>
      <c r="N23" s="912" t="s">
        <v>1718</v>
      </c>
      <c r="O23" s="912"/>
      <c r="P23" s="912"/>
      <c r="Q23" s="912"/>
      <c r="R23" s="1149"/>
      <c r="S23" s="791" t="s">
        <v>1311</v>
      </c>
      <c r="T23" s="791"/>
      <c r="U23" s="791"/>
      <c r="V23" s="791"/>
      <c r="W23" s="791"/>
      <c r="X23" s="791"/>
      <c r="Y23" s="730"/>
      <c r="Z23" s="877"/>
      <c r="AA23" s="820"/>
      <c r="AB23" s="1339" t="str">
        <f>IF(AL21=1,85,IF(AN23&lt;&gt;"",AN23,IF(Y23&gt;85,85,IF(Y23="","",Y23))))</f>
        <v/>
      </c>
      <c r="AC23" s="1339"/>
      <c r="AD23" s="1339"/>
      <c r="AE23" s="1197" t="s">
        <v>1718</v>
      </c>
      <c r="AF23" s="1425"/>
      <c r="AG23" s="1425"/>
      <c r="AH23" s="1426"/>
      <c r="AI23" s="6"/>
      <c r="AJ23" s="6"/>
      <c r="AK23" s="6"/>
      <c r="AL23" s="56" t="str">
        <f>IF(OR(N25="GHA",N25="HAB", N25="EFGHA",N25="FGHAB",N25="GHABC",N25="HABCD"),0,IF(N25="ABC",75,IF(N25="ABCDE",72,"")))</f>
        <v/>
      </c>
      <c r="AM23" s="56">
        <f t="shared" ref="AM23:AM31" si="0">IF(AND(H23&gt;0,K23=0),1,0)</f>
        <v>0</v>
      </c>
      <c r="AN23" s="56" t="str">
        <f>IF(OR(AE25="GHA",AE25="HAB", AE25="EFGHA",AE25="FGHAB",AE25="GHABC",AE25="HABCD"),0,IF(AE25="ABC",75,IF(AE25="ABCDE",72,"")))</f>
        <v/>
      </c>
      <c r="AO23" s="56">
        <f t="shared" ref="AO23:AO31" si="1">IF(AND(Y23&gt;0,AB23=0),1,0)</f>
        <v>0</v>
      </c>
      <c r="AP23" s="5"/>
      <c r="AQ23" s="5"/>
      <c r="AR23" s="56" t="str">
        <f t="shared" ref="AR23:AR30" si="2">IF(K23="","",1)</f>
        <v/>
      </c>
      <c r="AS23" s="56" t="str">
        <f t="shared" ref="AS23:AS30" si="3">IF(AB23="","",1)</f>
        <v/>
      </c>
      <c r="AT23" s="5"/>
      <c r="AU23" s="5"/>
      <c r="AV23" s="5"/>
      <c r="AW23" s="5"/>
      <c r="AX23" s="5"/>
      <c r="AY23" s="5"/>
      <c r="AZ23" s="5"/>
      <c r="BA23" s="5"/>
      <c r="BB23" s="5"/>
      <c r="BC23" s="5"/>
      <c r="BD23" s="5"/>
      <c r="BE23" s="103"/>
      <c r="BF23" s="103"/>
      <c r="BG23" s="5"/>
      <c r="BH23" s="5"/>
      <c r="BI23" s="5"/>
      <c r="BJ23" s="103"/>
      <c r="BK23" s="5"/>
      <c r="BL23" s="5"/>
      <c r="BM23" s="5"/>
      <c r="BN23" s="103"/>
      <c r="BO23" s="5"/>
      <c r="BP23" s="5"/>
      <c r="BQ23" s="5"/>
      <c r="BR23" s="103"/>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171"/>
      <c r="GM23" s="171"/>
      <c r="GN23" s="171"/>
      <c r="GO23" s="171"/>
      <c r="GP23" s="171"/>
      <c r="GQ23" s="171"/>
      <c r="GR23" s="171"/>
      <c r="GS23" s="171"/>
      <c r="GT23" s="171"/>
      <c r="GU23" s="171"/>
      <c r="GV23" s="171"/>
      <c r="GW23" s="171"/>
      <c r="GX23" s="171"/>
      <c r="GY23" s="171"/>
      <c r="GZ23" s="171"/>
      <c r="HA23" s="171"/>
      <c r="HB23" s="171"/>
      <c r="HC23" s="171"/>
      <c r="HD23" s="171"/>
      <c r="HE23" s="171"/>
      <c r="HF23" s="171"/>
    </row>
    <row r="24" spans="1:214" ht="18.95" customHeight="1" x14ac:dyDescent="0.2">
      <c r="B24" s="791" t="s">
        <v>1719</v>
      </c>
      <c r="C24" s="791"/>
      <c r="D24" s="791"/>
      <c r="E24" s="791"/>
      <c r="F24" s="791"/>
      <c r="G24" s="791"/>
      <c r="H24" s="730"/>
      <c r="I24" s="877"/>
      <c r="J24" s="820"/>
      <c r="K24" s="1339" t="str">
        <f>IF(AK21=1,85,IF(AL24&lt;&gt;"",AL24,IF(H24&gt;85,85,IF(H24="","",H24))))</f>
        <v/>
      </c>
      <c r="L24" s="1339"/>
      <c r="M24" s="1339"/>
      <c r="N24" s="912"/>
      <c r="O24" s="912"/>
      <c r="P24" s="912"/>
      <c r="Q24" s="912"/>
      <c r="R24" s="1149"/>
      <c r="S24" s="791" t="s">
        <v>1719</v>
      </c>
      <c r="T24" s="791"/>
      <c r="U24" s="791"/>
      <c r="V24" s="791"/>
      <c r="W24" s="791"/>
      <c r="X24" s="791"/>
      <c r="Y24" s="730"/>
      <c r="Z24" s="877"/>
      <c r="AA24" s="820"/>
      <c r="AB24" s="1339" t="str">
        <f>IF(AL21=1,85,IF(AN24&lt;&gt;"",AN24,IF(Y24&gt;85,85,IF(Y24="","",Y24))))</f>
        <v/>
      </c>
      <c r="AC24" s="1339"/>
      <c r="AD24" s="1339"/>
      <c r="AE24" s="1427"/>
      <c r="AF24" s="1044"/>
      <c r="AG24" s="1044"/>
      <c r="AH24" s="1428"/>
      <c r="AI24" s="6"/>
      <c r="AJ24" s="6"/>
      <c r="AK24" s="6"/>
      <c r="AL24" s="56" t="str">
        <f>IF(OR(N25="HAB",N25="ABC", N25="FGHAB",N25="GHABC",N25="HABCD",N25="ABCDE"),0,IF(N25="BCD",67,IF(N25="BCDEF",70,"")))</f>
        <v/>
      </c>
      <c r="AM24" s="56">
        <f t="shared" si="0"/>
        <v>0</v>
      </c>
      <c r="AN24" s="56" t="str">
        <f>IF(OR(AE25="HAB",AE25="ABC", AE25="FGHAB",AE25="GHABC",AE25="HABCD",AE25="ABCDE"),0,IF(AE25="BCD",67,IF(AE25="BCDEF",70,"")))</f>
        <v/>
      </c>
      <c r="AO24" s="56">
        <f t="shared" si="1"/>
        <v>0</v>
      </c>
      <c r="AP24" s="5"/>
      <c r="AQ24" s="5"/>
      <c r="AR24" s="56" t="str">
        <f t="shared" si="2"/>
        <v/>
      </c>
      <c r="AS24" s="56" t="str">
        <f t="shared" si="3"/>
        <v/>
      </c>
      <c r="AT24" s="5"/>
      <c r="AU24" s="5"/>
      <c r="AV24" s="5"/>
      <c r="AW24" s="5"/>
      <c r="AX24" s="5"/>
      <c r="AY24" s="5"/>
      <c r="AZ24" s="5"/>
      <c r="BA24" s="5"/>
      <c r="BB24" s="5"/>
      <c r="BC24" s="5"/>
      <c r="BD24" s="5"/>
      <c r="BE24" s="103"/>
      <c r="BF24" s="103"/>
      <c r="BG24" s="5"/>
      <c r="BH24" s="5"/>
      <c r="BI24" s="5"/>
      <c r="BJ24" s="103"/>
      <c r="BK24" s="5"/>
      <c r="BL24" s="5"/>
      <c r="BM24" s="5"/>
      <c r="BN24" s="103"/>
      <c r="BO24" s="5"/>
      <c r="BP24" s="5"/>
      <c r="BQ24" s="5"/>
      <c r="BR24" s="103"/>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171"/>
      <c r="GM24" s="171"/>
      <c r="GN24" s="171"/>
      <c r="GO24" s="171"/>
      <c r="GP24" s="171"/>
      <c r="GQ24" s="171"/>
      <c r="GR24" s="171"/>
      <c r="GS24" s="171"/>
      <c r="GT24" s="171"/>
      <c r="GU24" s="171"/>
      <c r="GV24" s="171"/>
      <c r="GW24" s="171"/>
      <c r="GX24" s="171"/>
      <c r="GY24" s="171"/>
      <c r="GZ24" s="171"/>
      <c r="HA24" s="171"/>
      <c r="HB24" s="171"/>
      <c r="HC24" s="171"/>
      <c r="HD24" s="171"/>
      <c r="HE24" s="171"/>
      <c r="HF24" s="171"/>
    </row>
    <row r="25" spans="1:214" ht="18.95" customHeight="1" x14ac:dyDescent="0.2">
      <c r="B25" s="791" t="s">
        <v>1720</v>
      </c>
      <c r="C25" s="791"/>
      <c r="D25" s="791"/>
      <c r="E25" s="791"/>
      <c r="F25" s="791"/>
      <c r="G25" s="791"/>
      <c r="H25" s="730"/>
      <c r="I25" s="877"/>
      <c r="J25" s="820"/>
      <c r="K25" s="1339" t="str">
        <f>IF(AK21=1,65,IF(AL25&lt;&gt;"",AL25,IF(H25&gt;65,65,IF(H25="","",H25))))</f>
        <v/>
      </c>
      <c r="L25" s="1339"/>
      <c r="M25" s="1339"/>
      <c r="N25" s="1035"/>
      <c r="O25" s="1035"/>
      <c r="P25" s="1035"/>
      <c r="Q25" s="1035"/>
      <c r="R25" s="1149"/>
      <c r="S25" s="791" t="s">
        <v>1720</v>
      </c>
      <c r="T25" s="791"/>
      <c r="U25" s="791"/>
      <c r="V25" s="791"/>
      <c r="W25" s="791"/>
      <c r="X25" s="791"/>
      <c r="Y25" s="730"/>
      <c r="Z25" s="877"/>
      <c r="AA25" s="820"/>
      <c r="AB25" s="1339" t="str">
        <f>IF(AL21=1,65,IF(AN25&lt;&gt;"",AN25,IF(Y25&gt;65,65,IF(Y25="","",Y25))))</f>
        <v/>
      </c>
      <c r="AC25" s="1339"/>
      <c r="AD25" s="1339"/>
      <c r="AE25" s="1035"/>
      <c r="AF25" s="1035"/>
      <c r="AG25" s="1035"/>
      <c r="AH25" s="1035"/>
      <c r="AI25" s="6"/>
      <c r="AJ25" s="6"/>
      <c r="AK25" s="6"/>
      <c r="AL25" s="56" t="str">
        <f>IF(OR(N25="ABC",N25="BCD", N25="GHABC",N25="HABCD",N25="ABCDE",N25="BCDEF"),0,IF(N25="CDE",62,IF(N25="CDEFG",55,"")))</f>
        <v/>
      </c>
      <c r="AM25" s="56">
        <f t="shared" si="0"/>
        <v>0</v>
      </c>
      <c r="AN25" s="56" t="str">
        <f>IF(OR(AE25="ABC",AE25="BCD", AE25="GHABC",AE25="HABCD",AE25="ABCDE",AE25="BCDEF"),0,IF(AE25="CDE",62,IF(AE25="CDEFG",55,"")))</f>
        <v/>
      </c>
      <c r="AO25" s="56">
        <f t="shared" si="1"/>
        <v>0</v>
      </c>
      <c r="AP25" s="5"/>
      <c r="AQ25" s="5"/>
      <c r="AR25" s="56" t="str">
        <f t="shared" si="2"/>
        <v/>
      </c>
      <c r="AS25" s="56" t="str">
        <f t="shared" si="3"/>
        <v/>
      </c>
      <c r="AT25" s="5"/>
      <c r="AU25" s="5"/>
      <c r="AV25" s="5"/>
      <c r="AW25" s="5"/>
      <c r="AX25" s="5"/>
      <c r="AY25" s="5"/>
      <c r="AZ25" s="5"/>
      <c r="BA25" s="5"/>
      <c r="BB25" s="5"/>
      <c r="BC25" s="5"/>
      <c r="BD25" s="5"/>
      <c r="BE25" s="103"/>
      <c r="BF25" s="103"/>
      <c r="BG25" s="5"/>
      <c r="BH25" s="5"/>
      <c r="BI25" s="5"/>
      <c r="BJ25" s="103"/>
      <c r="BK25" s="5"/>
      <c r="BL25" s="5"/>
      <c r="BM25" s="5"/>
      <c r="BN25" s="103"/>
      <c r="BO25" s="5"/>
      <c r="BP25" s="5"/>
      <c r="BQ25" s="5"/>
      <c r="BR25" s="103"/>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171"/>
      <c r="GM25" s="171"/>
      <c r="GN25" s="171"/>
      <c r="GO25" s="171"/>
      <c r="GP25" s="171"/>
      <c r="GQ25" s="171"/>
      <c r="GR25" s="171"/>
      <c r="GS25" s="171"/>
      <c r="GT25" s="171"/>
      <c r="GU25" s="171"/>
      <c r="GV25" s="171"/>
      <c r="GW25" s="171"/>
      <c r="GX25" s="171"/>
      <c r="GY25" s="171"/>
      <c r="GZ25" s="171"/>
      <c r="HA25" s="171"/>
      <c r="HB25" s="171"/>
      <c r="HC25" s="171"/>
      <c r="HD25" s="171"/>
      <c r="HE25" s="171"/>
      <c r="HF25" s="171"/>
    </row>
    <row r="26" spans="1:214" ht="18.95" customHeight="1" x14ac:dyDescent="0.2">
      <c r="B26" s="791" t="s">
        <v>384</v>
      </c>
      <c r="C26" s="791"/>
      <c r="D26" s="791"/>
      <c r="E26" s="791"/>
      <c r="F26" s="791"/>
      <c r="G26" s="791"/>
      <c r="H26" s="730"/>
      <c r="I26" s="877"/>
      <c r="J26" s="820"/>
      <c r="K26" s="1339" t="str">
        <f>IF(AK21=1,50,IF(AL26&lt;&gt;"",AL26,IF(H26&gt;50,50,IF(H26="","",H26))))</f>
        <v/>
      </c>
      <c r="L26" s="1339"/>
      <c r="M26" s="1339"/>
      <c r="N26" s="1401" t="str">
        <f>IF(AND(AM21&gt;0,K32&lt;&gt;""),AL33,IF(AM32&gt;0,AM33,IF(OR(AP30=K31,AR32=1),AN33,"")))</f>
        <v/>
      </c>
      <c r="O26" s="1402"/>
      <c r="P26" s="1402"/>
      <c r="Q26" s="1403"/>
      <c r="R26" s="1149"/>
      <c r="S26" s="791" t="s">
        <v>384</v>
      </c>
      <c r="T26" s="791"/>
      <c r="U26" s="791"/>
      <c r="V26" s="791"/>
      <c r="W26" s="791"/>
      <c r="X26" s="791"/>
      <c r="Y26" s="730"/>
      <c r="Z26" s="877"/>
      <c r="AA26" s="820"/>
      <c r="AB26" s="1339" t="str">
        <f>IF(AL21=1,50,IF(AN26&lt;&gt;"",AN26,IF(Y26&gt;50,50,IF(Y26="","",Y26))))</f>
        <v/>
      </c>
      <c r="AC26" s="1339"/>
      <c r="AD26" s="1339"/>
      <c r="AE26" s="1401" t="str">
        <f>IF(AND(AN21&gt;0,AB32&lt;&gt;""),AL33,IF(AO32&gt;0,AM33,IF(OR(AQ30=AB31,AS32=1),AN33,"")))</f>
        <v/>
      </c>
      <c r="AF26" s="1402"/>
      <c r="AG26" s="1402"/>
      <c r="AH26" s="1403"/>
      <c r="AI26" s="6"/>
      <c r="AJ26" s="6"/>
      <c r="AK26" s="6"/>
      <c r="AL26" s="56" t="str">
        <f>IF(OR(N25="BCD",N25="CDE", N25="HABCD",N25="ABCDE",N25="BCDEF",N25="CDEFG"),0,IF(N25="DEF",52,IF(N25="DEFGH",52,"")))</f>
        <v/>
      </c>
      <c r="AM26" s="56">
        <f t="shared" si="0"/>
        <v>0</v>
      </c>
      <c r="AN26" s="56" t="str">
        <f>IF(OR(AE25="BCD",AE25="CDE", AE25="HABCD",AE25="ABCDE",AE25="BCDEF",AE25="CDEFG"),0,IF(AE25="DEF",52,IF(AE25="DEFGH",52,"")))</f>
        <v/>
      </c>
      <c r="AO26" s="56">
        <f t="shared" si="1"/>
        <v>0</v>
      </c>
      <c r="AP26" s="5"/>
      <c r="AQ26" s="5"/>
      <c r="AR26" s="56" t="str">
        <f t="shared" si="2"/>
        <v/>
      </c>
      <c r="AS26" s="56" t="str">
        <f t="shared" si="3"/>
        <v/>
      </c>
      <c r="AT26" s="5"/>
      <c r="AU26" s="5"/>
      <c r="AV26" s="5"/>
      <c r="AW26" s="5"/>
      <c r="AX26" s="5"/>
      <c r="AY26" s="5"/>
      <c r="AZ26" s="5"/>
      <c r="BA26" s="5"/>
      <c r="BB26" s="5"/>
      <c r="BC26" s="5"/>
      <c r="BD26" s="5"/>
      <c r="BE26" s="103"/>
      <c r="BF26" s="103"/>
      <c r="BG26" s="5"/>
      <c r="BH26" s="5"/>
      <c r="BI26" s="5"/>
      <c r="BJ26" s="103"/>
      <c r="BK26" s="5"/>
      <c r="BL26" s="5"/>
      <c r="BM26" s="5"/>
      <c r="BN26" s="103"/>
      <c r="BO26" s="5"/>
      <c r="BP26" s="5"/>
      <c r="BQ26" s="5"/>
      <c r="BR26" s="103"/>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171"/>
      <c r="GM26" s="171"/>
      <c r="GN26" s="171"/>
      <c r="GO26" s="171"/>
      <c r="GP26" s="171"/>
      <c r="GQ26" s="171"/>
      <c r="GR26" s="171"/>
      <c r="GS26" s="171"/>
      <c r="GT26" s="171"/>
      <c r="GU26" s="171"/>
      <c r="GV26" s="171"/>
      <c r="GW26" s="171"/>
      <c r="GX26" s="171"/>
      <c r="GY26" s="171"/>
      <c r="GZ26" s="171"/>
      <c r="HA26" s="171"/>
      <c r="HB26" s="171"/>
      <c r="HC26" s="171"/>
      <c r="HD26" s="171"/>
      <c r="HE26" s="171"/>
      <c r="HF26" s="171"/>
    </row>
    <row r="27" spans="1:214" ht="18.95" customHeight="1" x14ac:dyDescent="0.2">
      <c r="B27" s="791" t="s">
        <v>385</v>
      </c>
      <c r="C27" s="791"/>
      <c r="D27" s="791"/>
      <c r="E27" s="791"/>
      <c r="F27" s="791"/>
      <c r="G27" s="791"/>
      <c r="H27" s="730"/>
      <c r="I27" s="877"/>
      <c r="J27" s="820"/>
      <c r="K27" s="1339" t="str">
        <f>IF(AK21=1,60,IF(AL27&lt;&gt;"",AL27,IF(H27&gt;60,60,IF(H27="","",H27))))</f>
        <v/>
      </c>
      <c r="L27" s="1339"/>
      <c r="M27" s="1339"/>
      <c r="N27" s="1404"/>
      <c r="O27" s="1405"/>
      <c r="P27" s="1405"/>
      <c r="Q27" s="1406"/>
      <c r="R27" s="1149"/>
      <c r="S27" s="791" t="s">
        <v>385</v>
      </c>
      <c r="T27" s="791"/>
      <c r="U27" s="791"/>
      <c r="V27" s="791"/>
      <c r="W27" s="791"/>
      <c r="X27" s="791"/>
      <c r="Y27" s="730"/>
      <c r="Z27" s="877"/>
      <c r="AA27" s="820"/>
      <c r="AB27" s="1339" t="str">
        <f>IF(AL21=1,60,IF(AN27&lt;&gt;"",AN27,IF(Y27&gt;60,60,IF(Y27="","",Y27))))</f>
        <v/>
      </c>
      <c r="AC27" s="1339"/>
      <c r="AD27" s="1339"/>
      <c r="AE27" s="1404"/>
      <c r="AF27" s="1405"/>
      <c r="AG27" s="1405"/>
      <c r="AH27" s="1406"/>
      <c r="AI27" s="6"/>
      <c r="AJ27" s="6"/>
      <c r="AK27" s="6"/>
      <c r="AL27" s="56" t="str">
        <f>IF(OR(N25="CDE",N25="DEF", N25="ABCDE",N25="BCDEF",N25="CDEFG",N25="DEFGH"),0,IF(N25="EFG",52,IF(N25="EFGHA",72,"")))</f>
        <v/>
      </c>
      <c r="AM27" s="56">
        <f t="shared" si="0"/>
        <v>0</v>
      </c>
      <c r="AN27" s="56" t="str">
        <f>IF(OR(AE25="CDE",AE25="DEF", AE25="ABCDE",AE25="BCDEF",AE25="CDEFG",AE25="DEFGH"),0,IF(AE25="EFG",52,IF(AE25="EFGHA",72,"")))</f>
        <v/>
      </c>
      <c r="AO27" s="56">
        <f t="shared" si="1"/>
        <v>0</v>
      </c>
      <c r="AP27" s="5"/>
      <c r="AQ27" s="5"/>
      <c r="AR27" s="56" t="str">
        <f t="shared" si="2"/>
        <v/>
      </c>
      <c r="AS27" s="56" t="str">
        <f t="shared" si="3"/>
        <v/>
      </c>
      <c r="AT27" s="5"/>
      <c r="AU27" s="5"/>
      <c r="AV27" s="5"/>
      <c r="AW27" s="5"/>
      <c r="AX27" s="5"/>
      <c r="AY27" s="5"/>
      <c r="AZ27" s="5"/>
      <c r="BA27" s="5"/>
      <c r="BB27" s="5"/>
      <c r="BC27" s="5"/>
      <c r="BD27" s="5"/>
      <c r="BE27" s="103"/>
      <c r="BF27" s="103"/>
      <c r="BG27" s="5"/>
      <c r="BH27" s="5"/>
      <c r="BI27" s="5"/>
      <c r="BJ27" s="103"/>
      <c r="BK27" s="5"/>
      <c r="BL27" s="5"/>
      <c r="BM27" s="5"/>
      <c r="BN27" s="103"/>
      <c r="BO27" s="5"/>
      <c r="BP27" s="5"/>
      <c r="BQ27" s="5"/>
      <c r="BR27" s="103"/>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171"/>
      <c r="GM27" s="171"/>
      <c r="GN27" s="171"/>
      <c r="GO27" s="171"/>
      <c r="GP27" s="171"/>
      <c r="GQ27" s="171"/>
      <c r="GR27" s="171"/>
      <c r="GS27" s="171"/>
      <c r="GT27" s="171"/>
      <c r="GU27" s="171"/>
      <c r="GV27" s="171"/>
      <c r="GW27" s="171"/>
      <c r="GX27" s="171"/>
      <c r="GY27" s="171"/>
      <c r="GZ27" s="171"/>
      <c r="HA27" s="171"/>
      <c r="HB27" s="171"/>
      <c r="HC27" s="171"/>
      <c r="HD27" s="171"/>
      <c r="HE27" s="171"/>
      <c r="HF27" s="171"/>
    </row>
    <row r="28" spans="1:214" ht="18.95" customHeight="1" x14ac:dyDescent="0.2">
      <c r="B28" s="791" t="s">
        <v>386</v>
      </c>
      <c r="C28" s="791"/>
      <c r="D28" s="791"/>
      <c r="E28" s="791"/>
      <c r="F28" s="791"/>
      <c r="G28" s="791"/>
      <c r="H28" s="730"/>
      <c r="I28" s="877"/>
      <c r="J28" s="820"/>
      <c r="K28" s="1339" t="str">
        <f>IF(AK21=1,55,IF(AL28&lt;&gt;"",AL28,IF(H28&gt;55,55,IF(H28="","",H28))))</f>
        <v/>
      </c>
      <c r="L28" s="1339"/>
      <c r="M28" s="1339"/>
      <c r="N28" s="1404"/>
      <c r="O28" s="1405"/>
      <c r="P28" s="1405"/>
      <c r="Q28" s="1406"/>
      <c r="R28" s="1149"/>
      <c r="S28" s="791" t="s">
        <v>386</v>
      </c>
      <c r="T28" s="791"/>
      <c r="U28" s="791"/>
      <c r="V28" s="791"/>
      <c r="W28" s="791"/>
      <c r="X28" s="791"/>
      <c r="Y28" s="730"/>
      <c r="Z28" s="877"/>
      <c r="AA28" s="820"/>
      <c r="AB28" s="1339" t="str">
        <f>IF(AL21=1,55,IF(AN28&lt;&gt;"",AN28,IF(Y28&gt;55,55,IF(Y28="","",Y28))))</f>
        <v/>
      </c>
      <c r="AC28" s="1339"/>
      <c r="AD28" s="1339"/>
      <c r="AE28" s="1404"/>
      <c r="AF28" s="1405"/>
      <c r="AG28" s="1405"/>
      <c r="AH28" s="1406"/>
      <c r="AI28" s="6"/>
      <c r="AJ28" s="6"/>
      <c r="AK28" s="6"/>
      <c r="AL28" s="56" t="str">
        <f>IF(OR(N25="DEF",N25="EFG", N25="BCDEF",N25="CDEFG",N25="DEFGH",N25="EFGHA"),0,IF(N25="FGH",55,IF(N25="FGHAB",70,"")))</f>
        <v/>
      </c>
      <c r="AM28" s="56">
        <f t="shared" si="0"/>
        <v>0</v>
      </c>
      <c r="AN28" s="56" t="str">
        <f>IF(OR(AE25="DEF",AE25="EFG", AE25="BCDEF",AE25="CDEFG",AE25="DEFGH",AE25="EFGHA"),0,IF(AE25="FGH",55,IF(AE25="FGHAB",70,"")))</f>
        <v/>
      </c>
      <c r="AO28" s="56">
        <f t="shared" si="1"/>
        <v>0</v>
      </c>
      <c r="AP28" s="5"/>
      <c r="AQ28" s="5"/>
      <c r="AR28" s="56" t="str">
        <f t="shared" si="2"/>
        <v/>
      </c>
      <c r="AS28" s="56" t="str">
        <f t="shared" si="3"/>
        <v/>
      </c>
      <c r="AT28" s="5"/>
      <c r="AU28" s="5"/>
      <c r="AV28" s="5"/>
      <c r="AW28" s="5"/>
      <c r="AX28" s="5"/>
      <c r="AY28" s="5"/>
      <c r="AZ28" s="5"/>
      <c r="BA28" s="5"/>
      <c r="BB28" s="5"/>
      <c r="BC28" s="5"/>
      <c r="BD28" s="5"/>
      <c r="BE28" s="103"/>
      <c r="BF28" s="103"/>
      <c r="BG28" s="5"/>
      <c r="BH28" s="5"/>
      <c r="BI28" s="5"/>
      <c r="BJ28" s="103"/>
      <c r="BK28" s="5"/>
      <c r="BL28" s="5"/>
      <c r="BM28" s="5"/>
      <c r="BN28" s="103"/>
      <c r="BO28" s="5"/>
      <c r="BP28" s="5"/>
      <c r="BQ28" s="5"/>
      <c r="BR28" s="103"/>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171"/>
      <c r="GM28" s="171"/>
      <c r="GN28" s="171"/>
      <c r="GO28" s="171"/>
      <c r="GP28" s="171"/>
      <c r="GQ28" s="171"/>
      <c r="GR28" s="171"/>
      <c r="GS28" s="171"/>
      <c r="GT28" s="171"/>
      <c r="GU28" s="171"/>
      <c r="GV28" s="171"/>
      <c r="GW28" s="171"/>
      <c r="GX28" s="171"/>
      <c r="GY28" s="171"/>
      <c r="GZ28" s="171"/>
      <c r="HA28" s="171"/>
      <c r="HB28" s="171"/>
      <c r="HC28" s="171"/>
      <c r="HD28" s="171"/>
      <c r="HE28" s="171"/>
      <c r="HF28" s="171"/>
    </row>
    <row r="29" spans="1:214" ht="18.95" customHeight="1" x14ac:dyDescent="0.2">
      <c r="B29" s="791" t="s">
        <v>387</v>
      </c>
      <c r="C29" s="791"/>
      <c r="D29" s="791"/>
      <c r="E29" s="791"/>
      <c r="F29" s="791"/>
      <c r="G29" s="791"/>
      <c r="H29" s="730"/>
      <c r="I29" s="877"/>
      <c r="J29" s="820"/>
      <c r="K29" s="1339" t="str">
        <f>IF(AK21=1,45,IF(AL29&lt;&gt;"",AL29,IF(H29&gt;45,45,IF(H29="","",H29))))</f>
        <v/>
      </c>
      <c r="L29" s="1339"/>
      <c r="M29" s="1339"/>
      <c r="N29" s="1404"/>
      <c r="O29" s="1405"/>
      <c r="P29" s="1405"/>
      <c r="Q29" s="1406"/>
      <c r="R29" s="1149"/>
      <c r="S29" s="791" t="s">
        <v>387</v>
      </c>
      <c r="T29" s="791"/>
      <c r="U29" s="791"/>
      <c r="V29" s="791"/>
      <c r="W29" s="791"/>
      <c r="X29" s="791"/>
      <c r="Y29" s="730"/>
      <c r="Z29" s="877"/>
      <c r="AA29" s="820"/>
      <c r="AB29" s="1339" t="str">
        <f>IF(AL21=1,45,IF(AN29&lt;&gt;"",AN29,IF(Y29&gt;45,45,IF(Y29="","",Y29))))</f>
        <v/>
      </c>
      <c r="AC29" s="1339"/>
      <c r="AD29" s="1339"/>
      <c r="AE29" s="1404"/>
      <c r="AF29" s="1405"/>
      <c r="AG29" s="1405"/>
      <c r="AH29" s="1406"/>
      <c r="AI29" s="6"/>
      <c r="AJ29" s="6"/>
      <c r="AK29" s="6"/>
      <c r="AL29" s="56" t="str">
        <f>IF(OR(N25="EFG",N25="FGH", N25="CDEFG",N25="DEFGH",N25="EFGHA",N25="FGHAB"),0,IF(N25="GHA",65,IF(N25="GHABC",55,"")))</f>
        <v/>
      </c>
      <c r="AM29" s="56">
        <f t="shared" si="0"/>
        <v>0</v>
      </c>
      <c r="AN29" s="56" t="str">
        <f>IF(OR(AE25="EFG",AE25="FGH", AE25="CDEFG",AE25="DEFGH",AE25="EFGHA",AE25="FGHAB"),0,IF(AE25="GHA",65,IF(AE25="GHABC",55,"")))</f>
        <v/>
      </c>
      <c r="AO29" s="56">
        <f t="shared" si="1"/>
        <v>0</v>
      </c>
      <c r="AP29" s="1400" t="s">
        <v>388</v>
      </c>
      <c r="AQ29" s="1432"/>
      <c r="AR29" s="56" t="str">
        <f t="shared" si="2"/>
        <v/>
      </c>
      <c r="AS29" s="56" t="str">
        <f t="shared" si="3"/>
        <v/>
      </c>
      <c r="AT29" s="5"/>
      <c r="AU29" s="5"/>
      <c r="AV29" s="5"/>
      <c r="AW29" s="5"/>
      <c r="AX29" s="5"/>
      <c r="AY29" s="5"/>
      <c r="AZ29" s="5"/>
      <c r="BA29" s="5"/>
      <c r="BB29" s="5"/>
      <c r="BC29" s="5"/>
      <c r="BD29" s="5"/>
      <c r="BE29" s="103"/>
      <c r="BF29" s="103"/>
      <c r="BG29" s="5"/>
      <c r="BH29" s="5"/>
      <c r="BI29" s="5"/>
      <c r="BJ29" s="103"/>
      <c r="BK29" s="5"/>
      <c r="BL29" s="5"/>
      <c r="BM29" s="5"/>
      <c r="BN29" s="103"/>
      <c r="BO29" s="5"/>
      <c r="BP29" s="5"/>
      <c r="BQ29" s="5"/>
      <c r="BR29" s="103"/>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171"/>
      <c r="GM29" s="171"/>
      <c r="GN29" s="171"/>
      <c r="GO29" s="171"/>
      <c r="GP29" s="171"/>
      <c r="GQ29" s="171"/>
      <c r="GR29" s="171"/>
      <c r="GS29" s="171"/>
      <c r="GT29" s="171"/>
      <c r="GU29" s="171"/>
      <c r="GV29" s="171"/>
      <c r="GW29" s="171"/>
      <c r="GX29" s="171"/>
      <c r="GY29" s="171"/>
      <c r="GZ29" s="171"/>
      <c r="HA29" s="171"/>
      <c r="HB29" s="171"/>
      <c r="HC29" s="171"/>
      <c r="HD29" s="171"/>
      <c r="HE29" s="171"/>
      <c r="HF29" s="171"/>
    </row>
    <row r="30" spans="1:214" ht="18.95" customHeight="1" x14ac:dyDescent="0.2">
      <c r="B30" s="791" t="s">
        <v>389</v>
      </c>
      <c r="C30" s="791"/>
      <c r="D30" s="791"/>
      <c r="E30" s="791"/>
      <c r="F30" s="791"/>
      <c r="G30" s="791"/>
      <c r="H30" s="730"/>
      <c r="I30" s="877"/>
      <c r="J30" s="820"/>
      <c r="K30" s="1339" t="str">
        <f>IF(AK21=1,55,IF(AL30&lt;&gt;"",AL30,IF(H30&gt;55,55,IF(H30="","",H30))))</f>
        <v/>
      </c>
      <c r="L30" s="1339"/>
      <c r="M30" s="1339"/>
      <c r="N30" s="1404"/>
      <c r="O30" s="1405"/>
      <c r="P30" s="1405"/>
      <c r="Q30" s="1406"/>
      <c r="R30" s="1149"/>
      <c r="S30" s="791" t="s">
        <v>389</v>
      </c>
      <c r="T30" s="791"/>
      <c r="U30" s="791"/>
      <c r="V30" s="791"/>
      <c r="W30" s="791"/>
      <c r="X30" s="791"/>
      <c r="Y30" s="730"/>
      <c r="Z30" s="877"/>
      <c r="AA30" s="820"/>
      <c r="AB30" s="1339" t="str">
        <f>IF(AL21=1,55,IF(AN30&lt;&gt;"",AN30,IF(Y30&gt;55,55,IF(Y30="","",Y30))))</f>
        <v/>
      </c>
      <c r="AC30" s="1339"/>
      <c r="AD30" s="1339"/>
      <c r="AE30" s="1404"/>
      <c r="AF30" s="1405"/>
      <c r="AG30" s="1405"/>
      <c r="AH30" s="1406"/>
      <c r="AI30" s="6"/>
      <c r="AJ30" s="6"/>
      <c r="AK30" s="6"/>
      <c r="AL30" s="56" t="str">
        <f>IF(OR(N25="FGH",N25="GHA", N25="DEFGH",N25="EFGHA",N25="FGHAB",N25="GHABC"),0,IF(N25="HAB",70,IF(N25="HABCD",52,"")))</f>
        <v/>
      </c>
      <c r="AM30" s="56">
        <f t="shared" si="0"/>
        <v>0</v>
      </c>
      <c r="AN30" s="56" t="str">
        <f>IF(OR(AE25="FGH",AE25="GHA", AE25="DEFGH",AE25="EFGHA",AE25="FGHAB",AE25="GHABC"),0,IF(AE25="HAB",70,IF(AE25="HABCD",52,"")))</f>
        <v/>
      </c>
      <c r="AO30" s="56">
        <f t="shared" si="1"/>
        <v>0</v>
      </c>
      <c r="AP30" s="56">
        <f>SUM(K23:K31)</f>
        <v>0</v>
      </c>
      <c r="AQ30" s="123">
        <f>SUM(AB23:AB31)</f>
        <v>0</v>
      </c>
      <c r="AR30" s="56" t="str">
        <f t="shared" si="2"/>
        <v/>
      </c>
      <c r="AS30" s="56" t="str">
        <f t="shared" si="3"/>
        <v/>
      </c>
      <c r="AT30" s="5"/>
      <c r="AU30" s="5"/>
      <c r="AV30" s="5"/>
      <c r="AW30" s="5"/>
      <c r="AX30" s="5"/>
      <c r="AY30" s="5"/>
      <c r="AZ30" s="5"/>
      <c r="BA30" s="5"/>
      <c r="BB30" s="5"/>
      <c r="BC30" s="5"/>
      <c r="BD30" s="5"/>
      <c r="BE30" s="103"/>
      <c r="BF30" s="103"/>
      <c r="BG30" s="5"/>
      <c r="BH30" s="5"/>
      <c r="BI30" s="5"/>
      <c r="BJ30" s="103"/>
      <c r="BK30" s="5"/>
      <c r="BL30" s="5"/>
      <c r="BM30" s="5"/>
      <c r="BN30" s="103"/>
      <c r="BO30" s="5"/>
      <c r="BP30" s="5"/>
      <c r="BQ30" s="5"/>
      <c r="BR30" s="103"/>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171"/>
      <c r="GM30" s="171"/>
      <c r="GN30" s="171"/>
      <c r="GO30" s="171"/>
      <c r="GP30" s="171"/>
      <c r="GQ30" s="171"/>
      <c r="GR30" s="171"/>
      <c r="GS30" s="171"/>
      <c r="GT30" s="171"/>
      <c r="GU30" s="171"/>
      <c r="GV30" s="171"/>
      <c r="GW30" s="171"/>
      <c r="GX30" s="171"/>
      <c r="GY30" s="171"/>
      <c r="GZ30" s="171"/>
      <c r="HA30" s="171"/>
      <c r="HB30" s="171"/>
      <c r="HC30" s="171"/>
      <c r="HD30" s="171"/>
      <c r="HE30" s="171"/>
      <c r="HF30" s="171"/>
    </row>
    <row r="31" spans="1:214" ht="18.95" customHeight="1" x14ac:dyDescent="0.2">
      <c r="B31" s="742" t="s">
        <v>390</v>
      </c>
      <c r="C31" s="743"/>
      <c r="D31" s="743"/>
      <c r="E31" s="743"/>
      <c r="F31" s="743"/>
      <c r="G31" s="744"/>
      <c r="H31" s="730"/>
      <c r="I31" s="877"/>
      <c r="J31" s="820"/>
      <c r="K31" s="1348" t="str">
        <f>IF(OR(H31="",H31=0),"",H31)</f>
        <v/>
      </c>
      <c r="L31" s="1349"/>
      <c r="M31" s="1350"/>
      <c r="N31" s="1404"/>
      <c r="O31" s="1405"/>
      <c r="P31" s="1405"/>
      <c r="Q31" s="1406"/>
      <c r="R31" s="1149"/>
      <c r="S31" s="742" t="s">
        <v>390</v>
      </c>
      <c r="T31" s="743"/>
      <c r="U31" s="743"/>
      <c r="V31" s="743"/>
      <c r="W31" s="743"/>
      <c r="X31" s="744"/>
      <c r="Y31" s="730"/>
      <c r="Z31" s="877"/>
      <c r="AA31" s="820"/>
      <c r="AB31" s="1348" t="str">
        <f>IF(OR(Y31="",Y31=0),"",Y31)</f>
        <v/>
      </c>
      <c r="AC31" s="1349"/>
      <c r="AD31" s="1350"/>
      <c r="AE31" s="1404"/>
      <c r="AF31" s="1405"/>
      <c r="AG31" s="1405"/>
      <c r="AH31" s="1406"/>
      <c r="AI31" s="6"/>
      <c r="AJ31" s="6"/>
      <c r="AK31" s="6"/>
      <c r="AL31" s="56"/>
      <c r="AM31" s="56">
        <f t="shared" si="0"/>
        <v>0</v>
      </c>
      <c r="AN31" s="56"/>
      <c r="AO31" s="56">
        <f t="shared" si="1"/>
        <v>0</v>
      </c>
      <c r="AP31" s="5"/>
      <c r="AQ31" s="5"/>
      <c r="AR31" s="56">
        <f>SUM(AR23:AR30)</f>
        <v>0</v>
      </c>
      <c r="AS31" s="56">
        <f>SUM(AS23:AS30)</f>
        <v>0</v>
      </c>
      <c r="AT31" s="5"/>
      <c r="AU31" s="5"/>
      <c r="AV31" s="5"/>
      <c r="AW31" s="5"/>
      <c r="AX31" s="5"/>
      <c r="AY31" s="5"/>
      <c r="AZ31" s="5"/>
      <c r="BA31" s="5"/>
      <c r="BB31" s="5"/>
      <c r="BC31" s="5"/>
      <c r="BD31" s="5"/>
      <c r="BE31" s="103"/>
      <c r="BF31" s="103"/>
      <c r="BG31" s="5"/>
      <c r="BH31" s="5"/>
      <c r="BI31" s="5"/>
      <c r="BJ31" s="103"/>
      <c r="BK31" s="5"/>
      <c r="BL31" s="5"/>
      <c r="BM31" s="5"/>
      <c r="BN31" s="103"/>
      <c r="BO31" s="5"/>
      <c r="BP31" s="5"/>
      <c r="BQ31" s="5"/>
      <c r="BR31" s="103"/>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171"/>
      <c r="GM31" s="171"/>
      <c r="GN31" s="171"/>
      <c r="GO31" s="171"/>
      <c r="GP31" s="171"/>
      <c r="GQ31" s="171"/>
      <c r="GR31" s="171"/>
      <c r="GS31" s="171"/>
      <c r="GT31" s="171"/>
      <c r="GU31" s="171"/>
      <c r="GV31" s="171"/>
      <c r="GW31" s="171"/>
      <c r="GX31" s="171"/>
      <c r="GY31" s="171"/>
      <c r="GZ31" s="171"/>
      <c r="HA31" s="171"/>
      <c r="HB31" s="171"/>
      <c r="HC31" s="171"/>
      <c r="HD31" s="171"/>
      <c r="HE31" s="171"/>
      <c r="HF31" s="171"/>
    </row>
    <row r="32" spans="1:214" ht="18.95" customHeight="1" x14ac:dyDescent="0.2">
      <c r="B32" s="907" t="s">
        <v>391</v>
      </c>
      <c r="C32" s="911"/>
      <c r="D32" s="911"/>
      <c r="E32" s="911"/>
      <c r="F32" s="911"/>
      <c r="G32" s="911"/>
      <c r="H32" s="911"/>
      <c r="I32" s="911"/>
      <c r="J32" s="908"/>
      <c r="K32" s="1348" t="str">
        <f>IF(AND(K23="",K24="",K25="",K26="",K27="",K28="",K29="",K30="",K31=""),"",IF(AP30&lt;0,0,SUM(K23:K31)))</f>
        <v/>
      </c>
      <c r="L32" s="1349"/>
      <c r="M32" s="1350"/>
      <c r="N32" s="1407"/>
      <c r="O32" s="1408"/>
      <c r="P32" s="1408"/>
      <c r="Q32" s="1409"/>
      <c r="R32" s="1149"/>
      <c r="S32" s="907" t="s">
        <v>391</v>
      </c>
      <c r="T32" s="911"/>
      <c r="U32" s="911"/>
      <c r="V32" s="911"/>
      <c r="W32" s="911"/>
      <c r="X32" s="911"/>
      <c r="Y32" s="911"/>
      <c r="Z32" s="911"/>
      <c r="AA32" s="908"/>
      <c r="AB32" s="1348" t="str">
        <f>IF(AND(AB23="",AB24="",AB25="",AB26="",AB27="",AB28="",AB29="",AB30="",AB31=""),"",IF(AQ30&lt;0,0,SUM(AB23:AB31)))</f>
        <v/>
      </c>
      <c r="AC32" s="1349"/>
      <c r="AD32" s="1350"/>
      <c r="AE32" s="1407"/>
      <c r="AF32" s="1405"/>
      <c r="AG32" s="1405"/>
      <c r="AH32" s="1406"/>
      <c r="AI32" s="6"/>
      <c r="AJ32" s="6"/>
      <c r="AK32" s="6"/>
      <c r="AL32" s="13"/>
      <c r="AM32" s="56">
        <f>SUM(AM23:AM31)</f>
        <v>0</v>
      </c>
      <c r="AN32" s="13"/>
      <c r="AO32" s="56">
        <f>SUM(AO23:AO31)</f>
        <v>0</v>
      </c>
      <c r="AP32" s="5"/>
      <c r="AQ32" s="5"/>
      <c r="AR32" s="13">
        <f>IF(AND(AR31&gt;0,AR31&lt;8),1,0)</f>
        <v>0</v>
      </c>
      <c r="AS32" s="13">
        <f>IF(AND(AS31&gt;0,AS31&lt;8),1,0)</f>
        <v>0</v>
      </c>
      <c r="AT32" s="10" t="s">
        <v>392</v>
      </c>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row>
    <row r="33" spans="2:214" ht="18.95" customHeight="1" x14ac:dyDescent="0.2">
      <c r="B33" s="1429" t="s">
        <v>393</v>
      </c>
      <c r="C33" s="1430"/>
      <c r="D33" s="1430"/>
      <c r="E33" s="1430"/>
      <c r="F33" s="1430"/>
      <c r="G33" s="1430"/>
      <c r="H33" s="1430"/>
      <c r="I33" s="1430"/>
      <c r="J33" s="1430"/>
      <c r="K33" s="1430"/>
      <c r="L33" s="1430"/>
      <c r="M33" s="1430"/>
      <c r="N33" s="1431"/>
      <c r="O33" s="1422">
        <f>IF(AND(K31&lt;0,K32=0),"ERROR",IF(N26=AL33,"ERROR",AM21+AO21))</f>
        <v>0</v>
      </c>
      <c r="P33" s="1423"/>
      <c r="Q33" s="1424"/>
      <c r="R33" s="1066"/>
      <c r="S33" s="1429" t="s">
        <v>393</v>
      </c>
      <c r="T33" s="1430"/>
      <c r="U33" s="1430"/>
      <c r="V33" s="1430"/>
      <c r="W33" s="1430"/>
      <c r="X33" s="1430"/>
      <c r="Y33" s="1430"/>
      <c r="Z33" s="1430"/>
      <c r="AA33" s="1430"/>
      <c r="AB33" s="1430"/>
      <c r="AC33" s="1430"/>
      <c r="AD33" s="1430"/>
      <c r="AE33" s="1431"/>
      <c r="AF33" s="1345">
        <f>IF(AND(AB31&lt;0,AB32=0),"ERROR",IF(AE26=AL33,"ERROR",AN21+AP21))</f>
        <v>0</v>
      </c>
      <c r="AG33" s="1346"/>
      <c r="AH33" s="1347"/>
      <c r="AI33" s="6"/>
      <c r="AJ33" s="6"/>
      <c r="AK33" s="6"/>
      <c r="AL33" s="50" t="s">
        <v>394</v>
      </c>
      <c r="AM33" s="548" t="s">
        <v>600</v>
      </c>
      <c r="AN33" s="548" t="s">
        <v>1645</v>
      </c>
      <c r="AO33" s="106"/>
      <c r="AP33" s="77"/>
      <c r="AQ33" s="77"/>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row>
    <row r="34" spans="2:214" ht="9" customHeight="1" x14ac:dyDescent="0.2">
      <c r="B34" s="697"/>
      <c r="C34" s="697"/>
      <c r="D34" s="697"/>
      <c r="E34" s="697"/>
      <c r="F34" s="697"/>
      <c r="G34" s="697"/>
      <c r="H34" s="697"/>
      <c r="I34" s="697"/>
      <c r="J34" s="697"/>
      <c r="K34" s="697"/>
      <c r="L34" s="697"/>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
      <c r="AJ34" s="6"/>
      <c r="AK34" s="6"/>
      <c r="AL34" s="6"/>
      <c r="AM34" s="108"/>
      <c r="AN34" s="108"/>
      <c r="AO34" s="106"/>
      <c r="AP34" s="77"/>
      <c r="AQ34" s="77"/>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row>
    <row r="35" spans="2:214" ht="9" customHeight="1" x14ac:dyDescent="0.2">
      <c r="B35" s="697"/>
      <c r="C35" s="697"/>
      <c r="D35" s="697"/>
      <c r="E35" s="697"/>
      <c r="F35" s="697"/>
      <c r="G35" s="697"/>
      <c r="H35" s="697"/>
      <c r="I35" s="697"/>
      <c r="J35" s="697"/>
      <c r="K35" s="697"/>
      <c r="L35" s="697"/>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
      <c r="AJ35" s="6"/>
      <c r="AK35" s="6"/>
      <c r="AL35" s="6"/>
      <c r="AM35" s="108"/>
      <c r="AN35" s="108"/>
      <c r="AO35" s="106"/>
      <c r="AP35" s="77"/>
      <c r="AQ35" s="77"/>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row>
    <row r="36" spans="2:214" ht="30" customHeight="1" x14ac:dyDescent="0.2">
      <c r="B36" s="947" t="s">
        <v>271</v>
      </c>
      <c r="C36" s="947"/>
      <c r="D36" s="947"/>
      <c r="E36" s="947"/>
      <c r="F36" s="947"/>
      <c r="G36" s="947"/>
      <c r="H36" s="947"/>
      <c r="I36" s="947"/>
      <c r="J36" s="947"/>
      <c r="K36" s="947"/>
      <c r="L36" s="947"/>
      <c r="M36" s="947"/>
      <c r="N36" s="947"/>
      <c r="O36" s="947"/>
      <c r="P36" s="947"/>
      <c r="Q36" s="947"/>
      <c r="R36" s="57"/>
      <c r="S36" s="947" t="s">
        <v>272</v>
      </c>
      <c r="T36" s="947"/>
      <c r="U36" s="947"/>
      <c r="V36" s="947"/>
      <c r="W36" s="947"/>
      <c r="X36" s="947"/>
      <c r="Y36" s="947"/>
      <c r="Z36" s="947"/>
      <c r="AA36" s="947"/>
      <c r="AB36" s="947"/>
      <c r="AC36" s="947"/>
      <c r="AD36" s="947"/>
      <c r="AE36" s="947"/>
      <c r="AF36" s="947"/>
      <c r="AG36" s="947"/>
      <c r="AH36" s="947"/>
      <c r="AI36" s="6"/>
      <c r="AJ36" s="6"/>
      <c r="AK36" s="6"/>
      <c r="AL36" s="6"/>
      <c r="AM36" s="108"/>
      <c r="AN36" s="108"/>
      <c r="AO36" s="106"/>
      <c r="AP36" s="77"/>
      <c r="AQ36" s="77"/>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row>
    <row r="37" spans="2:214" ht="44.25" customHeight="1" x14ac:dyDescent="0.2">
      <c r="B37" s="761" t="s">
        <v>273</v>
      </c>
      <c r="C37" s="761"/>
      <c r="D37" s="761"/>
      <c r="E37" s="761"/>
      <c r="F37" s="761"/>
      <c r="G37" s="761"/>
      <c r="H37" s="761"/>
      <c r="I37" s="761"/>
      <c r="J37" s="761"/>
      <c r="K37" s="761"/>
      <c r="L37" s="761"/>
      <c r="M37" s="761"/>
      <c r="N37" s="761"/>
      <c r="O37" s="761"/>
      <c r="P37" s="761"/>
      <c r="Q37" s="761"/>
      <c r="R37" s="57"/>
      <c r="S37" s="761" t="s">
        <v>273</v>
      </c>
      <c r="T37" s="761"/>
      <c r="U37" s="761"/>
      <c r="V37" s="761"/>
      <c r="W37" s="761"/>
      <c r="X37" s="761"/>
      <c r="Y37" s="761"/>
      <c r="Z37" s="761"/>
      <c r="AA37" s="761"/>
      <c r="AB37" s="761"/>
      <c r="AC37" s="761"/>
      <c r="AD37" s="761"/>
      <c r="AE37" s="761"/>
      <c r="AF37" s="761"/>
      <c r="AG37" s="761"/>
      <c r="AH37" s="761"/>
      <c r="AI37" s="6"/>
      <c r="AJ37" s="6"/>
      <c r="AK37" s="6"/>
      <c r="AL37" s="6"/>
      <c r="AM37" s="6"/>
      <c r="AN37" s="6"/>
      <c r="AO37" s="5"/>
      <c r="AP37" s="5"/>
      <c r="AQ37" s="5"/>
      <c r="AR37" s="5"/>
      <c r="AS37" s="5"/>
      <c r="AT37" s="5"/>
      <c r="AU37" s="5"/>
      <c r="AV37" s="5"/>
      <c r="AW37" s="5"/>
      <c r="AX37" s="5"/>
      <c r="AY37" s="5"/>
      <c r="AZ37" s="5"/>
      <c r="BA37" s="5"/>
      <c r="BB37" s="5"/>
      <c r="BC37" s="5"/>
      <c r="BD37" s="5"/>
      <c r="BE37" s="103"/>
      <c r="BF37" s="103"/>
      <c r="BG37" s="5"/>
      <c r="BH37" s="5"/>
      <c r="BI37" s="5"/>
      <c r="BJ37" s="103"/>
      <c r="BK37" s="5"/>
      <c r="BL37" s="5"/>
      <c r="BM37" s="5"/>
      <c r="BN37" s="103"/>
      <c r="BO37" s="5"/>
      <c r="BP37" s="5"/>
      <c r="BQ37" s="5"/>
      <c r="BR37" s="103"/>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171"/>
      <c r="GM37" s="171"/>
      <c r="GN37" s="171"/>
      <c r="GO37" s="171"/>
      <c r="GP37" s="171"/>
      <c r="GQ37" s="171"/>
      <c r="GR37" s="171"/>
      <c r="GS37" s="171"/>
      <c r="GT37" s="171"/>
      <c r="GU37" s="171"/>
      <c r="GV37" s="171"/>
      <c r="GW37" s="171"/>
      <c r="GX37" s="171"/>
      <c r="GY37" s="171"/>
      <c r="GZ37" s="171"/>
      <c r="HA37" s="171"/>
      <c r="HB37" s="171"/>
      <c r="HC37" s="171"/>
      <c r="HD37" s="171"/>
      <c r="HE37" s="171"/>
      <c r="HF37" s="171"/>
    </row>
    <row r="38" spans="2:214" ht="27" customHeight="1" x14ac:dyDescent="0.2">
      <c r="B38" s="1399" t="s">
        <v>274</v>
      </c>
      <c r="C38" s="697"/>
      <c r="D38" s="697"/>
      <c r="E38" s="697"/>
      <c r="F38" s="1399" t="s">
        <v>275</v>
      </c>
      <c r="G38" s="697"/>
      <c r="H38" s="697"/>
      <c r="I38" s="697"/>
      <c r="J38" s="697"/>
      <c r="K38" s="697"/>
      <c r="L38" s="697"/>
      <c r="M38" s="697"/>
      <c r="N38" s="697"/>
      <c r="O38" s="912"/>
      <c r="P38" s="912"/>
      <c r="Q38" s="912"/>
      <c r="R38" s="57"/>
      <c r="S38" s="912" t="s">
        <v>274</v>
      </c>
      <c r="T38" s="912"/>
      <c r="U38" s="912"/>
      <c r="V38" s="912"/>
      <c r="W38" s="912" t="s">
        <v>275</v>
      </c>
      <c r="X38" s="912"/>
      <c r="Y38" s="912"/>
      <c r="Z38" s="912"/>
      <c r="AA38" s="912"/>
      <c r="AB38" s="912"/>
      <c r="AC38" s="912"/>
      <c r="AD38" s="912"/>
      <c r="AE38" s="912"/>
      <c r="AF38" s="912"/>
      <c r="AG38" s="912"/>
      <c r="AH38" s="912"/>
      <c r="AI38" s="6"/>
      <c r="AJ38" s="6"/>
      <c r="AK38" s="6"/>
      <c r="AL38" s="315" t="s">
        <v>2147</v>
      </c>
      <c r="AM38" s="6"/>
      <c r="AN38" s="6"/>
      <c r="AO38" s="5"/>
      <c r="AP38" s="5"/>
      <c r="AQ38" s="5"/>
      <c r="AR38" s="5"/>
      <c r="AS38" s="5"/>
      <c r="AT38" s="5"/>
      <c r="AU38" s="5"/>
      <c r="AV38" s="5"/>
      <c r="AW38" s="5"/>
      <c r="AX38" s="5"/>
      <c r="AY38" s="5"/>
      <c r="AZ38" s="5"/>
      <c r="BA38" s="5"/>
      <c r="BB38" s="5"/>
      <c r="BC38" s="5"/>
      <c r="BD38" s="5"/>
      <c r="BE38" s="103"/>
      <c r="BF38" s="103"/>
      <c r="BG38" s="5"/>
      <c r="BH38" s="5"/>
      <c r="BI38" s="5"/>
      <c r="BJ38" s="103"/>
      <c r="BK38" s="5"/>
      <c r="BL38" s="5"/>
      <c r="BM38" s="5"/>
      <c r="BN38" s="103"/>
      <c r="BO38" s="5"/>
      <c r="BP38" s="5"/>
      <c r="BQ38" s="5"/>
      <c r="BR38" s="103"/>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171"/>
      <c r="GM38" s="171"/>
      <c r="GN38" s="171"/>
      <c r="GO38" s="171"/>
      <c r="GP38" s="171"/>
      <c r="GQ38" s="171"/>
      <c r="GR38" s="171"/>
      <c r="GS38" s="171"/>
      <c r="GT38" s="171"/>
      <c r="GU38" s="171"/>
      <c r="GV38" s="171"/>
      <c r="GW38" s="171"/>
      <c r="GX38" s="171"/>
      <c r="GY38" s="171"/>
      <c r="GZ38" s="171"/>
      <c r="HA38" s="171"/>
      <c r="HB38" s="171"/>
      <c r="HC38" s="171"/>
      <c r="HD38" s="171"/>
      <c r="HE38" s="171"/>
      <c r="HF38" s="171"/>
    </row>
    <row r="39" spans="2:214" ht="18" customHeight="1" x14ac:dyDescent="0.2">
      <c r="B39" s="791" t="s">
        <v>276</v>
      </c>
      <c r="C39" s="791"/>
      <c r="D39" s="791"/>
      <c r="E39" s="791"/>
      <c r="F39" s="977"/>
      <c r="G39" s="977"/>
      <c r="H39" s="977"/>
      <c r="I39" s="977"/>
      <c r="J39" s="977"/>
      <c r="K39" s="977"/>
      <c r="L39" s="977"/>
      <c r="M39" s="977"/>
      <c r="N39" s="1146"/>
      <c r="O39" s="914">
        <f>IF(F39=AL39,1,0)</f>
        <v>0</v>
      </c>
      <c r="P39" s="914"/>
      <c r="Q39" s="914"/>
      <c r="R39" s="57"/>
      <c r="S39" s="791" t="s">
        <v>276</v>
      </c>
      <c r="T39" s="791"/>
      <c r="U39" s="791"/>
      <c r="V39" s="791"/>
      <c r="W39" s="977"/>
      <c r="X39" s="977"/>
      <c r="Y39" s="977"/>
      <c r="Z39" s="977"/>
      <c r="AA39" s="977"/>
      <c r="AB39" s="977"/>
      <c r="AC39" s="977"/>
      <c r="AD39" s="977"/>
      <c r="AE39" s="1146"/>
      <c r="AF39" s="914">
        <f>IF(W39=AL39,1,0)</f>
        <v>0</v>
      </c>
      <c r="AG39" s="914"/>
      <c r="AH39" s="914"/>
      <c r="AI39" s="6"/>
      <c r="AJ39" s="6"/>
      <c r="AK39" s="6"/>
      <c r="AL39" s="50" t="s">
        <v>277</v>
      </c>
      <c r="AM39" s="6"/>
      <c r="AN39" s="6"/>
      <c r="AO39" s="5"/>
      <c r="AP39" s="5"/>
      <c r="AQ39" s="5"/>
      <c r="AR39" s="5"/>
      <c r="AS39" s="5"/>
      <c r="AT39" s="5"/>
      <c r="AU39" s="5"/>
      <c r="AV39" s="5"/>
      <c r="AW39" s="5"/>
      <c r="AX39" s="5"/>
      <c r="AY39" s="5"/>
      <c r="AZ39" s="5"/>
      <c r="BA39" s="5"/>
      <c r="BB39" s="5"/>
      <c r="BC39" s="5"/>
      <c r="BD39" s="5"/>
      <c r="BE39" s="103"/>
      <c r="BF39" s="103"/>
      <c r="BG39" s="5"/>
      <c r="BH39" s="5"/>
      <c r="BI39" s="5"/>
      <c r="BJ39" s="103"/>
      <c r="BK39" s="5"/>
      <c r="BL39" s="5"/>
      <c r="BM39" s="5"/>
      <c r="BN39" s="103"/>
      <c r="BO39" s="5"/>
      <c r="BP39" s="5"/>
      <c r="BQ39" s="5"/>
      <c r="BR39" s="103"/>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171"/>
      <c r="GM39" s="171"/>
      <c r="GN39" s="171"/>
      <c r="GO39" s="171"/>
      <c r="GP39" s="171"/>
      <c r="GQ39" s="171"/>
      <c r="GR39" s="171"/>
      <c r="GS39" s="171"/>
      <c r="GT39" s="171"/>
      <c r="GU39" s="171"/>
      <c r="GV39" s="171"/>
      <c r="GW39" s="171"/>
      <c r="GX39" s="171"/>
      <c r="GY39" s="171"/>
      <c r="GZ39" s="171"/>
      <c r="HA39" s="171"/>
      <c r="HB39" s="171"/>
      <c r="HC39" s="171"/>
      <c r="HD39" s="171"/>
      <c r="HE39" s="171"/>
      <c r="HF39" s="171"/>
    </row>
    <row r="40" spans="2:214" ht="18" customHeight="1" x14ac:dyDescent="0.2">
      <c r="B40" s="791" t="s">
        <v>278</v>
      </c>
      <c r="C40" s="791"/>
      <c r="D40" s="791"/>
      <c r="E40" s="791"/>
      <c r="F40" s="977"/>
      <c r="G40" s="977"/>
      <c r="H40" s="977"/>
      <c r="I40" s="977"/>
      <c r="J40" s="977"/>
      <c r="K40" s="977"/>
      <c r="L40" s="977"/>
      <c r="M40" s="977"/>
      <c r="N40" s="1146"/>
      <c r="O40" s="914">
        <f>IF(F40=AL40,0.5,IF(F40=AL41,0.3,0))</f>
        <v>0</v>
      </c>
      <c r="P40" s="914"/>
      <c r="Q40" s="914"/>
      <c r="R40" s="57"/>
      <c r="S40" s="791" t="s">
        <v>278</v>
      </c>
      <c r="T40" s="791"/>
      <c r="U40" s="791"/>
      <c r="V40" s="791"/>
      <c r="W40" s="977"/>
      <c r="X40" s="977"/>
      <c r="Y40" s="977"/>
      <c r="Z40" s="977"/>
      <c r="AA40" s="977"/>
      <c r="AB40" s="977"/>
      <c r="AC40" s="977"/>
      <c r="AD40" s="977"/>
      <c r="AE40" s="1146"/>
      <c r="AF40" s="914">
        <f>IF(W40=AL40,0.5,IF(W40=AL41,0.3,0))</f>
        <v>0</v>
      </c>
      <c r="AG40" s="914"/>
      <c r="AH40" s="914"/>
      <c r="AI40" s="6"/>
      <c r="AJ40" s="6"/>
      <c r="AK40" s="6"/>
      <c r="AL40" s="50" t="s">
        <v>279</v>
      </c>
      <c r="AM40" s="6"/>
      <c r="AN40" s="6"/>
      <c r="AO40" s="5"/>
      <c r="AP40" s="5"/>
      <c r="AQ40" s="5"/>
      <c r="AR40" s="5"/>
      <c r="AS40" s="5"/>
      <c r="AT40" s="5"/>
      <c r="AU40" s="5"/>
      <c r="AV40" s="5"/>
      <c r="AW40" s="5"/>
      <c r="AX40" s="5"/>
      <c r="AY40" s="5"/>
      <c r="AZ40" s="5"/>
      <c r="BA40" s="5"/>
      <c r="BB40" s="5"/>
      <c r="BC40" s="5"/>
      <c r="BD40" s="5"/>
      <c r="BE40" s="103"/>
      <c r="BF40" s="103"/>
      <c r="BG40" s="5"/>
      <c r="BH40" s="5"/>
      <c r="BI40" s="5"/>
      <c r="BJ40" s="103"/>
      <c r="BK40" s="5"/>
      <c r="BL40" s="5"/>
      <c r="BM40" s="5"/>
      <c r="BN40" s="103"/>
      <c r="BO40" s="5"/>
      <c r="BP40" s="5"/>
      <c r="BQ40" s="5"/>
      <c r="BR40" s="103"/>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171"/>
      <c r="GM40" s="171"/>
      <c r="GN40" s="171"/>
      <c r="GO40" s="171"/>
      <c r="GP40" s="171"/>
      <c r="GQ40" s="171"/>
      <c r="GR40" s="171"/>
      <c r="GS40" s="171"/>
      <c r="GT40" s="171"/>
      <c r="GU40" s="171"/>
      <c r="GV40" s="171"/>
      <c r="GW40" s="171"/>
      <c r="GX40" s="171"/>
      <c r="GY40" s="171"/>
      <c r="GZ40" s="171"/>
      <c r="HA40" s="171"/>
      <c r="HB40" s="171"/>
      <c r="HC40" s="171"/>
      <c r="HD40" s="171"/>
      <c r="HE40" s="171"/>
      <c r="HF40" s="171"/>
    </row>
    <row r="41" spans="2:214" ht="18" customHeight="1" x14ac:dyDescent="0.2">
      <c r="B41" s="791" t="s">
        <v>280</v>
      </c>
      <c r="C41" s="791"/>
      <c r="D41" s="791"/>
      <c r="E41" s="791"/>
      <c r="F41" s="977"/>
      <c r="G41" s="977"/>
      <c r="H41" s="977"/>
      <c r="I41" s="977"/>
      <c r="J41" s="977"/>
      <c r="K41" s="977"/>
      <c r="L41" s="977"/>
      <c r="M41" s="977"/>
      <c r="N41" s="1146"/>
      <c r="O41" s="914">
        <f>IF(F41=AL40,0.2,IF(F41=AL41,0.1,0))</f>
        <v>0</v>
      </c>
      <c r="P41" s="914"/>
      <c r="Q41" s="914"/>
      <c r="R41" s="57"/>
      <c r="S41" s="791" t="s">
        <v>280</v>
      </c>
      <c r="T41" s="791"/>
      <c r="U41" s="791"/>
      <c r="V41" s="791"/>
      <c r="W41" s="977"/>
      <c r="X41" s="977"/>
      <c r="Y41" s="977"/>
      <c r="Z41" s="977"/>
      <c r="AA41" s="977"/>
      <c r="AB41" s="977"/>
      <c r="AC41" s="977"/>
      <c r="AD41" s="977"/>
      <c r="AE41" s="1146"/>
      <c r="AF41" s="914">
        <f>IF(W41=AL40,0.2,IF(W41=AL41,0.1,0))</f>
        <v>0</v>
      </c>
      <c r="AG41" s="914"/>
      <c r="AH41" s="914"/>
      <c r="AI41" s="6"/>
      <c r="AJ41" s="6"/>
      <c r="AK41" s="6"/>
      <c r="AL41" s="50" t="s">
        <v>281</v>
      </c>
      <c r="AM41" s="6"/>
      <c r="AN41" s="6"/>
      <c r="AO41" s="5"/>
      <c r="AP41" s="5"/>
      <c r="AQ41" s="5"/>
      <c r="AR41" s="5"/>
      <c r="AS41" s="5"/>
      <c r="AT41" s="5"/>
      <c r="AU41" s="5"/>
      <c r="AV41" s="5"/>
      <c r="AW41" s="5"/>
      <c r="AX41" s="5"/>
      <c r="AY41" s="5"/>
      <c r="AZ41" s="5"/>
      <c r="BA41" s="5"/>
      <c r="BB41" s="5"/>
      <c r="BC41" s="5"/>
      <c r="BD41" s="5"/>
      <c r="BE41" s="103"/>
      <c r="BF41" s="103"/>
      <c r="BG41" s="5"/>
      <c r="BH41" s="5"/>
      <c r="BI41" s="5"/>
      <c r="BJ41" s="103"/>
      <c r="BK41" s="5"/>
      <c r="BL41" s="5"/>
      <c r="BM41" s="5"/>
      <c r="BN41" s="103"/>
      <c r="BO41" s="5"/>
      <c r="BP41" s="5"/>
      <c r="BQ41" s="5"/>
      <c r="BR41" s="103"/>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171"/>
      <c r="GM41" s="171"/>
      <c r="GN41" s="171"/>
      <c r="GO41" s="171"/>
      <c r="GP41" s="171"/>
      <c r="GQ41" s="171"/>
      <c r="GR41" s="171"/>
      <c r="GS41" s="171"/>
      <c r="GT41" s="171"/>
      <c r="GU41" s="171"/>
      <c r="GV41" s="171"/>
      <c r="GW41" s="171"/>
      <c r="GX41" s="171"/>
      <c r="GY41" s="171"/>
      <c r="GZ41" s="171"/>
      <c r="HA41" s="171"/>
      <c r="HB41" s="171"/>
      <c r="HC41" s="171"/>
      <c r="HD41" s="171"/>
      <c r="HE41" s="171"/>
      <c r="HF41" s="171"/>
    </row>
    <row r="42" spans="2:214" ht="18" customHeight="1" x14ac:dyDescent="0.2">
      <c r="B42" s="791" t="s">
        <v>282</v>
      </c>
      <c r="C42" s="791"/>
      <c r="D42" s="791"/>
      <c r="E42" s="791"/>
      <c r="F42" s="977"/>
      <c r="G42" s="977"/>
      <c r="H42" s="977"/>
      <c r="I42" s="977"/>
      <c r="J42" s="977"/>
      <c r="K42" s="977"/>
      <c r="L42" s="977"/>
      <c r="M42" s="977"/>
      <c r="N42" s="1146"/>
      <c r="O42" s="914">
        <f>IF(F42=AL40,0.2,IF(F42=AL41,0.1,0))</f>
        <v>0</v>
      </c>
      <c r="P42" s="914"/>
      <c r="Q42" s="914"/>
      <c r="R42" s="57"/>
      <c r="S42" s="791" t="s">
        <v>282</v>
      </c>
      <c r="T42" s="791"/>
      <c r="U42" s="791"/>
      <c r="V42" s="791"/>
      <c r="W42" s="977"/>
      <c r="X42" s="977"/>
      <c r="Y42" s="977"/>
      <c r="Z42" s="977"/>
      <c r="AA42" s="977"/>
      <c r="AB42" s="977"/>
      <c r="AC42" s="977"/>
      <c r="AD42" s="977"/>
      <c r="AE42" s="1146"/>
      <c r="AF42" s="914">
        <f>IF(W42=AL40,0.2,IF(W42=AL41,0.1,0))</f>
        <v>0</v>
      </c>
      <c r="AG42" s="914"/>
      <c r="AH42" s="914"/>
      <c r="AI42" s="6"/>
      <c r="AJ42" s="6"/>
      <c r="AK42" s="6"/>
      <c r="AL42" s="50" t="s">
        <v>283</v>
      </c>
      <c r="AM42" s="6"/>
      <c r="AN42" s="6"/>
      <c r="AO42" s="5"/>
      <c r="AP42" s="5"/>
      <c r="AQ42" s="5"/>
      <c r="AR42" s="5"/>
      <c r="AS42" s="5"/>
      <c r="AT42" s="5"/>
      <c r="AU42" s="5"/>
      <c r="AV42" s="5"/>
      <c r="AW42" s="5"/>
      <c r="AX42" s="5"/>
      <c r="AY42" s="5"/>
      <c r="AZ42" s="5"/>
      <c r="BA42" s="5"/>
      <c r="BB42" s="5"/>
      <c r="BC42" s="5"/>
      <c r="BD42" s="5"/>
      <c r="BE42" s="103"/>
      <c r="BF42" s="103"/>
      <c r="BG42" s="5"/>
      <c r="BH42" s="5"/>
      <c r="BI42" s="5"/>
      <c r="BJ42" s="103"/>
      <c r="BK42" s="5"/>
      <c r="BL42" s="5"/>
      <c r="BM42" s="5"/>
      <c r="BN42" s="103"/>
      <c r="BO42" s="5"/>
      <c r="BP42" s="5"/>
      <c r="BQ42" s="5"/>
      <c r="BR42" s="103"/>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171"/>
      <c r="GM42" s="171"/>
      <c r="GN42" s="171"/>
      <c r="GO42" s="171"/>
      <c r="GP42" s="171"/>
      <c r="GQ42" s="171"/>
      <c r="GR42" s="171"/>
      <c r="GS42" s="171"/>
      <c r="GT42" s="171"/>
      <c r="GU42" s="171"/>
      <c r="GV42" s="171"/>
      <c r="GW42" s="171"/>
      <c r="GX42" s="171"/>
      <c r="GY42" s="171"/>
      <c r="GZ42" s="171"/>
      <c r="HA42" s="171"/>
      <c r="HB42" s="171"/>
      <c r="HC42" s="171"/>
      <c r="HD42" s="171"/>
      <c r="HE42" s="171"/>
      <c r="HF42" s="171"/>
    </row>
    <row r="43" spans="2:214" ht="18" customHeight="1" x14ac:dyDescent="0.2">
      <c r="B43" s="791" t="s">
        <v>284</v>
      </c>
      <c r="C43" s="791"/>
      <c r="D43" s="791"/>
      <c r="E43" s="791"/>
      <c r="F43" s="977"/>
      <c r="G43" s="977"/>
      <c r="H43" s="977"/>
      <c r="I43" s="977"/>
      <c r="J43" s="977"/>
      <c r="K43" s="977"/>
      <c r="L43" s="977"/>
      <c r="M43" s="977"/>
      <c r="N43" s="1146"/>
      <c r="O43" s="914">
        <f>IF(F43=AL40,0.2,IF(F43=AL41,0.1,0))</f>
        <v>0</v>
      </c>
      <c r="P43" s="914"/>
      <c r="Q43" s="914"/>
      <c r="R43" s="57"/>
      <c r="S43" s="791" t="s">
        <v>284</v>
      </c>
      <c r="T43" s="791"/>
      <c r="U43" s="791"/>
      <c r="V43" s="791"/>
      <c r="W43" s="977"/>
      <c r="X43" s="977"/>
      <c r="Y43" s="977"/>
      <c r="Z43" s="977"/>
      <c r="AA43" s="977"/>
      <c r="AB43" s="977"/>
      <c r="AC43" s="977"/>
      <c r="AD43" s="977"/>
      <c r="AE43" s="1146"/>
      <c r="AF43" s="914">
        <f>IF(W43=AL40,0.2,IF(W43=AL41,0.1,0))</f>
        <v>0</v>
      </c>
      <c r="AG43" s="914"/>
      <c r="AH43" s="914"/>
      <c r="AI43" s="6"/>
      <c r="AJ43" s="6"/>
      <c r="AK43" s="6"/>
      <c r="AL43" s="6"/>
      <c r="AM43" s="6"/>
      <c r="AN43" s="6"/>
      <c r="AO43" s="5"/>
      <c r="AP43" s="5"/>
      <c r="AQ43" s="5"/>
      <c r="AR43" s="5"/>
      <c r="AS43" s="5"/>
      <c r="AT43" s="5"/>
      <c r="AU43" s="5"/>
      <c r="AV43" s="5"/>
      <c r="AW43" s="5"/>
      <c r="AX43" s="5"/>
      <c r="AY43" s="5"/>
      <c r="AZ43" s="5"/>
      <c r="BA43" s="5"/>
      <c r="BB43" s="5"/>
      <c r="BC43" s="5"/>
      <c r="BD43" s="5"/>
      <c r="BE43" s="103"/>
      <c r="BF43" s="103"/>
      <c r="BG43" s="5"/>
      <c r="BH43" s="5"/>
      <c r="BI43" s="5"/>
      <c r="BJ43" s="103"/>
      <c r="BK43" s="5"/>
      <c r="BL43" s="5"/>
      <c r="BM43" s="5"/>
      <c r="BN43" s="103"/>
      <c r="BO43" s="5"/>
      <c r="BP43" s="5"/>
      <c r="BQ43" s="5"/>
      <c r="BR43" s="103"/>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171"/>
      <c r="GM43" s="171"/>
      <c r="GN43" s="171"/>
      <c r="GO43" s="171"/>
      <c r="GP43" s="171"/>
      <c r="GQ43" s="171"/>
      <c r="GR43" s="171"/>
      <c r="GS43" s="171"/>
      <c r="GT43" s="171"/>
      <c r="GU43" s="171"/>
      <c r="GV43" s="171"/>
      <c r="GW43" s="171"/>
      <c r="GX43" s="171"/>
      <c r="GY43" s="171"/>
      <c r="GZ43" s="171"/>
      <c r="HA43" s="171"/>
      <c r="HB43" s="171"/>
      <c r="HC43" s="171"/>
      <c r="HD43" s="171"/>
      <c r="HE43" s="171"/>
      <c r="HF43" s="171"/>
    </row>
    <row r="44" spans="2:214" ht="18" customHeight="1" x14ac:dyDescent="0.2">
      <c r="B44" s="791" t="s">
        <v>285</v>
      </c>
      <c r="C44" s="791"/>
      <c r="D44" s="791"/>
      <c r="E44" s="791"/>
      <c r="F44" s="977"/>
      <c r="G44" s="977"/>
      <c r="H44" s="977"/>
      <c r="I44" s="977"/>
      <c r="J44" s="977"/>
      <c r="K44" s="977"/>
      <c r="L44" s="977"/>
      <c r="M44" s="977"/>
      <c r="N44" s="1146"/>
      <c r="O44" s="914">
        <f>IF(F44=AL40,0.2,IF(F44=AL41,0.1,0))</f>
        <v>0</v>
      </c>
      <c r="P44" s="914"/>
      <c r="Q44" s="914"/>
      <c r="R44" s="57"/>
      <c r="S44" s="791" t="s">
        <v>285</v>
      </c>
      <c r="T44" s="791"/>
      <c r="U44" s="791"/>
      <c r="V44" s="791"/>
      <c r="W44" s="977"/>
      <c r="X44" s="977"/>
      <c r="Y44" s="977"/>
      <c r="Z44" s="977"/>
      <c r="AA44" s="977"/>
      <c r="AB44" s="977"/>
      <c r="AC44" s="977"/>
      <c r="AD44" s="977"/>
      <c r="AE44" s="1146"/>
      <c r="AF44" s="914">
        <f>IF(W44=AL40,0.2,IF(W44=AL41,0.1,0))</f>
        <v>0</v>
      </c>
      <c r="AG44" s="914"/>
      <c r="AH44" s="914"/>
      <c r="AI44" s="6"/>
      <c r="AJ44" s="6"/>
      <c r="AK44" s="6"/>
      <c r="AL44" s="6"/>
      <c r="AM44" s="6"/>
      <c r="AN44" s="6"/>
      <c r="AO44" s="5"/>
      <c r="AP44" s="5"/>
      <c r="AQ44" s="5"/>
      <c r="AR44" s="5"/>
      <c r="AS44" s="5"/>
      <c r="AT44" s="5"/>
      <c r="AU44" s="5"/>
      <c r="AV44" s="5"/>
      <c r="AW44" s="5"/>
      <c r="AX44" s="5"/>
      <c r="AY44" s="5"/>
      <c r="AZ44" s="5"/>
      <c r="BA44" s="5"/>
      <c r="BB44" s="5"/>
      <c r="BC44" s="5"/>
      <c r="BD44" s="5"/>
      <c r="BE44" s="103"/>
      <c r="BF44" s="103"/>
      <c r="BG44" s="5"/>
      <c r="BH44" s="5"/>
      <c r="BI44" s="5"/>
      <c r="BJ44" s="103"/>
      <c r="BK44" s="5"/>
      <c r="BL44" s="5"/>
      <c r="BM44" s="5"/>
      <c r="BN44" s="103"/>
      <c r="BO44" s="5"/>
      <c r="BP44" s="5"/>
      <c r="BQ44" s="5"/>
      <c r="BR44" s="103"/>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171"/>
      <c r="GM44" s="171"/>
      <c r="GN44" s="171"/>
      <c r="GO44" s="171"/>
      <c r="GP44" s="171"/>
      <c r="GQ44" s="171"/>
      <c r="GR44" s="171"/>
      <c r="GS44" s="171"/>
      <c r="GT44" s="171"/>
      <c r="GU44" s="171"/>
      <c r="GV44" s="171"/>
      <c r="GW44" s="171"/>
      <c r="GX44" s="171"/>
      <c r="GY44" s="171"/>
      <c r="GZ44" s="171"/>
      <c r="HA44" s="171"/>
      <c r="HB44" s="171"/>
      <c r="HC44" s="171"/>
      <c r="HD44" s="171"/>
      <c r="HE44" s="171"/>
      <c r="HF44" s="171"/>
    </row>
    <row r="45" spans="2:214" ht="18" customHeight="1" x14ac:dyDescent="0.2">
      <c r="B45" s="791" t="s">
        <v>286</v>
      </c>
      <c r="C45" s="791"/>
      <c r="D45" s="791"/>
      <c r="E45" s="791"/>
      <c r="F45" s="977"/>
      <c r="G45" s="977"/>
      <c r="H45" s="977"/>
      <c r="I45" s="977"/>
      <c r="J45" s="977"/>
      <c r="K45" s="977"/>
      <c r="L45" s="977"/>
      <c r="M45" s="977"/>
      <c r="N45" s="1146"/>
      <c r="O45" s="914">
        <f>IF(F45=AL42,0.1,0)</f>
        <v>0</v>
      </c>
      <c r="P45" s="914"/>
      <c r="Q45" s="914"/>
      <c r="R45" s="57"/>
      <c r="S45" s="791" t="s">
        <v>286</v>
      </c>
      <c r="T45" s="791"/>
      <c r="U45" s="791"/>
      <c r="V45" s="791"/>
      <c r="W45" s="977"/>
      <c r="X45" s="977"/>
      <c r="Y45" s="977"/>
      <c r="Z45" s="977"/>
      <c r="AA45" s="977"/>
      <c r="AB45" s="977"/>
      <c r="AC45" s="977"/>
      <c r="AD45" s="977"/>
      <c r="AE45" s="1146"/>
      <c r="AF45" s="914">
        <f>IF(W45=AL42,0.1,0)</f>
        <v>0</v>
      </c>
      <c r="AG45" s="914"/>
      <c r="AH45" s="914"/>
      <c r="AI45" s="6"/>
      <c r="AJ45" s="6"/>
      <c r="AK45" s="6"/>
      <c r="AL45" s="6"/>
      <c r="AM45" s="6"/>
      <c r="AN45" s="108"/>
      <c r="AO45" s="106"/>
      <c r="AP45" s="77"/>
      <c r="AQ45" s="77"/>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row>
    <row r="46" spans="2:214" ht="18" customHeight="1" x14ac:dyDescent="0.2">
      <c r="B46" s="791" t="s">
        <v>138</v>
      </c>
      <c r="C46" s="791"/>
      <c r="D46" s="791"/>
      <c r="E46" s="791"/>
      <c r="F46" s="977"/>
      <c r="G46" s="977"/>
      <c r="H46" s="977"/>
      <c r="I46" s="977"/>
      <c r="J46" s="977"/>
      <c r="K46" s="977"/>
      <c r="L46" s="977"/>
      <c r="M46" s="977"/>
      <c r="N46" s="1146"/>
      <c r="O46" s="914">
        <f>IF(F46=AL42,0.1,0)</f>
        <v>0</v>
      </c>
      <c r="P46" s="914"/>
      <c r="Q46" s="914"/>
      <c r="R46" s="57"/>
      <c r="S46" s="791" t="s">
        <v>138</v>
      </c>
      <c r="T46" s="791"/>
      <c r="U46" s="791"/>
      <c r="V46" s="791"/>
      <c r="W46" s="977"/>
      <c r="X46" s="977"/>
      <c r="Y46" s="977"/>
      <c r="Z46" s="977"/>
      <c r="AA46" s="977"/>
      <c r="AB46" s="977"/>
      <c r="AC46" s="977"/>
      <c r="AD46" s="977"/>
      <c r="AE46" s="1146"/>
      <c r="AF46" s="914">
        <f>IF(W46=AL42,0.1,0)</f>
        <v>0</v>
      </c>
      <c r="AG46" s="914"/>
      <c r="AH46" s="914"/>
      <c r="AI46" s="6"/>
      <c r="AJ46" s="6"/>
      <c r="AK46" s="6"/>
      <c r="AL46" s="6"/>
      <c r="AM46" s="108"/>
      <c r="AN46" s="108"/>
      <c r="AO46" s="106"/>
      <c r="AP46" s="77"/>
      <c r="AQ46" s="77"/>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row>
    <row r="47" spans="2:214" ht="18" customHeight="1" x14ac:dyDescent="0.2">
      <c r="B47" s="791" t="s">
        <v>1271</v>
      </c>
      <c r="C47" s="791"/>
      <c r="D47" s="791"/>
      <c r="E47" s="791"/>
      <c r="F47" s="977"/>
      <c r="G47" s="977"/>
      <c r="H47" s="977"/>
      <c r="I47" s="977"/>
      <c r="J47" s="977"/>
      <c r="K47" s="977"/>
      <c r="L47" s="977"/>
      <c r="M47" s="977"/>
      <c r="N47" s="977"/>
      <c r="O47" s="914">
        <f>IF(F47=AL42,0.1,0)</f>
        <v>0</v>
      </c>
      <c r="P47" s="914"/>
      <c r="Q47" s="914"/>
      <c r="R47" s="57"/>
      <c r="S47" s="791" t="s">
        <v>1271</v>
      </c>
      <c r="T47" s="791"/>
      <c r="U47" s="791"/>
      <c r="V47" s="791"/>
      <c r="W47" s="977"/>
      <c r="X47" s="977"/>
      <c r="Y47" s="977"/>
      <c r="Z47" s="977"/>
      <c r="AA47" s="977"/>
      <c r="AB47" s="977"/>
      <c r="AC47" s="977"/>
      <c r="AD47" s="977"/>
      <c r="AE47" s="977"/>
      <c r="AF47" s="914">
        <f>IF(W47=AL42,0.1,0)</f>
        <v>0</v>
      </c>
      <c r="AG47" s="914"/>
      <c r="AH47" s="914"/>
      <c r="AI47" s="6"/>
      <c r="AJ47" s="6"/>
      <c r="AK47" s="6"/>
      <c r="AL47" s="6"/>
      <c r="AM47" s="108"/>
      <c r="AN47" s="108"/>
      <c r="AO47" s="106"/>
      <c r="AP47" s="77"/>
      <c r="AQ47" s="77"/>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row>
    <row r="48" spans="2:214" ht="18" customHeight="1" x14ac:dyDescent="0.2">
      <c r="B48" s="910" t="s">
        <v>289</v>
      </c>
      <c r="C48" s="910"/>
      <c r="D48" s="910"/>
      <c r="E48" s="910"/>
      <c r="F48" s="910"/>
      <c r="G48" s="910"/>
      <c r="H48" s="910"/>
      <c r="I48" s="910"/>
      <c r="J48" s="910"/>
      <c r="K48" s="910"/>
      <c r="L48" s="910"/>
      <c r="M48" s="910"/>
      <c r="N48" s="910"/>
      <c r="O48" s="914">
        <f>IF(SUM(O39:O47)&gt;1,1,SUM(O39:O47))</f>
        <v>0</v>
      </c>
      <c r="P48" s="914"/>
      <c r="Q48" s="914"/>
      <c r="R48" s="57"/>
      <c r="S48" s="910" t="s">
        <v>290</v>
      </c>
      <c r="T48" s="910"/>
      <c r="U48" s="910"/>
      <c r="V48" s="910"/>
      <c r="W48" s="910"/>
      <c r="X48" s="910"/>
      <c r="Y48" s="910"/>
      <c r="Z48" s="910"/>
      <c r="AA48" s="910"/>
      <c r="AB48" s="910"/>
      <c r="AC48" s="910"/>
      <c r="AD48" s="910"/>
      <c r="AE48" s="910"/>
      <c r="AF48" s="914">
        <f>IF(SUM(AF39:AF47)&gt;1,1,SUM(AF39:AF47))</f>
        <v>0</v>
      </c>
      <c r="AG48" s="914"/>
      <c r="AH48" s="914"/>
      <c r="AI48" s="6"/>
      <c r="AJ48" s="6"/>
      <c r="AK48" s="6"/>
      <c r="AL48" s="6"/>
      <c r="AM48" s="108"/>
      <c r="AN48" s="108"/>
      <c r="AO48" s="106"/>
      <c r="AP48" s="77"/>
      <c r="AQ48" s="77"/>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row>
    <row r="49" spans="1:193" ht="12" customHeight="1" x14ac:dyDescent="0.2">
      <c r="B49" s="777"/>
      <c r="C49" s="777"/>
      <c r="D49" s="777"/>
      <c r="E49" s="777"/>
      <c r="F49" s="777"/>
      <c r="G49" s="777"/>
      <c r="H49" s="777"/>
      <c r="I49" s="777"/>
      <c r="J49" s="777"/>
      <c r="K49" s="777"/>
      <c r="L49" s="777"/>
      <c r="M49" s="777"/>
      <c r="N49" s="777"/>
      <c r="O49" s="777"/>
      <c r="P49" s="777"/>
      <c r="Q49" s="777"/>
      <c r="R49" s="57"/>
      <c r="S49" s="697"/>
      <c r="T49" s="697"/>
      <c r="U49" s="697"/>
      <c r="V49" s="697"/>
      <c r="W49" s="697"/>
      <c r="X49" s="697"/>
      <c r="Y49" s="697"/>
      <c r="Z49" s="697"/>
      <c r="AA49" s="697"/>
      <c r="AB49" s="697"/>
      <c r="AC49" s="697"/>
      <c r="AD49" s="697"/>
      <c r="AE49" s="697"/>
      <c r="AF49" s="697"/>
      <c r="AG49" s="697"/>
      <c r="AH49" s="697"/>
      <c r="AI49" s="6"/>
      <c r="AJ49" s="6"/>
      <c r="AK49" s="6"/>
      <c r="AL49" s="6"/>
      <c r="AM49" s="108"/>
      <c r="AN49" s="221"/>
      <c r="AO49" s="106"/>
      <c r="AP49" s="77"/>
      <c r="AQ49" s="77"/>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row>
    <row r="50" spans="1:193" ht="18" customHeight="1" x14ac:dyDescent="0.2">
      <c r="B50" s="947" t="s">
        <v>291</v>
      </c>
      <c r="C50" s="947"/>
      <c r="D50" s="947"/>
      <c r="E50" s="947"/>
      <c r="F50" s="947"/>
      <c r="G50" s="947"/>
      <c r="H50" s="947"/>
      <c r="I50" s="947"/>
      <c r="J50" s="947"/>
      <c r="K50" s="947"/>
      <c r="L50" s="947"/>
      <c r="M50" s="947"/>
      <c r="N50" s="947"/>
      <c r="O50" s="947"/>
      <c r="P50" s="947"/>
      <c r="Q50" s="947"/>
      <c r="R50" s="266"/>
      <c r="S50" s="947" t="s">
        <v>292</v>
      </c>
      <c r="T50" s="947"/>
      <c r="U50" s="947"/>
      <c r="V50" s="947"/>
      <c r="W50" s="947"/>
      <c r="X50" s="947"/>
      <c r="Y50" s="947"/>
      <c r="Z50" s="947"/>
      <c r="AA50" s="947"/>
      <c r="AB50" s="947"/>
      <c r="AC50" s="947"/>
      <c r="AD50" s="947"/>
      <c r="AE50" s="947"/>
      <c r="AF50" s="947"/>
      <c r="AG50" s="947"/>
      <c r="AH50" s="947"/>
      <c r="AI50" s="6"/>
      <c r="AJ50" s="6"/>
      <c r="AK50" s="6"/>
      <c r="AL50" s="6"/>
      <c r="AM50" s="108"/>
      <c r="AN50" s="108"/>
      <c r="AO50" s="106"/>
      <c r="AP50" s="77"/>
      <c r="AQ50" s="77"/>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row>
    <row r="51" spans="1:193" ht="42" customHeight="1" x14ac:dyDescent="0.2">
      <c r="B51" s="818" t="s">
        <v>809</v>
      </c>
      <c r="C51" s="698"/>
      <c r="D51" s="698"/>
      <c r="E51" s="698"/>
      <c r="F51" s="698"/>
      <c r="G51" s="698"/>
      <c r="H51" s="698"/>
      <c r="I51" s="698"/>
      <c r="J51" s="698"/>
      <c r="K51" s="698"/>
      <c r="L51" s="698"/>
      <c r="M51" s="698"/>
      <c r="N51" s="698"/>
      <c r="O51" s="698"/>
      <c r="P51" s="698"/>
      <c r="Q51" s="698"/>
      <c r="R51" s="698"/>
      <c r="S51" s="698"/>
      <c r="T51" s="698"/>
      <c r="U51" s="698"/>
      <c r="V51" s="698"/>
      <c r="W51" s="698"/>
      <c r="X51" s="698"/>
      <c r="Y51" s="698"/>
      <c r="Z51" s="698"/>
      <c r="AA51" s="698"/>
      <c r="AB51" s="698"/>
      <c r="AC51" s="698"/>
      <c r="AD51" s="698"/>
      <c r="AE51" s="698"/>
      <c r="AF51" s="698"/>
      <c r="AG51" s="698"/>
      <c r="AH51" s="819"/>
      <c r="AI51" s="6"/>
      <c r="AJ51" s="6"/>
      <c r="AK51" s="6"/>
      <c r="AL51" s="6"/>
      <c r="AM51" s="108"/>
      <c r="AN51" s="108"/>
      <c r="AO51" s="106"/>
      <c r="AP51" s="77"/>
      <c r="AQ51" s="77"/>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row>
    <row r="52" spans="1:193" ht="18" customHeight="1" x14ac:dyDescent="0.2">
      <c r="B52" s="761" t="s">
        <v>1638</v>
      </c>
      <c r="C52" s="761"/>
      <c r="D52" s="761"/>
      <c r="E52" s="761"/>
      <c r="F52" s="761"/>
      <c r="G52" s="761"/>
      <c r="H52" s="761"/>
      <c r="I52" s="761"/>
      <c r="J52" s="761"/>
      <c r="K52" s="761"/>
      <c r="L52" s="1035"/>
      <c r="M52" s="1035"/>
      <c r="N52" s="1035"/>
      <c r="O52" s="914">
        <f>IF(L52="",0,IF(L52="None",0,IF(L52="Moderate",0.05,IF(L52="Severe",0.1,""))))</f>
        <v>0</v>
      </c>
      <c r="P52" s="914"/>
      <c r="Q52" s="914"/>
      <c r="R52" s="57"/>
      <c r="S52" s="761" t="s">
        <v>1638</v>
      </c>
      <c r="T52" s="761"/>
      <c r="U52" s="761"/>
      <c r="V52" s="761"/>
      <c r="W52" s="761"/>
      <c r="X52" s="761"/>
      <c r="Y52" s="761"/>
      <c r="Z52" s="761"/>
      <c r="AA52" s="761"/>
      <c r="AB52" s="761"/>
      <c r="AC52" s="1035"/>
      <c r="AD52" s="1035"/>
      <c r="AE52" s="1035"/>
      <c r="AF52" s="914">
        <f>IF(AC52="",0,IF(AC52="None",0,IF(AC52="Moderate",0.05,IF(AC52="Severe",0.1,""))))</f>
        <v>0</v>
      </c>
      <c r="AG52" s="914"/>
      <c r="AH52" s="914"/>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row>
    <row r="53" spans="1:193" ht="18" customHeight="1" x14ac:dyDescent="0.2">
      <c r="B53" s="791" t="s">
        <v>293</v>
      </c>
      <c r="C53" s="791"/>
      <c r="D53" s="791"/>
      <c r="E53" s="791"/>
      <c r="F53" s="791"/>
      <c r="G53" s="791"/>
      <c r="H53" s="791"/>
      <c r="I53" s="791"/>
      <c r="J53" s="791"/>
      <c r="K53" s="791"/>
      <c r="L53" s="1035"/>
      <c r="M53" s="1035"/>
      <c r="N53" s="1035"/>
      <c r="O53" s="914">
        <f>IF(L53="",0,IF(L53="None",0,IF(L53="Moderate",0.05,IF(L53="Severe",0.1,""))))</f>
        <v>0</v>
      </c>
      <c r="P53" s="914"/>
      <c r="Q53" s="914"/>
      <c r="R53" s="57"/>
      <c r="S53" s="791" t="s">
        <v>293</v>
      </c>
      <c r="T53" s="791"/>
      <c r="U53" s="791"/>
      <c r="V53" s="791"/>
      <c r="W53" s="791"/>
      <c r="X53" s="791"/>
      <c r="Y53" s="791"/>
      <c r="Z53" s="791"/>
      <c r="AA53" s="791"/>
      <c r="AB53" s="791"/>
      <c r="AC53" s="1035"/>
      <c r="AD53" s="1035"/>
      <c r="AE53" s="1035"/>
      <c r="AF53" s="914">
        <f>IF(AC53="",0,IF(AC53="None",0,IF(AC53="Moderate",0.05,IF(AC53="Severe",0.1,""))))</f>
        <v>0</v>
      </c>
      <c r="AG53" s="914"/>
      <c r="AH53" s="914"/>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row>
    <row r="54" spans="1:193" ht="18" customHeight="1" x14ac:dyDescent="0.2">
      <c r="B54" s="791" t="s">
        <v>1765</v>
      </c>
      <c r="C54" s="791"/>
      <c r="D54" s="791"/>
      <c r="E54" s="791"/>
      <c r="F54" s="791"/>
      <c r="G54" s="791"/>
      <c r="H54" s="791"/>
      <c r="I54" s="791"/>
      <c r="J54" s="791"/>
      <c r="K54" s="791"/>
      <c r="L54" s="1035"/>
      <c r="M54" s="1035"/>
      <c r="N54" s="1035"/>
      <c r="O54" s="914">
        <f>IF(L54="",0,IF(L54="None",0,IF(L54="Moderate",0.05,IF(L54="Severe",0.1,""))))</f>
        <v>0</v>
      </c>
      <c r="P54" s="914"/>
      <c r="Q54" s="914"/>
      <c r="R54" s="57"/>
      <c r="S54" s="791" t="s">
        <v>1765</v>
      </c>
      <c r="T54" s="791"/>
      <c r="U54" s="791"/>
      <c r="V54" s="791"/>
      <c r="W54" s="791"/>
      <c r="X54" s="791"/>
      <c r="Y54" s="791"/>
      <c r="Z54" s="791"/>
      <c r="AA54" s="791"/>
      <c r="AB54" s="791"/>
      <c r="AC54" s="1035"/>
      <c r="AD54" s="1035"/>
      <c r="AE54" s="1035"/>
      <c r="AF54" s="914">
        <f>IF(AC54="",0,IF(AC54="None",0,IF(AC54="Moderate",0.05,IF(AC54="Severe",0.1,""))))</f>
        <v>0</v>
      </c>
      <c r="AG54" s="914"/>
      <c r="AH54" s="914"/>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row>
    <row r="55" spans="1:193" ht="12" customHeight="1" x14ac:dyDescent="0.2">
      <c r="B55" s="1098"/>
      <c r="C55" s="777"/>
      <c r="D55" s="777"/>
      <c r="E55" s="777"/>
      <c r="F55" s="777"/>
      <c r="G55" s="777"/>
      <c r="H55" s="777"/>
      <c r="I55" s="777"/>
      <c r="J55" s="777"/>
      <c r="K55" s="777"/>
      <c r="L55" s="777"/>
      <c r="M55" s="777"/>
      <c r="N55" s="777"/>
      <c r="O55" s="777"/>
      <c r="P55" s="777"/>
      <c r="Q55" s="777"/>
      <c r="R55" s="57"/>
      <c r="S55" s="777"/>
      <c r="T55" s="777"/>
      <c r="U55" s="777"/>
      <c r="V55" s="777"/>
      <c r="W55" s="777"/>
      <c r="X55" s="777"/>
      <c r="Y55" s="777"/>
      <c r="Z55" s="777"/>
      <c r="AA55" s="777"/>
      <c r="AB55" s="777"/>
      <c r="AC55" s="777"/>
      <c r="AD55" s="777"/>
      <c r="AE55" s="777"/>
      <c r="AF55" s="777"/>
      <c r="AG55" s="777"/>
      <c r="AH55" s="1097"/>
      <c r="AI55" s="6"/>
      <c r="AJ55" s="6"/>
      <c r="AK55" s="6"/>
      <c r="AL55" s="6"/>
      <c r="AM55" s="6"/>
      <c r="AN55" s="6"/>
      <c r="AO55" s="6"/>
      <c r="AP55" s="6"/>
      <c r="AQ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row>
    <row r="56" spans="1:193" ht="18" customHeight="1" x14ac:dyDescent="0.2">
      <c r="A56" s="15"/>
      <c r="B56" s="742" t="s">
        <v>1932</v>
      </c>
      <c r="C56" s="743"/>
      <c r="D56" s="743"/>
      <c r="E56" s="743"/>
      <c r="F56" s="743"/>
      <c r="G56" s="743"/>
      <c r="H56" s="743"/>
      <c r="I56" s="743"/>
      <c r="J56" s="743"/>
      <c r="K56" s="744"/>
      <c r="L56" s="1374"/>
      <c r="M56" s="1374"/>
      <c r="N56" s="1374"/>
      <c r="O56" s="914">
        <f>IF(AL56=TRUE,1,0)</f>
        <v>0</v>
      </c>
      <c r="P56" s="914"/>
      <c r="Q56" s="914"/>
      <c r="R56" s="511"/>
      <c r="S56" s="742" t="s">
        <v>1932</v>
      </c>
      <c r="T56" s="743"/>
      <c r="U56" s="743"/>
      <c r="V56" s="743"/>
      <c r="W56" s="743"/>
      <c r="X56" s="743"/>
      <c r="Y56" s="743"/>
      <c r="Z56" s="743"/>
      <c r="AA56" s="743"/>
      <c r="AB56" s="744"/>
      <c r="AC56" s="1374"/>
      <c r="AD56" s="1374"/>
      <c r="AE56" s="1374"/>
      <c r="AF56" s="914">
        <f>IF(AM56=TRUE,1,0)</f>
        <v>0</v>
      </c>
      <c r="AG56" s="914"/>
      <c r="AH56" s="914"/>
      <c r="AI56" s="6"/>
      <c r="AJ56" s="6"/>
      <c r="AK56" s="6"/>
      <c r="AL56" s="613" t="b">
        <v>0</v>
      </c>
      <c r="AM56" s="613" t="b">
        <v>0</v>
      </c>
      <c r="AN56" s="6"/>
      <c r="AO56" s="6"/>
      <c r="AP56" s="6"/>
      <c r="AQ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row>
    <row r="57" spans="1:193" ht="12" customHeight="1" x14ac:dyDescent="0.2">
      <c r="B57" s="1"/>
      <c r="C57" s="1"/>
      <c r="D57" s="1"/>
      <c r="E57" s="1"/>
      <c r="F57" s="1"/>
      <c r="G57" s="1"/>
      <c r="H57" s="1"/>
      <c r="I57" s="1"/>
      <c r="J57" s="1"/>
      <c r="K57" s="1"/>
      <c r="L57" s="1"/>
      <c r="M57" s="1"/>
      <c r="N57" s="1"/>
      <c r="O57" s="1"/>
      <c r="P57" s="1"/>
      <c r="Q57" s="1"/>
      <c r="R57" s="57"/>
      <c r="S57" s="1"/>
      <c r="T57" s="1"/>
      <c r="U57" s="1"/>
      <c r="V57" s="1"/>
      <c r="W57" s="1"/>
      <c r="X57" s="1"/>
      <c r="Y57" s="1"/>
      <c r="Z57" s="1"/>
      <c r="AA57" s="1"/>
      <c r="AB57" s="1"/>
      <c r="AC57" s="1"/>
      <c r="AD57" s="1"/>
      <c r="AE57" s="1"/>
      <c r="AF57" s="1"/>
      <c r="AG57" s="1"/>
      <c r="AH57" s="1"/>
      <c r="AI57" s="6"/>
      <c r="AJ57" s="6"/>
      <c r="AK57" s="6"/>
      <c r="AL57" s="6"/>
      <c r="AM57" s="6"/>
      <c r="AN57" s="6"/>
      <c r="AO57" s="6"/>
      <c r="AP57" s="6"/>
      <c r="AQ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row>
    <row r="58" spans="1:193" ht="18" customHeight="1" x14ac:dyDescent="0.2">
      <c r="B58" s="863" t="s">
        <v>1766</v>
      </c>
      <c r="C58" s="863"/>
      <c r="D58" s="863"/>
      <c r="E58" s="863"/>
      <c r="F58" s="863"/>
      <c r="G58" s="863"/>
      <c r="H58" s="863"/>
      <c r="I58" s="863"/>
      <c r="J58" s="863"/>
      <c r="K58" s="863"/>
      <c r="L58" s="863"/>
      <c r="M58" s="863"/>
      <c r="N58" s="863"/>
      <c r="O58" s="863"/>
      <c r="P58" s="863"/>
      <c r="Q58" s="863"/>
      <c r="R58" s="403"/>
      <c r="S58" s="863" t="s">
        <v>1767</v>
      </c>
      <c r="T58" s="863"/>
      <c r="U58" s="863"/>
      <c r="V58" s="863"/>
      <c r="W58" s="863"/>
      <c r="X58" s="863"/>
      <c r="Y58" s="863"/>
      <c r="Z58" s="863"/>
      <c r="AA58" s="863"/>
      <c r="AB58" s="863"/>
      <c r="AC58" s="863"/>
      <c r="AD58" s="863"/>
      <c r="AE58" s="863"/>
      <c r="AF58" s="863"/>
      <c r="AG58" s="863"/>
      <c r="AH58" s="863"/>
      <c r="AI58" s="6"/>
      <c r="AJ58" s="6"/>
      <c r="AK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row>
    <row r="59" spans="1:193" ht="27" customHeight="1" x14ac:dyDescent="0.2">
      <c r="B59" s="1371"/>
      <c r="C59" s="1372"/>
      <c r="D59" s="1372"/>
      <c r="E59" s="1372"/>
      <c r="F59" s="1372"/>
      <c r="G59" s="1372"/>
      <c r="H59" s="1372"/>
      <c r="I59" s="1372"/>
      <c r="J59" s="1372"/>
      <c r="K59" s="1373"/>
      <c r="L59" s="907" t="s">
        <v>1495</v>
      </c>
      <c r="M59" s="911"/>
      <c r="N59" s="911"/>
      <c r="O59" s="911"/>
      <c r="P59" s="911"/>
      <c r="Q59" s="908"/>
      <c r="R59" s="57"/>
      <c r="S59" s="1371"/>
      <c r="T59" s="1372"/>
      <c r="U59" s="1372"/>
      <c r="V59" s="1372"/>
      <c r="W59" s="1372"/>
      <c r="X59" s="1372"/>
      <c r="Y59" s="1372"/>
      <c r="Z59" s="1372"/>
      <c r="AA59" s="1372"/>
      <c r="AB59" s="1373"/>
      <c r="AC59" s="907" t="s">
        <v>1495</v>
      </c>
      <c r="AD59" s="911"/>
      <c r="AE59" s="911"/>
      <c r="AF59" s="911"/>
      <c r="AG59" s="911"/>
      <c r="AH59" s="908"/>
      <c r="AI59" s="6"/>
      <c r="AJ59" s="6"/>
      <c r="AK59" s="6"/>
      <c r="AL59" s="127" t="s">
        <v>2268</v>
      </c>
      <c r="AM59" s="127" t="s">
        <v>2269</v>
      </c>
      <c r="AN59" s="231" t="s">
        <v>1061</v>
      </c>
      <c r="AO59" s="231" t="s">
        <v>1717</v>
      </c>
      <c r="AP59" s="13" t="s">
        <v>1272</v>
      </c>
      <c r="AQ59" s="13" t="s">
        <v>1273</v>
      </c>
      <c r="AR59" s="146" t="s">
        <v>1885</v>
      </c>
      <c r="AS59" s="146" t="s">
        <v>1062</v>
      </c>
      <c r="AT59" s="146" t="s">
        <v>1886</v>
      </c>
      <c r="AU59" s="13" t="s">
        <v>1274</v>
      </c>
      <c r="AV59" s="13" t="s">
        <v>1275</v>
      </c>
      <c r="AW59" s="146" t="s">
        <v>413</v>
      </c>
      <c r="AX59" s="6"/>
      <c r="AY59" s="10"/>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row>
    <row r="60" spans="1:193" ht="18" customHeight="1" x14ac:dyDescent="0.2">
      <c r="B60" s="742" t="s">
        <v>2267</v>
      </c>
      <c r="C60" s="743"/>
      <c r="D60" s="743"/>
      <c r="E60" s="743"/>
      <c r="F60" s="743"/>
      <c r="G60" s="743"/>
      <c r="H60" s="744"/>
      <c r="I60" s="867">
        <f>O17</f>
        <v>0</v>
      </c>
      <c r="J60" s="867"/>
      <c r="K60" s="867"/>
      <c r="L60" s="1111"/>
      <c r="M60" s="1158"/>
      <c r="N60" s="1112"/>
      <c r="O60" s="1368">
        <f t="shared" ref="O60:O66" si="4">IF(AND(AL60&lt;0.01,AL60&gt;0),0.01,ROUND(AL60,4))</f>
        <v>0</v>
      </c>
      <c r="P60" s="1369"/>
      <c r="Q60" s="1370"/>
      <c r="R60" s="57"/>
      <c r="S60" s="742" t="s">
        <v>2267</v>
      </c>
      <c r="T60" s="743"/>
      <c r="U60" s="743"/>
      <c r="V60" s="743"/>
      <c r="W60" s="743"/>
      <c r="X60" s="743"/>
      <c r="Y60" s="744"/>
      <c r="Z60" s="867">
        <f>AF17</f>
        <v>0</v>
      </c>
      <c r="AA60" s="867"/>
      <c r="AB60" s="867"/>
      <c r="AC60" s="1111"/>
      <c r="AD60" s="1158"/>
      <c r="AE60" s="1112"/>
      <c r="AF60" s="1368">
        <f t="shared" ref="AF60:AF66" si="5">IF(AND(AM60&lt;0.01,AM60&gt;0),0.01,ROUND(AM60,4))</f>
        <v>0</v>
      </c>
      <c r="AG60" s="1369"/>
      <c r="AH60" s="1370"/>
      <c r="AI60" s="6"/>
      <c r="AJ60" s="6"/>
      <c r="AK60" s="6"/>
      <c r="AL60" s="190">
        <f>IF(L60&gt;0,I60*L60,0)</f>
        <v>0</v>
      </c>
      <c r="AM60" s="637">
        <f>IF(AC60&gt;0,Z60*AC60,0)</f>
        <v>0</v>
      </c>
      <c r="AN60" s="639">
        <f t="shared" ref="AN60" si="6">IF(O60&gt;0,O60,I60)</f>
        <v>0</v>
      </c>
      <c r="AO60" s="389">
        <f t="shared" ref="AO60:AO66" si="7">ROUND(AN60,2)</f>
        <v>0</v>
      </c>
      <c r="AP60" s="84">
        <f>LARGE(AO60:AO66,1)</f>
        <v>0</v>
      </c>
      <c r="AQ60" s="53">
        <f>AP60+AP61*(1-AP60)</f>
        <v>0</v>
      </c>
      <c r="AR60" s="389">
        <f t="shared" ref="AR60:AR65" si="8">ROUND(AQ60,2)</f>
        <v>0</v>
      </c>
      <c r="AS60" s="639">
        <f t="shared" ref="AS60:AS66" si="9">IF(AF60&gt;0,AF60,Z60)</f>
        <v>0</v>
      </c>
      <c r="AT60" s="389">
        <f t="shared" ref="AT60:AT66" si="10">ROUND(AS60,2)</f>
        <v>0</v>
      </c>
      <c r="AU60" s="53">
        <f>LARGE(AT60:AT66,1)</f>
        <v>0</v>
      </c>
      <c r="AV60" s="53">
        <f>AU60+AU61*(1-AU60)</f>
        <v>0</v>
      </c>
      <c r="AW60" s="389">
        <f t="shared" ref="AW60:AW65" si="11">ROUND(AV60,2)</f>
        <v>0</v>
      </c>
      <c r="AX60" s="6"/>
      <c r="AY60" s="12" t="s">
        <v>280</v>
      </c>
      <c r="AZ60" s="13" t="s">
        <v>284</v>
      </c>
      <c r="BA60" s="6"/>
      <c r="BB60" s="124"/>
      <c r="BC60" s="124"/>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row>
    <row r="61" spans="1:193" ht="18" customHeight="1" x14ac:dyDescent="0.2">
      <c r="B61" s="742" t="s">
        <v>1768</v>
      </c>
      <c r="C61" s="743"/>
      <c r="D61" s="743"/>
      <c r="E61" s="743"/>
      <c r="F61" s="743"/>
      <c r="G61" s="743"/>
      <c r="H61" s="744"/>
      <c r="I61" s="867">
        <f>O33</f>
        <v>0</v>
      </c>
      <c r="J61" s="867"/>
      <c r="K61" s="867"/>
      <c r="L61" s="1111"/>
      <c r="M61" s="1158"/>
      <c r="N61" s="1112"/>
      <c r="O61" s="1368">
        <f t="shared" si="4"/>
        <v>0</v>
      </c>
      <c r="P61" s="1369"/>
      <c r="Q61" s="1370"/>
      <c r="R61" s="57"/>
      <c r="S61" s="742" t="s">
        <v>1768</v>
      </c>
      <c r="T61" s="743"/>
      <c r="U61" s="743"/>
      <c r="V61" s="743"/>
      <c r="W61" s="743"/>
      <c r="X61" s="743"/>
      <c r="Y61" s="744"/>
      <c r="Z61" s="867">
        <f>AF33</f>
        <v>0</v>
      </c>
      <c r="AA61" s="867"/>
      <c r="AB61" s="867"/>
      <c r="AC61" s="1111"/>
      <c r="AD61" s="1158"/>
      <c r="AE61" s="1112"/>
      <c r="AF61" s="1368">
        <f t="shared" si="5"/>
        <v>0</v>
      </c>
      <c r="AG61" s="1369"/>
      <c r="AH61" s="1370"/>
      <c r="AI61" s="6"/>
      <c r="AJ61" s="6"/>
      <c r="AK61" s="6"/>
      <c r="AL61" s="190">
        <f>IF(L61&gt;0,I61*L61,0)</f>
        <v>0</v>
      </c>
      <c r="AM61" s="637">
        <f>IF(AC61&gt;0,Z61*AC61,0)</f>
        <v>0</v>
      </c>
      <c r="AN61" s="639">
        <f t="shared" ref="AN61:AN65" si="12">IF(O61&gt;0,O61,I61)</f>
        <v>0</v>
      </c>
      <c r="AO61" s="389">
        <f t="shared" si="7"/>
        <v>0</v>
      </c>
      <c r="AP61" s="84">
        <f>LARGE(AO60:AO66,2)</f>
        <v>0</v>
      </c>
      <c r="AQ61" s="53">
        <f>AR60+AP62*(1-AR60)</f>
        <v>0</v>
      </c>
      <c r="AR61" s="389">
        <f t="shared" si="8"/>
        <v>0</v>
      </c>
      <c r="AS61" s="639">
        <f t="shared" si="9"/>
        <v>0</v>
      </c>
      <c r="AT61" s="389">
        <f t="shared" si="10"/>
        <v>0</v>
      </c>
      <c r="AU61" s="53">
        <f>LARGE(AT60:AT66,2)</f>
        <v>0</v>
      </c>
      <c r="AV61" s="53">
        <f>AW60+AU62*(1-AW60)</f>
        <v>0</v>
      </c>
      <c r="AW61" s="389">
        <f t="shared" si="11"/>
        <v>0</v>
      </c>
      <c r="AX61" s="6"/>
      <c r="AY61" s="56">
        <f>COUNTIF(I60:I66,"&gt;0")</f>
        <v>0</v>
      </c>
      <c r="AZ61" s="56">
        <f>COUNTIF(Z60:Z66,"&gt;0")</f>
        <v>0</v>
      </c>
      <c r="BA61" s="10" t="s">
        <v>414</v>
      </c>
      <c r="BB61" s="124"/>
      <c r="BC61" s="124"/>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row>
    <row r="62" spans="1:193" ht="18" customHeight="1" x14ac:dyDescent="0.2">
      <c r="B62" s="756" t="s">
        <v>1769</v>
      </c>
      <c r="C62" s="743"/>
      <c r="D62" s="743"/>
      <c r="E62" s="743"/>
      <c r="F62" s="743"/>
      <c r="G62" s="743"/>
      <c r="H62" s="744"/>
      <c r="I62" s="867">
        <f>O48</f>
        <v>0</v>
      </c>
      <c r="J62" s="867"/>
      <c r="K62" s="867"/>
      <c r="L62" s="1111"/>
      <c r="M62" s="1158"/>
      <c r="N62" s="1112"/>
      <c r="O62" s="1368">
        <f t="shared" si="4"/>
        <v>0</v>
      </c>
      <c r="P62" s="1369"/>
      <c r="Q62" s="1370"/>
      <c r="R62" s="57"/>
      <c r="S62" s="742" t="s">
        <v>1769</v>
      </c>
      <c r="T62" s="743"/>
      <c r="U62" s="743"/>
      <c r="V62" s="743"/>
      <c r="W62" s="743"/>
      <c r="X62" s="743"/>
      <c r="Y62" s="744"/>
      <c r="Z62" s="867">
        <f>AF48</f>
        <v>0</v>
      </c>
      <c r="AA62" s="867"/>
      <c r="AB62" s="867"/>
      <c r="AC62" s="1111"/>
      <c r="AD62" s="1158"/>
      <c r="AE62" s="1112"/>
      <c r="AF62" s="1368">
        <f t="shared" si="5"/>
        <v>0</v>
      </c>
      <c r="AG62" s="1369"/>
      <c r="AH62" s="1370"/>
      <c r="AI62" s="6"/>
      <c r="AJ62" s="6"/>
      <c r="AK62" s="6"/>
      <c r="AL62" s="190">
        <f t="shared" ref="AL62:AL65" si="13">IF(L62&gt;0,I62*L62,0)</f>
        <v>0</v>
      </c>
      <c r="AM62" s="637">
        <f t="shared" ref="AM62:AM65" si="14">IF(AC62&gt;0,Z62*AC62,0)</f>
        <v>0</v>
      </c>
      <c r="AN62" s="639">
        <f t="shared" si="12"/>
        <v>0</v>
      </c>
      <c r="AO62" s="389">
        <f t="shared" si="7"/>
        <v>0</v>
      </c>
      <c r="AP62" s="84">
        <f>LARGE(AO60:AO66,3)</f>
        <v>0</v>
      </c>
      <c r="AQ62" s="53">
        <f>AR61+AP63*(1-AR61)</f>
        <v>0</v>
      </c>
      <c r="AR62" s="389">
        <f t="shared" si="8"/>
        <v>0</v>
      </c>
      <c r="AS62" s="639">
        <f t="shared" si="9"/>
        <v>0</v>
      </c>
      <c r="AT62" s="389">
        <f t="shared" si="10"/>
        <v>0</v>
      </c>
      <c r="AU62" s="53">
        <f>LARGE(AT60:AT66,3)</f>
        <v>0</v>
      </c>
      <c r="AV62" s="53">
        <f>AW61+AU63*(1-AW61)</f>
        <v>0</v>
      </c>
      <c r="AW62" s="389">
        <f t="shared" si="11"/>
        <v>0</v>
      </c>
      <c r="AX62" s="6"/>
      <c r="AY62" s="12">
        <f>ROUND(SUM(AN60:AN66),4)</f>
        <v>0</v>
      </c>
      <c r="AZ62" s="12">
        <f>ROUND(SUM(AS60:AS66),4)</f>
        <v>0</v>
      </c>
      <c r="BA62" s="6"/>
      <c r="BB62" s="124"/>
      <c r="BC62" s="124"/>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row>
    <row r="63" spans="1:193" ht="18" customHeight="1" x14ac:dyDescent="0.2">
      <c r="B63" s="742" t="s">
        <v>1638</v>
      </c>
      <c r="C63" s="743"/>
      <c r="D63" s="743"/>
      <c r="E63" s="743"/>
      <c r="F63" s="743"/>
      <c r="G63" s="743"/>
      <c r="H63" s="744"/>
      <c r="I63" s="867">
        <f>O52</f>
        <v>0</v>
      </c>
      <c r="J63" s="867"/>
      <c r="K63" s="867"/>
      <c r="L63" s="1111"/>
      <c r="M63" s="1158"/>
      <c r="N63" s="1112"/>
      <c r="O63" s="1368">
        <f t="shared" si="4"/>
        <v>0</v>
      </c>
      <c r="P63" s="1369"/>
      <c r="Q63" s="1370"/>
      <c r="R63" s="57"/>
      <c r="S63" s="742" t="s">
        <v>1638</v>
      </c>
      <c r="T63" s="743"/>
      <c r="U63" s="743"/>
      <c r="V63" s="743"/>
      <c r="W63" s="743"/>
      <c r="X63" s="743"/>
      <c r="Y63" s="744"/>
      <c r="Z63" s="867">
        <f>AF52</f>
        <v>0</v>
      </c>
      <c r="AA63" s="867"/>
      <c r="AB63" s="867"/>
      <c r="AC63" s="1111"/>
      <c r="AD63" s="1158"/>
      <c r="AE63" s="1112"/>
      <c r="AF63" s="1368">
        <f t="shared" si="5"/>
        <v>0</v>
      </c>
      <c r="AG63" s="1369"/>
      <c r="AH63" s="1370"/>
      <c r="AI63" s="6"/>
      <c r="AJ63" s="6"/>
      <c r="AK63" s="6"/>
      <c r="AL63" s="190">
        <f t="shared" si="13"/>
        <v>0</v>
      </c>
      <c r="AM63" s="637">
        <f t="shared" si="14"/>
        <v>0</v>
      </c>
      <c r="AN63" s="639">
        <f t="shared" si="12"/>
        <v>0</v>
      </c>
      <c r="AO63" s="389">
        <f t="shared" si="7"/>
        <v>0</v>
      </c>
      <c r="AP63" s="84">
        <f>LARGE(AO60:AO66,4)</f>
        <v>0</v>
      </c>
      <c r="AQ63" s="53">
        <f>AR62+AP64*(1-AR62)</f>
        <v>0</v>
      </c>
      <c r="AR63" s="389">
        <f t="shared" si="8"/>
        <v>0</v>
      </c>
      <c r="AS63" s="639">
        <f t="shared" si="9"/>
        <v>0</v>
      </c>
      <c r="AT63" s="389">
        <f t="shared" si="10"/>
        <v>0</v>
      </c>
      <c r="AU63" s="53">
        <f>LARGE(AT60:AT66,4)</f>
        <v>0</v>
      </c>
      <c r="AV63" s="53">
        <f>AW62+AU64*(1-AW62)</f>
        <v>0</v>
      </c>
      <c r="AW63" s="389">
        <f t="shared" si="11"/>
        <v>0</v>
      </c>
      <c r="AX63" s="6"/>
      <c r="AY63" s="77"/>
      <c r="AZ63" s="6"/>
      <c r="BA63" s="6"/>
      <c r="BB63" s="124"/>
      <c r="BC63" s="124"/>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row>
    <row r="64" spans="1:193" ht="18" customHeight="1" x14ac:dyDescent="0.2">
      <c r="B64" s="742" t="s">
        <v>293</v>
      </c>
      <c r="C64" s="743"/>
      <c r="D64" s="743"/>
      <c r="E64" s="743"/>
      <c r="F64" s="743"/>
      <c r="G64" s="743"/>
      <c r="H64" s="744"/>
      <c r="I64" s="867">
        <f>O53</f>
        <v>0</v>
      </c>
      <c r="J64" s="867"/>
      <c r="K64" s="867"/>
      <c r="L64" s="1111"/>
      <c r="M64" s="1158"/>
      <c r="N64" s="1112"/>
      <c r="O64" s="1368">
        <f t="shared" si="4"/>
        <v>0</v>
      </c>
      <c r="P64" s="1369"/>
      <c r="Q64" s="1370"/>
      <c r="R64" s="57"/>
      <c r="S64" s="742" t="s">
        <v>293</v>
      </c>
      <c r="T64" s="743"/>
      <c r="U64" s="743"/>
      <c r="V64" s="743"/>
      <c r="W64" s="743"/>
      <c r="X64" s="743"/>
      <c r="Y64" s="744"/>
      <c r="Z64" s="867">
        <f>AF53</f>
        <v>0</v>
      </c>
      <c r="AA64" s="867"/>
      <c r="AB64" s="867"/>
      <c r="AC64" s="1111"/>
      <c r="AD64" s="1158"/>
      <c r="AE64" s="1112"/>
      <c r="AF64" s="1368">
        <f t="shared" si="5"/>
        <v>0</v>
      </c>
      <c r="AG64" s="1369"/>
      <c r="AH64" s="1370"/>
      <c r="AI64" s="6"/>
      <c r="AJ64" s="6"/>
      <c r="AK64" s="6"/>
      <c r="AL64" s="190">
        <f t="shared" si="13"/>
        <v>0</v>
      </c>
      <c r="AM64" s="637">
        <f t="shared" si="14"/>
        <v>0</v>
      </c>
      <c r="AN64" s="639">
        <f t="shared" si="12"/>
        <v>0</v>
      </c>
      <c r="AO64" s="389">
        <f t="shared" si="7"/>
        <v>0</v>
      </c>
      <c r="AP64" s="84">
        <f>LARGE(AO60:AO66,5)</f>
        <v>0</v>
      </c>
      <c r="AQ64" s="53">
        <f>AR63+AP65*(1-AR63)</f>
        <v>0</v>
      </c>
      <c r="AR64" s="389">
        <f t="shared" si="8"/>
        <v>0</v>
      </c>
      <c r="AS64" s="639">
        <f t="shared" si="9"/>
        <v>0</v>
      </c>
      <c r="AT64" s="389">
        <f t="shared" si="10"/>
        <v>0</v>
      </c>
      <c r="AU64" s="53">
        <f>LARGE(AT60:AT66,5)</f>
        <v>0</v>
      </c>
      <c r="AV64" s="53">
        <f>AW63+AU65*(1-AW63)</f>
        <v>0</v>
      </c>
      <c r="AW64" s="389">
        <f t="shared" si="11"/>
        <v>0</v>
      </c>
      <c r="AX64" s="6"/>
      <c r="AY64" s="6"/>
      <c r="AZ64" s="6"/>
      <c r="BA64" s="6"/>
      <c r="BB64" s="6"/>
      <c r="BC64" s="124"/>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row>
    <row r="65" spans="2:193" ht="18" customHeight="1" x14ac:dyDescent="0.2">
      <c r="B65" s="742" t="s">
        <v>1765</v>
      </c>
      <c r="C65" s="743"/>
      <c r="D65" s="743"/>
      <c r="E65" s="743"/>
      <c r="F65" s="743"/>
      <c r="G65" s="743"/>
      <c r="H65" s="744"/>
      <c r="I65" s="867">
        <f>O54</f>
        <v>0</v>
      </c>
      <c r="J65" s="867"/>
      <c r="K65" s="867"/>
      <c r="L65" s="1111"/>
      <c r="M65" s="1158"/>
      <c r="N65" s="1112"/>
      <c r="O65" s="1368">
        <f t="shared" si="4"/>
        <v>0</v>
      </c>
      <c r="P65" s="1369"/>
      <c r="Q65" s="1370"/>
      <c r="R65" s="57"/>
      <c r="S65" s="742" t="s">
        <v>1765</v>
      </c>
      <c r="T65" s="743"/>
      <c r="U65" s="743"/>
      <c r="V65" s="743"/>
      <c r="W65" s="743"/>
      <c r="X65" s="743"/>
      <c r="Y65" s="744"/>
      <c r="Z65" s="867">
        <f>AF54</f>
        <v>0</v>
      </c>
      <c r="AA65" s="867"/>
      <c r="AB65" s="867"/>
      <c r="AC65" s="1111"/>
      <c r="AD65" s="1158"/>
      <c r="AE65" s="1112"/>
      <c r="AF65" s="1368">
        <f t="shared" si="5"/>
        <v>0</v>
      </c>
      <c r="AG65" s="1369"/>
      <c r="AH65" s="1370"/>
      <c r="AI65" s="6"/>
      <c r="AJ65" s="6"/>
      <c r="AK65" s="6"/>
      <c r="AL65" s="190">
        <f t="shared" si="13"/>
        <v>0</v>
      </c>
      <c r="AM65" s="637">
        <f t="shared" si="14"/>
        <v>0</v>
      </c>
      <c r="AN65" s="639">
        <f t="shared" si="12"/>
        <v>0</v>
      </c>
      <c r="AO65" s="389">
        <f t="shared" si="7"/>
        <v>0</v>
      </c>
      <c r="AP65" s="84">
        <f>LARGE(AO60:AO66,6)</f>
        <v>0</v>
      </c>
      <c r="AQ65" s="53">
        <f>AR64+AP66*(1-AR64)</f>
        <v>0</v>
      </c>
      <c r="AR65" s="389">
        <f t="shared" si="8"/>
        <v>0</v>
      </c>
      <c r="AS65" s="639">
        <f t="shared" si="9"/>
        <v>0</v>
      </c>
      <c r="AT65" s="389">
        <f t="shared" si="10"/>
        <v>0</v>
      </c>
      <c r="AU65" s="53">
        <f>LARGE(AT60:AT66,6)</f>
        <v>0</v>
      </c>
      <c r="AV65" s="53">
        <f>AW64+AU66*(1-AW64)</f>
        <v>0</v>
      </c>
      <c r="AW65" s="389">
        <f t="shared" si="11"/>
        <v>0</v>
      </c>
      <c r="AX65" s="6"/>
      <c r="AY65" s="6"/>
      <c r="AZ65" s="6"/>
      <c r="BA65" s="6"/>
      <c r="BB65" s="6"/>
      <c r="BC65" s="124"/>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row>
    <row r="66" spans="2:193" ht="18" customHeight="1" x14ac:dyDescent="0.2">
      <c r="B66" s="742" t="s">
        <v>1933</v>
      </c>
      <c r="C66" s="743"/>
      <c r="D66" s="743"/>
      <c r="E66" s="743"/>
      <c r="F66" s="743"/>
      <c r="G66" s="743"/>
      <c r="H66" s="744"/>
      <c r="I66" s="802">
        <f>O56</f>
        <v>0</v>
      </c>
      <c r="J66" s="884"/>
      <c r="K66" s="885"/>
      <c r="L66" s="1111"/>
      <c r="M66" s="1158"/>
      <c r="N66" s="1112"/>
      <c r="O66" s="1368">
        <f t="shared" si="4"/>
        <v>0</v>
      </c>
      <c r="P66" s="1369"/>
      <c r="Q66" s="1370"/>
      <c r="R66" s="57"/>
      <c r="S66" s="742" t="s">
        <v>1933</v>
      </c>
      <c r="T66" s="743"/>
      <c r="U66" s="743"/>
      <c r="V66" s="743"/>
      <c r="W66" s="743"/>
      <c r="X66" s="743"/>
      <c r="Y66" s="744"/>
      <c r="Z66" s="802">
        <f>AF56</f>
        <v>0</v>
      </c>
      <c r="AA66" s="884"/>
      <c r="AB66" s="885"/>
      <c r="AC66" s="1111"/>
      <c r="AD66" s="1158"/>
      <c r="AE66" s="1112"/>
      <c r="AF66" s="1368">
        <f t="shared" si="5"/>
        <v>0</v>
      </c>
      <c r="AG66" s="1369"/>
      <c r="AH66" s="1370"/>
      <c r="AI66" s="6"/>
      <c r="AJ66" s="6"/>
      <c r="AK66" s="6"/>
      <c r="AL66" s="190">
        <f t="shared" ref="AL66" si="15">IF(L66&gt;0,I66*L66,0)</f>
        <v>0</v>
      </c>
      <c r="AM66" s="637">
        <f t="shared" ref="AM66" si="16">IF(AC66&gt;0,Z66*AC66,0)</f>
        <v>0</v>
      </c>
      <c r="AN66" s="639">
        <f t="shared" ref="AN66" si="17">IF(O66&gt;0,O66,I66)</f>
        <v>0</v>
      </c>
      <c r="AO66" s="389">
        <f t="shared" si="7"/>
        <v>0</v>
      </c>
      <c r="AP66" s="84">
        <f>LARGE(AO60:AO66,7)</f>
        <v>0</v>
      </c>
      <c r="AQ66" s="77"/>
      <c r="AR66" s="7"/>
      <c r="AS66" s="639">
        <f t="shared" si="9"/>
        <v>0</v>
      </c>
      <c r="AT66" s="389">
        <f t="shared" si="10"/>
        <v>0</v>
      </c>
      <c r="AU66" s="53">
        <f>LARGE(AT60:AT66,7)</f>
        <v>0</v>
      </c>
      <c r="AV66" s="34"/>
      <c r="AX66" s="6"/>
      <c r="AY66" s="6"/>
      <c r="AZ66" s="6"/>
      <c r="BA66" s="6"/>
      <c r="BB66" s="6"/>
      <c r="BC66" s="124"/>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row>
    <row r="67" spans="2:193" ht="27" customHeight="1" x14ac:dyDescent="0.2">
      <c r="B67" s="756" t="s">
        <v>1074</v>
      </c>
      <c r="C67" s="743"/>
      <c r="D67" s="743"/>
      <c r="E67" s="743"/>
      <c r="F67" s="743"/>
      <c r="G67" s="743"/>
      <c r="H67" s="744"/>
      <c r="I67" s="763">
        <f>IF(AY61=1,AY62,AR65)</f>
        <v>0</v>
      </c>
      <c r="J67" s="763"/>
      <c r="K67" s="763"/>
      <c r="L67" s="910"/>
      <c r="M67" s="910"/>
      <c r="N67" s="910"/>
      <c r="O67" s="910"/>
      <c r="P67" s="910"/>
      <c r="Q67" s="910"/>
      <c r="R67" s="320"/>
      <c r="S67" s="756" t="s">
        <v>1075</v>
      </c>
      <c r="T67" s="743"/>
      <c r="U67" s="743"/>
      <c r="V67" s="743"/>
      <c r="W67" s="743"/>
      <c r="X67" s="743"/>
      <c r="Y67" s="744"/>
      <c r="Z67" s="763">
        <f>IF(AZ61=1,AZ62,AW65)</f>
        <v>0</v>
      </c>
      <c r="AA67" s="763"/>
      <c r="AB67" s="763"/>
      <c r="AC67" s="910"/>
      <c r="AD67" s="910"/>
      <c r="AE67" s="910"/>
      <c r="AF67" s="910"/>
      <c r="AG67" s="910"/>
      <c r="AH67" s="910"/>
      <c r="AI67" s="6"/>
      <c r="AJ67" s="6"/>
      <c r="AK67" s="6"/>
      <c r="AL67" s="6"/>
      <c r="AM67" s="6"/>
      <c r="AN67" s="151"/>
      <c r="AP67" s="6"/>
      <c r="AQ67" s="6"/>
      <c r="AR67" s="7"/>
      <c r="AU67" s="151"/>
      <c r="AV67" s="6"/>
      <c r="AW67" s="6"/>
      <c r="AX67" s="6"/>
      <c r="AY67" s="6"/>
      <c r="AZ67" s="6"/>
      <c r="BA67" s="6"/>
      <c r="BB67" s="6"/>
      <c r="BC67" s="77"/>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row>
    <row r="68" spans="2:193" ht="12" customHeight="1" x14ac:dyDescent="0.2">
      <c r="B68" s="777"/>
      <c r="C68" s="777"/>
      <c r="D68" s="777"/>
      <c r="E68" s="777"/>
      <c r="F68" s="777"/>
      <c r="G68" s="777"/>
      <c r="H68" s="777"/>
      <c r="I68" s="777"/>
      <c r="J68" s="777"/>
      <c r="K68" s="777"/>
      <c r="L68" s="777"/>
      <c r="M68" s="777"/>
      <c r="N68" s="777"/>
      <c r="O68" s="777"/>
      <c r="P68" s="777"/>
      <c r="Q68" s="777"/>
      <c r="R68" s="777"/>
      <c r="S68" s="777"/>
      <c r="T68" s="777"/>
      <c r="U68" s="777"/>
      <c r="V68" s="777"/>
      <c r="W68" s="777"/>
      <c r="X68" s="777"/>
      <c r="Y68" s="777"/>
      <c r="Z68" s="777"/>
      <c r="AA68" s="777"/>
      <c r="AB68" s="777"/>
      <c r="AC68" s="777"/>
      <c r="AD68" s="777"/>
      <c r="AE68" s="777"/>
      <c r="AF68" s="777"/>
      <c r="AG68" s="777"/>
      <c r="AH68" s="777"/>
      <c r="AI68" s="6"/>
      <c r="AJ68" s="6"/>
      <c r="AK68" s="6"/>
      <c r="AN68" s="6"/>
      <c r="AO68" s="6"/>
      <c r="AP68" s="6"/>
      <c r="AQ68" s="6"/>
      <c r="AR68" s="7"/>
      <c r="AV68" s="6"/>
      <c r="AW68" s="6"/>
      <c r="AX68" s="6"/>
      <c r="BA68" s="1"/>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row>
    <row r="69" spans="2:193" ht="33" customHeight="1" x14ac:dyDescent="0.2">
      <c r="B69" s="895" t="s">
        <v>1071</v>
      </c>
      <c r="C69" s="896"/>
      <c r="D69" s="896"/>
      <c r="E69" s="896"/>
      <c r="F69" s="896"/>
      <c r="G69" s="896"/>
      <c r="H69" s="896"/>
      <c r="I69" s="896"/>
      <c r="J69" s="896"/>
      <c r="K69" s="896"/>
      <c r="L69" s="896"/>
      <c r="M69" s="896"/>
      <c r="N69" s="896"/>
      <c r="O69" s="896"/>
      <c r="P69" s="896"/>
      <c r="Q69" s="1441"/>
      <c r="R69" s="1441"/>
      <c r="S69" s="1441"/>
      <c r="T69" s="1441"/>
      <c r="U69" s="1441"/>
      <c r="V69" s="1441"/>
      <c r="W69" s="1441"/>
      <c r="X69" s="1441"/>
      <c r="Y69" s="1441"/>
      <c r="Z69" s="1441"/>
      <c r="AA69" s="1441"/>
      <c r="AB69" s="1441"/>
      <c r="AC69" s="1441"/>
      <c r="AD69" s="1441"/>
      <c r="AE69" s="1441"/>
      <c r="AF69" s="1441"/>
      <c r="AG69" s="1441"/>
      <c r="AH69" s="1442"/>
      <c r="AI69" s="6"/>
      <c r="AJ69" s="6"/>
      <c r="AK69" s="6"/>
      <c r="AL69" s="654">
        <f>MAX(Q73,AE78)</f>
        <v>0</v>
      </c>
      <c r="AM69" s="756" t="s">
        <v>1002</v>
      </c>
      <c r="AN69" s="758"/>
      <c r="AO69" s="6"/>
      <c r="AP69" s="50" t="s">
        <v>185</v>
      </c>
      <c r="AQ69" s="50" t="s">
        <v>186</v>
      </c>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row>
    <row r="70" spans="2:193" ht="38.25" customHeight="1" x14ac:dyDescent="0.2">
      <c r="B70" s="1019" t="s">
        <v>1067</v>
      </c>
      <c r="C70" s="1020"/>
      <c r="D70" s="1020"/>
      <c r="E70" s="1020"/>
      <c r="F70" s="1020"/>
      <c r="G70" s="1020"/>
      <c r="H70" s="1020"/>
      <c r="I70" s="1020"/>
      <c r="J70" s="1020"/>
      <c r="K70" s="1020"/>
      <c r="L70" s="947" t="s">
        <v>1069</v>
      </c>
      <c r="M70" s="947"/>
      <c r="N70" s="947"/>
      <c r="O70" s="947"/>
      <c r="P70" s="895"/>
      <c r="Q70" s="372"/>
      <c r="R70" s="319"/>
      <c r="S70" s="319"/>
      <c r="T70" s="319"/>
      <c r="U70" s="405"/>
      <c r="V70" s="896"/>
      <c r="W70" s="896"/>
      <c r="X70" s="896"/>
      <c r="Y70" s="311"/>
      <c r="Z70" s="311"/>
      <c r="AA70" s="311"/>
      <c r="AB70" s="311"/>
      <c r="AC70" s="311"/>
      <c r="AD70" s="311"/>
      <c r="AE70" s="305"/>
      <c r="AF70" s="309"/>
      <c r="AG70" s="309"/>
      <c r="AH70" s="310"/>
      <c r="AI70" s="6"/>
      <c r="AJ70" s="6"/>
      <c r="AK70" s="6"/>
      <c r="AL70" s="12" t="s">
        <v>1285</v>
      </c>
      <c r="AM70" s="13" t="s">
        <v>1287</v>
      </c>
      <c r="AN70" s="13" t="s">
        <v>1286</v>
      </c>
      <c r="AO70" s="6"/>
      <c r="AP70" s="53">
        <f>I67</f>
        <v>0</v>
      </c>
      <c r="AQ70" s="53">
        <f>Z67</f>
        <v>0</v>
      </c>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row>
    <row r="71" spans="2:193" ht="18" customHeight="1" x14ac:dyDescent="0.2">
      <c r="B71" s="742" t="s">
        <v>134</v>
      </c>
      <c r="C71" s="743"/>
      <c r="D71" s="743"/>
      <c r="E71" s="743"/>
      <c r="F71" s="743"/>
      <c r="G71" s="743"/>
      <c r="H71" s="744"/>
      <c r="I71" s="802">
        <f>IF(I83&lt;AL3,"DOI&lt;2005",AP70)</f>
        <v>0</v>
      </c>
      <c r="J71" s="884"/>
      <c r="K71" s="885"/>
      <c r="L71" s="18" t="s">
        <v>1754</v>
      </c>
      <c r="M71" s="738">
        <v>0.31</v>
      </c>
      <c r="N71" s="739"/>
      <c r="O71" s="740"/>
      <c r="P71" s="18" t="s">
        <v>1756</v>
      </c>
      <c r="Q71" s="1397">
        <f>IF(I83&lt;AL3,"DOI&lt;2005",IF(AND(I71*M71&gt;0,I71*M71&lt;0.01),0.01,ROUND(I71*M71,2)))</f>
        <v>0</v>
      </c>
      <c r="R71" s="1398"/>
      <c r="S71" s="1398"/>
      <c r="T71" s="1398"/>
      <c r="U71" s="231"/>
      <c r="V71" s="1443" t="s">
        <v>586</v>
      </c>
      <c r="W71" s="1443"/>
      <c r="X71" s="1444"/>
      <c r="Y71" s="777"/>
      <c r="Z71" s="777"/>
      <c r="AA71" s="777"/>
      <c r="AB71" s="777"/>
      <c r="AC71" s="777"/>
      <c r="AD71" s="1097"/>
      <c r="AE71" s="1436" t="s">
        <v>1070</v>
      </c>
      <c r="AF71" s="1436"/>
      <c r="AG71" s="1436"/>
      <c r="AH71" s="1437"/>
      <c r="AI71" s="6"/>
      <c r="AJ71" s="6"/>
      <c r="AK71" s="6"/>
      <c r="AL71" s="53">
        <f>LARGE(Q71:Q72,1)</f>
        <v>0</v>
      </c>
      <c r="AM71" s="84">
        <f>IF(AND(AL71&gt;0,AL71&lt;0.01),0.01,ROUND(AL71,2))</f>
        <v>0</v>
      </c>
      <c r="AN71" s="12">
        <f>AM71+AM72*(1-AM71)</f>
        <v>0</v>
      </c>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row>
    <row r="72" spans="2:193" ht="18" customHeight="1" x14ac:dyDescent="0.2">
      <c r="B72" s="782" t="s">
        <v>135</v>
      </c>
      <c r="C72" s="783"/>
      <c r="D72" s="783"/>
      <c r="E72" s="783"/>
      <c r="F72" s="783"/>
      <c r="G72" s="783"/>
      <c r="H72" s="784"/>
      <c r="I72" s="1379">
        <f>IF(I83&lt;AL3,"DOI&lt;2005",AQ70)</f>
        <v>0</v>
      </c>
      <c r="J72" s="1380"/>
      <c r="K72" s="1381"/>
      <c r="L72" s="199" t="s">
        <v>1754</v>
      </c>
      <c r="M72" s="1438">
        <v>0.31</v>
      </c>
      <c r="N72" s="1439"/>
      <c r="O72" s="1440"/>
      <c r="P72" s="199" t="s">
        <v>1756</v>
      </c>
      <c r="Q72" s="1438">
        <f>IF(I83&lt;AL3,"DOI&lt;2005",IF(AND(I72*M72&gt;0,I72*M72&lt;0.01),0.01,ROUND(I72*M72,2)))</f>
        <v>0</v>
      </c>
      <c r="R72" s="1439"/>
      <c r="S72" s="1439"/>
      <c r="T72" s="1439"/>
      <c r="U72" s="20"/>
      <c r="V72" s="1445"/>
      <c r="W72" s="1445"/>
      <c r="X72" s="1446"/>
      <c r="Y72" s="317"/>
      <c r="Z72" s="317"/>
      <c r="AA72" s="317"/>
      <c r="AB72" s="317"/>
      <c r="AC72" s="317"/>
      <c r="AD72" s="194"/>
      <c r="AE72" s="1131"/>
      <c r="AF72" s="1131"/>
      <c r="AG72" s="1131"/>
      <c r="AH72" s="1132"/>
      <c r="AI72" s="6"/>
      <c r="AJ72" s="6"/>
      <c r="AK72" s="6"/>
      <c r="AL72" s="53">
        <f>LARGE(Q71:Q72,2)</f>
        <v>0</v>
      </c>
      <c r="AM72" s="84">
        <f>IF(AND(AL72&gt;0,AL72&lt;0.01),0.01,ROUND(AL72,2))</f>
        <v>0</v>
      </c>
      <c r="AN72" s="52">
        <f>ROUND(AN71,2)</f>
        <v>0</v>
      </c>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row>
    <row r="73" spans="2:193" ht="14.25" customHeight="1" x14ac:dyDescent="0.2">
      <c r="B73" s="1387" t="str">
        <f>IF(I83&lt;AL3,"",IF(AND(I71&gt;0,I72&gt;0),AM74,AL74))</f>
        <v>Monocular total</v>
      </c>
      <c r="C73" s="1388"/>
      <c r="D73" s="1388"/>
      <c r="E73" s="1388"/>
      <c r="F73" s="1388"/>
      <c r="G73" s="1388"/>
      <c r="H73" s="1388"/>
      <c r="I73" s="1388"/>
      <c r="J73" s="1388"/>
      <c r="K73" s="1388"/>
      <c r="L73" s="1388"/>
      <c r="M73" s="1388"/>
      <c r="N73" s="1388"/>
      <c r="O73" s="1389"/>
      <c r="P73" s="199" t="s">
        <v>1756</v>
      </c>
      <c r="Q73" s="727">
        <f>IF(I83&lt;AL3,"DOI&lt;2005",AN72)</f>
        <v>0</v>
      </c>
      <c r="R73" s="728"/>
      <c r="S73" s="728"/>
      <c r="T73" s="729"/>
      <c r="U73" s="20" t="s">
        <v>1754</v>
      </c>
      <c r="V73" s="799">
        <f>SAWW!D6</f>
        <v>0</v>
      </c>
      <c r="W73" s="1386"/>
      <c r="X73" s="1386"/>
      <c r="Y73" s="944" t="s">
        <v>590</v>
      </c>
      <c r="Z73" s="945"/>
      <c r="AA73" s="945"/>
      <c r="AB73" s="945"/>
      <c r="AC73" s="945"/>
      <c r="AD73" s="946"/>
      <c r="AE73" s="1383">
        <f>IF(I83&lt;AL3,"DOI&lt;2005",ROUND(Q73*V73*100,2))</f>
        <v>0</v>
      </c>
      <c r="AF73" s="1384"/>
      <c r="AG73" s="1384"/>
      <c r="AH73" s="1385"/>
      <c r="AI73" s="6"/>
      <c r="AJ73" s="6"/>
      <c r="AK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row>
    <row r="74" spans="2:193" ht="18" customHeight="1" x14ac:dyDescent="0.2">
      <c r="B74" s="864" t="s">
        <v>864</v>
      </c>
      <c r="C74" s="865"/>
      <c r="D74" s="865"/>
      <c r="E74" s="865"/>
      <c r="F74" s="865"/>
      <c r="G74" s="865"/>
      <c r="H74" s="865"/>
      <c r="I74" s="865"/>
      <c r="J74" s="865"/>
      <c r="K74" s="865"/>
      <c r="L74" s="865"/>
      <c r="M74" s="865"/>
      <c r="N74" s="865"/>
      <c r="O74" s="865"/>
      <c r="P74" s="865"/>
      <c r="Q74" s="1378"/>
      <c r="R74" s="1378"/>
      <c r="S74" s="1"/>
      <c r="T74" s="1"/>
      <c r="U74" s="1"/>
      <c r="V74" s="1"/>
      <c r="W74" s="1"/>
      <c r="X74" s="1"/>
      <c r="Y74" s="1"/>
      <c r="Z74" s="1"/>
      <c r="AA74" s="1"/>
      <c r="AB74" s="1"/>
      <c r="AC74" s="1"/>
      <c r="AD74" s="1"/>
      <c r="AE74" s="1"/>
      <c r="AF74" s="1"/>
      <c r="AG74" s="1"/>
      <c r="AH74" s="157"/>
      <c r="AI74" s="6"/>
      <c r="AJ74" s="6"/>
      <c r="AK74" s="6"/>
      <c r="AL74" s="50" t="s">
        <v>1775</v>
      </c>
      <c r="AM74" s="1447" t="s">
        <v>1249</v>
      </c>
      <c r="AN74" s="1447"/>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row>
    <row r="75" spans="2:193" ht="18" customHeight="1" x14ac:dyDescent="0.2">
      <c r="B75" s="791" t="s">
        <v>734</v>
      </c>
      <c r="C75" s="791"/>
      <c r="D75" s="791"/>
      <c r="E75" s="791"/>
      <c r="F75" s="791"/>
      <c r="G75" s="791"/>
      <c r="H75" s="791"/>
      <c r="I75" s="791"/>
      <c r="J75" s="791"/>
      <c r="K75" s="791"/>
      <c r="L75" s="791"/>
      <c r="M75" s="791"/>
      <c r="N75" s="791"/>
      <c r="O75" s="791"/>
      <c r="P75" s="791"/>
      <c r="Q75" s="791"/>
      <c r="R75" s="791"/>
      <c r="S75" s="867">
        <f>IF(I83&lt;AL3,"DOI&lt;2005",MIN(AP70,AQ70))</f>
        <v>0</v>
      </c>
      <c r="T75" s="867"/>
      <c r="U75" s="867"/>
      <c r="V75" s="867"/>
      <c r="W75" s="867"/>
      <c r="X75" s="18" t="s">
        <v>1754</v>
      </c>
      <c r="Y75" s="732">
        <v>3</v>
      </c>
      <c r="Z75" s="736"/>
      <c r="AA75" s="737"/>
      <c r="AB75" s="944" t="s">
        <v>1756</v>
      </c>
      <c r="AC75" s="945"/>
      <c r="AD75" s="946"/>
      <c r="AE75" s="747">
        <f>IF(I83&lt;AL3,"DOI&lt;2005",S75*Y75)</f>
        <v>0</v>
      </c>
      <c r="AF75" s="747"/>
      <c r="AG75" s="747"/>
      <c r="AH75" s="747"/>
      <c r="AI75" s="6"/>
      <c r="AJ75" s="6"/>
      <c r="AK75" s="6"/>
      <c r="AL75" s="18">
        <f>IF(AND(AM75=1,I71&gt;0),"Right",IF(AND(AM75=1,I72&gt;0),"Left",0))</f>
        <v>0</v>
      </c>
      <c r="AM75" s="20">
        <f>IF(AND(I71=0,I72=0),0,IF(OR(I71=0,I72=0),1,IF(Q73&gt;S79,2,3)))</f>
        <v>0</v>
      </c>
      <c r="AN75" s="10" t="s">
        <v>2131</v>
      </c>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row>
    <row r="76" spans="2:193" ht="18" customHeight="1" x14ac:dyDescent="0.2">
      <c r="B76" s="791" t="s">
        <v>735</v>
      </c>
      <c r="C76" s="791"/>
      <c r="D76" s="791"/>
      <c r="E76" s="791"/>
      <c r="F76" s="791"/>
      <c r="G76" s="791"/>
      <c r="H76" s="791"/>
      <c r="I76" s="791"/>
      <c r="J76" s="791"/>
      <c r="K76" s="791"/>
      <c r="L76" s="791"/>
      <c r="M76" s="791"/>
      <c r="N76" s="791"/>
      <c r="O76" s="791"/>
      <c r="P76" s="791"/>
      <c r="Q76" s="791"/>
      <c r="R76" s="791"/>
      <c r="S76" s="867">
        <f>AE75</f>
        <v>0</v>
      </c>
      <c r="T76" s="867"/>
      <c r="U76" s="867"/>
      <c r="V76" s="867"/>
      <c r="W76" s="867"/>
      <c r="X76" s="18" t="s">
        <v>1073</v>
      </c>
      <c r="Y76" s="802">
        <f>IF(I83&lt;AL3,"DOI&lt;2005",IF(S75=0,0,MAX(I71,I72)))</f>
        <v>0</v>
      </c>
      <c r="Z76" s="884"/>
      <c r="AA76" s="885"/>
      <c r="AB76" s="944" t="s">
        <v>1756</v>
      </c>
      <c r="AC76" s="945"/>
      <c r="AD76" s="946"/>
      <c r="AE76" s="867">
        <f>IF(I83&lt;AL3,"DOI&lt;2005",S76+Y76)</f>
        <v>0</v>
      </c>
      <c r="AF76" s="867"/>
      <c r="AG76" s="867"/>
      <c r="AH76" s="867"/>
      <c r="AI76" s="6"/>
      <c r="AJ76" s="6"/>
      <c r="AK76" s="6"/>
      <c r="AL76" s="10" t="s">
        <v>1076</v>
      </c>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row>
    <row r="77" spans="2:193" ht="18" customHeight="1" x14ac:dyDescent="0.2">
      <c r="B77" s="791" t="s">
        <v>736</v>
      </c>
      <c r="C77" s="791"/>
      <c r="D77" s="791"/>
      <c r="E77" s="791"/>
      <c r="F77" s="791"/>
      <c r="G77" s="791"/>
      <c r="H77" s="791"/>
      <c r="I77" s="791"/>
      <c r="J77" s="791"/>
      <c r="K77" s="791"/>
      <c r="L77" s="791"/>
      <c r="M77" s="791"/>
      <c r="N77" s="791"/>
      <c r="O77" s="791"/>
      <c r="P77" s="791"/>
      <c r="Q77" s="791"/>
      <c r="R77" s="791"/>
      <c r="S77" s="1434">
        <f>AE76</f>
        <v>0</v>
      </c>
      <c r="T77" s="1434"/>
      <c r="U77" s="1434"/>
      <c r="V77" s="1434"/>
      <c r="W77" s="1434"/>
      <c r="X77" s="199" t="s">
        <v>468</v>
      </c>
      <c r="Y77" s="732">
        <v>4</v>
      </c>
      <c r="Z77" s="736"/>
      <c r="AA77" s="737"/>
      <c r="AB77" s="944" t="s">
        <v>1756</v>
      </c>
      <c r="AC77" s="945"/>
      <c r="AD77" s="946"/>
      <c r="AE77" s="1435">
        <f>IF(I83&lt;AL3,"DOI&lt;2005",S77/Y77)</f>
        <v>0</v>
      </c>
      <c r="AF77" s="1435"/>
      <c r="AG77" s="1435"/>
      <c r="AH77" s="1435"/>
      <c r="AI77" s="6"/>
      <c r="AJ77" s="6"/>
      <c r="AK77" s="6"/>
      <c r="AL77" s="2" t="s">
        <v>1077</v>
      </c>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row>
    <row r="78" spans="2:193" ht="18" customHeight="1" x14ac:dyDescent="0.2">
      <c r="B78" s="742" t="s">
        <v>1068</v>
      </c>
      <c r="C78" s="743"/>
      <c r="D78" s="743"/>
      <c r="E78" s="743"/>
      <c r="F78" s="743"/>
      <c r="G78" s="743"/>
      <c r="H78" s="743"/>
      <c r="I78" s="743"/>
      <c r="J78" s="743"/>
      <c r="K78" s="743"/>
      <c r="L78" s="743"/>
      <c r="M78" s="743"/>
      <c r="N78" s="743"/>
      <c r="O78" s="743"/>
      <c r="P78" s="743"/>
      <c r="Q78" s="743"/>
      <c r="R78" s="744"/>
      <c r="S78" s="867">
        <f>AE77</f>
        <v>0</v>
      </c>
      <c r="T78" s="867"/>
      <c r="U78" s="867"/>
      <c r="V78" s="867"/>
      <c r="W78" s="867"/>
      <c r="X78" s="18" t="s">
        <v>1754</v>
      </c>
      <c r="Y78" s="727">
        <v>0.94</v>
      </c>
      <c r="Z78" s="728"/>
      <c r="AA78" s="728"/>
      <c r="AB78" s="910" t="s">
        <v>1756</v>
      </c>
      <c r="AC78" s="910"/>
      <c r="AD78" s="910"/>
      <c r="AE78" s="738">
        <f>IF(I83&lt;AL3,"DOI&lt;2005",IF(AND(S78*Y78&gt;0,S78*Y78&lt;0.01),0.01,ROUND(S78*Y78,2)))</f>
        <v>0</v>
      </c>
      <c r="AF78" s="739"/>
      <c r="AG78" s="739"/>
      <c r="AH78" s="740"/>
      <c r="AI78" s="6"/>
      <c r="AJ78" s="6"/>
      <c r="AK78" s="6"/>
      <c r="AL78" s="10"/>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row>
    <row r="79" spans="2:193" ht="27" customHeight="1" x14ac:dyDescent="0.2">
      <c r="B79" s="761" t="s">
        <v>1096</v>
      </c>
      <c r="C79" s="761"/>
      <c r="D79" s="761"/>
      <c r="E79" s="761"/>
      <c r="F79" s="761"/>
      <c r="G79" s="761"/>
      <c r="H79" s="761"/>
      <c r="I79" s="761"/>
      <c r="J79" s="761"/>
      <c r="K79" s="761"/>
      <c r="L79" s="761"/>
      <c r="M79" s="761"/>
      <c r="N79" s="761"/>
      <c r="O79" s="761"/>
      <c r="P79" s="761"/>
      <c r="Q79" s="761"/>
      <c r="R79" s="761"/>
      <c r="S79" s="1067">
        <f>AE78</f>
        <v>0</v>
      </c>
      <c r="T79" s="1395"/>
      <c r="U79" s="1395"/>
      <c r="V79" s="1395"/>
      <c r="W79" s="1157"/>
      <c r="X79" s="18" t="s">
        <v>1754</v>
      </c>
      <c r="Y79" s="1016">
        <f>SAWW!D6</f>
        <v>0</v>
      </c>
      <c r="Z79" s="1016"/>
      <c r="AA79" s="1016"/>
      <c r="AB79" s="910" t="s">
        <v>590</v>
      </c>
      <c r="AC79" s="910"/>
      <c r="AD79" s="910"/>
      <c r="AE79" s="1382">
        <f>IF(I83&lt;AL3,"DOI&lt;2005",ROUND(S79*Y79*100,2))</f>
        <v>0</v>
      </c>
      <c r="AF79" s="1382"/>
      <c r="AG79" s="1382"/>
      <c r="AH79" s="1382"/>
      <c r="AI79" s="6"/>
      <c r="AJ79" s="6"/>
      <c r="AK79" s="6"/>
      <c r="AL79" s="10"/>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row>
    <row r="80" spans="2:193" ht="18" customHeight="1" x14ac:dyDescent="0.2">
      <c r="B80" s="1396" t="str">
        <f>IF(OR(I83&lt;AL3,S75=0),"",IF(AE73&gt;AE79,AL76,IF(AE80&gt;=AE73,AL77,"")))</f>
        <v/>
      </c>
      <c r="C80" s="1396"/>
      <c r="D80" s="1396"/>
      <c r="E80" s="1396"/>
      <c r="F80" s="1396"/>
      <c r="G80" s="1396"/>
      <c r="H80" s="1396"/>
      <c r="I80" s="1396"/>
      <c r="J80" s="1396"/>
      <c r="K80" s="1396"/>
      <c r="L80" s="1396"/>
      <c r="M80" s="1396"/>
      <c r="N80" s="1396"/>
      <c r="O80" s="1396"/>
      <c r="P80" s="1396"/>
      <c r="Q80" s="1396"/>
      <c r="R80" s="1396"/>
      <c r="S80" s="1396"/>
      <c r="T80" s="1396"/>
      <c r="U80" s="1396"/>
      <c r="V80" s="1396"/>
      <c r="W80" s="1396"/>
      <c r="X80" s="1396"/>
      <c r="Y80" s="1396"/>
      <c r="Z80" s="1396"/>
      <c r="AA80" s="1396"/>
      <c r="AB80" s="1396"/>
      <c r="AC80" s="1396"/>
      <c r="AD80" s="1396"/>
      <c r="AE80" s="1382">
        <f>IF(I83&lt;AL3,"DOI&lt;2005",IF(S75=0,0,MAX(AE73,AE79)))</f>
        <v>0</v>
      </c>
      <c r="AF80" s="1382"/>
      <c r="AG80" s="1382"/>
      <c r="AH80" s="1382"/>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row>
    <row r="81" spans="2:193" ht="18" customHeight="1" x14ac:dyDescent="0.2">
      <c r="B81" s="39"/>
      <c r="C81" s="39"/>
      <c r="D81" s="39"/>
      <c r="E81" s="39"/>
      <c r="F81" s="39"/>
      <c r="G81" s="39"/>
      <c r="H81" s="39"/>
      <c r="I81" s="39"/>
      <c r="J81" s="39"/>
      <c r="K81" s="39"/>
      <c r="L81" s="39"/>
      <c r="M81" s="39"/>
      <c r="N81" s="39"/>
      <c r="O81" s="154"/>
      <c r="P81" s="154"/>
      <c r="Q81" s="154"/>
      <c r="R81" s="154"/>
      <c r="S81" s="154"/>
      <c r="T81" s="102"/>
      <c r="U81" s="102"/>
      <c r="V81" s="102"/>
      <c r="W81" s="102"/>
      <c r="X81" s="102"/>
      <c r="Y81" s="102"/>
      <c r="Z81" s="102"/>
      <c r="AA81" s="102"/>
      <c r="AB81" s="102"/>
      <c r="AC81" s="102"/>
      <c r="AD81" s="153"/>
      <c r="AE81" s="153"/>
      <c r="AF81" s="153"/>
      <c r="AG81" s="153"/>
      <c r="AH81" s="153"/>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row>
    <row r="82" spans="2:193" ht="31.5" customHeight="1" x14ac:dyDescent="0.2">
      <c r="B82" s="895" t="s">
        <v>863</v>
      </c>
      <c r="C82" s="896"/>
      <c r="D82" s="896"/>
      <c r="E82" s="896"/>
      <c r="F82" s="896"/>
      <c r="G82" s="896"/>
      <c r="H82" s="896"/>
      <c r="I82" s="896"/>
      <c r="J82" s="896"/>
      <c r="K82" s="896"/>
      <c r="L82" s="896"/>
      <c r="M82" s="896"/>
      <c r="N82" s="896"/>
      <c r="O82" s="896"/>
      <c r="P82" s="896"/>
      <c r="Q82" s="896"/>
      <c r="R82" s="896"/>
      <c r="S82" s="896"/>
      <c r="T82" s="896"/>
      <c r="U82" s="896"/>
      <c r="V82" s="896"/>
      <c r="W82" s="896"/>
      <c r="X82" s="896"/>
      <c r="Y82" s="896"/>
      <c r="Z82" s="896"/>
      <c r="AA82" s="896"/>
      <c r="AB82" s="896"/>
      <c r="AC82" s="896"/>
      <c r="AD82" s="896"/>
      <c r="AE82" s="896"/>
      <c r="AF82" s="896"/>
      <c r="AG82" s="896"/>
      <c r="AH82" s="897"/>
      <c r="AI82" s="6"/>
      <c r="AJ82" s="6"/>
      <c r="AK82" s="6"/>
      <c r="AL82" s="214"/>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row>
    <row r="83" spans="2:193" ht="18.75" customHeight="1" x14ac:dyDescent="0.25">
      <c r="B83" s="285" t="s">
        <v>1170</v>
      </c>
      <c r="C83" s="220"/>
      <c r="D83" s="220"/>
      <c r="E83" s="220"/>
      <c r="F83" s="220"/>
      <c r="G83" s="220"/>
      <c r="H83" s="220"/>
      <c r="I83" s="1303" t="str">
        <f>IF('Start here'!A8="","",'Start here'!A8)</f>
        <v/>
      </c>
      <c r="J83" s="1376"/>
      <c r="K83" s="1376"/>
      <c r="L83" s="1377"/>
      <c r="M83" s="1448" t="str">
        <f>IF(I83="","Enter date of injury on 'Start here' worksheet.","")</f>
        <v>Enter date of injury on 'Start here' worksheet.</v>
      </c>
      <c r="N83" s="1449"/>
      <c r="O83" s="1449"/>
      <c r="P83" s="1449"/>
      <c r="Q83" s="1449"/>
      <c r="R83" s="1449"/>
      <c r="S83" s="1449"/>
      <c r="T83" s="1449"/>
      <c r="U83" s="1449"/>
      <c r="V83" s="1449"/>
      <c r="W83" s="1449"/>
      <c r="X83" s="1449"/>
      <c r="Y83" s="1449"/>
      <c r="Z83" s="1449"/>
      <c r="AA83" s="1449"/>
      <c r="AB83" s="1449"/>
      <c r="AC83" s="1449"/>
      <c r="AD83" s="1449"/>
      <c r="AE83" s="1449"/>
      <c r="AF83" s="1449"/>
      <c r="AG83" s="1449"/>
      <c r="AH83" s="145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row>
    <row r="84" spans="2:193" ht="27.75" customHeight="1" x14ac:dyDescent="0.2">
      <c r="B84" s="1019" t="s">
        <v>1067</v>
      </c>
      <c r="C84" s="1020"/>
      <c r="D84" s="1020"/>
      <c r="E84" s="1020"/>
      <c r="F84" s="1020"/>
      <c r="G84" s="1020"/>
      <c r="H84" s="1020"/>
      <c r="I84" s="1020"/>
      <c r="J84" s="1020"/>
      <c r="K84" s="1020"/>
      <c r="L84" s="1021"/>
      <c r="M84" s="947" t="s">
        <v>1759</v>
      </c>
      <c r="N84" s="947"/>
      <c r="O84" s="947"/>
      <c r="P84" s="947"/>
      <c r="Q84" s="315"/>
      <c r="R84" s="1105" t="s">
        <v>102</v>
      </c>
      <c r="S84" s="1105"/>
      <c r="T84" s="1105"/>
      <c r="U84" s="315"/>
      <c r="V84" s="947" t="s">
        <v>355</v>
      </c>
      <c r="W84" s="947"/>
      <c r="X84" s="947"/>
      <c r="Y84" s="146"/>
      <c r="Z84" s="947" t="s">
        <v>1850</v>
      </c>
      <c r="AA84" s="947"/>
      <c r="AB84" s="947"/>
      <c r="AC84" s="947"/>
      <c r="AD84" s="315"/>
      <c r="AE84" s="863" t="s">
        <v>1173</v>
      </c>
      <c r="AF84" s="863"/>
      <c r="AG84" s="863"/>
      <c r="AH84" s="863"/>
      <c r="AI84" s="6"/>
      <c r="AJ84" s="6"/>
      <c r="AK84" s="6"/>
      <c r="AL84" s="77"/>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row>
    <row r="85" spans="2:193" ht="18" customHeight="1" x14ac:dyDescent="0.2">
      <c r="B85" s="791" t="s">
        <v>1097</v>
      </c>
      <c r="C85" s="791"/>
      <c r="D85" s="791"/>
      <c r="E85" s="791"/>
      <c r="F85" s="791"/>
      <c r="G85" s="791"/>
      <c r="H85" s="791"/>
      <c r="I85" s="791"/>
      <c r="J85" s="791"/>
      <c r="K85" s="791"/>
      <c r="L85" s="791"/>
      <c r="M85" s="755">
        <f>IF(I83="",0,IF(I83&gt;=AL3,"DOI&gt;2004",IF(AND(AP70&gt;0,AP70&lt;0.01),0.01,ROUND(AP70,2))))</f>
        <v>0</v>
      </c>
      <c r="N85" s="755"/>
      <c r="O85" s="755"/>
      <c r="P85" s="755"/>
      <c r="Q85" s="18" t="s">
        <v>1754</v>
      </c>
      <c r="R85" s="731">
        <v>100</v>
      </c>
      <c r="S85" s="731"/>
      <c r="T85" s="731"/>
      <c r="U85" s="18" t="s">
        <v>1756</v>
      </c>
      <c r="V85" s="845">
        <f>IF(I83="",0,IF(I83&gt;=AL3,"DOI&gt;2004",ROUND(M85*R85,2)))</f>
        <v>0</v>
      </c>
      <c r="W85" s="845"/>
      <c r="X85" s="845"/>
      <c r="Y85" s="18" t="s">
        <v>1754</v>
      </c>
      <c r="Z85" s="898" t="e">
        <f>'Dol Per Deg'!H11</f>
        <v>#N/A</v>
      </c>
      <c r="AA85" s="898"/>
      <c r="AB85" s="898"/>
      <c r="AC85" s="898"/>
      <c r="AD85" s="18" t="s">
        <v>1756</v>
      </c>
      <c r="AE85" s="1451">
        <f>IF(I83="",0,IF(I83&gt;=AL3,"DOI&gt;2004",ROUND(M85*R85*Z85,2)))</f>
        <v>0</v>
      </c>
      <c r="AF85" s="1451"/>
      <c r="AG85" s="1451"/>
      <c r="AH85" s="1451"/>
      <c r="AI85" s="6"/>
      <c r="AJ85" s="6"/>
      <c r="AK85" s="6"/>
      <c r="AL85" s="77"/>
      <c r="AM85" s="77"/>
      <c r="AN85" s="152"/>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row>
    <row r="86" spans="2:193" ht="18" customHeight="1" x14ac:dyDescent="0.2">
      <c r="B86" s="791" t="s">
        <v>1098</v>
      </c>
      <c r="C86" s="791"/>
      <c r="D86" s="791"/>
      <c r="E86" s="791"/>
      <c r="F86" s="791"/>
      <c r="G86" s="791"/>
      <c r="H86" s="791"/>
      <c r="I86" s="791"/>
      <c r="J86" s="791"/>
      <c r="K86" s="791"/>
      <c r="L86" s="791"/>
      <c r="M86" s="755">
        <f>IF(I83="",0,IF(I83&gt;=AL3,"DOI&gt;2004",IF(AND(AQ70&gt;0,AQ70&lt;0.01),0.01,ROUND(AQ70,2))))</f>
        <v>0</v>
      </c>
      <c r="N86" s="755"/>
      <c r="O86" s="755"/>
      <c r="P86" s="755"/>
      <c r="Q86" s="18" t="s">
        <v>1754</v>
      </c>
      <c r="R86" s="731">
        <v>100</v>
      </c>
      <c r="S86" s="731"/>
      <c r="T86" s="731"/>
      <c r="U86" s="18" t="s">
        <v>1756</v>
      </c>
      <c r="V86" s="845">
        <f>IF(I83="",0,IF(I83&gt;=AL3,"DOI&gt;2004",ROUND(M86*R86,2)))</f>
        <v>0</v>
      </c>
      <c r="W86" s="845"/>
      <c r="X86" s="845"/>
      <c r="Y86" s="18" t="s">
        <v>1754</v>
      </c>
      <c r="Z86" s="898" t="e">
        <f>'Dol Per Deg'!H11</f>
        <v>#N/A</v>
      </c>
      <c r="AA86" s="898"/>
      <c r="AB86" s="898"/>
      <c r="AC86" s="898"/>
      <c r="AD86" s="18" t="s">
        <v>1756</v>
      </c>
      <c r="AE86" s="1451">
        <f>IF(I83="",0,IF(I83&gt;=AL3,"DOI&gt;2004",ROUND(M86*R86*Z86,2)))</f>
        <v>0</v>
      </c>
      <c r="AF86" s="1451"/>
      <c r="AG86" s="1451"/>
      <c r="AH86" s="1451"/>
      <c r="AI86" s="6"/>
      <c r="AJ86" s="6"/>
      <c r="AK86" s="6"/>
      <c r="AL86" s="77"/>
      <c r="AM86" s="77"/>
      <c r="AN86" s="152"/>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row>
    <row r="87" spans="2:193" ht="14.25" customHeight="1" x14ac:dyDescent="0.2">
      <c r="B87" s="1387" t="s">
        <v>902</v>
      </c>
      <c r="C87" s="1388"/>
      <c r="D87" s="1388"/>
      <c r="E87" s="1388"/>
      <c r="F87" s="1388"/>
      <c r="G87" s="1388"/>
      <c r="H87" s="1388"/>
      <c r="I87" s="1388"/>
      <c r="J87" s="1388"/>
      <c r="K87" s="1388"/>
      <c r="L87" s="1388"/>
      <c r="M87" s="1388"/>
      <c r="N87" s="1388"/>
      <c r="O87" s="1388"/>
      <c r="P87" s="1388"/>
      <c r="Q87" s="1388"/>
      <c r="R87" s="1388"/>
      <c r="S87" s="1388"/>
      <c r="T87" s="1388"/>
      <c r="U87" s="1388"/>
      <c r="V87" s="1388"/>
      <c r="W87" s="1388"/>
      <c r="X87" s="1388"/>
      <c r="Y87" s="1388"/>
      <c r="Z87" s="1388"/>
      <c r="AA87" s="1388"/>
      <c r="AB87" s="1388"/>
      <c r="AC87" s="1389"/>
      <c r="AD87" s="18" t="s">
        <v>1756</v>
      </c>
      <c r="AE87" s="1452">
        <f>IF(I83="",0,IF(I83&gt;=AL3,"DOI&gt;2004",SUM(AE85:AH86)))</f>
        <v>0</v>
      </c>
      <c r="AF87" s="1452"/>
      <c r="AG87" s="1452"/>
      <c r="AH87" s="1452"/>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row>
    <row r="88" spans="2:193" ht="12" customHeight="1" x14ac:dyDescent="0.2">
      <c r="B88" s="1433"/>
      <c r="C88" s="1133"/>
      <c r="D88" s="1133"/>
      <c r="E88" s="1133"/>
      <c r="F88" s="1133"/>
      <c r="G88" s="1133"/>
      <c r="H88" s="1133"/>
      <c r="I88" s="1133"/>
      <c r="J88" s="1133"/>
      <c r="K88" s="1133"/>
      <c r="L88" s="1133"/>
      <c r="M88" s="1133"/>
      <c r="N88" s="1133"/>
      <c r="O88" s="1133"/>
      <c r="P88" s="1133"/>
      <c r="Q88" s="1133"/>
      <c r="R88" s="1133"/>
      <c r="AH88" s="316"/>
      <c r="AI88" s="6"/>
      <c r="AJ88" s="6"/>
      <c r="AK88" s="6"/>
      <c r="AL88" s="10"/>
      <c r="AM88" s="10"/>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row>
    <row r="89" spans="2:193" ht="18" customHeight="1" x14ac:dyDescent="0.2">
      <c r="B89" s="791" t="s">
        <v>734</v>
      </c>
      <c r="C89" s="791"/>
      <c r="D89" s="791"/>
      <c r="E89" s="791"/>
      <c r="F89" s="791"/>
      <c r="G89" s="791"/>
      <c r="H89" s="791"/>
      <c r="I89" s="791"/>
      <c r="J89" s="791"/>
      <c r="K89" s="791"/>
      <c r="L89" s="791"/>
      <c r="M89" s="791"/>
      <c r="N89" s="791"/>
      <c r="O89" s="791"/>
      <c r="P89" s="791"/>
      <c r="Q89" s="791"/>
      <c r="R89" s="791"/>
      <c r="S89" s="747">
        <f>IF(I83="",0,IF(I83&gt;=AL3,"DOI&gt;2004",MIN(AP70,AQ70)))</f>
        <v>0</v>
      </c>
      <c r="T89" s="747"/>
      <c r="U89" s="747"/>
      <c r="V89" s="747"/>
      <c r="W89" s="747"/>
      <c r="X89" s="18" t="s">
        <v>1754</v>
      </c>
      <c r="Y89" s="731">
        <v>3</v>
      </c>
      <c r="Z89" s="731"/>
      <c r="AA89" s="731"/>
      <c r="AB89" s="731"/>
      <c r="AC89" s="731"/>
      <c r="AD89" s="18" t="s">
        <v>1756</v>
      </c>
      <c r="AE89" s="747">
        <f>IF(I83="",0,IF(I83&gt;=AL3,"DOI&gt;2004",S89*Y89))</f>
        <v>0</v>
      </c>
      <c r="AF89" s="747"/>
      <c r="AG89" s="747"/>
      <c r="AH89" s="747"/>
      <c r="AI89" s="6"/>
      <c r="AJ89" s="6"/>
      <c r="AK89" s="6"/>
      <c r="AL89" s="10"/>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row>
    <row r="90" spans="2:193" ht="18" customHeight="1" x14ac:dyDescent="0.2">
      <c r="B90" s="791" t="s">
        <v>735</v>
      </c>
      <c r="C90" s="791"/>
      <c r="D90" s="791"/>
      <c r="E90" s="791"/>
      <c r="F90" s="791"/>
      <c r="G90" s="791"/>
      <c r="H90" s="791"/>
      <c r="I90" s="791"/>
      <c r="J90" s="791"/>
      <c r="K90" s="791"/>
      <c r="L90" s="791"/>
      <c r="M90" s="791"/>
      <c r="N90" s="791"/>
      <c r="O90" s="791"/>
      <c r="P90" s="791"/>
      <c r="Q90" s="791"/>
      <c r="R90" s="791"/>
      <c r="S90" s="747">
        <f>AE89</f>
        <v>0</v>
      </c>
      <c r="T90" s="747"/>
      <c r="U90" s="747"/>
      <c r="V90" s="747"/>
      <c r="W90" s="747"/>
      <c r="X90" s="18" t="s">
        <v>1073</v>
      </c>
      <c r="Y90" s="747">
        <f>IF(I83="",0,IF(I83&gt;=AL3,"DOI&gt;2004",MAX(AP70,AQ70)))</f>
        <v>0</v>
      </c>
      <c r="Z90" s="747"/>
      <c r="AA90" s="747"/>
      <c r="AB90" s="747"/>
      <c r="AC90" s="747"/>
      <c r="AD90" s="18" t="s">
        <v>1756</v>
      </c>
      <c r="AE90" s="747">
        <f>IF(I83="",0,IF(I83&gt;=AL3,"DOI&gt;2004",S90+Y90))</f>
        <v>0</v>
      </c>
      <c r="AF90" s="747"/>
      <c r="AG90" s="747"/>
      <c r="AH90" s="747"/>
      <c r="AI90" s="6"/>
      <c r="AJ90" s="6"/>
      <c r="AK90" s="6"/>
      <c r="AL90" s="10"/>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row>
    <row r="91" spans="2:193" ht="18" customHeight="1" x14ac:dyDescent="0.2">
      <c r="B91" s="791" t="s">
        <v>736</v>
      </c>
      <c r="C91" s="791"/>
      <c r="D91" s="791"/>
      <c r="E91" s="791"/>
      <c r="F91" s="791"/>
      <c r="G91" s="791"/>
      <c r="H91" s="791"/>
      <c r="I91" s="791"/>
      <c r="J91" s="791"/>
      <c r="K91" s="791"/>
      <c r="L91" s="791"/>
      <c r="M91" s="791"/>
      <c r="N91" s="791"/>
      <c r="O91" s="791"/>
      <c r="P91" s="791"/>
      <c r="Q91" s="791"/>
      <c r="R91" s="791"/>
      <c r="S91" s="747">
        <f>AE90</f>
        <v>0</v>
      </c>
      <c r="T91" s="747"/>
      <c r="U91" s="747"/>
      <c r="V91" s="747"/>
      <c r="W91" s="747"/>
      <c r="X91" s="18" t="s">
        <v>468</v>
      </c>
      <c r="Y91" s="731">
        <v>4</v>
      </c>
      <c r="Z91" s="731"/>
      <c r="AA91" s="731"/>
      <c r="AB91" s="731"/>
      <c r="AC91" s="731"/>
      <c r="AD91" s="18" t="s">
        <v>1756</v>
      </c>
      <c r="AE91" s="914">
        <f>IF(I83="",0,IF(I83&gt;=AL3,"DOI&gt;2004",IF(AND(S91/Y91&gt;0,S91/Y91&lt;0.01),0.01,ROUND(S91/Y91,2))))</f>
        <v>0</v>
      </c>
      <c r="AF91" s="914"/>
      <c r="AG91" s="914"/>
      <c r="AH91" s="914"/>
      <c r="AI91" s="6"/>
      <c r="AJ91" s="6"/>
      <c r="AK91" s="6"/>
      <c r="AL91" s="10"/>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row>
    <row r="92" spans="2:193" ht="12" customHeight="1" x14ac:dyDescent="0.2">
      <c r="B92" s="88"/>
      <c r="C92" s="6"/>
      <c r="D92" s="6"/>
      <c r="E92" s="6"/>
      <c r="F92" s="6"/>
      <c r="G92" s="6"/>
      <c r="H92" s="6"/>
      <c r="I92" s="6"/>
      <c r="J92" s="6"/>
      <c r="K92" s="6"/>
      <c r="L92" s="6"/>
      <c r="M92" s="6"/>
      <c r="N92" s="6"/>
      <c r="O92" s="6"/>
      <c r="P92" s="6"/>
      <c r="Q92" s="6"/>
      <c r="R92" s="6"/>
      <c r="S92" s="210"/>
      <c r="T92" s="210"/>
      <c r="U92" s="210"/>
      <c r="V92" s="210"/>
      <c r="W92" s="210"/>
      <c r="X92" s="1"/>
      <c r="Y92" s="1"/>
      <c r="Z92" s="1"/>
      <c r="AA92" s="1"/>
      <c r="AB92" s="1"/>
      <c r="AC92" s="1"/>
      <c r="AD92" s="1"/>
      <c r="AE92" s="210"/>
      <c r="AF92" s="210"/>
      <c r="AG92" s="210"/>
      <c r="AH92" s="286"/>
      <c r="AI92" s="6"/>
      <c r="AJ92" s="6"/>
      <c r="AK92" s="6"/>
      <c r="AL92" s="10"/>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row>
    <row r="93" spans="2:193" ht="27.75" customHeight="1" x14ac:dyDescent="0.2">
      <c r="B93" s="947"/>
      <c r="C93" s="947"/>
      <c r="D93" s="947"/>
      <c r="E93" s="947"/>
      <c r="F93" s="947"/>
      <c r="G93" s="947"/>
      <c r="H93" s="947"/>
      <c r="I93" s="947"/>
      <c r="J93" s="947"/>
      <c r="K93" s="947"/>
      <c r="L93" s="947"/>
      <c r="M93" s="947" t="s">
        <v>1759</v>
      </c>
      <c r="N93" s="947"/>
      <c r="O93" s="947"/>
      <c r="P93" s="947"/>
      <c r="Q93" s="315"/>
      <c r="R93" s="1105" t="s">
        <v>102</v>
      </c>
      <c r="S93" s="1105"/>
      <c r="T93" s="1105"/>
      <c r="U93" s="315"/>
      <c r="V93" s="947" t="s">
        <v>355</v>
      </c>
      <c r="W93" s="947"/>
      <c r="X93" s="947"/>
      <c r="Y93" s="146"/>
      <c r="Z93" s="947" t="s">
        <v>1850</v>
      </c>
      <c r="AA93" s="947"/>
      <c r="AB93" s="947"/>
      <c r="AC93" s="947"/>
      <c r="AD93" s="315"/>
      <c r="AE93" s="863" t="s">
        <v>1173</v>
      </c>
      <c r="AF93" s="863"/>
      <c r="AG93" s="863"/>
      <c r="AH93" s="863"/>
      <c r="AI93" s="6"/>
      <c r="AJ93" s="6"/>
      <c r="AK93" s="6"/>
      <c r="AL93" s="77"/>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row>
    <row r="94" spans="2:193" ht="18" customHeight="1" x14ac:dyDescent="0.2">
      <c r="B94" s="864" t="s">
        <v>1099</v>
      </c>
      <c r="C94" s="865"/>
      <c r="D94" s="865"/>
      <c r="E94" s="865"/>
      <c r="F94" s="865"/>
      <c r="G94" s="865"/>
      <c r="H94" s="865"/>
      <c r="I94" s="865"/>
      <c r="J94" s="865"/>
      <c r="K94" s="865"/>
      <c r="L94" s="866"/>
      <c r="M94" s="755">
        <f>AE91</f>
        <v>0</v>
      </c>
      <c r="N94" s="755"/>
      <c r="O94" s="755"/>
      <c r="P94" s="755"/>
      <c r="Q94" s="18" t="s">
        <v>1754</v>
      </c>
      <c r="R94" s="731">
        <v>300</v>
      </c>
      <c r="S94" s="731"/>
      <c r="T94" s="731"/>
      <c r="U94" s="18" t="s">
        <v>1756</v>
      </c>
      <c r="V94" s="845">
        <f>IF(I83="",0,IF(I83&gt;=AL3,"DOI&gt;2004",ROUND(M94*R94,2)))</f>
        <v>0</v>
      </c>
      <c r="W94" s="845"/>
      <c r="X94" s="845"/>
      <c r="Y94" s="18" t="s">
        <v>1754</v>
      </c>
      <c r="Z94" s="898" t="e">
        <f>'Dol Per Deg'!H11</f>
        <v>#N/A</v>
      </c>
      <c r="AA94" s="898"/>
      <c r="AB94" s="898"/>
      <c r="AC94" s="898"/>
      <c r="AD94" s="18" t="s">
        <v>1756</v>
      </c>
      <c r="AE94" s="1382">
        <f>IF(I83="",0,IF(I83&gt;=AL3,"DOI&gt;2004",ROUND(V94*Z94,2)))</f>
        <v>0</v>
      </c>
      <c r="AF94" s="1382"/>
      <c r="AG94" s="1382"/>
      <c r="AH94" s="1382"/>
      <c r="AI94" s="6"/>
      <c r="AJ94" s="6"/>
      <c r="AK94" s="6"/>
      <c r="AL94" s="77"/>
      <c r="AM94" s="77"/>
      <c r="AN94" s="152"/>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row>
    <row r="95" spans="2:193" ht="18" customHeight="1" x14ac:dyDescent="0.2">
      <c r="B95" s="1375" t="str">
        <f>IF(OR(I83&gt;=AL3,AE95=0),"",IF(AE87&gt;AE94,AL76,IF(AE94&gt;=AE87,AL77,"")))</f>
        <v/>
      </c>
      <c r="C95" s="1375"/>
      <c r="D95" s="1375"/>
      <c r="E95" s="1375"/>
      <c r="F95" s="1375"/>
      <c r="G95" s="1375"/>
      <c r="H95" s="1375"/>
      <c r="I95" s="1375"/>
      <c r="J95" s="1375"/>
      <c r="K95" s="1375"/>
      <c r="L95" s="1375"/>
      <c r="M95" s="1375"/>
      <c r="N95" s="1375"/>
      <c r="O95" s="1375"/>
      <c r="P95" s="1375"/>
      <c r="Q95" s="1375"/>
      <c r="R95" s="1375"/>
      <c r="S95" s="1375"/>
      <c r="T95" s="1375"/>
      <c r="U95" s="1375"/>
      <c r="V95" s="1375"/>
      <c r="W95" s="1375"/>
      <c r="X95" s="1375"/>
      <c r="Y95" s="1375"/>
      <c r="Z95" s="1375"/>
      <c r="AA95" s="1375"/>
      <c r="AB95" s="1375"/>
      <c r="AC95" s="1375"/>
      <c r="AD95" s="1375"/>
      <c r="AE95" s="1382">
        <f>IF(I83="",0,IF(I83&gt;=AL3,"DOI&gt;2004",MAX(AE87,AE94)))</f>
        <v>0</v>
      </c>
      <c r="AF95" s="1382"/>
      <c r="AG95" s="1382"/>
      <c r="AH95" s="1382"/>
      <c r="AI95" s="6"/>
      <c r="AJ95" s="6"/>
      <c r="AK95" s="6"/>
      <c r="AL95" s="13">
        <f>IF(B95=AL77,4,IF(B95=AL76,3,IF(AND(M85&lt;&gt;"DOI&gt;2004",M85&gt;0),2,IF(AND(M86&lt;&gt;"DOI&gt;2004",M86&gt;0),1,0))))</f>
        <v>0</v>
      </c>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row>
    <row r="96" spans="2:193" ht="30.75" customHeight="1" x14ac:dyDescent="0.2">
      <c r="B96" s="1390" t="s">
        <v>931</v>
      </c>
      <c r="C96" s="1391"/>
      <c r="D96" s="1391"/>
      <c r="E96" s="1391"/>
      <c r="F96" s="1391"/>
      <c r="G96" s="1391"/>
      <c r="H96" s="1391"/>
      <c r="I96" s="1391"/>
      <c r="J96" s="1391"/>
      <c r="K96" s="1391"/>
      <c r="L96" s="1391"/>
      <c r="M96" s="1391"/>
      <c r="N96" s="1391"/>
      <c r="O96" s="1391"/>
      <c r="P96" s="1391"/>
      <c r="Q96" s="1391"/>
      <c r="R96" s="1391"/>
      <c r="S96" s="1391"/>
      <c r="T96" s="1391"/>
      <c r="U96" s="1391"/>
      <c r="V96" s="1391"/>
      <c r="W96" s="1391"/>
      <c r="X96" s="1391"/>
      <c r="Y96" s="1391"/>
      <c r="Z96" s="1391"/>
      <c r="AA96" s="1391"/>
      <c r="AB96" s="1391"/>
      <c r="AC96" s="1391"/>
      <c r="AD96" s="1391"/>
      <c r="AE96" s="1391"/>
      <c r="AF96" s="1391"/>
      <c r="AG96" s="1391"/>
      <c r="AH96" s="1392"/>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row>
    <row r="97" spans="2:193" ht="18" customHeight="1" x14ac:dyDescent="0.2">
      <c r="B97" s="1393" t="s">
        <v>775</v>
      </c>
      <c r="C97" s="1393"/>
      <c r="D97" s="1393"/>
      <c r="E97" s="1393"/>
      <c r="F97" s="1393"/>
      <c r="G97" s="1393"/>
      <c r="H97" s="1393"/>
      <c r="I97" s="1393"/>
      <c r="J97" s="1393"/>
      <c r="K97" s="1394" t="str">
        <f>IF(AN4&lt;&gt;"",AN4,"")</f>
        <v>Go to PPD Worksheet</v>
      </c>
      <c r="L97" s="1394"/>
      <c r="M97" s="1394"/>
      <c r="N97" s="1394"/>
      <c r="O97" s="1394"/>
      <c r="P97" s="1394"/>
      <c r="Q97" s="1394"/>
      <c r="R97" s="1394"/>
      <c r="S97" s="1394"/>
      <c r="T97" s="1394" t="str">
        <f>IF(AL4&lt;&gt;"",AL4,"")</f>
        <v/>
      </c>
      <c r="U97" s="1394"/>
      <c r="V97" s="1394"/>
      <c r="W97" s="1394"/>
      <c r="X97" s="1394"/>
      <c r="Y97" s="1394"/>
      <c r="Z97" s="1394"/>
      <c r="AH97" s="15"/>
      <c r="AI97" s="6"/>
      <c r="AJ97" s="6"/>
      <c r="AK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row>
    <row r="98" spans="2:193" ht="18" customHeight="1" x14ac:dyDescent="0.2">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row>
    <row r="99" spans="2:193" ht="18" customHeight="1" x14ac:dyDescent="0.2">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row>
    <row r="100" spans="2:193" ht="18" customHeight="1" x14ac:dyDescent="0.2">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row>
    <row r="101" spans="2:193" ht="18" hidden="1" customHeight="1" x14ac:dyDescent="0.2">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row>
    <row r="102" spans="2:193" ht="18" hidden="1" customHeight="1" x14ac:dyDescent="0.2">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row>
    <row r="103" spans="2:193" ht="18" hidden="1" customHeight="1" x14ac:dyDescent="0.2">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row>
    <row r="104" spans="2:193" ht="18" hidden="1" customHeight="1" x14ac:dyDescent="0.2">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row>
    <row r="105" spans="2:193" ht="18" hidden="1" customHeight="1" x14ac:dyDescent="0.2">
      <c r="B105" s="39"/>
      <c r="C105" s="741" t="s">
        <v>2205</v>
      </c>
      <c r="D105" s="741"/>
      <c r="E105" s="741"/>
      <c r="F105" s="741"/>
      <c r="G105" s="741"/>
      <c r="H105" s="741"/>
      <c r="I105" s="741"/>
      <c r="J105" s="741"/>
      <c r="K105" s="741"/>
      <c r="L105" s="741"/>
      <c r="M105" s="741"/>
      <c r="N105" s="741"/>
      <c r="O105" s="741"/>
      <c r="P105" s="741"/>
      <c r="Q105" s="741"/>
      <c r="R105" s="741"/>
      <c r="S105" s="741"/>
      <c r="T105" s="741"/>
      <c r="U105" s="741"/>
      <c r="V105" s="741"/>
      <c r="W105" s="741"/>
      <c r="X105" s="741"/>
      <c r="Y105" s="741"/>
      <c r="Z105" s="741"/>
      <c r="AA105" s="741"/>
      <c r="AB105" s="741"/>
      <c r="AC105" s="741"/>
      <c r="AD105" s="741"/>
      <c r="AE105" s="741"/>
      <c r="AF105" s="741"/>
      <c r="AG105" s="741"/>
      <c r="AH105" s="741"/>
      <c r="AI105" s="741"/>
      <c r="AJ105" s="741"/>
      <c r="AK105" s="741"/>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row>
    <row r="106" spans="2:193" ht="18" hidden="1" customHeight="1" x14ac:dyDescent="0.2">
      <c r="B106" s="39"/>
      <c r="C106" s="180">
        <v>0.01</v>
      </c>
      <c r="D106" s="180">
        <v>0.99</v>
      </c>
      <c r="E106" s="10"/>
      <c r="F106" s="39"/>
      <c r="G106" s="39"/>
      <c r="H106" s="39"/>
      <c r="I106" s="39"/>
      <c r="J106" s="39"/>
      <c r="K106" s="39"/>
      <c r="L106" s="39"/>
      <c r="M106" s="39"/>
      <c r="N106" s="161"/>
      <c r="O106" s="161"/>
      <c r="P106" s="161"/>
      <c r="Q106" s="161"/>
      <c r="R106" s="161"/>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row>
    <row r="107" spans="2:193" hidden="1" x14ac:dyDescent="0.2">
      <c r="C107" s="146" t="s">
        <v>1770</v>
      </c>
      <c r="D107" s="146" t="s">
        <v>1771</v>
      </c>
      <c r="E107" s="146" t="s">
        <v>737</v>
      </c>
      <c r="F107" s="146" t="s">
        <v>458</v>
      </c>
      <c r="G107" s="146" t="s">
        <v>738</v>
      </c>
      <c r="H107" s="146" t="s">
        <v>739</v>
      </c>
      <c r="I107" s="146" t="s">
        <v>740</v>
      </c>
      <c r="J107" s="146" t="s">
        <v>741</v>
      </c>
      <c r="K107" s="146" t="s">
        <v>742</v>
      </c>
      <c r="L107" s="146" t="s">
        <v>743</v>
      </c>
      <c r="M107" s="146" t="s">
        <v>744</v>
      </c>
      <c r="N107" s="146" t="s">
        <v>745</v>
      </c>
      <c r="O107" s="146" t="s">
        <v>746</v>
      </c>
      <c r="P107" s="146" t="s">
        <v>747</v>
      </c>
      <c r="Q107" s="146" t="s">
        <v>748</v>
      </c>
      <c r="R107" s="146" t="s">
        <v>749</v>
      </c>
      <c r="S107" s="146" t="s">
        <v>750</v>
      </c>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row>
    <row r="108" spans="2:193" hidden="1" x14ac:dyDescent="0.2">
      <c r="C108" s="2">
        <v>0</v>
      </c>
      <c r="D108" s="2">
        <v>0</v>
      </c>
      <c r="E108" s="2">
        <v>5</v>
      </c>
      <c r="F108" s="2">
        <v>10</v>
      </c>
      <c r="G108" s="2">
        <v>15</v>
      </c>
      <c r="H108" s="2">
        <v>25</v>
      </c>
      <c r="I108" s="2">
        <v>35</v>
      </c>
      <c r="J108" s="2">
        <v>40</v>
      </c>
      <c r="K108" s="2">
        <v>45</v>
      </c>
      <c r="L108" s="2">
        <v>50</v>
      </c>
      <c r="M108" s="2">
        <v>60</v>
      </c>
      <c r="N108" s="2">
        <v>70</v>
      </c>
      <c r="O108" s="2">
        <v>80</v>
      </c>
      <c r="P108" s="2">
        <v>85</v>
      </c>
      <c r="Q108" s="2">
        <v>90</v>
      </c>
      <c r="R108" s="2">
        <v>95</v>
      </c>
      <c r="S108" s="2">
        <v>100</v>
      </c>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row>
    <row r="109" spans="2:193" s="406" customFormat="1" hidden="1" x14ac:dyDescent="0.2">
      <c r="C109" s="406" t="s">
        <v>1492</v>
      </c>
      <c r="D109" s="406" t="s">
        <v>1493</v>
      </c>
      <c r="E109" s="406" t="s">
        <v>1494</v>
      </c>
      <c r="F109" s="406" t="s">
        <v>1510</v>
      </c>
      <c r="G109" s="406" t="s">
        <v>1511</v>
      </c>
      <c r="H109" s="406" t="s">
        <v>1512</v>
      </c>
      <c r="I109" s="406" t="s">
        <v>1513</v>
      </c>
      <c r="J109" s="406" t="s">
        <v>972</v>
      </c>
      <c r="K109" s="406" t="s">
        <v>973</v>
      </c>
      <c r="L109" s="406" t="s">
        <v>974</v>
      </c>
      <c r="M109" s="406" t="s">
        <v>975</v>
      </c>
      <c r="N109" s="406" t="s">
        <v>976</v>
      </c>
      <c r="O109" s="406" t="s">
        <v>977</v>
      </c>
      <c r="P109" s="406" t="s">
        <v>1371</v>
      </c>
      <c r="Q109" s="406" t="s">
        <v>1372</v>
      </c>
      <c r="R109" s="2" t="s">
        <v>749</v>
      </c>
      <c r="S109" s="2" t="s">
        <v>750</v>
      </c>
      <c r="AI109" s="119"/>
      <c r="AJ109" s="119"/>
      <c r="AK109" s="119"/>
      <c r="AL109" s="119"/>
      <c r="AM109" s="119"/>
      <c r="AN109" s="119"/>
      <c r="AO109" s="119"/>
      <c r="AP109" s="119"/>
      <c r="AQ109" s="119"/>
      <c r="AR109" s="119"/>
      <c r="AS109" s="119"/>
      <c r="AT109" s="119"/>
      <c r="AU109" s="119"/>
      <c r="AV109" s="119"/>
      <c r="AW109" s="119"/>
      <c r="AX109" s="119"/>
      <c r="AY109" s="119"/>
      <c r="AZ109" s="119"/>
      <c r="BA109" s="119"/>
      <c r="BB109" s="119"/>
      <c r="BC109" s="119"/>
      <c r="BD109" s="119"/>
      <c r="BE109" s="119"/>
      <c r="BF109" s="119"/>
      <c r="BG109" s="119"/>
      <c r="BH109" s="119"/>
      <c r="BI109" s="119"/>
      <c r="BJ109" s="119"/>
      <c r="BK109" s="119"/>
      <c r="BL109" s="119"/>
      <c r="BM109" s="119"/>
      <c r="BN109" s="119"/>
      <c r="BO109" s="119"/>
      <c r="BP109" s="119"/>
      <c r="BQ109" s="119"/>
      <c r="BR109" s="119"/>
      <c r="BS109" s="119"/>
      <c r="BT109" s="119"/>
      <c r="BU109" s="119"/>
      <c r="BV109" s="119"/>
      <c r="BW109" s="119"/>
      <c r="BX109" s="119"/>
      <c r="BY109" s="119"/>
      <c r="BZ109" s="119"/>
      <c r="CA109" s="119"/>
      <c r="CB109" s="119"/>
      <c r="CC109" s="119"/>
      <c r="CD109" s="119"/>
      <c r="CE109" s="119"/>
      <c r="CF109" s="119"/>
      <c r="CG109" s="119"/>
      <c r="CH109" s="119"/>
      <c r="CI109" s="119"/>
      <c r="CJ109" s="119"/>
      <c r="CK109" s="119"/>
      <c r="CL109" s="119"/>
      <c r="CM109" s="119"/>
      <c r="CN109" s="119"/>
      <c r="CO109" s="119"/>
      <c r="CP109" s="119"/>
      <c r="CQ109" s="119"/>
      <c r="CR109" s="119"/>
      <c r="CS109" s="119"/>
      <c r="CT109" s="119"/>
      <c r="CU109" s="119"/>
      <c r="CV109" s="119"/>
      <c r="CW109" s="119"/>
      <c r="CX109" s="119"/>
      <c r="CY109" s="119"/>
      <c r="CZ109" s="119"/>
      <c r="DA109" s="119"/>
      <c r="DB109" s="119"/>
      <c r="DC109" s="119"/>
      <c r="DD109" s="119"/>
      <c r="DE109" s="6"/>
      <c r="DF109" s="6"/>
      <c r="DG109" s="119"/>
      <c r="DH109" s="119"/>
      <c r="DI109" s="119"/>
      <c r="DJ109" s="119"/>
      <c r="DK109" s="119"/>
      <c r="DL109" s="119"/>
      <c r="DM109" s="119"/>
      <c r="DN109" s="119"/>
      <c r="DO109" s="119"/>
      <c r="DP109" s="119"/>
      <c r="DQ109" s="119"/>
      <c r="DR109" s="119"/>
      <c r="DS109" s="119"/>
      <c r="DT109" s="119"/>
      <c r="DU109" s="119"/>
      <c r="DV109" s="119"/>
      <c r="DW109" s="119"/>
      <c r="DX109" s="119"/>
      <c r="DY109" s="119"/>
      <c r="DZ109" s="119"/>
      <c r="EA109" s="119"/>
      <c r="EB109" s="119"/>
      <c r="EC109" s="119"/>
      <c r="ED109" s="119"/>
      <c r="EE109" s="119"/>
      <c r="EF109" s="119"/>
      <c r="EG109" s="119"/>
      <c r="EH109" s="119"/>
      <c r="EI109" s="119"/>
      <c r="EJ109" s="119"/>
      <c r="EK109" s="119"/>
      <c r="EL109" s="119"/>
      <c r="EM109" s="119"/>
      <c r="EN109" s="119"/>
      <c r="EO109" s="119"/>
      <c r="EP109" s="119"/>
      <c r="EQ109" s="119"/>
      <c r="ER109" s="119"/>
      <c r="ES109" s="119"/>
      <c r="ET109" s="119"/>
      <c r="EU109" s="119"/>
      <c r="EV109" s="119"/>
      <c r="EW109" s="119"/>
      <c r="EX109" s="119"/>
      <c r="EY109" s="119"/>
      <c r="EZ109" s="119"/>
      <c r="FA109" s="119"/>
      <c r="FB109" s="119"/>
      <c r="FC109" s="119"/>
      <c r="FD109" s="119"/>
      <c r="FE109" s="119"/>
      <c r="FF109" s="119"/>
      <c r="FG109" s="119"/>
      <c r="FH109" s="119"/>
      <c r="FI109" s="119"/>
      <c r="FJ109" s="119"/>
      <c r="FK109" s="119"/>
      <c r="FL109" s="119"/>
      <c r="FM109" s="119"/>
      <c r="FN109" s="119"/>
      <c r="FO109" s="119"/>
      <c r="FP109" s="119"/>
      <c r="FQ109" s="119"/>
      <c r="FR109" s="119"/>
      <c r="FS109" s="119"/>
      <c r="FT109" s="119"/>
      <c r="FU109" s="119"/>
      <c r="FV109" s="119"/>
      <c r="FW109" s="119"/>
      <c r="FX109" s="119"/>
      <c r="FY109" s="119"/>
      <c r="FZ109" s="119"/>
      <c r="GA109" s="119"/>
      <c r="GB109" s="119"/>
      <c r="GC109" s="119"/>
      <c r="GD109" s="119"/>
      <c r="GE109" s="119"/>
      <c r="GF109" s="119"/>
      <c r="GG109" s="119"/>
      <c r="GH109" s="119"/>
      <c r="GI109" s="119"/>
      <c r="GJ109" s="119"/>
      <c r="GK109" s="119"/>
    </row>
    <row r="110" spans="2:193" hidden="1" x14ac:dyDescent="0.2">
      <c r="C110" s="2">
        <v>0</v>
      </c>
      <c r="D110" s="2">
        <v>0</v>
      </c>
      <c r="E110" s="2">
        <v>5</v>
      </c>
      <c r="F110" s="2">
        <v>10</v>
      </c>
      <c r="G110" s="2">
        <v>15</v>
      </c>
      <c r="H110" s="2">
        <v>25</v>
      </c>
      <c r="I110" s="2">
        <v>35</v>
      </c>
      <c r="J110" s="2">
        <v>40</v>
      </c>
      <c r="K110" s="2">
        <v>45</v>
      </c>
      <c r="L110" s="2">
        <v>50</v>
      </c>
      <c r="M110" s="2">
        <v>60</v>
      </c>
      <c r="N110" s="2">
        <v>70</v>
      </c>
      <c r="O110" s="2">
        <v>80</v>
      </c>
      <c r="P110" s="2">
        <v>85</v>
      </c>
      <c r="Q110" s="2">
        <v>90</v>
      </c>
      <c r="R110" s="2">
        <v>95</v>
      </c>
      <c r="S110" s="2">
        <v>100</v>
      </c>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row>
    <row r="111" spans="2:193" hidden="1" x14ac:dyDescent="0.2">
      <c r="C111" s="2" t="s">
        <v>1373</v>
      </c>
      <c r="D111" s="2" t="s">
        <v>1374</v>
      </c>
      <c r="E111" s="2" t="s">
        <v>1375</v>
      </c>
      <c r="F111" s="2" t="s">
        <v>1376</v>
      </c>
      <c r="G111" s="2" t="s">
        <v>1377</v>
      </c>
      <c r="H111" s="2" t="s">
        <v>1378</v>
      </c>
      <c r="I111" s="2" t="s">
        <v>1379</v>
      </c>
      <c r="J111" s="2" t="s">
        <v>1380</v>
      </c>
      <c r="K111" s="2" t="s">
        <v>732</v>
      </c>
      <c r="L111" s="2" t="s">
        <v>733</v>
      </c>
      <c r="M111" s="2" t="s">
        <v>497</v>
      </c>
      <c r="N111" s="2" t="s">
        <v>1090</v>
      </c>
      <c r="O111" s="2" t="s">
        <v>1091</v>
      </c>
      <c r="P111" s="2" t="s">
        <v>1092</v>
      </c>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row>
    <row r="112" spans="2:193" hidden="1" x14ac:dyDescent="0.2">
      <c r="C112" s="2">
        <v>0</v>
      </c>
      <c r="D112" s="2">
        <v>0</v>
      </c>
      <c r="E112" s="2">
        <v>5</v>
      </c>
      <c r="F112" s="2">
        <v>7</v>
      </c>
      <c r="G112" s="2">
        <v>10</v>
      </c>
      <c r="H112" s="2">
        <v>50</v>
      </c>
      <c r="I112" s="2">
        <v>55</v>
      </c>
      <c r="J112" s="2">
        <v>60</v>
      </c>
      <c r="K112" s="2">
        <v>80</v>
      </c>
      <c r="L112" s="2">
        <v>85</v>
      </c>
      <c r="M112" s="2">
        <v>87</v>
      </c>
      <c r="N112" s="2">
        <v>90</v>
      </c>
      <c r="O112" s="2">
        <v>95</v>
      </c>
      <c r="P112" s="2">
        <v>98</v>
      </c>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row>
    <row r="113" spans="2:253" hidden="1" x14ac:dyDescent="0.2">
      <c r="C113" s="2">
        <v>1</v>
      </c>
      <c r="D113" s="2">
        <v>2</v>
      </c>
      <c r="E113" s="2">
        <v>3</v>
      </c>
      <c r="F113" s="2">
        <v>4</v>
      </c>
      <c r="G113" s="2">
        <v>5</v>
      </c>
      <c r="H113" s="2">
        <v>6</v>
      </c>
      <c r="I113" s="2">
        <v>7</v>
      </c>
      <c r="J113" s="2">
        <v>8</v>
      </c>
      <c r="K113" s="2">
        <v>9</v>
      </c>
      <c r="L113" s="2">
        <v>10</v>
      </c>
      <c r="M113" s="2">
        <v>11</v>
      </c>
      <c r="N113" s="2">
        <v>12</v>
      </c>
      <c r="O113" s="2">
        <v>13</v>
      </c>
      <c r="P113" s="2">
        <v>14</v>
      </c>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row>
    <row r="114" spans="2:253" hidden="1" x14ac:dyDescent="0.2">
      <c r="C114" s="2">
        <v>0</v>
      </c>
      <c r="D114" s="2">
        <v>0</v>
      </c>
      <c r="E114" s="2">
        <v>5</v>
      </c>
      <c r="F114" s="2">
        <v>7</v>
      </c>
      <c r="G114" s="2">
        <v>10</v>
      </c>
      <c r="H114" s="2">
        <v>50</v>
      </c>
      <c r="I114" s="2">
        <v>55</v>
      </c>
      <c r="J114" s="2">
        <v>60</v>
      </c>
      <c r="K114" s="2">
        <v>80</v>
      </c>
      <c r="L114" s="2">
        <v>85</v>
      </c>
      <c r="M114" s="2">
        <v>87</v>
      </c>
      <c r="N114" s="2">
        <v>90</v>
      </c>
      <c r="O114" s="2">
        <v>95</v>
      </c>
      <c r="P114" s="2">
        <v>98</v>
      </c>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row>
    <row r="115" spans="2:253" hidden="1" x14ac:dyDescent="0.2">
      <c r="C115" s="2">
        <v>3</v>
      </c>
      <c r="D115" s="2">
        <v>4</v>
      </c>
      <c r="E115" s="2">
        <v>5</v>
      </c>
      <c r="F115" s="2">
        <v>6</v>
      </c>
      <c r="G115" s="2">
        <v>7</v>
      </c>
      <c r="H115" s="2">
        <v>8</v>
      </c>
      <c r="I115" s="2">
        <v>9</v>
      </c>
      <c r="J115" s="2">
        <v>10</v>
      </c>
      <c r="K115" s="2">
        <v>11</v>
      </c>
      <c r="L115" s="2">
        <v>12</v>
      </c>
      <c r="M115" s="2">
        <v>13</v>
      </c>
      <c r="N115" s="2">
        <v>14</v>
      </c>
      <c r="O115" s="2">
        <v>21</v>
      </c>
      <c r="P115" s="2">
        <v>23</v>
      </c>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row>
    <row r="116" spans="2:253" hidden="1" x14ac:dyDescent="0.2">
      <c r="C116" s="2">
        <v>0</v>
      </c>
      <c r="D116" s="2">
        <v>0</v>
      </c>
      <c r="E116" s="2">
        <v>5</v>
      </c>
      <c r="F116" s="2">
        <v>7</v>
      </c>
      <c r="G116" s="2">
        <v>10</v>
      </c>
      <c r="H116" s="2">
        <v>50</v>
      </c>
      <c r="I116" s="2">
        <v>55</v>
      </c>
      <c r="J116" s="2">
        <v>60</v>
      </c>
      <c r="K116" s="2">
        <v>80</v>
      </c>
      <c r="L116" s="2">
        <v>85</v>
      </c>
      <c r="M116" s="2">
        <v>87</v>
      </c>
      <c r="N116" s="2">
        <v>90</v>
      </c>
      <c r="O116" s="2">
        <v>95</v>
      </c>
      <c r="P116" s="2">
        <v>98</v>
      </c>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row>
    <row r="117" spans="2:253" hidden="1" x14ac:dyDescent="0.2">
      <c r="C117" s="2" t="s">
        <v>1093</v>
      </c>
      <c r="D117" s="2" t="s">
        <v>1094</v>
      </c>
      <c r="E117" s="2" t="s">
        <v>220</v>
      </c>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row>
    <row r="118" spans="2:253" hidden="1" x14ac:dyDescent="0.2">
      <c r="C118" s="2">
        <v>0</v>
      </c>
      <c r="D118" s="2">
        <v>1</v>
      </c>
      <c r="E118" s="2">
        <v>2</v>
      </c>
      <c r="F118" s="2">
        <v>3</v>
      </c>
      <c r="G118" s="2">
        <v>4</v>
      </c>
      <c r="H118" s="2">
        <v>5</v>
      </c>
      <c r="I118" s="2">
        <v>6</v>
      </c>
      <c r="J118" s="2">
        <v>7</v>
      </c>
      <c r="K118" s="2">
        <v>8</v>
      </c>
      <c r="L118" s="2">
        <v>9</v>
      </c>
      <c r="M118" s="2">
        <v>10</v>
      </c>
      <c r="N118" s="2">
        <v>11</v>
      </c>
      <c r="O118" s="2">
        <v>12</v>
      </c>
      <c r="P118" s="2">
        <v>13</v>
      </c>
      <c r="Q118" s="2">
        <v>14</v>
      </c>
      <c r="R118" s="2">
        <v>15</v>
      </c>
      <c r="S118" s="2">
        <v>16</v>
      </c>
      <c r="T118" s="2">
        <v>17</v>
      </c>
      <c r="U118" s="2">
        <v>18</v>
      </c>
      <c r="V118" s="2">
        <v>19</v>
      </c>
      <c r="W118" s="2">
        <v>20</v>
      </c>
      <c r="X118" s="2">
        <v>21</v>
      </c>
      <c r="Y118" s="2">
        <v>22</v>
      </c>
      <c r="Z118" s="2">
        <v>23</v>
      </c>
      <c r="AA118" s="2">
        <v>24</v>
      </c>
      <c r="AB118" s="2">
        <v>25</v>
      </c>
      <c r="AC118" s="2">
        <v>26</v>
      </c>
      <c r="AD118" s="2">
        <v>27</v>
      </c>
      <c r="AE118" s="2">
        <v>28</v>
      </c>
      <c r="AF118" s="2">
        <v>29</v>
      </c>
      <c r="AG118" s="2">
        <v>30</v>
      </c>
      <c r="AH118" s="2">
        <v>31</v>
      </c>
      <c r="AI118" s="6">
        <v>32</v>
      </c>
      <c r="AJ118" s="6">
        <v>33</v>
      </c>
      <c r="AK118" s="6">
        <v>34</v>
      </c>
      <c r="AL118" s="6">
        <v>35</v>
      </c>
      <c r="AM118" s="6">
        <v>36</v>
      </c>
      <c r="AN118" s="6">
        <v>37</v>
      </c>
      <c r="AO118" s="6">
        <v>38</v>
      </c>
      <c r="AP118" s="6">
        <v>39</v>
      </c>
      <c r="AQ118" s="6">
        <v>40</v>
      </c>
      <c r="AR118" s="6">
        <v>41</v>
      </c>
      <c r="AS118" s="6">
        <v>42</v>
      </c>
      <c r="AT118" s="6">
        <v>43</v>
      </c>
      <c r="AU118" s="6">
        <v>44</v>
      </c>
      <c r="AV118" s="6">
        <v>45</v>
      </c>
      <c r="AW118" s="6">
        <v>46</v>
      </c>
      <c r="AX118" s="6">
        <v>47</v>
      </c>
      <c r="AY118" s="6">
        <v>48</v>
      </c>
      <c r="AZ118" s="6">
        <v>49</v>
      </c>
      <c r="BA118" s="6">
        <v>50</v>
      </c>
      <c r="BB118" s="6">
        <v>51</v>
      </c>
      <c r="BC118" s="6">
        <v>52</v>
      </c>
      <c r="BD118" s="6">
        <v>53</v>
      </c>
      <c r="BE118" s="6">
        <v>54</v>
      </c>
      <c r="BF118" s="6">
        <v>55</v>
      </c>
      <c r="BG118" s="6">
        <v>56</v>
      </c>
      <c r="BH118" s="6">
        <v>57</v>
      </c>
      <c r="BI118" s="6">
        <v>58</v>
      </c>
      <c r="BJ118" s="6">
        <v>59</v>
      </c>
      <c r="BK118" s="6">
        <v>60</v>
      </c>
      <c r="BL118" s="6">
        <v>61</v>
      </c>
      <c r="BM118" s="6">
        <v>62</v>
      </c>
      <c r="BN118" s="6">
        <v>63</v>
      </c>
      <c r="BO118" s="6">
        <v>64</v>
      </c>
      <c r="BP118" s="6">
        <v>65</v>
      </c>
      <c r="BQ118" s="6">
        <v>66</v>
      </c>
      <c r="BR118" s="6">
        <v>67</v>
      </c>
      <c r="BS118" s="6">
        <v>68</v>
      </c>
      <c r="BT118" s="6">
        <v>69</v>
      </c>
      <c r="BU118" s="6">
        <v>70</v>
      </c>
      <c r="BV118" s="6">
        <v>71</v>
      </c>
      <c r="BW118" s="6">
        <v>72</v>
      </c>
      <c r="BX118" s="6">
        <v>73</v>
      </c>
      <c r="BY118" s="6">
        <v>74</v>
      </c>
      <c r="BZ118" s="6">
        <v>75</v>
      </c>
      <c r="CA118" s="6">
        <v>76</v>
      </c>
      <c r="CB118" s="6">
        <v>77</v>
      </c>
      <c r="CC118" s="6">
        <v>78</v>
      </c>
      <c r="CD118" s="6">
        <v>79</v>
      </c>
      <c r="CE118" s="6">
        <v>80</v>
      </c>
      <c r="CF118" s="6">
        <v>81</v>
      </c>
      <c r="CG118" s="6">
        <v>82</v>
      </c>
      <c r="CH118" s="6">
        <v>83</v>
      </c>
      <c r="CI118" s="6">
        <v>84</v>
      </c>
      <c r="CJ118" s="6">
        <v>85</v>
      </c>
      <c r="CK118" s="6">
        <v>86</v>
      </c>
      <c r="CL118" s="6">
        <v>87</v>
      </c>
      <c r="CM118" s="6">
        <v>88</v>
      </c>
      <c r="CN118" s="6">
        <v>89</v>
      </c>
      <c r="CO118" s="6">
        <v>90</v>
      </c>
      <c r="CP118" s="6">
        <v>91</v>
      </c>
      <c r="CQ118" s="6">
        <v>92</v>
      </c>
      <c r="CR118" s="6">
        <v>93</v>
      </c>
      <c r="CS118" s="6">
        <v>94</v>
      </c>
      <c r="CT118" s="6">
        <v>95</v>
      </c>
      <c r="CU118" s="6">
        <v>96</v>
      </c>
      <c r="CV118" s="6">
        <v>97</v>
      </c>
      <c r="CW118" s="6">
        <v>98</v>
      </c>
      <c r="CX118" s="6">
        <v>99</v>
      </c>
      <c r="CY118" s="6">
        <v>100</v>
      </c>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row>
    <row r="119" spans="2:253" hidden="1" x14ac:dyDescent="0.2">
      <c r="C119" s="407">
        <v>0</v>
      </c>
      <c r="D119" s="407">
        <v>-1</v>
      </c>
      <c r="E119" s="407">
        <v>-2</v>
      </c>
      <c r="F119" s="407">
        <v>-3</v>
      </c>
      <c r="G119" s="407">
        <v>-4</v>
      </c>
      <c r="H119" s="407">
        <v>-5</v>
      </c>
      <c r="I119" s="407">
        <v>-6</v>
      </c>
      <c r="J119" s="407">
        <v>-7</v>
      </c>
      <c r="K119" s="407">
        <v>-8</v>
      </c>
      <c r="L119" s="407">
        <v>-9</v>
      </c>
      <c r="M119" s="407">
        <v>-10</v>
      </c>
      <c r="N119" s="407">
        <v>-11</v>
      </c>
      <c r="O119" s="407">
        <v>-12</v>
      </c>
      <c r="P119" s="407">
        <v>-13</v>
      </c>
      <c r="Q119" s="407">
        <v>-14</v>
      </c>
      <c r="R119" s="407">
        <v>-15</v>
      </c>
      <c r="S119" s="407">
        <v>-16</v>
      </c>
      <c r="T119" s="407">
        <v>-17</v>
      </c>
      <c r="U119" s="407">
        <v>-18</v>
      </c>
      <c r="V119" s="407">
        <v>-19</v>
      </c>
      <c r="W119" s="407">
        <v>-20</v>
      </c>
      <c r="X119" s="407">
        <v>-21</v>
      </c>
      <c r="Y119" s="407">
        <v>-22</v>
      </c>
      <c r="Z119" s="407">
        <v>-23</v>
      </c>
      <c r="AA119" s="407">
        <v>-24</v>
      </c>
      <c r="AB119" s="407">
        <v>-25</v>
      </c>
      <c r="AC119" s="407">
        <v>-26</v>
      </c>
      <c r="AD119" s="407">
        <v>-27</v>
      </c>
      <c r="AE119" s="407">
        <v>-28</v>
      </c>
      <c r="AF119" s="407">
        <v>-29</v>
      </c>
      <c r="AG119" s="407">
        <v>-30</v>
      </c>
      <c r="AH119" s="407">
        <v>-31</v>
      </c>
      <c r="AI119" s="125">
        <v>-32</v>
      </c>
      <c r="AJ119" s="125">
        <v>-33</v>
      </c>
      <c r="AK119" s="125">
        <v>-34</v>
      </c>
      <c r="AL119" s="125">
        <v>-35</v>
      </c>
      <c r="AM119" s="125">
        <v>-36</v>
      </c>
      <c r="AN119" s="125">
        <v>-37</v>
      </c>
      <c r="AO119" s="125">
        <v>-38</v>
      </c>
      <c r="AP119" s="125">
        <v>-39</v>
      </c>
      <c r="AQ119" s="125">
        <v>-40</v>
      </c>
      <c r="AR119" s="125">
        <v>-41</v>
      </c>
      <c r="AS119" s="125">
        <v>-42</v>
      </c>
      <c r="AT119" s="125">
        <v>-43</v>
      </c>
      <c r="AU119" s="125">
        <v>-44</v>
      </c>
      <c r="AV119" s="125">
        <v>-45</v>
      </c>
      <c r="AW119" s="125">
        <v>-46</v>
      </c>
      <c r="AX119" s="125">
        <v>-47</v>
      </c>
      <c r="AY119" s="125">
        <v>-48</v>
      </c>
      <c r="AZ119" s="125">
        <v>-49</v>
      </c>
      <c r="BA119" s="125">
        <v>-50</v>
      </c>
      <c r="BB119" s="125">
        <v>-51</v>
      </c>
      <c r="BC119" s="125">
        <v>-52</v>
      </c>
      <c r="BD119" s="125">
        <v>-53</v>
      </c>
      <c r="BE119" s="125">
        <v>-54</v>
      </c>
      <c r="BF119" s="125">
        <v>-55</v>
      </c>
      <c r="BG119" s="125">
        <v>-56</v>
      </c>
      <c r="BH119" s="125">
        <v>-57</v>
      </c>
      <c r="BI119" s="125">
        <v>-58</v>
      </c>
      <c r="BJ119" s="125">
        <v>-59</v>
      </c>
      <c r="BK119" s="125">
        <v>-60</v>
      </c>
      <c r="BL119" s="125">
        <v>-61</v>
      </c>
      <c r="BM119" s="125">
        <v>-62</v>
      </c>
      <c r="BN119" s="125">
        <v>-63</v>
      </c>
      <c r="BO119" s="125">
        <v>-64</v>
      </c>
      <c r="BP119" s="125">
        <v>-65</v>
      </c>
      <c r="BQ119" s="125">
        <v>-66</v>
      </c>
      <c r="BR119" s="125">
        <v>-67</v>
      </c>
      <c r="BS119" s="125">
        <v>-68</v>
      </c>
      <c r="BT119" s="125">
        <v>-69</v>
      </c>
      <c r="BU119" s="125">
        <v>-70</v>
      </c>
      <c r="BV119" s="125">
        <v>-71</v>
      </c>
      <c r="BW119" s="125">
        <v>-72</v>
      </c>
      <c r="BX119" s="125">
        <v>-73</v>
      </c>
      <c r="BY119" s="125">
        <v>-74</v>
      </c>
      <c r="BZ119" s="125">
        <v>-75</v>
      </c>
      <c r="CA119" s="125">
        <v>-76</v>
      </c>
      <c r="CB119" s="125">
        <v>-77</v>
      </c>
      <c r="CC119" s="125">
        <v>-78</v>
      </c>
      <c r="CD119" s="125">
        <v>-79</v>
      </c>
      <c r="CE119" s="125">
        <v>-80</v>
      </c>
      <c r="CF119" s="125">
        <v>-81</v>
      </c>
      <c r="CG119" s="125">
        <v>-82</v>
      </c>
      <c r="CH119" s="125">
        <v>-83</v>
      </c>
      <c r="CI119" s="125">
        <v>-84</v>
      </c>
      <c r="CJ119" s="125">
        <v>-85</v>
      </c>
      <c r="CK119" s="125">
        <v>-86</v>
      </c>
      <c r="CL119" s="125">
        <v>-87</v>
      </c>
      <c r="CM119" s="125">
        <v>-88</v>
      </c>
      <c r="CN119" s="125">
        <v>-89</v>
      </c>
      <c r="CO119" s="125">
        <v>-90</v>
      </c>
      <c r="CP119" s="125">
        <v>-91</v>
      </c>
      <c r="CQ119" s="125">
        <v>-92</v>
      </c>
      <c r="CR119" s="125">
        <v>-93</v>
      </c>
      <c r="CS119" s="125">
        <v>-94</v>
      </c>
      <c r="CT119" s="125">
        <v>-95</v>
      </c>
      <c r="CU119" s="125">
        <v>-96</v>
      </c>
      <c r="CV119" s="125">
        <v>-97</v>
      </c>
      <c r="CW119" s="125">
        <v>-98</v>
      </c>
      <c r="CX119" s="125">
        <v>-99</v>
      </c>
      <c r="CY119" s="125">
        <v>-100</v>
      </c>
      <c r="CZ119" s="125">
        <v>-101</v>
      </c>
      <c r="DA119" s="125">
        <v>-102</v>
      </c>
      <c r="DB119" s="125">
        <v>-103</v>
      </c>
      <c r="DC119" s="125">
        <v>-104</v>
      </c>
      <c r="DD119" s="125">
        <v>-105</v>
      </c>
      <c r="DE119" s="125">
        <v>-106</v>
      </c>
      <c r="DF119" s="125">
        <v>-107</v>
      </c>
      <c r="DG119" s="125">
        <v>-108</v>
      </c>
      <c r="DH119" s="125">
        <v>-109</v>
      </c>
      <c r="DI119" s="125">
        <v>-110</v>
      </c>
      <c r="DJ119" s="125">
        <v>-111</v>
      </c>
      <c r="DK119" s="125">
        <v>-112</v>
      </c>
      <c r="DL119" s="125">
        <v>-113</v>
      </c>
      <c r="DM119" s="125">
        <v>-114</v>
      </c>
      <c r="DN119" s="125">
        <v>-115</v>
      </c>
      <c r="DO119" s="125">
        <v>-116</v>
      </c>
      <c r="DP119" s="125">
        <v>-117</v>
      </c>
      <c r="DQ119" s="125">
        <v>-118</v>
      </c>
      <c r="DR119" s="125">
        <v>-119</v>
      </c>
      <c r="DS119" s="125">
        <v>-120</v>
      </c>
      <c r="DT119" s="125">
        <v>-121</v>
      </c>
      <c r="DU119" s="125">
        <v>-122</v>
      </c>
      <c r="DV119" s="125">
        <v>-123</v>
      </c>
      <c r="DW119" s="125">
        <v>-124</v>
      </c>
      <c r="DX119" s="125">
        <v>-125</v>
      </c>
      <c r="DY119" s="125">
        <v>-126</v>
      </c>
      <c r="DZ119" s="125">
        <v>-127</v>
      </c>
      <c r="EA119" s="125">
        <v>-128</v>
      </c>
      <c r="EB119" s="125">
        <v>-129</v>
      </c>
      <c r="EC119" s="125">
        <v>-130</v>
      </c>
      <c r="ED119" s="125">
        <v>-131</v>
      </c>
      <c r="EE119" s="125">
        <v>-132</v>
      </c>
      <c r="EF119" s="125">
        <v>-133</v>
      </c>
      <c r="EG119" s="125">
        <v>-134</v>
      </c>
      <c r="EH119" s="125">
        <v>-135</v>
      </c>
      <c r="EI119" s="125">
        <v>-136</v>
      </c>
      <c r="EJ119" s="125">
        <v>-137</v>
      </c>
      <c r="EK119" s="125">
        <v>-138</v>
      </c>
      <c r="EL119" s="125">
        <v>-139</v>
      </c>
      <c r="EM119" s="125">
        <v>-140</v>
      </c>
      <c r="EN119" s="125">
        <v>-141</v>
      </c>
      <c r="EO119" s="125">
        <v>-142</v>
      </c>
      <c r="EP119" s="125">
        <v>-143</v>
      </c>
      <c r="EQ119" s="125">
        <v>-144</v>
      </c>
      <c r="ER119" s="125">
        <v>-145</v>
      </c>
      <c r="ES119" s="125">
        <v>-146</v>
      </c>
      <c r="ET119" s="125">
        <v>-147</v>
      </c>
      <c r="EU119" s="125">
        <v>-148</v>
      </c>
      <c r="EV119" s="125">
        <v>-149</v>
      </c>
      <c r="EW119" s="125">
        <v>-150</v>
      </c>
      <c r="EX119" s="125">
        <v>-151</v>
      </c>
      <c r="EY119" s="125">
        <v>-152</v>
      </c>
      <c r="EZ119" s="125">
        <v>-153</v>
      </c>
      <c r="FA119" s="125">
        <v>-154</v>
      </c>
      <c r="FB119" s="125">
        <v>-155</v>
      </c>
      <c r="FC119" s="125">
        <v>-156</v>
      </c>
      <c r="FD119" s="125">
        <v>-157</v>
      </c>
      <c r="FE119" s="125">
        <v>-158</v>
      </c>
      <c r="FF119" s="125">
        <v>-159</v>
      </c>
      <c r="FG119" s="125">
        <v>-160</v>
      </c>
      <c r="FH119" s="125">
        <v>-161</v>
      </c>
      <c r="FI119" s="125">
        <v>-162</v>
      </c>
      <c r="FJ119" s="125">
        <v>-163</v>
      </c>
      <c r="FK119" s="125">
        <v>-164</v>
      </c>
      <c r="FL119" s="125">
        <v>-165</v>
      </c>
      <c r="FM119" s="125">
        <v>-166</v>
      </c>
      <c r="FN119" s="125">
        <v>-167</v>
      </c>
      <c r="FO119" s="125">
        <v>-168</v>
      </c>
      <c r="FP119" s="125">
        <v>-169</v>
      </c>
      <c r="FQ119" s="125">
        <v>-170</v>
      </c>
      <c r="FR119" s="125">
        <v>-171</v>
      </c>
      <c r="FS119" s="125">
        <v>-172</v>
      </c>
      <c r="FT119" s="125">
        <v>-173</v>
      </c>
      <c r="FU119" s="125">
        <v>-174</v>
      </c>
      <c r="FV119" s="125">
        <v>-175</v>
      </c>
      <c r="FW119" s="125">
        <v>-176</v>
      </c>
      <c r="FX119" s="125">
        <v>-177</v>
      </c>
      <c r="FY119" s="125">
        <v>-178</v>
      </c>
      <c r="FZ119" s="125">
        <v>-179</v>
      </c>
      <c r="GA119" s="125">
        <v>-180</v>
      </c>
      <c r="GB119" s="125">
        <v>-181</v>
      </c>
      <c r="GC119" s="125">
        <v>-182</v>
      </c>
      <c r="GD119" s="125">
        <v>-183</v>
      </c>
      <c r="GE119" s="125">
        <v>-184</v>
      </c>
      <c r="GF119" s="125">
        <v>-185</v>
      </c>
      <c r="GG119" s="125">
        <v>-186</v>
      </c>
      <c r="GH119" s="125">
        <v>-187</v>
      </c>
      <c r="GI119" s="125">
        <v>-188</v>
      </c>
      <c r="GJ119" s="125">
        <v>-189</v>
      </c>
      <c r="GK119" s="125">
        <v>-190</v>
      </c>
      <c r="GL119" s="407">
        <v>-191</v>
      </c>
      <c r="GM119" s="407">
        <v>-192</v>
      </c>
      <c r="GN119" s="407">
        <v>-193</v>
      </c>
      <c r="GO119" s="407">
        <v>-194</v>
      </c>
      <c r="GP119" s="407">
        <v>-195</v>
      </c>
      <c r="GQ119" s="407">
        <v>-196</v>
      </c>
      <c r="GR119" s="407">
        <v>-197</v>
      </c>
      <c r="GS119" s="407">
        <v>-198</v>
      </c>
      <c r="GT119" s="407">
        <v>-199</v>
      </c>
      <c r="GU119" s="407">
        <v>-200</v>
      </c>
      <c r="GV119" s="407">
        <v>-201</v>
      </c>
      <c r="GW119" s="407">
        <v>-202</v>
      </c>
      <c r="GX119" s="407">
        <v>-203</v>
      </c>
      <c r="GY119" s="407">
        <v>-204</v>
      </c>
      <c r="GZ119" s="407">
        <v>-205</v>
      </c>
      <c r="HA119" s="407">
        <v>-206</v>
      </c>
      <c r="HB119" s="407">
        <v>-207</v>
      </c>
      <c r="HC119" s="407">
        <v>-208</v>
      </c>
      <c r="HD119" s="407">
        <v>-209</v>
      </c>
      <c r="HE119" s="407">
        <v>-210</v>
      </c>
      <c r="HF119" s="407">
        <v>-211</v>
      </c>
      <c r="HG119" s="407">
        <v>-212</v>
      </c>
      <c r="HH119" s="407">
        <v>-213</v>
      </c>
      <c r="HI119" s="407">
        <v>-214</v>
      </c>
      <c r="HJ119" s="407">
        <v>-215</v>
      </c>
      <c r="HK119" s="407">
        <v>-216</v>
      </c>
      <c r="HL119" s="407">
        <v>-217</v>
      </c>
      <c r="HM119" s="407">
        <v>-218</v>
      </c>
      <c r="HN119" s="407">
        <v>-219</v>
      </c>
      <c r="HO119" s="407">
        <v>-220</v>
      </c>
      <c r="HP119" s="407">
        <v>-221</v>
      </c>
      <c r="HQ119" s="407">
        <v>-222</v>
      </c>
      <c r="HR119" s="407">
        <v>-223</v>
      </c>
      <c r="HS119" s="407">
        <v>-224</v>
      </c>
      <c r="HT119" s="407">
        <v>-225</v>
      </c>
      <c r="HU119" s="407">
        <v>-226</v>
      </c>
      <c r="HV119" s="407">
        <v>-227</v>
      </c>
      <c r="HW119" s="407">
        <v>-228</v>
      </c>
      <c r="HX119" s="407">
        <v>-229</v>
      </c>
      <c r="HY119" s="407">
        <v>-230</v>
      </c>
      <c r="HZ119" s="407">
        <v>-231</v>
      </c>
      <c r="IA119" s="407">
        <v>-232</v>
      </c>
      <c r="IB119" s="407">
        <v>-233</v>
      </c>
      <c r="IC119" s="407">
        <v>-234</v>
      </c>
      <c r="ID119" s="407">
        <v>-235</v>
      </c>
      <c r="IE119" s="407">
        <v>-236</v>
      </c>
      <c r="IF119" s="407">
        <v>-237</v>
      </c>
      <c r="IG119" s="407">
        <v>-238</v>
      </c>
      <c r="IH119" s="407">
        <v>-239</v>
      </c>
      <c r="II119" s="407">
        <v>-240</v>
      </c>
      <c r="IJ119" s="407">
        <v>-241</v>
      </c>
      <c r="IK119" s="407">
        <v>-242</v>
      </c>
      <c r="IL119" s="407">
        <v>-243</v>
      </c>
      <c r="IM119" s="407">
        <v>-244</v>
      </c>
      <c r="IN119" s="407">
        <v>-245</v>
      </c>
      <c r="IO119" s="407">
        <v>-246</v>
      </c>
      <c r="IP119" s="407">
        <v>-247</v>
      </c>
      <c r="IQ119" s="407">
        <v>-248</v>
      </c>
      <c r="IR119" s="407">
        <v>-249</v>
      </c>
      <c r="IS119" s="407">
        <v>-250</v>
      </c>
    </row>
    <row r="120" spans="2:253" hidden="1" x14ac:dyDescent="0.2">
      <c r="C120" s="2" t="s">
        <v>277</v>
      </c>
      <c r="D120" s="2" t="s">
        <v>279</v>
      </c>
      <c r="E120" s="2" t="s">
        <v>281</v>
      </c>
      <c r="F120" s="2" t="s">
        <v>283</v>
      </c>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row>
    <row r="121" spans="2:253" hidden="1" x14ac:dyDescent="0.2">
      <c r="C121" s="2" t="s">
        <v>221</v>
      </c>
      <c r="D121" s="2" t="s">
        <v>1764</v>
      </c>
      <c r="E121" s="2" t="s">
        <v>1639</v>
      </c>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row>
    <row r="122" spans="2:253" hidden="1" x14ac:dyDescent="0.2">
      <c r="B122" s="1"/>
      <c r="C122" s="10" t="s">
        <v>222</v>
      </c>
      <c r="D122" s="10" t="s">
        <v>223</v>
      </c>
      <c r="E122" s="10" t="s">
        <v>224</v>
      </c>
      <c r="F122" s="10" t="s">
        <v>225</v>
      </c>
      <c r="G122" s="10" t="s">
        <v>226</v>
      </c>
      <c r="H122" s="10" t="s">
        <v>227</v>
      </c>
      <c r="I122" s="10" t="s">
        <v>228</v>
      </c>
      <c r="J122" s="10" t="s">
        <v>229</v>
      </c>
      <c r="K122" s="10" t="s">
        <v>230</v>
      </c>
      <c r="L122" s="10" t="s">
        <v>124</v>
      </c>
      <c r="M122" s="10" t="s">
        <v>125</v>
      </c>
      <c r="N122" s="10" t="s">
        <v>126</v>
      </c>
      <c r="O122" s="10" t="s">
        <v>127</v>
      </c>
      <c r="P122" s="10" t="s">
        <v>128</v>
      </c>
      <c r="Q122" s="10" t="s">
        <v>129</v>
      </c>
      <c r="R122" s="10" t="s">
        <v>1721</v>
      </c>
      <c r="S122" s="10"/>
      <c r="T122" s="10"/>
      <c r="U122" s="10"/>
      <c r="V122" s="10"/>
      <c r="W122" s="10"/>
      <c r="X122" s="10"/>
      <c r="Y122" s="10"/>
      <c r="Z122" s="10"/>
      <c r="AA122" s="10"/>
      <c r="AB122" s="10"/>
      <c r="AC122" s="10"/>
      <c r="AD122" s="10"/>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row>
    <row r="123" spans="2:253" hidden="1" x14ac:dyDescent="0.2">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row>
    <row r="124" spans="2:253" hidden="1" x14ac:dyDescent="0.2">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row>
    <row r="125" spans="2:253" hidden="1" x14ac:dyDescent="0.2">
      <c r="C125" s="57"/>
      <c r="D125" s="341"/>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row>
    <row r="126" spans="2:253" hidden="1" x14ac:dyDescent="0.2">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row>
    <row r="127" spans="2:253" hidden="1" x14ac:dyDescent="0.2">
      <c r="M127" s="58"/>
      <c r="N127" s="58"/>
      <c r="O127" s="58"/>
      <c r="P127" s="58"/>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row>
    <row r="128" spans="2:253" s="58" customFormat="1" hidden="1" x14ac:dyDescent="0.2">
      <c r="M128" s="2"/>
      <c r="N128" s="2"/>
      <c r="O128" s="2"/>
      <c r="P128" s="2"/>
      <c r="R128" s="2"/>
      <c r="S128" s="2"/>
      <c r="T128" s="2"/>
      <c r="U128" s="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c r="BX128" s="102"/>
      <c r="BY128" s="102"/>
      <c r="BZ128" s="102"/>
      <c r="CA128" s="102"/>
      <c r="CB128" s="102"/>
      <c r="CC128" s="102"/>
      <c r="CD128" s="102"/>
      <c r="CE128" s="102"/>
      <c r="CF128" s="102"/>
      <c r="CG128" s="102"/>
      <c r="CH128" s="102"/>
      <c r="CI128" s="102"/>
      <c r="CJ128" s="102"/>
      <c r="CK128" s="102"/>
      <c r="CL128" s="102"/>
      <c r="CM128" s="102"/>
      <c r="CN128" s="102"/>
      <c r="CO128" s="102"/>
      <c r="CP128" s="102"/>
      <c r="CQ128" s="102"/>
      <c r="CR128" s="102"/>
      <c r="CS128" s="102"/>
      <c r="CT128" s="102"/>
      <c r="CU128" s="102"/>
      <c r="CV128" s="102"/>
      <c r="CW128" s="102"/>
      <c r="CX128" s="102"/>
      <c r="CY128" s="102"/>
      <c r="CZ128" s="102"/>
      <c r="DA128" s="102"/>
      <c r="DB128" s="102"/>
      <c r="DC128" s="102"/>
      <c r="DD128" s="102"/>
      <c r="DE128" s="6"/>
      <c r="DF128" s="6"/>
      <c r="DG128" s="102"/>
      <c r="DH128" s="102"/>
      <c r="DI128" s="102"/>
      <c r="DJ128" s="102"/>
      <c r="DK128" s="102"/>
      <c r="DL128" s="102"/>
      <c r="DM128" s="102"/>
      <c r="DN128" s="102"/>
      <c r="DO128" s="102"/>
      <c r="DP128" s="102"/>
      <c r="DQ128" s="102"/>
      <c r="DR128" s="102"/>
      <c r="DS128" s="102"/>
      <c r="DT128" s="102"/>
      <c r="DU128" s="102"/>
      <c r="DV128" s="102"/>
      <c r="DW128" s="102"/>
      <c r="DX128" s="102"/>
      <c r="DY128" s="102"/>
      <c r="DZ128" s="102"/>
      <c r="EA128" s="102"/>
      <c r="EB128" s="102"/>
      <c r="EC128" s="102"/>
      <c r="ED128" s="102"/>
      <c r="EE128" s="102"/>
      <c r="EF128" s="102"/>
      <c r="EG128" s="102"/>
      <c r="EH128" s="102"/>
      <c r="EI128" s="102"/>
      <c r="EJ128" s="102"/>
      <c r="EK128" s="102"/>
      <c r="EL128" s="102"/>
      <c r="EM128" s="102"/>
      <c r="EN128" s="102"/>
      <c r="EO128" s="102"/>
      <c r="EP128" s="102"/>
      <c r="EQ128" s="102"/>
      <c r="ER128" s="102"/>
      <c r="ES128" s="102"/>
      <c r="ET128" s="102"/>
      <c r="EU128" s="102"/>
      <c r="EV128" s="102"/>
      <c r="EW128" s="102"/>
      <c r="EX128" s="102"/>
      <c r="EY128" s="102"/>
      <c r="EZ128" s="102"/>
      <c r="FA128" s="102"/>
      <c r="FB128" s="102"/>
      <c r="FC128" s="102"/>
      <c r="FD128" s="102"/>
      <c r="FE128" s="102"/>
      <c r="FF128" s="102"/>
      <c r="FG128" s="102"/>
      <c r="FH128" s="102"/>
      <c r="FI128" s="102"/>
      <c r="FJ128" s="102"/>
      <c r="FK128" s="102"/>
      <c r="FL128" s="102"/>
      <c r="FM128" s="102"/>
      <c r="FN128" s="102"/>
      <c r="FO128" s="102"/>
      <c r="FP128" s="102"/>
      <c r="FQ128" s="102"/>
      <c r="FR128" s="102"/>
      <c r="FS128" s="102"/>
      <c r="FT128" s="102"/>
      <c r="FU128" s="102"/>
      <c r="FV128" s="102"/>
      <c r="FW128" s="102"/>
      <c r="FX128" s="102"/>
      <c r="FY128" s="102"/>
      <c r="FZ128" s="102"/>
      <c r="GA128" s="102"/>
      <c r="GB128" s="102"/>
      <c r="GC128" s="102"/>
      <c r="GD128" s="102"/>
      <c r="GE128" s="102"/>
      <c r="GF128" s="102"/>
      <c r="GG128" s="102"/>
      <c r="GH128" s="102"/>
      <c r="GI128" s="102"/>
      <c r="GJ128" s="102"/>
      <c r="GK128" s="102"/>
    </row>
    <row r="129" spans="3:21" hidden="1" x14ac:dyDescent="0.2">
      <c r="C129" s="408"/>
      <c r="H129" s="7"/>
      <c r="J129" s="409"/>
      <c r="K129" s="409"/>
    </row>
    <row r="130" spans="3:21" x14ac:dyDescent="0.2">
      <c r="C130" s="408"/>
      <c r="H130" s="7"/>
      <c r="J130" s="409"/>
      <c r="K130" s="409"/>
    </row>
    <row r="131" spans="3:21" x14ac:dyDescent="0.2">
      <c r="K131" s="409"/>
    </row>
    <row r="133" spans="3:21" x14ac:dyDescent="0.2">
      <c r="D133" s="1"/>
      <c r="E133" s="1"/>
      <c r="F133" s="1"/>
      <c r="G133" s="1"/>
      <c r="H133" s="1"/>
      <c r="I133" s="1"/>
    </row>
    <row r="134" spans="3:21" x14ac:dyDescent="0.2">
      <c r="D134" s="7"/>
      <c r="E134" s="7"/>
      <c r="F134" s="7"/>
      <c r="G134" s="7"/>
      <c r="H134" s="7"/>
      <c r="J134" s="409"/>
      <c r="K134" s="409"/>
    </row>
    <row r="137" spans="3:21" x14ac:dyDescent="0.2">
      <c r="K137" s="409"/>
    </row>
    <row r="140" spans="3:21" x14ac:dyDescent="0.2">
      <c r="U140" s="410"/>
    </row>
    <row r="141" spans="3:21" x14ac:dyDescent="0.2">
      <c r="U141" s="410"/>
    </row>
  </sheetData>
  <sheetProtection sheet="1" objects="1" scenarios="1"/>
  <mergeCells count="428">
    <mergeCell ref="AF8:AH11"/>
    <mergeCell ref="AM74:AN74"/>
    <mergeCell ref="C105:AK105"/>
    <mergeCell ref="AL4:AM4"/>
    <mergeCell ref="AN4:AO4"/>
    <mergeCell ref="AE94:AH94"/>
    <mergeCell ref="S9:W9"/>
    <mergeCell ref="Z93:AC93"/>
    <mergeCell ref="AE93:AH93"/>
    <mergeCell ref="M83:AH83"/>
    <mergeCell ref="AE85:AH85"/>
    <mergeCell ref="AE84:AH84"/>
    <mergeCell ref="AE86:AH86"/>
    <mergeCell ref="AE87:AH87"/>
    <mergeCell ref="AE90:AH90"/>
    <mergeCell ref="M84:P84"/>
    <mergeCell ref="W41:AE41"/>
    <mergeCell ref="AF48:AH48"/>
    <mergeCell ref="B50:Q50"/>
    <mergeCell ref="S50:AH50"/>
    <mergeCell ref="S49:AH49"/>
    <mergeCell ref="B43:E43"/>
    <mergeCell ref="B44:E44"/>
    <mergeCell ref="F44:N44"/>
    <mergeCell ref="AF53:AH53"/>
    <mergeCell ref="AC52:AE52"/>
    <mergeCell ref="L52:N52"/>
    <mergeCell ref="S53:AB53"/>
    <mergeCell ref="L53:N53"/>
    <mergeCell ref="M71:O71"/>
    <mergeCell ref="B69:AH69"/>
    <mergeCell ref="I71:K71"/>
    <mergeCell ref="V71:X72"/>
    <mergeCell ref="B70:K70"/>
    <mergeCell ref="S61:Y61"/>
    <mergeCell ref="S62:Y62"/>
    <mergeCell ref="Z63:AB63"/>
    <mergeCell ref="B64:H64"/>
    <mergeCell ref="Q72:T72"/>
    <mergeCell ref="S54:AB54"/>
    <mergeCell ref="AC54:AE54"/>
    <mergeCell ref="AF54:AH54"/>
    <mergeCell ref="I64:K64"/>
    <mergeCell ref="Z60:AB60"/>
    <mergeCell ref="Y71:AD71"/>
    <mergeCell ref="S67:Y67"/>
    <mergeCell ref="S64:Y64"/>
    <mergeCell ref="Z64:AB64"/>
    <mergeCell ref="M72:O72"/>
    <mergeCell ref="Q73:T73"/>
    <mergeCell ref="AE91:AH91"/>
    <mergeCell ref="Z84:AC84"/>
    <mergeCell ref="V84:X84"/>
    <mergeCell ref="R84:T84"/>
    <mergeCell ref="R85:T85"/>
    <mergeCell ref="AE89:AH89"/>
    <mergeCell ref="AE75:AH75"/>
    <mergeCell ref="B75:R75"/>
    <mergeCell ref="B76:R76"/>
    <mergeCell ref="AB75:AD75"/>
    <mergeCell ref="O47:Q47"/>
    <mergeCell ref="O54:Q54"/>
    <mergeCell ref="L54:N54"/>
    <mergeCell ref="B54:K54"/>
    <mergeCell ref="B85:L85"/>
    <mergeCell ref="M85:P85"/>
    <mergeCell ref="Z85:AC85"/>
    <mergeCell ref="B84:L84"/>
    <mergeCell ref="S66:Y66"/>
    <mergeCell ref="AC66:AE66"/>
    <mergeCell ref="B68:AH68"/>
    <mergeCell ref="B66:H66"/>
    <mergeCell ref="I66:K66"/>
    <mergeCell ref="O66:Q66"/>
    <mergeCell ref="Z66:AB66"/>
    <mergeCell ref="B77:R77"/>
    <mergeCell ref="S75:W75"/>
    <mergeCell ref="S76:W76"/>
    <mergeCell ref="S77:W77"/>
    <mergeCell ref="Y77:AA77"/>
    <mergeCell ref="AE76:AH76"/>
    <mergeCell ref="AE77:AH77"/>
    <mergeCell ref="AE71:AH72"/>
    <mergeCell ref="Y75:AA75"/>
    <mergeCell ref="V93:X93"/>
    <mergeCell ref="R94:T94"/>
    <mergeCell ref="Z86:AC86"/>
    <mergeCell ref="R86:T86"/>
    <mergeCell ref="B86:L86"/>
    <mergeCell ref="B91:R91"/>
    <mergeCell ref="B89:R89"/>
    <mergeCell ref="Z94:AC94"/>
    <mergeCell ref="V94:X94"/>
    <mergeCell ref="M93:P93"/>
    <mergeCell ref="R93:T93"/>
    <mergeCell ref="B93:L93"/>
    <mergeCell ref="M86:P86"/>
    <mergeCell ref="B88:R88"/>
    <mergeCell ref="Y90:AC90"/>
    <mergeCell ref="B87:AC87"/>
    <mergeCell ref="Y89:AC89"/>
    <mergeCell ref="B90:R90"/>
    <mergeCell ref="AP29:AQ29"/>
    <mergeCell ref="B31:G31"/>
    <mergeCell ref="H31:J31"/>
    <mergeCell ref="Y31:AA31"/>
    <mergeCell ref="B30:G30"/>
    <mergeCell ref="AE26:AH32"/>
    <mergeCell ref="S32:AA32"/>
    <mergeCell ref="AB32:AD32"/>
    <mergeCell ref="K30:M30"/>
    <mergeCell ref="H27:J27"/>
    <mergeCell ref="B28:G28"/>
    <mergeCell ref="AB28:AD28"/>
    <mergeCell ref="AB29:AD29"/>
    <mergeCell ref="S30:X30"/>
    <mergeCell ref="S27:X27"/>
    <mergeCell ref="S29:X29"/>
    <mergeCell ref="B2:AH2"/>
    <mergeCell ref="B18:AH18"/>
    <mergeCell ref="S31:X31"/>
    <mergeCell ref="K31:M31"/>
    <mergeCell ref="AB31:AD31"/>
    <mergeCell ref="B20:C20"/>
    <mergeCell ref="D20:Q20"/>
    <mergeCell ref="H30:J30"/>
    <mergeCell ref="B29:G29"/>
    <mergeCell ref="B27:G27"/>
    <mergeCell ref="H26:J26"/>
    <mergeCell ref="B10:I10"/>
    <mergeCell ref="O12:Q12"/>
    <mergeCell ref="B9:F9"/>
    <mergeCell ref="G9:N9"/>
    <mergeCell ref="B11:I11"/>
    <mergeCell ref="O13:Q13"/>
    <mergeCell ref="J11:N11"/>
    <mergeCell ref="O7:Q7"/>
    <mergeCell ref="N25:Q25"/>
    <mergeCell ref="N23:Q24"/>
    <mergeCell ref="H28:J28"/>
    <mergeCell ref="K27:M27"/>
    <mergeCell ref="H29:J29"/>
    <mergeCell ref="B35:AH35"/>
    <mergeCell ref="W38:AE38"/>
    <mergeCell ref="R19:R21"/>
    <mergeCell ref="R23:R33"/>
    <mergeCell ref="S26:X26"/>
    <mergeCell ref="Y26:AA26"/>
    <mergeCell ref="S25:X25"/>
    <mergeCell ref="S24:X24"/>
    <mergeCell ref="AB25:AD25"/>
    <mergeCell ref="Y29:AA29"/>
    <mergeCell ref="Y30:AA30"/>
    <mergeCell ref="O38:Q38"/>
    <mergeCell ref="B23:G23"/>
    <mergeCell ref="H23:J23"/>
    <mergeCell ref="K23:M23"/>
    <mergeCell ref="B34:AH34"/>
    <mergeCell ref="K25:M25"/>
    <mergeCell ref="S23:X23"/>
    <mergeCell ref="Y23:AA23"/>
    <mergeCell ref="AE23:AH24"/>
    <mergeCell ref="AB23:AD23"/>
    <mergeCell ref="AF33:AH33"/>
    <mergeCell ref="B33:N33"/>
    <mergeCell ref="S33:AE33"/>
    <mergeCell ref="O33:Q33"/>
    <mergeCell ref="X6:AE6"/>
    <mergeCell ref="S7:W7"/>
    <mergeCell ref="S6:W6"/>
    <mergeCell ref="X7:AE7"/>
    <mergeCell ref="B8:N8"/>
    <mergeCell ref="X9:AE9"/>
    <mergeCell ref="S8:AE8"/>
    <mergeCell ref="G7:N7"/>
    <mergeCell ref="G6:N6"/>
    <mergeCell ref="B6:F6"/>
    <mergeCell ref="B7:F7"/>
    <mergeCell ref="B14:N14"/>
    <mergeCell ref="J12:N12"/>
    <mergeCell ref="B12:I12"/>
    <mergeCell ref="N21:Q21"/>
    <mergeCell ref="B17:N17"/>
    <mergeCell ref="B21:J21"/>
    <mergeCell ref="K21:M21"/>
    <mergeCell ref="B19:Q19"/>
    <mergeCell ref="O17:Q17"/>
    <mergeCell ref="B15:N15"/>
    <mergeCell ref="K24:M24"/>
    <mergeCell ref="Y25:AA25"/>
    <mergeCell ref="B3:AH3"/>
    <mergeCell ref="B4:Q4"/>
    <mergeCell ref="B5:F5"/>
    <mergeCell ref="S5:W5"/>
    <mergeCell ref="S4:AH4"/>
    <mergeCell ref="X5:AE5"/>
    <mergeCell ref="G5:N5"/>
    <mergeCell ref="R4:R17"/>
    <mergeCell ref="O15:Q16"/>
    <mergeCell ref="S10:Z10"/>
    <mergeCell ref="AA10:AE10"/>
    <mergeCell ref="O14:Q14"/>
    <mergeCell ref="S12:Z12"/>
    <mergeCell ref="S11:Z11"/>
    <mergeCell ref="AA11:AE11"/>
    <mergeCell ref="AA12:AE12"/>
    <mergeCell ref="B13:N13"/>
    <mergeCell ref="J10:N10"/>
    <mergeCell ref="AF7:AH7"/>
    <mergeCell ref="AF12:AH12"/>
    <mergeCell ref="B16:N16"/>
    <mergeCell ref="O5:Q6"/>
    <mergeCell ref="O8:Q11"/>
    <mergeCell ref="AF5:AH6"/>
    <mergeCell ref="AN22:AO22"/>
    <mergeCell ref="AF15:AH16"/>
    <mergeCell ref="S13:AE13"/>
    <mergeCell ref="AF13:AH13"/>
    <mergeCell ref="S15:AE15"/>
    <mergeCell ref="S16:AE16"/>
    <mergeCell ref="S14:AE14"/>
    <mergeCell ref="AL22:AM22"/>
    <mergeCell ref="AF14:AH14"/>
    <mergeCell ref="S19:AH19"/>
    <mergeCell ref="AF17:AH17"/>
    <mergeCell ref="S20:T20"/>
    <mergeCell ref="U20:AH20"/>
    <mergeCell ref="S17:AE17"/>
    <mergeCell ref="S21:AA21"/>
    <mergeCell ref="AB21:AD21"/>
    <mergeCell ref="AE21:AH21"/>
    <mergeCell ref="B41:E41"/>
    <mergeCell ref="AF43:AH43"/>
    <mergeCell ref="AR22:AS22"/>
    <mergeCell ref="B22:AH22"/>
    <mergeCell ref="S28:X28"/>
    <mergeCell ref="AE25:AH25"/>
    <mergeCell ref="Y24:AA24"/>
    <mergeCell ref="AB24:AD24"/>
    <mergeCell ref="K28:M28"/>
    <mergeCell ref="K26:M26"/>
    <mergeCell ref="N26:Q32"/>
    <mergeCell ref="Y28:AA28"/>
    <mergeCell ref="B32:J32"/>
    <mergeCell ref="Y27:AA27"/>
    <mergeCell ref="AB26:AD26"/>
    <mergeCell ref="AB30:AD30"/>
    <mergeCell ref="AB27:AD27"/>
    <mergeCell ref="K29:M29"/>
    <mergeCell ref="K32:M32"/>
    <mergeCell ref="B26:G26"/>
    <mergeCell ref="B24:G24"/>
    <mergeCell ref="B25:G25"/>
    <mergeCell ref="H24:J24"/>
    <mergeCell ref="H25:J25"/>
    <mergeCell ref="S36:AH36"/>
    <mergeCell ref="B36:Q36"/>
    <mergeCell ref="O39:Q39"/>
    <mergeCell ref="O40:Q40"/>
    <mergeCell ref="AF40:AH40"/>
    <mergeCell ref="F39:N39"/>
    <mergeCell ref="S38:V38"/>
    <mergeCell ref="F40:N40"/>
    <mergeCell ref="W40:AE40"/>
    <mergeCell ref="B37:Q37"/>
    <mergeCell ref="W39:AE39"/>
    <mergeCell ref="B38:E38"/>
    <mergeCell ref="B40:E40"/>
    <mergeCell ref="AF39:AH39"/>
    <mergeCell ref="S37:AH37"/>
    <mergeCell ref="S39:V39"/>
    <mergeCell ref="AF38:AH38"/>
    <mergeCell ref="F38:N38"/>
    <mergeCell ref="S40:V40"/>
    <mergeCell ref="B39:E39"/>
    <mergeCell ref="Q71:T71"/>
    <mergeCell ref="O65:Q65"/>
    <mergeCell ref="Z67:AB67"/>
    <mergeCell ref="L67:Q67"/>
    <mergeCell ref="B49:Q49"/>
    <mergeCell ref="AC53:AE53"/>
    <mergeCell ref="O53:Q53"/>
    <mergeCell ref="O52:Q52"/>
    <mergeCell ref="O46:Q46"/>
    <mergeCell ref="F46:N46"/>
    <mergeCell ref="B51:AH51"/>
    <mergeCell ref="S52:AB52"/>
    <mergeCell ref="S46:V46"/>
    <mergeCell ref="W46:AE46"/>
    <mergeCell ref="AF46:AH46"/>
    <mergeCell ref="AF47:AH47"/>
    <mergeCell ref="B52:K52"/>
    <mergeCell ref="S48:AE48"/>
    <mergeCell ref="S47:V47"/>
    <mergeCell ref="B46:E46"/>
    <mergeCell ref="B47:E47"/>
    <mergeCell ref="B48:N48"/>
    <mergeCell ref="AF52:AH52"/>
    <mergeCell ref="F47:N47"/>
    <mergeCell ref="B45:E45"/>
    <mergeCell ref="B42:E42"/>
    <mergeCell ref="AF44:AH44"/>
    <mergeCell ref="W45:AE45"/>
    <mergeCell ref="W43:AE43"/>
    <mergeCell ref="S44:V44"/>
    <mergeCell ref="S43:V43"/>
    <mergeCell ref="S42:V42"/>
    <mergeCell ref="AC67:AH67"/>
    <mergeCell ref="AF64:AH64"/>
    <mergeCell ref="AF63:AH63"/>
    <mergeCell ref="AC63:AE63"/>
    <mergeCell ref="AC65:AE65"/>
    <mergeCell ref="AF65:AH65"/>
    <mergeCell ref="B65:H65"/>
    <mergeCell ref="B67:H67"/>
    <mergeCell ref="AF66:AH66"/>
    <mergeCell ref="I67:K67"/>
    <mergeCell ref="B63:H63"/>
    <mergeCell ref="S65:Y65"/>
    <mergeCell ref="Z65:AB65"/>
    <mergeCell ref="L64:N64"/>
    <mergeCell ref="W47:AE47"/>
    <mergeCell ref="O48:Q48"/>
    <mergeCell ref="S41:V41"/>
    <mergeCell ref="O42:Q42"/>
    <mergeCell ref="F42:N42"/>
    <mergeCell ref="O43:Q43"/>
    <mergeCell ref="O44:Q44"/>
    <mergeCell ref="O45:Q45"/>
    <mergeCell ref="S45:V45"/>
    <mergeCell ref="F45:N45"/>
    <mergeCell ref="AF42:AH42"/>
    <mergeCell ref="W42:AE42"/>
    <mergeCell ref="F43:N43"/>
    <mergeCell ref="AF45:AH45"/>
    <mergeCell ref="W44:AE44"/>
    <mergeCell ref="AF41:AH41"/>
    <mergeCell ref="B96:AH96"/>
    <mergeCell ref="B97:J97"/>
    <mergeCell ref="K97:S97"/>
    <mergeCell ref="T97:Z97"/>
    <mergeCell ref="B78:R78"/>
    <mergeCell ref="AE78:AH78"/>
    <mergeCell ref="AE95:AH95"/>
    <mergeCell ref="B94:L94"/>
    <mergeCell ref="M94:P94"/>
    <mergeCell ref="B82:AH82"/>
    <mergeCell ref="S79:W79"/>
    <mergeCell ref="Y78:AA78"/>
    <mergeCell ref="AB78:AD78"/>
    <mergeCell ref="S78:W78"/>
    <mergeCell ref="Y79:AA79"/>
    <mergeCell ref="AB79:AD79"/>
    <mergeCell ref="B80:AD80"/>
    <mergeCell ref="AE80:AH80"/>
    <mergeCell ref="B79:R79"/>
    <mergeCell ref="S90:W90"/>
    <mergeCell ref="V85:X85"/>
    <mergeCell ref="Y91:AC91"/>
    <mergeCell ref="V86:X86"/>
    <mergeCell ref="S89:W89"/>
    <mergeCell ref="B95:AD95"/>
    <mergeCell ref="S91:W91"/>
    <mergeCell ref="V1:AH1"/>
    <mergeCell ref="J1:T1"/>
    <mergeCell ref="I83:L83"/>
    <mergeCell ref="AB76:AD76"/>
    <mergeCell ref="AB77:AD77"/>
    <mergeCell ref="L70:P70"/>
    <mergeCell ref="V70:X70"/>
    <mergeCell ref="B74:R74"/>
    <mergeCell ref="I72:K72"/>
    <mergeCell ref="AE79:AH79"/>
    <mergeCell ref="AE73:AH73"/>
    <mergeCell ref="V73:X73"/>
    <mergeCell ref="Y73:AD73"/>
    <mergeCell ref="Y76:AA76"/>
    <mergeCell ref="B71:H71"/>
    <mergeCell ref="B72:H72"/>
    <mergeCell ref="F41:N41"/>
    <mergeCell ref="B73:O73"/>
    <mergeCell ref="O41:Q41"/>
    <mergeCell ref="I65:K65"/>
    <mergeCell ref="B53:K53"/>
    <mergeCell ref="L66:N66"/>
    <mergeCell ref="O56:Q56"/>
    <mergeCell ref="S56:AB56"/>
    <mergeCell ref="AC56:AE56"/>
    <mergeCell ref="O61:Q61"/>
    <mergeCell ref="S60:Y60"/>
    <mergeCell ref="I61:K61"/>
    <mergeCell ref="AC59:AH59"/>
    <mergeCell ref="AF56:AH56"/>
    <mergeCell ref="I60:K60"/>
    <mergeCell ref="AC61:AE61"/>
    <mergeCell ref="B56:K56"/>
    <mergeCell ref="L56:N56"/>
    <mergeCell ref="B61:H61"/>
    <mergeCell ref="S59:AB59"/>
    <mergeCell ref="L59:Q59"/>
    <mergeCell ref="B58:Q58"/>
    <mergeCell ref="O60:Q60"/>
    <mergeCell ref="AF60:AH60"/>
    <mergeCell ref="S58:AH58"/>
    <mergeCell ref="B55:Q55"/>
    <mergeCell ref="S55:AH55"/>
    <mergeCell ref="AC60:AE60"/>
    <mergeCell ref="AC64:AE64"/>
    <mergeCell ref="I62:K62"/>
    <mergeCell ref="L61:N61"/>
    <mergeCell ref="AM69:AN69"/>
    <mergeCell ref="B60:H60"/>
    <mergeCell ref="L65:N65"/>
    <mergeCell ref="O64:Q64"/>
    <mergeCell ref="AF61:AH61"/>
    <mergeCell ref="AF62:AH62"/>
    <mergeCell ref="Z61:AB61"/>
    <mergeCell ref="B59:K59"/>
    <mergeCell ref="L60:N60"/>
    <mergeCell ref="O63:Q63"/>
    <mergeCell ref="S63:Y63"/>
    <mergeCell ref="AC62:AE62"/>
    <mergeCell ref="Z62:AB62"/>
    <mergeCell ref="L62:N62"/>
    <mergeCell ref="O62:Q62"/>
    <mergeCell ref="I63:K63"/>
    <mergeCell ref="L63:N63"/>
    <mergeCell ref="B62:H62"/>
  </mergeCells>
  <phoneticPr fontId="0" type="noConversion"/>
  <dataValidations xWindow="1049" yWindow="595" count="27">
    <dataValidation type="list" allowBlank="1" showInputMessage="1" showErrorMessage="1" promptTitle="Stereopsis" prompt="Extent of stereopsis (depth perception) impairment" sqref="L52:N52" xr:uid="{00000000-0002-0000-0900-000000000000}">
      <formula1>C121:E121</formula1>
    </dataValidation>
    <dataValidation type="list" allowBlank="1" showInputMessage="1" showErrorMessage="1" promptTitle="Glare disturbances" prompt="Extent of impairment due to glare disturances" sqref="L53:N53" xr:uid="{00000000-0002-0000-0900-000001000000}">
      <formula1>C121:E121</formula1>
    </dataValidation>
    <dataValidation type="list" allowBlank="1" showInputMessage="1" showErrorMessage="1" promptTitle="Monocular diplopia" prompt="Extent of impairment due to monocular diplopia" sqref="L54:N54" xr:uid="{00000000-0002-0000-0900-000002000000}">
      <formula1>C121:E121</formula1>
    </dataValidation>
    <dataValidation type="list" allowBlank="1" showInputMessage="1" showErrorMessage="1" promptTitle="Central vision" prompt="distance acuity - English measure" sqref="G6:N6 X6:AE6" xr:uid="{00000000-0002-0000-0900-000003000000}">
      <formula1>$B$107:$S$107</formula1>
    </dataValidation>
    <dataValidation type="list" allowBlank="1" showInputMessage="1" showErrorMessage="1" promptTitle="Central vision" prompt="distance acuity - metric 6" sqref="G7:N7 X7:AE7" xr:uid="{00000000-0002-0000-0900-000004000000}">
      <formula1>$B$109:$S$109</formula1>
    </dataValidation>
    <dataValidation type="list" allowBlank="1" showInputMessage="1" showErrorMessage="1" promptTitle="Central vision" prompt="near acuity - Near Snellen Inches" sqref="J10:N10 AA10:AE10" xr:uid="{00000000-0002-0000-0900-000005000000}">
      <formula1>$B$111:$P$111</formula1>
    </dataValidation>
    <dataValidation type="list" allowBlank="1" showInputMessage="1" showErrorMessage="1" promptTitle="Central vision" prompt="near acuity - Revised Jaeger Standard" sqref="J11:N11 AA11:AE11" xr:uid="{00000000-0002-0000-0900-000006000000}">
      <formula1>$B$113:$P$113</formula1>
    </dataValidation>
    <dataValidation type="list" allowBlank="1" showInputMessage="1" showErrorMessage="1" promptTitle="Central vision" prompt="near acuity - American Point-type" sqref="J12:N12 AA12:AE12" xr:uid="{00000000-0002-0000-0900-000007000000}">
      <formula1>$B$115:$P$115</formula1>
    </dataValidation>
    <dataValidation type="list" allowBlank="1" showInputMessage="1" showErrorMessage="1" promptTitle="Visual field" prompt="Extent of retained vision (50 degrees is minimal normal extent of this peripheral visual field.)" sqref="Y26:AA26" xr:uid="{00000000-0002-0000-0900-000008000000}">
      <formula1>$B$118:$CO$118</formula1>
    </dataValidation>
    <dataValidation type="list" allowBlank="1" showInputMessage="1" showErrorMessage="1" promptTitle="Visual field loss" prompt="Monocular Esterman Grid - count all the printed dots outside or falling on the line marking the extent of the visual field. The number of dots counted is the percentage of visual field loss." sqref="K21:M21 AB21:AD21" xr:uid="{00000000-0002-0000-0900-000009000000}">
      <formula1>$B$118:$CY$118</formula1>
    </dataValidation>
    <dataValidation type="list" allowBlank="1" showInputMessage="1" showErrorMessage="1" sqref="F39:N39 W39:AE39" xr:uid="{00000000-0002-0000-0900-00000A000000}">
      <formula1>$C$120</formula1>
    </dataValidation>
    <dataValidation type="list" allowBlank="1" showInputMessage="1" showErrorMessage="1" sqref="F40:N44 W40:AE44" xr:uid="{00000000-0002-0000-0900-00000B000000}">
      <formula1>$D$120:$E$120</formula1>
    </dataValidation>
    <dataValidation type="list" allowBlank="1" showInputMessage="1" showErrorMessage="1" sqref="F45:N47 W45:AE47" xr:uid="{00000000-0002-0000-0900-00000C000000}">
      <formula1>$F$120</formula1>
    </dataValidation>
    <dataValidation type="list" allowBlank="1" showInputMessage="1" showErrorMessage="1" promptTitle="Field loss" prompt="Enter data here only if the worker has lost 1/4 or 1/2 of the visual field. This will be either 3 or 5 meridians. The program will enter 1/2 the sum of minimal normal for the boundary meridians - at the first (identified by letter) boundary meridian." sqref="N25:Q25 AE25:AH25" xr:uid="{00000000-0002-0000-0900-00000E000000}">
      <formula1>$B$122:$R$122</formula1>
    </dataValidation>
    <dataValidation type="decimal" operator="equal" allowBlank="1" showInputMessage="1" showErrorMessage="1" promptTitle="Lens involvement" prompt="Check the type of lens loss or &quot;NA.&quot;" sqref="A16" xr:uid="{00000000-0002-0000-0900-00000F000000}">
      <formula1>AK16</formula1>
    </dataValidation>
    <dataValidation type="list" allowBlank="1" showInputMessage="1" showErrorMessage="1" promptTitle="Scotoma" prompt="Scotoma: Add the degrees lost within the scotoma along affected meridians and (the program will) subtract that amount from the retained peripheral field." sqref="H31:J31 Y31:AA31" xr:uid="{00000000-0002-0000-0900-000010000000}">
      <formula1>$B$119:$IS$119</formula1>
    </dataValidation>
    <dataValidation type="decimal" operator="equal" allowBlank="1" showInputMessage="1" showErrorMessage="1" promptTitle="Peripheral visual field" prompt="Enter field loss data or check box if all meridians are at least minimal normal. Enter scotoma loss if applicable." sqref="A20" xr:uid="{00000000-0002-0000-0900-000011000000}">
      <formula1>AR20</formula1>
    </dataValidation>
    <dataValidation type="list" allowBlank="1" showInputMessage="1" showErrorMessage="1" promptTitle="Visual field" prompt="Extent of retained vision (55 degrees is minimal normal extent of this peripheral visual field.)" sqref="Y30:AA30 Y28:AA28" xr:uid="{00000000-0002-0000-0900-000012000000}">
      <formula1>$B$118:$CO$118</formula1>
    </dataValidation>
    <dataValidation type="list" allowBlank="1" showInputMessage="1" showErrorMessage="1" promptTitle="Visual field" prompt="Extent of retained vision (45 degrees is minimal normal extent of this peripheral visual field.)" sqref="Y29:AA29" xr:uid="{00000000-0002-0000-0900-000013000000}">
      <formula1>$B$118:$CO$118</formula1>
    </dataValidation>
    <dataValidation type="list" allowBlank="1" showInputMessage="1" showErrorMessage="1" promptTitle="Visual field" prompt="Extent of retained vision (60 degrees is minimal normal extent of this peripheral visual field.)" sqref="Y27:AA27" xr:uid="{00000000-0002-0000-0900-000014000000}">
      <formula1>$B$118:$CO$118</formula1>
    </dataValidation>
    <dataValidation type="list" allowBlank="1" showInputMessage="1" showErrorMessage="1" promptTitle="Visual field" prompt="Extent of retained vision (65 degrees is minimal normal extent of this peripheral visual field.)" sqref="Y25:AA25" xr:uid="{00000000-0002-0000-0900-000015000000}">
      <formula1>$B$118:$CO$118</formula1>
    </dataValidation>
    <dataValidation type="list" allowBlank="1" showInputMessage="1" showErrorMessage="1" promptTitle="Visual field" prompt="Extent of retained vision (85 degrees is minimal normal extent of this peripheral visual field.)" sqref="Y23:AA24 H23:J30" xr:uid="{00000000-0002-0000-0900-000016000000}">
      <formula1>$B$118:$CO$118</formula1>
    </dataValidation>
    <dataValidation allowBlank="1" showInputMessage="1" showErrorMessage="1" promptTitle="Date of injury" prompt="The dollar value of each degree of disability depends on the date of injury, and the program cannot calculate the disability award without the date." sqref="I83" xr:uid="{00000000-0002-0000-0900-000019000000}"/>
    <dataValidation allowBlank="1" showInputMessage="1" showErrorMessage="1" promptTitle="End of worksheet" prompt="Press TAB to return to top of sheet." sqref="AH97" xr:uid="{00000000-0002-0000-0900-00001A000000}"/>
    <dataValidation type="decimal" allowBlank="1" showInputMessage="1" showErrorMessage="1" promptTitle="Apportionment (if any)" prompt="Enter percentage of impairment caused by the injury or illness. See OAR 436-035-0013." sqref="L60:N66 AC60:AE66" xr:uid="{00000000-0002-0000-0900-00001C000000}">
      <formula1>$C$106</formula1>
      <formula2>$D$106</formula2>
    </dataValidation>
    <dataValidation allowBlank="1" showInputMessage="1" showErrorMessage="1" promptTitle="Enucleation" prompt="Check box next to eye removed." sqref="A56" xr:uid="{00000000-0002-0000-0900-00001D000000}"/>
    <dataValidation type="list" allowBlank="1" showInputMessage="1" showErrorMessage="1" promptTitle="Stereopsis" prompt="Extent of stereopsis (depth perception) impairment" sqref="AC52:AE54" xr:uid="{C71E1069-6316-473F-AAE7-E9C522DCCE50}">
      <formula1>$C$121:$E$121</formula1>
    </dataValidation>
  </dataValidations>
  <hyperlinks>
    <hyperlink ref="B97" location="Hearing!A1" display="Return to top of sheet" xr:uid="{00000000-0004-0000-0900-000000000000}"/>
    <hyperlink ref="B97:J97" location="Vision!A1" display="Return to top of sheet" xr:uid="{00000000-0004-0000-0900-000001000000}"/>
    <hyperlink ref="K97:S97" location="'PPD DOI before 2005'!A1" display="'PPD DOI before 2005'!A1" xr:uid="{00000000-0004-0000-0900-000002000000}"/>
    <hyperlink ref="T97:Y97" location="'PPD DOI on or after 2005'!A1" display="'PPD DOI on or after 2005'!A1" xr:uid="{00000000-0004-0000-0900-000003000000}"/>
    <hyperlink ref="M83:AH83" location="'Start here'!A8" display="'Start here'!A8" xr:uid="{00000000-0004-0000-0900-000004000000}"/>
  </hyperlinks>
  <pageMargins left="0.5" right="0.5" top="0.52" bottom="0.89" header="0.56999999999999995" footer="0.59"/>
  <pageSetup orientation="portrait" r:id="rId1"/>
  <headerFooter alignWithMargins="0">
    <oddFooter>&amp;LVision&amp;CPage &amp;P</oddFooter>
  </headerFooter>
  <rowBreaks count="2" manualBreakCount="2">
    <brk id="34" max="16383" man="1"/>
    <brk id="6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3009" r:id="rId4" name="Group Box 1">
              <controlPr defaultSize="0" autoFill="0" autoPict="0">
                <anchor moveWithCells="1">
                  <from>
                    <xdr:col>1</xdr:col>
                    <xdr:colOff>0</xdr:colOff>
                    <xdr:row>13</xdr:row>
                    <xdr:rowOff>180975</xdr:rowOff>
                  </from>
                  <to>
                    <xdr:col>14</xdr:col>
                    <xdr:colOff>9525</xdr:colOff>
                    <xdr:row>15</xdr:row>
                    <xdr:rowOff>733425</xdr:rowOff>
                  </to>
                </anchor>
              </controlPr>
            </control>
          </mc:Choice>
        </mc:AlternateContent>
        <mc:AlternateContent xmlns:mc="http://schemas.openxmlformats.org/markup-compatibility/2006">
          <mc:Choice Requires="x14">
            <control shapeId="43010" r:id="rId5" name="Option Button 2">
              <controlPr defaultSize="0" autoFill="0" autoLine="0" autoPict="0">
                <anchor moveWithCells="1">
                  <from>
                    <xdr:col>1</xdr:col>
                    <xdr:colOff>76200</xdr:colOff>
                    <xdr:row>15</xdr:row>
                    <xdr:rowOff>19050</xdr:rowOff>
                  </from>
                  <to>
                    <xdr:col>3</xdr:col>
                    <xdr:colOff>76200</xdr:colOff>
                    <xdr:row>15</xdr:row>
                    <xdr:rowOff>238125</xdr:rowOff>
                  </to>
                </anchor>
              </controlPr>
            </control>
          </mc:Choice>
        </mc:AlternateContent>
        <mc:AlternateContent xmlns:mc="http://schemas.openxmlformats.org/markup-compatibility/2006">
          <mc:Choice Requires="x14">
            <control shapeId="43011" r:id="rId6" name="Option Button 3">
              <controlPr defaultSize="0" autoFill="0" autoLine="0" autoPict="0">
                <anchor moveWithCells="1">
                  <from>
                    <xdr:col>1</xdr:col>
                    <xdr:colOff>76200</xdr:colOff>
                    <xdr:row>15</xdr:row>
                    <xdr:rowOff>228600</xdr:rowOff>
                  </from>
                  <to>
                    <xdr:col>12</xdr:col>
                    <xdr:colOff>123825</xdr:colOff>
                    <xdr:row>15</xdr:row>
                    <xdr:rowOff>447675</xdr:rowOff>
                  </to>
                </anchor>
              </controlPr>
            </control>
          </mc:Choice>
        </mc:AlternateContent>
        <mc:AlternateContent xmlns:mc="http://schemas.openxmlformats.org/markup-compatibility/2006">
          <mc:Choice Requires="x14">
            <control shapeId="43012" r:id="rId7" name="Option Button 4">
              <controlPr defaultSize="0" autoFill="0" autoLine="0" autoPict="0">
                <anchor moveWithCells="1">
                  <from>
                    <xdr:col>1</xdr:col>
                    <xdr:colOff>76200</xdr:colOff>
                    <xdr:row>15</xdr:row>
                    <xdr:rowOff>447675</xdr:rowOff>
                  </from>
                  <to>
                    <xdr:col>12</xdr:col>
                    <xdr:colOff>142875</xdr:colOff>
                    <xdr:row>15</xdr:row>
                    <xdr:rowOff>666750</xdr:rowOff>
                  </to>
                </anchor>
              </controlPr>
            </control>
          </mc:Choice>
        </mc:AlternateContent>
        <mc:AlternateContent xmlns:mc="http://schemas.openxmlformats.org/markup-compatibility/2006">
          <mc:Choice Requires="x14">
            <control shapeId="43013" r:id="rId8" name="Group Box 5">
              <controlPr defaultSize="0" autoFill="0" autoPict="0">
                <anchor moveWithCells="1">
                  <from>
                    <xdr:col>18</xdr:col>
                    <xdr:colOff>28575</xdr:colOff>
                    <xdr:row>14</xdr:row>
                    <xdr:rowOff>0</xdr:rowOff>
                  </from>
                  <to>
                    <xdr:col>30</xdr:col>
                    <xdr:colOff>152400</xdr:colOff>
                    <xdr:row>15</xdr:row>
                    <xdr:rowOff>733425</xdr:rowOff>
                  </to>
                </anchor>
              </controlPr>
            </control>
          </mc:Choice>
        </mc:AlternateContent>
        <mc:AlternateContent xmlns:mc="http://schemas.openxmlformats.org/markup-compatibility/2006">
          <mc:Choice Requires="x14">
            <control shapeId="43014" r:id="rId9" name="Option Button 6">
              <controlPr defaultSize="0" autoFill="0" autoLine="0" autoPict="0">
                <anchor moveWithCells="1">
                  <from>
                    <xdr:col>18</xdr:col>
                    <xdr:colOff>114300</xdr:colOff>
                    <xdr:row>15</xdr:row>
                    <xdr:rowOff>19050</xdr:rowOff>
                  </from>
                  <to>
                    <xdr:col>28</xdr:col>
                    <xdr:colOff>171450</xdr:colOff>
                    <xdr:row>15</xdr:row>
                    <xdr:rowOff>238125</xdr:rowOff>
                  </to>
                </anchor>
              </controlPr>
            </control>
          </mc:Choice>
        </mc:AlternateContent>
        <mc:AlternateContent xmlns:mc="http://schemas.openxmlformats.org/markup-compatibility/2006">
          <mc:Choice Requires="x14">
            <control shapeId="43015" r:id="rId10" name="Option Button 7">
              <controlPr defaultSize="0" autoFill="0" autoLine="0" autoPict="0">
                <anchor moveWithCells="1">
                  <from>
                    <xdr:col>18</xdr:col>
                    <xdr:colOff>114300</xdr:colOff>
                    <xdr:row>15</xdr:row>
                    <xdr:rowOff>219075</xdr:rowOff>
                  </from>
                  <to>
                    <xdr:col>28</xdr:col>
                    <xdr:colOff>171450</xdr:colOff>
                    <xdr:row>15</xdr:row>
                    <xdr:rowOff>438150</xdr:rowOff>
                  </to>
                </anchor>
              </controlPr>
            </control>
          </mc:Choice>
        </mc:AlternateContent>
        <mc:AlternateContent xmlns:mc="http://schemas.openxmlformats.org/markup-compatibility/2006">
          <mc:Choice Requires="x14">
            <control shapeId="43016" r:id="rId11" name="Option Button 8">
              <controlPr defaultSize="0" autoFill="0" autoLine="0" autoPict="0">
                <anchor moveWithCells="1">
                  <from>
                    <xdr:col>18</xdr:col>
                    <xdr:colOff>114300</xdr:colOff>
                    <xdr:row>15</xdr:row>
                    <xdr:rowOff>447675</xdr:rowOff>
                  </from>
                  <to>
                    <xdr:col>29</xdr:col>
                    <xdr:colOff>47625</xdr:colOff>
                    <xdr:row>15</xdr:row>
                    <xdr:rowOff>666750</xdr:rowOff>
                  </to>
                </anchor>
              </controlPr>
            </control>
          </mc:Choice>
        </mc:AlternateContent>
        <mc:AlternateContent xmlns:mc="http://schemas.openxmlformats.org/markup-compatibility/2006">
          <mc:Choice Requires="x14">
            <control shapeId="43017" r:id="rId12" name="Check Box 9">
              <controlPr defaultSize="0" autoFill="0" autoLine="0" autoPict="0">
                <anchor moveWithCells="1">
                  <from>
                    <xdr:col>1</xdr:col>
                    <xdr:colOff>28575</xdr:colOff>
                    <xdr:row>18</xdr:row>
                    <xdr:rowOff>219075</xdr:rowOff>
                  </from>
                  <to>
                    <xdr:col>2</xdr:col>
                    <xdr:colOff>123825</xdr:colOff>
                    <xdr:row>19</xdr:row>
                    <xdr:rowOff>209550</xdr:rowOff>
                  </to>
                </anchor>
              </controlPr>
            </control>
          </mc:Choice>
        </mc:AlternateContent>
        <mc:AlternateContent xmlns:mc="http://schemas.openxmlformats.org/markup-compatibility/2006">
          <mc:Choice Requires="x14">
            <control shapeId="43018" r:id="rId13" name="Check Box 10">
              <controlPr defaultSize="0" autoFill="0" autoLine="0" autoPict="0">
                <anchor moveWithCells="1">
                  <from>
                    <xdr:col>18</xdr:col>
                    <xdr:colOff>85725</xdr:colOff>
                    <xdr:row>19</xdr:row>
                    <xdr:rowOff>0</xdr:rowOff>
                  </from>
                  <to>
                    <xdr:col>19</xdr:col>
                    <xdr:colOff>171450</xdr:colOff>
                    <xdr:row>19</xdr:row>
                    <xdr:rowOff>219075</xdr:rowOff>
                  </to>
                </anchor>
              </controlPr>
            </control>
          </mc:Choice>
        </mc:AlternateContent>
        <mc:AlternateContent xmlns:mc="http://schemas.openxmlformats.org/markup-compatibility/2006">
          <mc:Choice Requires="x14">
            <control shapeId="43096" r:id="rId14" name="Check Box 88">
              <controlPr defaultSize="0" autoFill="0" autoLine="0" autoPict="0">
                <anchor moveWithCells="1">
                  <from>
                    <xdr:col>12</xdr:col>
                    <xdr:colOff>9525</xdr:colOff>
                    <xdr:row>55</xdr:row>
                    <xdr:rowOff>9525</xdr:rowOff>
                  </from>
                  <to>
                    <xdr:col>13</xdr:col>
                    <xdr:colOff>133350</xdr:colOff>
                    <xdr:row>55</xdr:row>
                    <xdr:rowOff>219075</xdr:rowOff>
                  </to>
                </anchor>
              </controlPr>
            </control>
          </mc:Choice>
        </mc:AlternateContent>
        <mc:AlternateContent xmlns:mc="http://schemas.openxmlformats.org/markup-compatibility/2006">
          <mc:Choice Requires="x14">
            <control shapeId="43097" r:id="rId15" name="Check Box 89">
              <controlPr defaultSize="0" autoFill="0" autoLine="0" autoPict="0">
                <anchor moveWithCells="1">
                  <from>
                    <xdr:col>29</xdr:col>
                    <xdr:colOff>38100</xdr:colOff>
                    <xdr:row>55</xdr:row>
                    <xdr:rowOff>9525</xdr:rowOff>
                  </from>
                  <to>
                    <xdr:col>31</xdr:col>
                    <xdr:colOff>0</xdr:colOff>
                    <xdr:row>55</xdr:row>
                    <xdr:rowOff>219075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G390"/>
  <sheetViews>
    <sheetView showGridLines="0" zoomScale="120" zoomScaleNormal="120" workbookViewId="0"/>
  </sheetViews>
  <sheetFormatPr defaultColWidth="2.85546875" defaultRowHeight="12.75" x14ac:dyDescent="0.2"/>
  <cols>
    <col min="1" max="1" width="1.42578125" style="2" customWidth="1"/>
    <col min="2" max="2" width="22.5703125" style="2" customWidth="1"/>
    <col min="3" max="3" width="3.42578125" style="1" customWidth="1"/>
    <col min="4" max="4" width="4.7109375" style="151" customWidth="1"/>
    <col min="5" max="5" width="4.28515625" style="2" customWidth="1"/>
    <col min="6" max="6" width="4.42578125" style="151" customWidth="1"/>
    <col min="7" max="7" width="4.28515625" style="2" customWidth="1"/>
    <col min="8" max="8" width="4" style="151" customWidth="1"/>
    <col min="9" max="9" width="4.85546875" style="2" customWidth="1"/>
    <col min="10" max="10" width="4.28515625" style="151" customWidth="1"/>
    <col min="11" max="11" width="2.85546875" style="2" customWidth="1"/>
    <col min="12" max="12" width="4" style="151" customWidth="1"/>
    <col min="13" max="13" width="4.42578125" style="2" customWidth="1"/>
    <col min="14" max="14" width="4" style="151" customWidth="1"/>
    <col min="15" max="15" width="11.28515625" style="2" customWidth="1"/>
    <col min="16" max="16" width="10.85546875" style="2" customWidth="1"/>
    <col min="17" max="17" width="2" style="2" customWidth="1"/>
    <col min="18" max="18" width="14.5703125" style="2" hidden="1" customWidth="1"/>
    <col min="19" max="19" width="15.140625" style="2" hidden="1" customWidth="1"/>
    <col min="20" max="20" width="13.85546875" style="2" hidden="1" customWidth="1"/>
    <col min="21" max="21" width="13.140625" style="2" hidden="1" customWidth="1"/>
    <col min="22" max="22" width="12.42578125" style="2" hidden="1" customWidth="1"/>
    <col min="23" max="23" width="17.140625" style="2" hidden="1" customWidth="1"/>
    <col min="24" max="24" width="12.5703125" style="2" hidden="1" customWidth="1"/>
    <col min="25" max="25" width="13.5703125" style="2" hidden="1" customWidth="1"/>
    <col min="26" max="26" width="11.7109375" style="2" hidden="1" customWidth="1"/>
    <col min="27" max="27" width="7.5703125" style="2" hidden="1" customWidth="1"/>
    <col min="28" max="28" width="10" style="2" hidden="1" customWidth="1"/>
    <col min="29" max="29" width="7" style="2" hidden="1" customWidth="1"/>
    <col min="30" max="30" width="5.85546875" style="2" hidden="1" customWidth="1"/>
    <col min="31" max="31" width="4" style="2" hidden="1" customWidth="1"/>
    <col min="32" max="32" width="5.140625" style="2" hidden="1" customWidth="1"/>
    <col min="33" max="130" width="2.85546875" style="2" hidden="1" customWidth="1"/>
    <col min="131" max="255" width="2.85546875" style="2" customWidth="1"/>
    <col min="256" max="16384" width="2.85546875" style="2"/>
  </cols>
  <sheetData>
    <row r="1" spans="2:236" ht="15" customHeight="1" x14ac:dyDescent="0.2">
      <c r="B1" s="10" t="s">
        <v>1697</v>
      </c>
      <c r="C1" s="732" t="str">
        <f>IF('Start here'!A6="","",'Start here'!A6)</f>
        <v/>
      </c>
      <c r="D1" s="736"/>
      <c r="E1" s="736"/>
      <c r="F1" s="736"/>
      <c r="G1" s="736"/>
      <c r="H1" s="736"/>
      <c r="I1" s="736"/>
      <c r="J1" s="737"/>
      <c r="K1" s="1"/>
      <c r="L1" s="732" t="str">
        <f>IF('Start here'!A7="","",'Start here'!A7)</f>
        <v/>
      </c>
      <c r="M1" s="736"/>
      <c r="N1" s="736"/>
      <c r="O1" s="736"/>
      <c r="P1" s="737"/>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236" ht="8.25" customHeight="1" x14ac:dyDescent="0.2">
      <c r="B2" s="777"/>
      <c r="C2" s="777"/>
      <c r="D2" s="777"/>
      <c r="E2" s="777"/>
      <c r="F2" s="777"/>
      <c r="G2" s="777"/>
      <c r="H2" s="777"/>
      <c r="I2" s="777"/>
      <c r="J2" s="777"/>
      <c r="K2" s="777"/>
      <c r="L2" s="777"/>
      <c r="M2" s="777"/>
      <c r="N2" s="777"/>
      <c r="O2" s="777"/>
      <c r="P2" s="777"/>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row>
    <row r="3" spans="2:236" ht="25.5" customHeight="1" x14ac:dyDescent="0.3">
      <c r="B3" s="778" t="s">
        <v>1737</v>
      </c>
      <c r="C3" s="1155"/>
      <c r="D3" s="1155"/>
      <c r="E3" s="1155"/>
      <c r="F3" s="1155"/>
      <c r="G3" s="1155"/>
      <c r="H3" s="1155"/>
      <c r="I3" s="1155"/>
      <c r="J3" s="1155"/>
      <c r="K3" s="1155"/>
      <c r="L3" s="1155"/>
      <c r="M3" s="1155"/>
      <c r="N3" s="1155"/>
      <c r="O3" s="1155"/>
      <c r="P3" s="1156"/>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row>
    <row r="4" spans="2:236" x14ac:dyDescent="0.2">
      <c r="B4" s="777"/>
      <c r="C4" s="777"/>
      <c r="D4" s="777"/>
      <c r="E4" s="777"/>
      <c r="F4" s="777"/>
      <c r="G4" s="777"/>
      <c r="H4" s="777"/>
      <c r="I4" s="777"/>
      <c r="J4" s="777"/>
      <c r="K4" s="777"/>
      <c r="L4" s="777"/>
      <c r="M4" s="777"/>
      <c r="N4" s="777"/>
      <c r="O4" s="777"/>
      <c r="P4" s="777"/>
      <c r="Q4" s="6"/>
      <c r="R4" s="6"/>
      <c r="S4" s="6"/>
      <c r="T4" s="6"/>
      <c r="U4" s="6"/>
      <c r="V4" s="6"/>
      <c r="W4" s="6"/>
      <c r="X4" s="6"/>
      <c r="Y4" s="6"/>
      <c r="Z4" s="6"/>
      <c r="AA4" s="6"/>
      <c r="AB4" s="6"/>
      <c r="AC4" s="6"/>
      <c r="AD4" s="6"/>
      <c r="AE4" s="6"/>
      <c r="AF4" s="6"/>
      <c r="AG4" s="6"/>
      <c r="AH4" s="6"/>
      <c r="AI4" s="10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row>
    <row r="5" spans="2:236" ht="18" customHeight="1" x14ac:dyDescent="0.2">
      <c r="B5" s="863" t="s">
        <v>1563</v>
      </c>
      <c r="C5" s="863"/>
      <c r="D5" s="863"/>
      <c r="E5" s="863"/>
      <c r="F5" s="863"/>
      <c r="G5" s="863"/>
      <c r="H5" s="863"/>
      <c r="I5" s="863"/>
      <c r="J5" s="863"/>
      <c r="K5" s="863"/>
      <c r="L5" s="863"/>
      <c r="M5" s="863"/>
      <c r="N5" s="863"/>
      <c r="O5" s="863"/>
      <c r="P5" s="830"/>
      <c r="Q5" s="6"/>
      <c r="R5" s="6"/>
      <c r="S5" s="6"/>
      <c r="T5" s="102"/>
      <c r="U5" s="102"/>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row>
    <row r="6" spans="2:236" ht="18" customHeight="1" x14ac:dyDescent="0.2">
      <c r="B6" s="18"/>
      <c r="C6" s="863" t="s">
        <v>1564</v>
      </c>
      <c r="D6" s="863"/>
      <c r="E6" s="863"/>
      <c r="F6" s="863"/>
      <c r="G6" s="863" t="s">
        <v>1565</v>
      </c>
      <c r="H6" s="863"/>
      <c r="I6" s="863"/>
      <c r="J6" s="863"/>
      <c r="K6" s="910"/>
      <c r="L6" s="910"/>
      <c r="M6" s="910"/>
      <c r="N6" s="910"/>
      <c r="O6" s="910"/>
      <c r="P6" s="831"/>
      <c r="Q6" s="6"/>
      <c r="R6" s="6"/>
      <c r="S6" s="13" t="s">
        <v>1566</v>
      </c>
      <c r="T6" s="1248" t="s">
        <v>202</v>
      </c>
      <c r="U6" s="1250"/>
      <c r="V6" s="944" t="s">
        <v>187</v>
      </c>
      <c r="W6" s="94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row>
    <row r="7" spans="2:236" ht="30" customHeight="1" x14ac:dyDescent="0.2">
      <c r="B7" s="272" t="s">
        <v>1825</v>
      </c>
      <c r="C7" s="694"/>
      <c r="D7" s="694"/>
      <c r="E7" s="921">
        <f>'Sh-Table'!R3</f>
        <v>0</v>
      </c>
      <c r="F7" s="1243"/>
      <c r="G7" s="694"/>
      <c r="H7" s="694"/>
      <c r="I7" s="936">
        <f>IF(C7="",0,IF(OR(C7&lt;=0,G7&lt;=0),E7,IF(G7&lt;C7,0,'Sh-Table'!W3)))</f>
        <v>0</v>
      </c>
      <c r="J7" s="936"/>
      <c r="K7" s="930" t="str">
        <f>IF(OR(C7="NA",G7="NA"),"",IF(AND(C7&lt;&gt;"",G7=""),"Enter contralateral or NA.",IF(AND(C7="",G7&lt;&gt;""),"Need data","")))</f>
        <v/>
      </c>
      <c r="L7" s="930"/>
      <c r="M7" s="930"/>
      <c r="N7" s="930"/>
      <c r="O7" s="930"/>
      <c r="P7" s="831"/>
      <c r="Q7" s="6"/>
      <c r="R7" s="124"/>
      <c r="S7" s="13">
        <v>180</v>
      </c>
      <c r="T7" s="13" t="str">
        <f t="shared" ref="T7:T18" si="0">IF(OR(C7="",C7="NA"),"",IF(C7&gt;S7,S7,IF(C7&lt;0,0,C7)))</f>
        <v/>
      </c>
      <c r="U7" s="13" t="str">
        <f>IF(OR(G7="",G7="NA"),"",IF(G7&gt;S7,S7,IF(G7&lt;0,0,G7)))</f>
        <v/>
      </c>
      <c r="V7" s="56" t="str">
        <f>IF(W7="","",ROUND(W7,0))</f>
        <v/>
      </c>
      <c r="W7" s="112" t="str">
        <f>IF(T7="","",IF(OR(U7="",U7=0,U7&lt;T7),T7,(T7*S7)/U7))</f>
        <v/>
      </c>
      <c r="X7" s="53">
        <f>IF(AND(Y18=1,Z18=1),"ERROR",SUM(I7,I9,I11,I13,I15,I17,X9))</f>
        <v>0</v>
      </c>
      <c r="Y7" s="756" t="s">
        <v>2211</v>
      </c>
      <c r="Z7" s="758"/>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row>
    <row r="8" spans="2:236" ht="30" customHeight="1" x14ac:dyDescent="0.2">
      <c r="B8" s="272" t="s">
        <v>1473</v>
      </c>
      <c r="C8" s="694"/>
      <c r="D8" s="694"/>
      <c r="E8" s="921">
        <f>IF(AND($Y$18=1,$Z$18=1),"ERROR",'Sh-Table'!R4)</f>
        <v>0</v>
      </c>
      <c r="F8" s="1243"/>
      <c r="G8" s="930" t="str">
        <f>IF(AND($Z$18=1,$Y$18=1),"Cannot rate ROM and ankylosis.",IF($Z$19&gt;1,"Multiple ankylosis findings. Use highest value only.",""))</f>
        <v/>
      </c>
      <c r="H8" s="930"/>
      <c r="I8" s="930"/>
      <c r="J8" s="930"/>
      <c r="K8" s="930"/>
      <c r="L8" s="930"/>
      <c r="M8" s="930"/>
      <c r="N8" s="930"/>
      <c r="O8" s="930"/>
      <c r="P8" s="831"/>
      <c r="Q8" s="6"/>
      <c r="R8" s="6"/>
      <c r="S8" s="13">
        <v>180</v>
      </c>
      <c r="T8" s="13" t="str">
        <f t="shared" si="0"/>
        <v/>
      </c>
      <c r="U8" s="6"/>
      <c r="V8" s="56"/>
      <c r="W8" s="113"/>
      <c r="X8" s="6"/>
      <c r="Y8" s="6"/>
      <c r="Z8" s="6"/>
      <c r="AA8" s="6"/>
      <c r="AB8" s="1491" t="s">
        <v>2295</v>
      </c>
      <c r="AC8" s="1492"/>
      <c r="AD8" s="1492"/>
      <c r="AE8" s="1492"/>
      <c r="AF8" s="1492"/>
      <c r="AG8" s="1492"/>
      <c r="AH8" s="1493"/>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row>
    <row r="9" spans="2:236" ht="30" customHeight="1" x14ac:dyDescent="0.2">
      <c r="B9" s="272" t="s">
        <v>1474</v>
      </c>
      <c r="C9" s="694"/>
      <c r="D9" s="694"/>
      <c r="E9" s="921">
        <f>'Sh-Table'!R5</f>
        <v>0</v>
      </c>
      <c r="F9" s="1243"/>
      <c r="G9" s="694"/>
      <c r="H9" s="694"/>
      <c r="I9" s="936">
        <f>IF(C9="",0,IF(OR(C9&lt;=0,G9&lt;=0),E9,IF(G9&lt;C9,0,'Sh-Table'!W5)))</f>
        <v>0</v>
      </c>
      <c r="J9" s="936"/>
      <c r="K9" s="930" t="str">
        <f>IF(OR(C9="NA",G9="NA"),"",IF(AND(C9&lt;&gt;"",G9=""),"Enter contralateral or NA.",IF(AND(C9="",G9&lt;&gt;""),"Need data","")))</f>
        <v/>
      </c>
      <c r="L9" s="930"/>
      <c r="M9" s="930"/>
      <c r="N9" s="930"/>
      <c r="O9" s="930"/>
      <c r="P9" s="831"/>
      <c r="Q9" s="6"/>
      <c r="R9" s="6"/>
      <c r="S9" s="13">
        <v>50</v>
      </c>
      <c r="T9" s="13" t="str">
        <f t="shared" si="0"/>
        <v/>
      </c>
      <c r="U9" s="13" t="str">
        <f>IF(OR(G9="",G9="NA"),"",IF(G9&gt;S9,S9,IF(G9&lt;0,0,G9)))</f>
        <v/>
      </c>
      <c r="V9" s="56" t="str">
        <f>IF(W9="","",ROUND(W9,0))</f>
        <v/>
      </c>
      <c r="W9" s="112" t="str">
        <f>IF(T9="","",IF(OR(U9="",U9=0,U9&lt;T9),T9,(T9*S9)/U9))</f>
        <v/>
      </c>
      <c r="X9" s="114">
        <f>MAX(E8,E10,E12,E14,E16,E18)</f>
        <v>0</v>
      </c>
      <c r="Y9" s="742" t="s">
        <v>2208</v>
      </c>
      <c r="Z9" s="744"/>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row>
    <row r="10" spans="2:236" ht="30" customHeight="1" x14ac:dyDescent="0.2">
      <c r="B10" s="272" t="s">
        <v>1475</v>
      </c>
      <c r="C10" s="694"/>
      <c r="D10" s="694"/>
      <c r="E10" s="921">
        <f>IF(AND($Y$18=1,$Z$18=1),"ERROR",'Sh-Table'!R6)</f>
        <v>0</v>
      </c>
      <c r="F10" s="1243"/>
      <c r="G10" s="930" t="str">
        <f>IF(AND($Z$18=1,$Y$18=1),"Cannot rate ROM and ankylosis.",IF($Z$19&gt;1,"Multiple ankylosis findings. Use highest value only.",""))</f>
        <v/>
      </c>
      <c r="H10" s="930"/>
      <c r="I10" s="930"/>
      <c r="J10" s="930"/>
      <c r="K10" s="930"/>
      <c r="L10" s="930"/>
      <c r="M10" s="930"/>
      <c r="N10" s="930"/>
      <c r="O10" s="930"/>
      <c r="P10" s="831"/>
      <c r="Q10" s="6"/>
      <c r="R10" s="6"/>
      <c r="S10" s="13">
        <v>50</v>
      </c>
      <c r="T10" s="13" t="str">
        <f t="shared" si="0"/>
        <v/>
      </c>
      <c r="U10" s="6"/>
      <c r="V10" s="56"/>
      <c r="W10" s="113"/>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row>
    <row r="11" spans="2:236" ht="30" customHeight="1" x14ac:dyDescent="0.2">
      <c r="B11" s="146" t="s">
        <v>677</v>
      </c>
      <c r="C11" s="694"/>
      <c r="D11" s="694"/>
      <c r="E11" s="921">
        <f>'Sh-Table'!R7</f>
        <v>0</v>
      </c>
      <c r="F11" s="1243"/>
      <c r="G11" s="694"/>
      <c r="H11" s="694"/>
      <c r="I11" s="936">
        <f>IF(C11="",0,IF(OR(C11&lt;=0,G11&lt;=0),E11,IF(G11&lt;C11,0,'Sh-Table'!W7)))</f>
        <v>0</v>
      </c>
      <c r="J11" s="936"/>
      <c r="K11" s="930" t="str">
        <f>IF(OR(C11="NA",G11="NA"),"",IF(AND(C11&lt;&gt;"",G11=""),"Enter contralateral or NA.",IF(AND(C11="",G11&lt;&gt;""),"Need data","")))</f>
        <v/>
      </c>
      <c r="L11" s="930"/>
      <c r="M11" s="930"/>
      <c r="N11" s="930"/>
      <c r="O11" s="930"/>
      <c r="P11" s="831"/>
      <c r="Q11" s="6"/>
      <c r="R11" s="6"/>
      <c r="S11" s="13">
        <v>180</v>
      </c>
      <c r="T11" s="13" t="str">
        <f t="shared" si="0"/>
        <v/>
      </c>
      <c r="U11" s="13" t="str">
        <f>IF(OR(G11="",G11="NA"),"",IF(G11&gt;S11,S11,IF(G11&lt;0,0,G11)))</f>
        <v/>
      </c>
      <c r="V11" s="56" t="str">
        <f>IF(W11="","",ROUND(W11,0))</f>
        <v/>
      </c>
      <c r="W11" s="113" t="str">
        <f>IF(T11="","",IF(OR(U11="",U11=0,U11&lt;T11),T11,(T11*S11)/U11))</f>
        <v/>
      </c>
      <c r="X11" s="6"/>
      <c r="Y11" s="127" t="s">
        <v>2209</v>
      </c>
      <c r="Z11" s="127" t="s">
        <v>2210</v>
      </c>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row>
    <row r="12" spans="2:236" ht="30" customHeight="1" x14ac:dyDescent="0.2">
      <c r="B12" s="146" t="s">
        <v>680</v>
      </c>
      <c r="C12" s="694"/>
      <c r="D12" s="694"/>
      <c r="E12" s="921">
        <f>IF(AND($Y$18=1,$Z$18=1),"ERROR",'Sh-Table'!R8)</f>
        <v>0</v>
      </c>
      <c r="F12" s="1243"/>
      <c r="G12" s="930" t="str">
        <f>IF(AND($Z$18=1,$Y$18=1),"Cannot rate ROM and ankylosis.",IF($Z$19&gt;1,"Multiple ankylosis findings. Use highest value only.",""))</f>
        <v/>
      </c>
      <c r="H12" s="930"/>
      <c r="I12" s="930"/>
      <c r="J12" s="930"/>
      <c r="K12" s="930"/>
      <c r="L12" s="930"/>
      <c r="M12" s="930"/>
      <c r="N12" s="930"/>
      <c r="O12" s="930"/>
      <c r="P12" s="831"/>
      <c r="Q12" s="6"/>
      <c r="R12" s="6"/>
      <c r="S12" s="13">
        <v>180</v>
      </c>
      <c r="T12" s="13" t="str">
        <f t="shared" si="0"/>
        <v/>
      </c>
      <c r="U12" s="6"/>
      <c r="V12" s="13"/>
      <c r="W12" s="13"/>
      <c r="X12" s="6"/>
      <c r="Y12" s="13">
        <f>IF(AND(C7&lt;&gt;"",C7&lt;&gt;"NA"),1,0)</f>
        <v>0</v>
      </c>
      <c r="Z12" s="13">
        <f>IF(AND(C8&lt;&gt;"",C8&lt;&gt;"NA"),1,0)</f>
        <v>0</v>
      </c>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row>
    <row r="13" spans="2:236" ht="30" customHeight="1" x14ac:dyDescent="0.2">
      <c r="B13" s="146" t="s">
        <v>681</v>
      </c>
      <c r="C13" s="694"/>
      <c r="D13" s="694"/>
      <c r="E13" s="921">
        <f>'Sh-Table'!R9</f>
        <v>0</v>
      </c>
      <c r="F13" s="1243"/>
      <c r="G13" s="694"/>
      <c r="H13" s="694"/>
      <c r="I13" s="936">
        <f>IF(C13="",0,IF(OR(C13&lt;=0,G13&lt;=0),E13,IF(G13&lt;C13,0,'Sh-Table'!W9)))</f>
        <v>0</v>
      </c>
      <c r="J13" s="936"/>
      <c r="K13" s="930" t="str">
        <f>IF(OR(C13="NA",G13="NA"),"",IF(AND(C13&lt;&gt;"",G13=""),"Enter contralateral or NA.",IF(AND(C13="",G13&lt;&gt;""),"Need data","")))</f>
        <v/>
      </c>
      <c r="L13" s="930"/>
      <c r="M13" s="930"/>
      <c r="N13" s="930"/>
      <c r="O13" s="930"/>
      <c r="P13" s="831"/>
      <c r="Q13" s="6"/>
      <c r="R13" s="115" t="s">
        <v>682</v>
      </c>
      <c r="S13" s="13">
        <v>50</v>
      </c>
      <c r="T13" s="13" t="str">
        <f t="shared" si="0"/>
        <v/>
      </c>
      <c r="U13" s="13" t="str">
        <f>IF(OR(G13="",G13="NA"),"",IF(G13&gt;S13,S13,IF(G13&lt;0,0,G13)))</f>
        <v/>
      </c>
      <c r="V13" s="56" t="str">
        <f>IF(W13="","",ROUND(W13,0))</f>
        <v/>
      </c>
      <c r="W13" s="113" t="str">
        <f>IF(T13="","",IF(OR(U13="",U13=0,U13&lt;T13),T13,(T13*S13)/U13))</f>
        <v/>
      </c>
      <c r="X13" s="6"/>
      <c r="Y13" s="13">
        <f>IF(AND(C9&lt;&gt;"",C9&lt;&gt;"NA"),1,0)</f>
        <v>0</v>
      </c>
      <c r="Z13" s="13">
        <f>IF(AND(C10&lt;&gt;"",C10&lt;&gt;"NA"),1,0)</f>
        <v>0</v>
      </c>
      <c r="AA13" s="6"/>
      <c r="AB13" s="6"/>
      <c r="AC13" s="6"/>
      <c r="AD13" s="6"/>
      <c r="AE13" s="6"/>
      <c r="AF13" s="6"/>
      <c r="AG13" s="6"/>
      <c r="AH13" s="102"/>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row>
    <row r="14" spans="2:236" ht="30" customHeight="1" x14ac:dyDescent="0.2">
      <c r="B14" s="146" t="s">
        <v>683</v>
      </c>
      <c r="C14" s="694"/>
      <c r="D14" s="694"/>
      <c r="E14" s="921">
        <f>IF(AND($Y$18=1,$Z$18=1),"ERROR",'Sh-Table'!R10)</f>
        <v>0</v>
      </c>
      <c r="F14" s="1243"/>
      <c r="G14" s="930" t="str">
        <f>IF(AND($Z$18=1,$Y$18=1),"Cannot rate ROM and ankylosis.",IF($Z$19&gt;1,"Multiple ankylosis findings. Use highest value only.",""))</f>
        <v/>
      </c>
      <c r="H14" s="930"/>
      <c r="I14" s="930"/>
      <c r="J14" s="930"/>
      <c r="K14" s="930"/>
      <c r="L14" s="930"/>
      <c r="M14" s="930"/>
      <c r="N14" s="930"/>
      <c r="O14" s="930"/>
      <c r="P14" s="831"/>
      <c r="Q14" s="6"/>
      <c r="R14" s="88" t="s">
        <v>684</v>
      </c>
      <c r="S14" s="13">
        <v>50</v>
      </c>
      <c r="T14" s="13" t="str">
        <f t="shared" si="0"/>
        <v/>
      </c>
      <c r="U14" s="6"/>
      <c r="V14" s="13"/>
      <c r="W14" s="13"/>
      <c r="X14" s="6"/>
      <c r="Y14" s="13">
        <f>IF(AND(C11&lt;&gt;"",C11&lt;&gt;"NA"),1,0)</f>
        <v>0</v>
      </c>
      <c r="Z14" s="13">
        <f>IF(AND(C12&lt;&gt;"",C12&lt;&gt;"NA"),1,0)</f>
        <v>0</v>
      </c>
      <c r="AA14" s="6"/>
      <c r="AB14" s="6"/>
      <c r="AC14" s="6"/>
      <c r="AD14" s="6"/>
      <c r="AE14" s="6"/>
      <c r="AF14" s="6"/>
      <c r="AG14" s="6"/>
      <c r="AH14" s="102"/>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row>
    <row r="15" spans="2:236" ht="30" customHeight="1" x14ac:dyDescent="0.2">
      <c r="B15" s="146" t="s">
        <v>685</v>
      </c>
      <c r="C15" s="694"/>
      <c r="D15" s="694"/>
      <c r="E15" s="921">
        <f>'Sh-Table'!R11</f>
        <v>0</v>
      </c>
      <c r="F15" s="1243"/>
      <c r="G15" s="694"/>
      <c r="H15" s="694"/>
      <c r="I15" s="936">
        <f>IF(C15="",0,IF(OR(C15&lt;=0,G15&lt;=0),E15,IF(G15&lt;C15,0,'Sh-Table'!W11)))</f>
        <v>0</v>
      </c>
      <c r="J15" s="936"/>
      <c r="K15" s="930" t="str">
        <f>IF(OR(C15="NA",G15="NA"),"",IF(AND(C15&lt;&gt;"",G15=""),"Enter contralateral or NA.",IF(AND(C15="",G15&lt;&gt;""),"Need data","")))</f>
        <v/>
      </c>
      <c r="L15" s="930"/>
      <c r="M15" s="930"/>
      <c r="N15" s="930"/>
      <c r="O15" s="930"/>
      <c r="P15" s="831"/>
      <c r="Q15" s="6"/>
      <c r="R15" s="110">
        <f>IF(R19="ERROR",1,0)</f>
        <v>0</v>
      </c>
      <c r="S15" s="13">
        <v>90</v>
      </c>
      <c r="T15" s="13" t="str">
        <f t="shared" si="0"/>
        <v/>
      </c>
      <c r="U15" s="13" t="str">
        <f>IF(OR(G15="",G15="NA"),"",IF(G15&gt;S15,S15,IF(G15&lt;0,0,G15)))</f>
        <v/>
      </c>
      <c r="V15" s="56" t="str">
        <f>IF(W15="","",ROUND(W15,0))</f>
        <v/>
      </c>
      <c r="W15" s="113" t="str">
        <f>IF(T15="","",IF(OR(U15="",U15=0,U15&lt;T15),T15,(T15*S15)/U15))</f>
        <v/>
      </c>
      <c r="Y15" s="13">
        <f>IF(AND(C13&lt;&gt;"",C13&lt;&gt;"NA"),1,0)</f>
        <v>0</v>
      </c>
      <c r="Z15" s="13">
        <f>IF(AND(C14&lt;&gt;"",C14&lt;&gt;"NA"),1,0)</f>
        <v>0</v>
      </c>
      <c r="AA15" s="6"/>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row>
    <row r="16" spans="2:236" ht="30" customHeight="1" x14ac:dyDescent="0.2">
      <c r="B16" s="127" t="s">
        <v>578</v>
      </c>
      <c r="C16" s="694"/>
      <c r="D16" s="694"/>
      <c r="E16" s="921">
        <f>IF(AND($Y$18=1,$Z$18=1),"ERROR",'Sh-Table'!R12)</f>
        <v>0</v>
      </c>
      <c r="F16" s="1243"/>
      <c r="G16" s="930" t="str">
        <f>IF(AND($Z$18=1,$Y$18=1),"Cannot rate ROM and ankylosis.",IF($Z$19&gt;1,"Multiple ankylosis findings. Use highest value only.",""))</f>
        <v/>
      </c>
      <c r="H16" s="930"/>
      <c r="I16" s="930"/>
      <c r="J16" s="930"/>
      <c r="K16" s="930"/>
      <c r="L16" s="930"/>
      <c r="M16" s="930"/>
      <c r="N16" s="930"/>
      <c r="O16" s="930"/>
      <c r="P16" s="831"/>
      <c r="Q16" s="6"/>
      <c r="R16" s="6"/>
      <c r="S16" s="13">
        <v>90</v>
      </c>
      <c r="T16" s="13" t="str">
        <f t="shared" si="0"/>
        <v/>
      </c>
      <c r="U16" s="13"/>
      <c r="V16" s="13"/>
      <c r="W16" s="13"/>
      <c r="X16" s="6"/>
      <c r="Y16" s="13">
        <f>IF(AND(C15&lt;&gt;"",C15&lt;&gt;"NA"),1,0)</f>
        <v>0</v>
      </c>
      <c r="Z16" s="13">
        <f>IF(AND(C16&lt;&gt;"",C16&lt;&gt;"NA"),1,0)</f>
        <v>0</v>
      </c>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row>
    <row r="17" spans="1:236" ht="30" customHeight="1" x14ac:dyDescent="0.2">
      <c r="B17" s="272" t="s">
        <v>579</v>
      </c>
      <c r="C17" s="694"/>
      <c r="D17" s="694"/>
      <c r="E17" s="921">
        <f>'Sh-Table'!R13</f>
        <v>0</v>
      </c>
      <c r="F17" s="1243"/>
      <c r="G17" s="694"/>
      <c r="H17" s="694"/>
      <c r="I17" s="936">
        <f>IF(C17="",0,IF(OR(C17&lt;=0,G17&lt;=0),E17,IF(G17&lt;C17,0,'Sh-Table'!W13)))</f>
        <v>0</v>
      </c>
      <c r="J17" s="936"/>
      <c r="K17" s="930" t="str">
        <f>IF(OR(C17="NA",G17="NA"),"",IF(AND(C17&lt;&gt;"",G17=""),"Enter contralateral or NA.",IF(AND(C17="",G17&lt;&gt;""),"Need data","")))</f>
        <v/>
      </c>
      <c r="L17" s="930"/>
      <c r="M17" s="930"/>
      <c r="N17" s="930"/>
      <c r="O17" s="930"/>
      <c r="P17" s="831"/>
      <c r="Q17" s="6"/>
      <c r="R17" s="6"/>
      <c r="S17" s="13">
        <v>90</v>
      </c>
      <c r="T17" s="13" t="str">
        <f t="shared" si="0"/>
        <v/>
      </c>
      <c r="U17" s="13" t="str">
        <f>IF(OR(G17="",G17="NA"),"",IF(G17&gt;S17,S17,IF(G17&lt;0,0,G17)))</f>
        <v/>
      </c>
      <c r="V17" s="56" t="str">
        <f>IF(W17="","",ROUND(W17,0))</f>
        <v/>
      </c>
      <c r="W17" s="113" t="str">
        <f>IF(T17="","",IF(OR(U17="",U17=0,U17&lt;T17),T17,(T17*S17)/U17))</f>
        <v/>
      </c>
      <c r="X17" s="6"/>
      <c r="Y17" s="13">
        <f>IF(AND(C17&lt;&gt;"",C17&lt;&gt;"NA"),1,0)</f>
        <v>0</v>
      </c>
      <c r="Z17" s="13">
        <f>IF(AND(C18&lt;&gt;"",C18&lt;&gt;"NA"),1,0)</f>
        <v>0</v>
      </c>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row>
    <row r="18" spans="1:236" ht="30" customHeight="1" x14ac:dyDescent="0.2">
      <c r="B18" s="272" t="s">
        <v>580</v>
      </c>
      <c r="C18" s="694"/>
      <c r="D18" s="694"/>
      <c r="E18" s="921">
        <f>IF(AND($Y$18=1,$Z$18=1),"ERROR",'Sh-Table'!R14)</f>
        <v>0</v>
      </c>
      <c r="F18" s="1243"/>
      <c r="G18" s="930" t="str">
        <f>IF(AND($Z$18=1,$Y$18=1),"Cannot rate ROM and ankylosis.",IF($Z$19&gt;1,"Multiple ankylosis findings. Use highest value only.",""))</f>
        <v/>
      </c>
      <c r="H18" s="930"/>
      <c r="I18" s="930"/>
      <c r="J18" s="930"/>
      <c r="K18" s="930"/>
      <c r="L18" s="930"/>
      <c r="M18" s="930"/>
      <c r="N18" s="930"/>
      <c r="O18" s="930"/>
      <c r="P18" s="832"/>
      <c r="Q18" s="6"/>
      <c r="R18" s="6"/>
      <c r="S18" s="92">
        <v>90</v>
      </c>
      <c r="T18" s="13" t="str">
        <f t="shared" si="0"/>
        <v/>
      </c>
      <c r="U18" s="6"/>
      <c r="V18" s="5"/>
      <c r="W18" s="6"/>
      <c r="X18" s="6"/>
      <c r="Y18" s="605">
        <f>IF(OR(Y12=1,Y13=1,Y14=1,Y15=1,Y16=1,Y17=1),1,0)</f>
        <v>0</v>
      </c>
      <c r="Z18" s="605">
        <f>IF(OR(Z12=1,Z13=1,Z14=1,Z15=1,Z16=1,Z17=1),1,0)</f>
        <v>0</v>
      </c>
      <c r="AA18" s="6"/>
      <c r="AB18" s="5"/>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row>
    <row r="19" spans="1:236" ht="24" customHeight="1" x14ac:dyDescent="0.25">
      <c r="B19" s="910"/>
      <c r="C19" s="910"/>
      <c r="D19" s="910"/>
      <c r="E19" s="910"/>
      <c r="F19" s="910"/>
      <c r="G19" s="910"/>
      <c r="H19" s="1006" t="s">
        <v>804</v>
      </c>
      <c r="I19" s="1007"/>
      <c r="J19" s="1007"/>
      <c r="K19" s="1007"/>
      <c r="L19" s="1007"/>
      <c r="M19" s="1007"/>
      <c r="N19" s="1007"/>
      <c r="O19" s="1008"/>
      <c r="P19" s="283">
        <f>IF(R15=1,"ERROR",S19)</f>
        <v>0</v>
      </c>
      <c r="Q19" s="6"/>
      <c r="R19" s="116">
        <f>IF(AND(X7&gt;0,X7&lt;0.01),0.01,X7)</f>
        <v>0</v>
      </c>
      <c r="S19" s="52">
        <f>IF(R19&lt;&gt;"ERROR",ROUND(R19,2),0)</f>
        <v>0</v>
      </c>
      <c r="T19" s="6"/>
      <c r="U19" s="6"/>
      <c r="W19" s="6"/>
      <c r="X19" s="6"/>
      <c r="Y19" s="6"/>
      <c r="Z19" s="146">
        <f>SUM(Z12:Z17)</f>
        <v>0</v>
      </c>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row>
    <row r="20" spans="1:236" ht="12" customHeight="1" x14ac:dyDescent="0.25">
      <c r="B20" s="1183"/>
      <c r="C20" s="1183"/>
      <c r="D20" s="1183"/>
      <c r="E20" s="1183"/>
      <c r="F20" s="1183"/>
      <c r="G20" s="1183"/>
      <c r="H20" s="1183"/>
      <c r="I20" s="1183"/>
      <c r="J20" s="1183"/>
      <c r="K20" s="1183"/>
      <c r="L20" s="1183"/>
      <c r="M20" s="1183"/>
      <c r="N20" s="1183"/>
      <c r="O20" s="1183"/>
      <c r="P20" s="379"/>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row>
    <row r="21" spans="1:236" ht="18" customHeight="1" x14ac:dyDescent="0.2">
      <c r="B21" s="863" t="s">
        <v>1738</v>
      </c>
      <c r="C21" s="863"/>
      <c r="D21" s="863"/>
      <c r="E21" s="863"/>
      <c r="F21" s="863"/>
      <c r="G21" s="863"/>
      <c r="H21" s="863"/>
      <c r="I21" s="863"/>
      <c r="J21" s="863"/>
      <c r="K21" s="863"/>
      <c r="L21" s="863"/>
      <c r="M21" s="863"/>
      <c r="N21" s="863"/>
      <c r="O21" s="863"/>
      <c r="P21" s="18"/>
      <c r="Q21" s="6"/>
      <c r="R21" s="108"/>
      <c r="S21" s="6"/>
      <c r="T21" s="121"/>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row>
    <row r="22" spans="1:236" ht="20.100000000000001" customHeight="1" x14ac:dyDescent="0.25">
      <c r="A22" s="15"/>
      <c r="B22" s="1475"/>
      <c r="C22" s="1475"/>
      <c r="D22" s="1475"/>
      <c r="E22" s="1475"/>
      <c r="F22" s="1475"/>
      <c r="G22" s="1475"/>
      <c r="H22" s="1475"/>
      <c r="I22" s="1475"/>
      <c r="J22" s="1475"/>
      <c r="K22" s="1475"/>
      <c r="L22" s="1475"/>
      <c r="M22" s="1475"/>
      <c r="N22" s="1475"/>
      <c r="O22" s="1475"/>
      <c r="P22" s="284">
        <f>IF(S22=1,0.15,IF(S22=2,0.05,IF(S22=3,0,0)))</f>
        <v>0</v>
      </c>
      <c r="Q22" s="6"/>
      <c r="R22" s="1476" t="s">
        <v>2212</v>
      </c>
      <c r="S22" s="656">
        <v>3</v>
      </c>
      <c r="T22" s="121">
        <v>1E-4</v>
      </c>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row>
    <row r="23" spans="1:236" ht="20.100000000000001" customHeight="1" x14ac:dyDescent="0.25">
      <c r="B23" s="1475"/>
      <c r="C23" s="1475"/>
      <c r="D23" s="1475"/>
      <c r="E23" s="1475"/>
      <c r="F23" s="1475"/>
      <c r="G23" s="1475"/>
      <c r="H23" s="1475"/>
      <c r="I23" s="1475"/>
      <c r="J23" s="1475"/>
      <c r="K23" s="1475"/>
      <c r="L23" s="1475"/>
      <c r="M23" s="1475"/>
      <c r="N23" s="1475"/>
      <c r="O23" s="1475"/>
      <c r="P23" s="284">
        <f>IF(S23=1,0.05,0)</f>
        <v>0</v>
      </c>
      <c r="Q23" s="6"/>
      <c r="R23" s="1476"/>
      <c r="S23" s="656">
        <v>2</v>
      </c>
      <c r="T23" s="121"/>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row>
    <row r="24" spans="1:236" ht="20.100000000000001" customHeight="1" x14ac:dyDescent="0.25">
      <c r="B24" s="1475"/>
      <c r="C24" s="1475"/>
      <c r="D24" s="1475"/>
      <c r="E24" s="1475"/>
      <c r="F24" s="1475"/>
      <c r="G24" s="1475"/>
      <c r="H24" s="1475"/>
      <c r="I24" s="1475"/>
      <c r="J24" s="1475"/>
      <c r="K24" s="1475"/>
      <c r="L24" s="1475"/>
      <c r="M24" s="1475"/>
      <c r="N24" s="1475"/>
      <c r="O24" s="1475"/>
      <c r="P24" s="284">
        <f>IF(S24=1,0.3,0)</f>
        <v>0</v>
      </c>
      <c r="Q24" s="6"/>
      <c r="R24" s="1476"/>
      <c r="S24" s="656">
        <v>2</v>
      </c>
      <c r="T24" s="121"/>
      <c r="U24" s="108"/>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row>
    <row r="25" spans="1:236" ht="20.100000000000001" customHeight="1" x14ac:dyDescent="0.25">
      <c r="B25" s="1475"/>
      <c r="C25" s="1475"/>
      <c r="D25" s="1475"/>
      <c r="E25" s="1475"/>
      <c r="F25" s="1475"/>
      <c r="G25" s="1475"/>
      <c r="H25" s="1475"/>
      <c r="I25" s="1475"/>
      <c r="J25" s="1475"/>
      <c r="K25" s="1475"/>
      <c r="L25" s="1475"/>
      <c r="M25" s="1475"/>
      <c r="N25" s="1475"/>
      <c r="O25" s="1475"/>
      <c r="P25" s="284">
        <f>IF(S25=1,0.1,0)</f>
        <v>0</v>
      </c>
      <c r="Q25" s="6"/>
      <c r="R25" s="1476"/>
      <c r="S25" s="657">
        <v>2</v>
      </c>
      <c r="T25" s="118"/>
      <c r="U25" s="108"/>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row>
    <row r="26" spans="1:236" ht="11.25" customHeight="1" x14ac:dyDescent="0.2">
      <c r="B26" s="1480"/>
      <c r="C26" s="1480"/>
      <c r="D26" s="1480"/>
      <c r="E26" s="1480"/>
      <c r="F26" s="1480"/>
      <c r="G26" s="1480"/>
      <c r="H26" s="1480"/>
      <c r="I26" s="1480"/>
      <c r="J26" s="1480"/>
      <c r="K26" s="1480"/>
      <c r="L26" s="1480"/>
      <c r="M26" s="1480"/>
      <c r="N26" s="1480"/>
      <c r="O26" s="1480"/>
      <c r="P26" s="16"/>
      <c r="Q26" s="6"/>
      <c r="R26" s="108"/>
      <c r="S26" s="109"/>
      <c r="T26" s="108"/>
      <c r="U26" s="108"/>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row>
    <row r="27" spans="1:236" ht="18" customHeight="1" x14ac:dyDescent="0.2">
      <c r="B27" s="863" t="s">
        <v>492</v>
      </c>
      <c r="C27" s="863"/>
      <c r="D27" s="863"/>
      <c r="E27" s="863"/>
      <c r="F27" s="863"/>
      <c r="G27" s="863"/>
      <c r="H27" s="863"/>
      <c r="I27" s="863"/>
      <c r="J27" s="863"/>
      <c r="K27" s="863"/>
      <c r="L27" s="863"/>
      <c r="M27" s="863"/>
      <c r="N27" s="863"/>
      <c r="O27" s="863"/>
      <c r="P27" s="18"/>
      <c r="Q27" s="6"/>
      <c r="R27" s="108"/>
      <c r="S27" s="109"/>
      <c r="T27" s="108"/>
      <c r="U27" s="108"/>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row>
    <row r="28" spans="1:236" ht="15" customHeight="1" x14ac:dyDescent="0.2">
      <c r="B28" s="1143" t="s">
        <v>1686</v>
      </c>
      <c r="C28" s="1143"/>
      <c r="D28" s="1143"/>
      <c r="E28" s="1143"/>
      <c r="F28" s="1143"/>
      <c r="G28" s="1143"/>
      <c r="H28" s="1143"/>
      <c r="I28" s="1143"/>
      <c r="J28" s="1143"/>
      <c r="K28" s="1143"/>
      <c r="L28" s="1143"/>
      <c r="M28" s="1143"/>
      <c r="N28" s="1143"/>
      <c r="O28" s="1143"/>
      <c r="P28" s="1161"/>
      <c r="Q28" s="6"/>
      <c r="R28" s="108"/>
      <c r="S28" s="109"/>
      <c r="T28" s="77"/>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row>
    <row r="29" spans="1:236" ht="15" customHeight="1" x14ac:dyDescent="0.2">
      <c r="B29" s="1143"/>
      <c r="C29" s="1143"/>
      <c r="D29" s="1143"/>
      <c r="E29" s="1143"/>
      <c r="F29" s="1143"/>
      <c r="G29" s="1143"/>
      <c r="H29" s="1143"/>
      <c r="I29" s="1143"/>
      <c r="J29" s="1143"/>
      <c r="K29" s="1143"/>
      <c r="L29" s="1143"/>
      <c r="M29" s="1143"/>
      <c r="N29" s="1143"/>
      <c r="O29" s="1143"/>
      <c r="P29" s="1161"/>
      <c r="Q29" s="6"/>
      <c r="R29" s="1477" t="s">
        <v>2213</v>
      </c>
      <c r="S29" s="1477"/>
      <c r="T29" s="108"/>
      <c r="U29" s="108"/>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row>
    <row r="30" spans="1:236" ht="15" customHeight="1" x14ac:dyDescent="0.2">
      <c r="B30" s="1143"/>
      <c r="C30" s="1143"/>
      <c r="D30" s="1143"/>
      <c r="E30" s="1143"/>
      <c r="F30" s="1143"/>
      <c r="G30" s="1143"/>
      <c r="H30" s="1143"/>
      <c r="I30" s="1143"/>
      <c r="J30" s="1143"/>
      <c r="K30" s="1143"/>
      <c r="L30" s="1143"/>
      <c r="M30" s="1143"/>
      <c r="N30" s="1143"/>
      <c r="O30" s="1143"/>
      <c r="P30" s="1161"/>
      <c r="Q30" s="6"/>
      <c r="R30" s="1477"/>
      <c r="S30" s="1477"/>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row>
    <row r="31" spans="1:236" ht="19.5" customHeight="1" x14ac:dyDescent="0.2">
      <c r="A31" s="15"/>
      <c r="B31" s="1002"/>
      <c r="C31" s="1002"/>
      <c r="D31" s="1002"/>
      <c r="E31" s="1002"/>
      <c r="F31" s="1002"/>
      <c r="G31" s="1002"/>
      <c r="H31" s="1002"/>
      <c r="I31" s="1002"/>
      <c r="J31" s="1002"/>
      <c r="K31" s="1002"/>
      <c r="L31" s="1002"/>
      <c r="M31" s="1002"/>
      <c r="N31" s="1002"/>
      <c r="O31" s="1002"/>
      <c r="P31" s="1481">
        <f>IF(OR(S31=1,S32=1),0.15,0)</f>
        <v>0</v>
      </c>
      <c r="Q31" s="6"/>
      <c r="R31" s="613" t="b">
        <v>0</v>
      </c>
      <c r="S31" s="655">
        <f>IF(R31=TRUE,1,0)</f>
        <v>0</v>
      </c>
      <c r="T31" s="6">
        <v>1E-4</v>
      </c>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row>
    <row r="32" spans="1:236" ht="20.25" customHeight="1" x14ac:dyDescent="0.2">
      <c r="B32" s="1475"/>
      <c r="C32" s="1475"/>
      <c r="D32" s="1475"/>
      <c r="E32" s="1475"/>
      <c r="F32" s="1475"/>
      <c r="G32" s="1475"/>
      <c r="H32" s="1475"/>
      <c r="I32" s="1475"/>
      <c r="J32" s="1475"/>
      <c r="K32" s="1475"/>
      <c r="L32" s="1475"/>
      <c r="M32" s="1475"/>
      <c r="N32" s="1475"/>
      <c r="O32" s="1475"/>
      <c r="P32" s="1481"/>
      <c r="Q32" s="6"/>
      <c r="R32" s="613" t="b">
        <v>0</v>
      </c>
      <c r="S32" s="655">
        <f>IF(R32=TRUE,1,0)</f>
        <v>0</v>
      </c>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row>
    <row r="33" spans="2:236" ht="12" customHeight="1" x14ac:dyDescent="0.2">
      <c r="B33" s="1480"/>
      <c r="C33" s="1480"/>
      <c r="D33" s="1480"/>
      <c r="E33" s="1480"/>
      <c r="F33" s="1480"/>
      <c r="G33" s="1480"/>
      <c r="H33" s="1480"/>
      <c r="I33" s="1480"/>
      <c r="J33" s="1480"/>
      <c r="K33" s="1480"/>
      <c r="L33" s="1480"/>
      <c r="M33" s="1480"/>
      <c r="N33" s="1480"/>
      <c r="O33" s="1480"/>
      <c r="P33" s="16"/>
      <c r="Q33" s="6"/>
      <c r="R33" s="117"/>
      <c r="S33" s="121"/>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row>
    <row r="34" spans="2:236" ht="12" customHeight="1" x14ac:dyDescent="0.2">
      <c r="B34" s="1480"/>
      <c r="C34" s="1480"/>
      <c r="D34" s="1480"/>
      <c r="E34" s="1480"/>
      <c r="F34" s="1480"/>
      <c r="G34" s="1480"/>
      <c r="H34" s="1480"/>
      <c r="I34" s="1480"/>
      <c r="J34" s="1480"/>
      <c r="K34" s="1480"/>
      <c r="L34" s="1480"/>
      <c r="M34" s="1480"/>
      <c r="N34" s="1480"/>
      <c r="O34" s="1480"/>
      <c r="P34" s="1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row>
    <row r="35" spans="2:236" ht="21" customHeight="1" x14ac:dyDescent="0.2">
      <c r="B35" s="947" t="s">
        <v>493</v>
      </c>
      <c r="C35" s="863"/>
      <c r="D35" s="863"/>
      <c r="E35" s="863"/>
      <c r="F35" s="863"/>
      <c r="G35" s="863"/>
      <c r="H35" s="863"/>
      <c r="I35" s="863"/>
      <c r="J35" s="863"/>
      <c r="K35" s="863"/>
      <c r="L35" s="863"/>
      <c r="M35" s="863"/>
      <c r="N35" s="863"/>
      <c r="O35" s="863"/>
      <c r="P35" s="146"/>
      <c r="Q35" s="6"/>
      <c r="R35" s="6"/>
      <c r="S35" s="6"/>
      <c r="T35" s="6"/>
      <c r="U35" s="6"/>
      <c r="V35" s="6"/>
      <c r="W35" s="6"/>
      <c r="X35" s="6"/>
      <c r="Y35" s="6"/>
      <c r="Z35" s="6"/>
      <c r="AA35" s="6"/>
      <c r="AB35" s="6"/>
      <c r="AC35" s="6"/>
      <c r="AD35" s="6"/>
      <c r="AE35" s="6"/>
      <c r="AF35" s="6"/>
      <c r="AG35" s="119"/>
      <c r="AH35" s="119"/>
      <c r="AI35" s="119"/>
      <c r="AJ35" s="119"/>
      <c r="AK35" s="119"/>
      <c r="AL35" s="119"/>
      <c r="AM35" s="119"/>
      <c r="AN35" s="119"/>
      <c r="AO35" s="119"/>
      <c r="AP35" s="119"/>
      <c r="AQ35" s="119"/>
      <c r="AR35" s="119"/>
      <c r="AS35" s="119"/>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row>
    <row r="36" spans="2:236" ht="21" customHeight="1" x14ac:dyDescent="0.2">
      <c r="B36" s="1478" t="s">
        <v>798</v>
      </c>
      <c r="C36" s="1478"/>
      <c r="D36" s="1478"/>
      <c r="E36" s="1478"/>
      <c r="F36" s="1478"/>
      <c r="G36" s="1478"/>
      <c r="H36" s="1478"/>
      <c r="I36" s="1478"/>
      <c r="J36" s="1478"/>
      <c r="K36" s="1478"/>
      <c r="L36" s="1478"/>
      <c r="M36" s="1478"/>
      <c r="N36" s="1478"/>
      <c r="O36" s="1479"/>
      <c r="P36" s="830"/>
      <c r="Q36" s="6"/>
      <c r="R36" s="6"/>
      <c r="S36" s="6"/>
      <c r="T36" s="6"/>
      <c r="U36" s="6"/>
      <c r="V36" s="6"/>
      <c r="W36" s="6"/>
      <c r="X36" s="6"/>
      <c r="Y36" s="6"/>
      <c r="Z36" s="6"/>
      <c r="AA36" s="6"/>
      <c r="AB36" s="6"/>
      <c r="AC36" s="6"/>
      <c r="AD36" s="6"/>
      <c r="AE36" s="6"/>
      <c r="AF36" s="6"/>
      <c r="AG36" s="119"/>
      <c r="AH36" s="119"/>
      <c r="AI36" s="119"/>
      <c r="AJ36" s="119"/>
      <c r="AK36" s="119"/>
      <c r="AL36" s="119"/>
      <c r="AM36" s="119"/>
      <c r="AN36" s="119"/>
      <c r="AO36" s="119"/>
      <c r="AP36" s="119"/>
      <c r="AQ36" s="119"/>
      <c r="AR36" s="119"/>
      <c r="AS36" s="119"/>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row>
    <row r="37" spans="2:236" ht="46.5" customHeight="1" x14ac:dyDescent="0.2">
      <c r="B37" s="1143" t="s">
        <v>1833</v>
      </c>
      <c r="C37" s="1143"/>
      <c r="D37" s="1143"/>
      <c r="E37" s="1143"/>
      <c r="F37" s="1143"/>
      <c r="G37" s="1143"/>
      <c r="H37" s="1143"/>
      <c r="I37" s="1143"/>
      <c r="J37" s="1143"/>
      <c r="K37" s="1143"/>
      <c r="L37" s="1143"/>
      <c r="M37" s="1143"/>
      <c r="N37" s="1143"/>
      <c r="O37" s="1257"/>
      <c r="P37" s="831"/>
      <c r="Q37" s="6"/>
      <c r="R37" s="6"/>
      <c r="S37" s="947" t="s">
        <v>2214</v>
      </c>
      <c r="T37" s="947"/>
      <c r="U37" s="6"/>
      <c r="V37" s="6"/>
      <c r="W37" s="6"/>
      <c r="X37" s="6"/>
      <c r="Y37" s="6"/>
      <c r="Z37" s="6"/>
      <c r="AA37" s="6"/>
      <c r="AB37" s="6"/>
      <c r="AC37" s="6"/>
      <c r="AD37" s="6"/>
      <c r="AE37" s="6"/>
      <c r="AF37" s="6"/>
      <c r="AG37" s="119"/>
      <c r="AH37" s="119"/>
      <c r="AI37" s="119"/>
      <c r="AJ37" s="119"/>
      <c r="AK37" s="119"/>
      <c r="AL37" s="119"/>
      <c r="AM37" s="119"/>
      <c r="AN37" s="119"/>
      <c r="AO37" s="119"/>
      <c r="AP37" s="119"/>
      <c r="AQ37" s="119"/>
      <c r="AR37" s="119"/>
      <c r="AS37" s="119"/>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row>
    <row r="38" spans="2:236" ht="13.5" customHeight="1" x14ac:dyDescent="0.2">
      <c r="B38" s="912" t="s">
        <v>64</v>
      </c>
      <c r="C38" s="912" t="s">
        <v>65</v>
      </c>
      <c r="D38" s="912"/>
      <c r="E38" s="912"/>
      <c r="F38" s="912" t="s">
        <v>66</v>
      </c>
      <c r="G38" s="910"/>
      <c r="H38" s="910"/>
      <c r="I38" s="912" t="s">
        <v>1565</v>
      </c>
      <c r="J38" s="912"/>
      <c r="K38" s="912"/>
      <c r="L38" s="912" t="s">
        <v>66</v>
      </c>
      <c r="M38" s="1243"/>
      <c r="N38" s="910"/>
      <c r="O38" s="907" t="s">
        <v>67</v>
      </c>
      <c r="P38" s="831"/>
      <c r="Q38" s="6"/>
      <c r="R38" s="6"/>
      <c r="S38" s="947"/>
      <c r="T38" s="947"/>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row>
    <row r="39" spans="2:236" ht="15.75" customHeight="1" x14ac:dyDescent="0.2">
      <c r="B39" s="912"/>
      <c r="C39" s="912"/>
      <c r="D39" s="912"/>
      <c r="E39" s="912"/>
      <c r="F39" s="910"/>
      <c r="G39" s="910"/>
      <c r="H39" s="910"/>
      <c r="I39" s="912"/>
      <c r="J39" s="912"/>
      <c r="K39" s="912"/>
      <c r="L39" s="1243"/>
      <c r="M39" s="1243"/>
      <c r="N39" s="910"/>
      <c r="O39" s="944"/>
      <c r="P39" s="831"/>
      <c r="R39" s="697"/>
      <c r="S39" s="655" t="s">
        <v>1901</v>
      </c>
      <c r="T39" s="658" t="s">
        <v>68</v>
      </c>
      <c r="U39" s="658" t="s">
        <v>69</v>
      </c>
      <c r="V39" s="658" t="s">
        <v>70</v>
      </c>
      <c r="W39" s="658" t="s">
        <v>71</v>
      </c>
      <c r="X39" s="13" t="s">
        <v>1804</v>
      </c>
      <c r="Y39" s="658" t="s">
        <v>1805</v>
      </c>
      <c r="Z39" s="658" t="s">
        <v>1806</v>
      </c>
      <c r="AA39" s="658" t="s">
        <v>1807</v>
      </c>
      <c r="AB39" s="658" t="s">
        <v>1808</v>
      </c>
      <c r="AC39" s="658" t="s">
        <v>1809</v>
      </c>
      <c r="AD39" s="658" t="s">
        <v>1810</v>
      </c>
      <c r="AE39" s="658" t="s">
        <v>1750</v>
      </c>
      <c r="AF39" s="658" t="s">
        <v>1751</v>
      </c>
      <c r="AG39" s="658" t="s">
        <v>1752</v>
      </c>
      <c r="AH39" s="658" t="s">
        <v>1753</v>
      </c>
      <c r="AI39" s="13"/>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row>
    <row r="40" spans="2:236" ht="15" customHeight="1" x14ac:dyDescent="0.2">
      <c r="B40" s="411" t="s">
        <v>1359</v>
      </c>
      <c r="C40" s="910"/>
      <c r="D40" s="910"/>
      <c r="E40" s="146"/>
      <c r="F40" s="1005"/>
      <c r="G40" s="1005"/>
      <c r="H40" s="365"/>
      <c r="I40" s="910"/>
      <c r="J40" s="910"/>
      <c r="K40" s="146"/>
      <c r="L40" s="1005"/>
      <c r="M40" s="1005"/>
      <c r="N40" s="365"/>
      <c r="O40" s="304"/>
      <c r="P40" s="831"/>
      <c r="R40" s="697"/>
      <c r="S40" s="659">
        <v>0</v>
      </c>
      <c r="T40" s="84">
        <v>0</v>
      </c>
      <c r="U40" s="84">
        <v>0.05</v>
      </c>
      <c r="V40" s="84">
        <v>0.1</v>
      </c>
      <c r="W40" s="84">
        <v>0.2</v>
      </c>
      <c r="X40" s="84">
        <v>0.3</v>
      </c>
      <c r="Y40" s="84">
        <v>0.4</v>
      </c>
      <c r="Z40" s="84">
        <v>0.5</v>
      </c>
      <c r="AA40" s="84">
        <v>0.6</v>
      </c>
      <c r="AB40" s="84">
        <v>0.7</v>
      </c>
      <c r="AC40" s="84">
        <v>0.75</v>
      </c>
      <c r="AD40" s="84">
        <v>0.8</v>
      </c>
      <c r="AE40" s="84">
        <v>0.85</v>
      </c>
      <c r="AF40" s="84">
        <v>0.9</v>
      </c>
      <c r="AG40" s="84">
        <v>0.95</v>
      </c>
      <c r="AH40" s="84">
        <v>1</v>
      </c>
      <c r="AI40" s="13"/>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row>
    <row r="41" spans="2:236" ht="15" customHeight="1" x14ac:dyDescent="0.2">
      <c r="B41" s="412" t="s">
        <v>1358</v>
      </c>
      <c r="C41" s="914">
        <v>0.1</v>
      </c>
      <c r="D41" s="914"/>
      <c r="E41" s="18" t="s">
        <v>1754</v>
      </c>
      <c r="F41" s="914">
        <f>SUMIF($T$39:$AH$39,F40,$T$40:$AH$40)</f>
        <v>0</v>
      </c>
      <c r="G41" s="914"/>
      <c r="H41" s="160" t="s">
        <v>1755</v>
      </c>
      <c r="I41" s="914">
        <v>0.1</v>
      </c>
      <c r="J41" s="914"/>
      <c r="K41" s="18" t="s">
        <v>1754</v>
      </c>
      <c r="L41" s="914">
        <f>SUMIF($T$39:$AH$39,L40,$T$40:$AH$40)</f>
        <v>0</v>
      </c>
      <c r="M41" s="914"/>
      <c r="N41" s="160" t="s">
        <v>1756</v>
      </c>
      <c r="O41" s="240">
        <f>IF(C41*F41-I41*L41&lt;0,0,C41*F41-I41*L41)</f>
        <v>0</v>
      </c>
      <c r="P41" s="831"/>
      <c r="Q41" s="6"/>
      <c r="R41" s="6"/>
      <c r="S41" s="33"/>
      <c r="T41" s="33"/>
      <c r="U41" s="33"/>
      <c r="V41" s="33"/>
      <c r="W41" s="33"/>
      <c r="X41" s="33"/>
      <c r="Y41" s="33"/>
      <c r="Z41" s="33"/>
      <c r="AA41" s="33"/>
      <c r="AB41" s="33"/>
      <c r="AC41" s="33"/>
      <c r="AD41" s="33"/>
      <c r="AE41" s="33"/>
      <c r="AF41" s="33"/>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row>
    <row r="42" spans="2:236" ht="15" customHeight="1" x14ac:dyDescent="0.2">
      <c r="B42" s="411" t="s">
        <v>542</v>
      </c>
      <c r="C42" s="1136"/>
      <c r="D42" s="832"/>
      <c r="E42" s="230"/>
      <c r="F42" s="1474"/>
      <c r="G42" s="1474"/>
      <c r="H42" s="413"/>
      <c r="I42" s="832"/>
      <c r="J42" s="832"/>
      <c r="K42" s="230"/>
      <c r="L42" s="1474"/>
      <c r="M42" s="1474"/>
      <c r="N42" s="413"/>
      <c r="O42" s="353"/>
      <c r="P42" s="831"/>
      <c r="Q42" s="6"/>
      <c r="R42" s="6"/>
      <c r="S42" s="1104" t="s">
        <v>1023</v>
      </c>
      <c r="T42" s="1104" t="s">
        <v>1024</v>
      </c>
      <c r="U42" s="1104" t="s">
        <v>1025</v>
      </c>
      <c r="V42" s="1104" t="s">
        <v>1026</v>
      </c>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row>
    <row r="43" spans="2:236" ht="15" customHeight="1" x14ac:dyDescent="0.2">
      <c r="B43" s="414" t="s">
        <v>1027</v>
      </c>
      <c r="C43" s="914">
        <v>0.03</v>
      </c>
      <c r="D43" s="914"/>
      <c r="E43" s="18" t="s">
        <v>1754</v>
      </c>
      <c r="F43" s="914">
        <f>SUMIF($T$39:$AH$39,F42,$T$40:$AH$40)</f>
        <v>0</v>
      </c>
      <c r="G43" s="914"/>
      <c r="H43" s="160" t="s">
        <v>1755</v>
      </c>
      <c r="I43" s="914">
        <v>0.03</v>
      </c>
      <c r="J43" s="914"/>
      <c r="K43" s="18" t="s">
        <v>1754</v>
      </c>
      <c r="L43" s="914">
        <f>SUMIF($T$39:$AH$39,L42,$T$40:$AH$40)</f>
        <v>0</v>
      </c>
      <c r="M43" s="914"/>
      <c r="N43" s="160" t="s">
        <v>1756</v>
      </c>
      <c r="O43" s="240">
        <f>IF(C43*F43-I43*L43&lt;0,0,C43*F43-I43*L43)</f>
        <v>0</v>
      </c>
      <c r="P43" s="831"/>
      <c r="Q43" s="6"/>
      <c r="R43" s="33"/>
      <c r="S43" s="957"/>
      <c r="T43" s="1104"/>
      <c r="U43" s="1104"/>
      <c r="V43" s="1104"/>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row>
    <row r="44" spans="2:236" ht="15" customHeight="1" x14ac:dyDescent="0.2">
      <c r="B44" s="415" t="s">
        <v>1360</v>
      </c>
      <c r="C44" s="832"/>
      <c r="D44" s="832"/>
      <c r="E44" s="230"/>
      <c r="F44" s="1474"/>
      <c r="G44" s="1474"/>
      <c r="H44" s="413"/>
      <c r="I44" s="832"/>
      <c r="J44" s="832"/>
      <c r="K44" s="230"/>
      <c r="L44" s="1474"/>
      <c r="M44" s="1474"/>
      <c r="N44" s="413"/>
      <c r="O44" s="353"/>
      <c r="P44" s="831"/>
      <c r="Q44" s="6"/>
      <c r="R44" s="6"/>
      <c r="S44" s="120">
        <f>IF(OR(O47&lt;&gt;"",O49&lt;&gt;"",O51&lt;&gt;"",O53&lt;&gt;""),1,0)</f>
        <v>0</v>
      </c>
      <c r="T44" s="120">
        <f>IF(OR(O58&lt;&gt;"",O60&lt;&gt;"",O62&lt;&gt;""),1,0)</f>
        <v>0</v>
      </c>
      <c r="U44" s="120">
        <f>IF(OR(O69&lt;&gt;"",O71&lt;&gt;""),1,0)</f>
        <v>0</v>
      </c>
      <c r="V44" s="120">
        <f>IF(OR(O78&lt;&gt;"",O80&lt;&gt;""),1,0)</f>
        <v>0</v>
      </c>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row>
    <row r="45" spans="2:236" ht="15" customHeight="1" x14ac:dyDescent="0.2">
      <c r="B45" s="414" t="s">
        <v>985</v>
      </c>
      <c r="C45" s="914">
        <v>0.21</v>
      </c>
      <c r="D45" s="914"/>
      <c r="E45" s="18" t="s">
        <v>1754</v>
      </c>
      <c r="F45" s="914">
        <f>SUMIF($T$39:$AH$39,F44,$T$40:$AH$40)</f>
        <v>0</v>
      </c>
      <c r="G45" s="914"/>
      <c r="H45" s="160" t="s">
        <v>1755</v>
      </c>
      <c r="I45" s="914">
        <v>0.21</v>
      </c>
      <c r="J45" s="914"/>
      <c r="K45" s="18" t="s">
        <v>1754</v>
      </c>
      <c r="L45" s="914">
        <f>SUMIF($T$39:$AH$39,L44,$T$40:$AH$40)</f>
        <v>0</v>
      </c>
      <c r="M45" s="914"/>
      <c r="N45" s="160" t="s">
        <v>1756</v>
      </c>
      <c r="O45" s="206" t="str">
        <f>IF(F44="","",IF(C45*F45-I45*L45&lt;=0,"",C45*F45-I45*L45))</f>
        <v/>
      </c>
      <c r="P45" s="831"/>
      <c r="Q45" s="6"/>
      <c r="R45" s="108"/>
      <c r="S45" s="33"/>
      <c r="T45" s="77"/>
      <c r="U45" s="108"/>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row>
    <row r="46" spans="2:236" ht="15" customHeight="1" x14ac:dyDescent="0.2">
      <c r="B46" s="1465" t="s">
        <v>986</v>
      </c>
      <c r="C46" s="832"/>
      <c r="D46" s="832"/>
      <c r="E46" s="230"/>
      <c r="F46" s="1474"/>
      <c r="G46" s="1474"/>
      <c r="H46" s="413"/>
      <c r="I46" s="832"/>
      <c r="J46" s="832"/>
      <c r="K46" s="230"/>
      <c r="L46" s="1474"/>
      <c r="M46" s="1474"/>
      <c r="N46" s="365"/>
      <c r="O46" s="104"/>
      <c r="P46" s="831"/>
      <c r="Q46" s="6"/>
      <c r="R46" s="6"/>
      <c r="S46" s="13" t="s">
        <v>2215</v>
      </c>
      <c r="T46" s="50" t="s">
        <v>1285</v>
      </c>
      <c r="U46" s="50" t="s">
        <v>1286</v>
      </c>
      <c r="V46" s="50" t="s">
        <v>1287</v>
      </c>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row>
    <row r="47" spans="2:236" ht="15" customHeight="1" x14ac:dyDescent="0.2">
      <c r="B47" s="1466"/>
      <c r="C47" s="914">
        <v>0.21</v>
      </c>
      <c r="D47" s="914"/>
      <c r="E47" s="18" t="s">
        <v>1754</v>
      </c>
      <c r="F47" s="914">
        <f>SUMIF($T$39:$AH$39,F46,$T$40:$AH$40)</f>
        <v>0</v>
      </c>
      <c r="G47" s="914"/>
      <c r="H47" s="160" t="s">
        <v>1755</v>
      </c>
      <c r="I47" s="914">
        <v>0.21</v>
      </c>
      <c r="J47" s="914"/>
      <c r="K47" s="18" t="s">
        <v>1754</v>
      </c>
      <c r="L47" s="914">
        <f>SUMIF($T$39:$AH$39,L46,$T$40:$AH$40)</f>
        <v>0</v>
      </c>
      <c r="M47" s="914"/>
      <c r="N47" s="160" t="s">
        <v>1756</v>
      </c>
      <c r="O47" s="206" t="str">
        <f>IF(F46="","",IF(C47*F47-I47*L47&lt;=0,"",C47*F47-I47*L47))</f>
        <v/>
      </c>
      <c r="P47" s="831"/>
      <c r="Q47" s="6"/>
      <c r="R47" s="6"/>
      <c r="S47" s="52">
        <f>IF(AND(O41&gt;0,O41&lt;0.01),0.01,ROUND(O41,2))</f>
        <v>0</v>
      </c>
      <c r="T47" s="84">
        <f>LARGE($S$47:$S$54,1)</f>
        <v>0</v>
      </c>
      <c r="U47" s="12">
        <f>T47+T48*(1-T47)</f>
        <v>0</v>
      </c>
      <c r="V47" s="52">
        <f t="shared" ref="V47:V53" si="1">ROUND(U47,2)</f>
        <v>0</v>
      </c>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row>
    <row r="48" spans="2:236" ht="15" customHeight="1" x14ac:dyDescent="0.2">
      <c r="B48" s="1465" t="s">
        <v>987</v>
      </c>
      <c r="C48" s="832"/>
      <c r="D48" s="832"/>
      <c r="E48" s="230"/>
      <c r="F48" s="1474"/>
      <c r="G48" s="1474"/>
      <c r="H48" s="413"/>
      <c r="I48" s="832"/>
      <c r="J48" s="832"/>
      <c r="K48" s="230"/>
      <c r="L48" s="1474"/>
      <c r="M48" s="1474"/>
      <c r="N48" s="365"/>
      <c r="O48" s="104"/>
      <c r="P48" s="831"/>
      <c r="Q48" s="77"/>
      <c r="R48" s="6"/>
      <c r="S48" s="52">
        <f>IF(AND(O43&gt;0,O43&lt;0.01),0.01,ROUND(O43,2))</f>
        <v>0</v>
      </c>
      <c r="T48" s="84">
        <f>LARGE($S$47:$S$54,2)</f>
        <v>0</v>
      </c>
      <c r="U48" s="12">
        <f t="shared" ref="U48:U53" si="2">V47+T49*(1-V47)</f>
        <v>0</v>
      </c>
      <c r="V48" s="52">
        <f t="shared" si="1"/>
        <v>0</v>
      </c>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row>
    <row r="49" spans="2:236" ht="15" customHeight="1" x14ac:dyDescent="0.2">
      <c r="B49" s="1466"/>
      <c r="C49" s="914">
        <v>0.21</v>
      </c>
      <c r="D49" s="914"/>
      <c r="E49" s="18" t="s">
        <v>1754</v>
      </c>
      <c r="F49" s="914">
        <f>SUMIF($T$39:$AH$39,F48,$T$40:$AH$40)</f>
        <v>0</v>
      </c>
      <c r="G49" s="914"/>
      <c r="H49" s="160" t="s">
        <v>1755</v>
      </c>
      <c r="I49" s="914">
        <v>0.21</v>
      </c>
      <c r="J49" s="914"/>
      <c r="K49" s="18" t="s">
        <v>1754</v>
      </c>
      <c r="L49" s="914">
        <f>SUMIF($T$39:$AH$39,L48,$T$40:$AH$40)</f>
        <v>0</v>
      </c>
      <c r="M49" s="914"/>
      <c r="N49" s="160" t="s">
        <v>1756</v>
      </c>
      <c r="O49" s="206" t="str">
        <f>IF(F48="","",IF(C49*F49-I49*L49&lt;=0,"",C49*F49-I49*L49))</f>
        <v/>
      </c>
      <c r="P49" s="831"/>
      <c r="Q49" s="6"/>
      <c r="R49" s="6"/>
      <c r="S49" s="52">
        <f>IF(AND(O54&gt;0,O54&lt;0.01),0.01,ROUND(O54,2))</f>
        <v>0</v>
      </c>
      <c r="T49" s="84">
        <f>LARGE($S$47:$S$54,3)</f>
        <v>0</v>
      </c>
      <c r="U49" s="12">
        <f t="shared" si="2"/>
        <v>0</v>
      </c>
      <c r="V49" s="52">
        <f t="shared" si="1"/>
        <v>0</v>
      </c>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row>
    <row r="50" spans="2:236" ht="15" customHeight="1" x14ac:dyDescent="0.2">
      <c r="B50" s="1465" t="s">
        <v>1772</v>
      </c>
      <c r="C50" s="832"/>
      <c r="D50" s="832"/>
      <c r="E50" s="230"/>
      <c r="F50" s="1474"/>
      <c r="G50" s="1474"/>
      <c r="H50" s="413"/>
      <c r="I50" s="832"/>
      <c r="J50" s="832"/>
      <c r="K50" s="230"/>
      <c r="L50" s="1474"/>
      <c r="M50" s="1474"/>
      <c r="N50" s="365"/>
      <c r="O50" s="104"/>
      <c r="P50" s="831"/>
      <c r="Q50" s="6"/>
      <c r="R50" s="77"/>
      <c r="S50" s="52">
        <f>IF(AND(O63&gt;0,O63&lt;0.01),0.01,ROUND(O63,2))</f>
        <v>0</v>
      </c>
      <c r="T50" s="84">
        <f>LARGE($S$47:$S$54,4)</f>
        <v>0</v>
      </c>
      <c r="U50" s="12">
        <f t="shared" si="2"/>
        <v>0</v>
      </c>
      <c r="V50" s="52">
        <f t="shared" si="1"/>
        <v>0</v>
      </c>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row>
    <row r="51" spans="2:236" ht="15" customHeight="1" x14ac:dyDescent="0.2">
      <c r="B51" s="1466"/>
      <c r="C51" s="914">
        <v>0.21</v>
      </c>
      <c r="D51" s="914"/>
      <c r="E51" s="18" t="s">
        <v>1754</v>
      </c>
      <c r="F51" s="914">
        <f>SUMIF($T$39:$AH$39,F50,$T$40:$AH$40)</f>
        <v>0</v>
      </c>
      <c r="G51" s="914"/>
      <c r="H51" s="160" t="s">
        <v>1755</v>
      </c>
      <c r="I51" s="914">
        <v>0.21</v>
      </c>
      <c r="J51" s="914"/>
      <c r="K51" s="18" t="s">
        <v>1754</v>
      </c>
      <c r="L51" s="914">
        <f>SUMIF($T$39:$AH$39,L50,$T$40:$AH$40)</f>
        <v>0</v>
      </c>
      <c r="M51" s="914"/>
      <c r="N51" s="160" t="s">
        <v>1756</v>
      </c>
      <c r="O51" s="206" t="str">
        <f>IF(F50="","",IF(C51*F51-I51*L51&lt;=0,"",C51*F51-I51*L51))</f>
        <v/>
      </c>
      <c r="P51" s="831"/>
      <c r="Q51" s="6"/>
      <c r="R51" s="6"/>
      <c r="S51" s="52">
        <f>IF(AND(O65&gt;0,O65&lt;0.01),0.01,ROUND(O65,2))</f>
        <v>0</v>
      </c>
      <c r="T51" s="84">
        <f>LARGE($S$47:$S$54,5)</f>
        <v>0</v>
      </c>
      <c r="U51" s="12">
        <f t="shared" si="2"/>
        <v>0</v>
      </c>
      <c r="V51" s="52">
        <f t="shared" si="1"/>
        <v>0</v>
      </c>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row>
    <row r="52" spans="2:236" ht="15" customHeight="1" x14ac:dyDescent="0.2">
      <c r="B52" s="1465" t="s">
        <v>1773</v>
      </c>
      <c r="C52" s="832"/>
      <c r="D52" s="832"/>
      <c r="E52" s="230"/>
      <c r="F52" s="1474"/>
      <c r="G52" s="1474"/>
      <c r="H52" s="413"/>
      <c r="I52" s="832"/>
      <c r="J52" s="832"/>
      <c r="K52" s="230"/>
      <c r="L52" s="1474"/>
      <c r="M52" s="1474"/>
      <c r="N52" s="365"/>
      <c r="O52" s="104"/>
      <c r="P52" s="831"/>
      <c r="Q52" s="6"/>
      <c r="R52" s="6"/>
      <c r="S52" s="52">
        <f>IF(AND(O72&gt;0,O72&lt;0.01),0.01,ROUND(O72,2))</f>
        <v>0</v>
      </c>
      <c r="T52" s="84">
        <f>LARGE($S$47:$S$54,6)</f>
        <v>0</v>
      </c>
      <c r="U52" s="12">
        <f t="shared" si="2"/>
        <v>0</v>
      </c>
      <c r="V52" s="52">
        <f t="shared" si="1"/>
        <v>0</v>
      </c>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row>
    <row r="53" spans="2:236" ht="15" customHeight="1" x14ac:dyDescent="0.2">
      <c r="B53" s="1466"/>
      <c r="C53" s="914">
        <v>0.21</v>
      </c>
      <c r="D53" s="914"/>
      <c r="E53" s="18" t="s">
        <v>1754</v>
      </c>
      <c r="F53" s="914">
        <f>SUMIF($T$39:$AH$39,F52,$T$40:$AH$40)</f>
        <v>0</v>
      </c>
      <c r="G53" s="914"/>
      <c r="H53" s="160" t="s">
        <v>1755</v>
      </c>
      <c r="I53" s="914">
        <v>0.21</v>
      </c>
      <c r="J53" s="914"/>
      <c r="K53" s="18" t="s">
        <v>1754</v>
      </c>
      <c r="L53" s="914">
        <f>SUMIF($T$39:$AH$39,L52,$T$40:$AH$40)</f>
        <v>0</v>
      </c>
      <c r="M53" s="914"/>
      <c r="N53" s="160" t="s">
        <v>1756</v>
      </c>
      <c r="O53" s="206" t="str">
        <f>IF(F52="","",IF(C53*F53-I53*L53&lt;=0,"",C53*F53-I53*L53))</f>
        <v/>
      </c>
      <c r="P53" s="831"/>
      <c r="Q53" s="6"/>
      <c r="R53" s="6"/>
      <c r="S53" s="52">
        <f>IF(AND(O81&gt;0,O81&lt;0.01),0.01,ROUND(O81,2))</f>
        <v>0</v>
      </c>
      <c r="T53" s="84">
        <f>LARGE($S$47:$S$54,7)</f>
        <v>0</v>
      </c>
      <c r="U53" s="12">
        <f t="shared" si="2"/>
        <v>0</v>
      </c>
      <c r="V53" s="52">
        <f t="shared" si="1"/>
        <v>0</v>
      </c>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c r="HU53" s="10"/>
      <c r="HV53" s="10"/>
      <c r="HW53" s="10"/>
      <c r="HX53" s="10"/>
      <c r="HY53" s="10"/>
      <c r="HZ53" s="10"/>
      <c r="IA53" s="10"/>
      <c r="IB53" s="10"/>
    </row>
    <row r="54" spans="2:236" ht="29.25" customHeight="1" x14ac:dyDescent="0.2">
      <c r="B54" s="267" t="s">
        <v>1361</v>
      </c>
      <c r="C54" s="1487" t="str">
        <f>IF(AND(O45&lt;&gt;"",S44=1),"ERROR: Record strength for 'Overall' or specific muscles, not both.","")</f>
        <v/>
      </c>
      <c r="D54" s="1487"/>
      <c r="E54" s="1487"/>
      <c r="F54" s="1487"/>
      <c r="G54" s="1487"/>
      <c r="H54" s="1487"/>
      <c r="I54" s="1487"/>
      <c r="J54" s="1487"/>
      <c r="K54" s="1487"/>
      <c r="L54" s="1487"/>
      <c r="M54" s="1487"/>
      <c r="N54" s="160" t="s">
        <v>1756</v>
      </c>
      <c r="O54" s="239">
        <f>IF(C54&lt;&gt;"","ERROR",IF(AND(O45="",O47="",O49="",O51="",O53=""),0,AVERAGE(O45,O47,O49,O51,O53)))</f>
        <v>0</v>
      </c>
      <c r="P54" s="831"/>
      <c r="Q54" s="6"/>
      <c r="R54" s="6"/>
      <c r="S54" s="52">
        <f>IF(AND(O83&gt;0,O83&lt;0.01),0.01,ROUND(O83,2))</f>
        <v>0</v>
      </c>
      <c r="T54" s="84">
        <f>LARGE($S$47:$S$54,8)</f>
        <v>0</v>
      </c>
      <c r="U54" s="77"/>
      <c r="V54" s="108"/>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row>
    <row r="55" spans="2:236" ht="15" customHeight="1" x14ac:dyDescent="0.2">
      <c r="B55" s="415" t="s">
        <v>1357</v>
      </c>
      <c r="C55" s="832"/>
      <c r="D55" s="832"/>
      <c r="E55" s="230"/>
      <c r="F55" s="1474"/>
      <c r="G55" s="1474"/>
      <c r="H55" s="413"/>
      <c r="I55" s="832"/>
      <c r="J55" s="832"/>
      <c r="K55" s="230"/>
      <c r="L55" s="1474"/>
      <c r="M55" s="1474"/>
      <c r="N55" s="413"/>
      <c r="O55" s="353"/>
      <c r="P55" s="831"/>
      <c r="Q55" s="6"/>
      <c r="R55" s="6"/>
      <c r="S55" s="108"/>
      <c r="T55" s="33"/>
      <c r="U55" s="77"/>
      <c r="V55" s="108"/>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row>
    <row r="56" spans="2:236" ht="15" customHeight="1" x14ac:dyDescent="0.2">
      <c r="B56" s="414" t="s">
        <v>985</v>
      </c>
      <c r="C56" s="914">
        <v>0.03</v>
      </c>
      <c r="D56" s="914"/>
      <c r="E56" s="18" t="s">
        <v>1754</v>
      </c>
      <c r="F56" s="914">
        <f>SUMIF($T$39:$AH$39,F55,$T$40:$AH$40)</f>
        <v>0</v>
      </c>
      <c r="G56" s="914"/>
      <c r="H56" s="160" t="s">
        <v>1755</v>
      </c>
      <c r="I56" s="914">
        <v>0.03</v>
      </c>
      <c r="J56" s="914"/>
      <c r="K56" s="18" t="s">
        <v>1754</v>
      </c>
      <c r="L56" s="914">
        <f>SUMIF($T$39:$AH$39,L55,$T$40:$AH$40)</f>
        <v>0</v>
      </c>
      <c r="M56" s="914"/>
      <c r="N56" s="160" t="s">
        <v>1756</v>
      </c>
      <c r="O56" s="206" t="str">
        <f>IF(F55="","",IF(C56*F56-I56*L56&lt;=0,"",C56*F56-I56*L56))</f>
        <v/>
      </c>
      <c r="P56" s="831"/>
      <c r="Q56" s="6"/>
      <c r="R56" s="6"/>
      <c r="S56" s="108"/>
      <c r="T56" s="33"/>
      <c r="U56" s="77"/>
      <c r="V56" s="108"/>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row>
    <row r="57" spans="2:236" ht="15" customHeight="1" x14ac:dyDescent="0.2">
      <c r="B57" s="1465" t="s">
        <v>621</v>
      </c>
      <c r="C57" s="832"/>
      <c r="D57" s="832"/>
      <c r="E57" s="230"/>
      <c r="F57" s="1474"/>
      <c r="G57" s="1474"/>
      <c r="H57" s="413"/>
      <c r="I57" s="832"/>
      <c r="J57" s="832"/>
      <c r="K57" s="230"/>
      <c r="L57" s="1474"/>
      <c r="M57" s="1474"/>
      <c r="N57" s="365"/>
      <c r="O57" s="104"/>
      <c r="P57" s="831"/>
      <c r="Q57" s="6"/>
      <c r="R57" s="108"/>
      <c r="S57" s="33"/>
      <c r="T57" s="77"/>
      <c r="U57" s="108"/>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row>
    <row r="58" spans="2:236" ht="15" customHeight="1" x14ac:dyDescent="0.2">
      <c r="B58" s="1466"/>
      <c r="C58" s="914">
        <v>0.03</v>
      </c>
      <c r="D58" s="914"/>
      <c r="E58" s="18" t="s">
        <v>1754</v>
      </c>
      <c r="F58" s="914">
        <f>SUMIF($T$39:$AH$39,F57,$T$40:$AH$40)</f>
        <v>0</v>
      </c>
      <c r="G58" s="914"/>
      <c r="H58" s="160" t="s">
        <v>1755</v>
      </c>
      <c r="I58" s="914">
        <v>0.03</v>
      </c>
      <c r="J58" s="914"/>
      <c r="K58" s="18" t="s">
        <v>1754</v>
      </c>
      <c r="L58" s="914">
        <f>SUMIF($T$39:$AH$39,L57,$T$40:$AH$40)</f>
        <v>0</v>
      </c>
      <c r="M58" s="914"/>
      <c r="N58" s="160" t="s">
        <v>1756</v>
      </c>
      <c r="O58" s="206" t="str">
        <f>IF(F57="","",IF(C58*F58-I58*L58&lt;=0,"",C58*F58-I58*L58))</f>
        <v/>
      </c>
      <c r="P58" s="831"/>
      <c r="Q58" s="6"/>
      <c r="R58" s="108"/>
      <c r="S58" s="33"/>
      <c r="T58" s="77"/>
      <c r="U58" s="108"/>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row>
    <row r="59" spans="2:236" ht="15" customHeight="1" x14ac:dyDescent="0.2">
      <c r="B59" s="1465" t="s">
        <v>622</v>
      </c>
      <c r="C59" s="832"/>
      <c r="D59" s="832"/>
      <c r="E59" s="230"/>
      <c r="F59" s="1474"/>
      <c r="G59" s="1474"/>
      <c r="H59" s="413"/>
      <c r="I59" s="832"/>
      <c r="J59" s="832"/>
      <c r="K59" s="230"/>
      <c r="L59" s="1474"/>
      <c r="M59" s="1474"/>
      <c r="N59" s="365"/>
      <c r="O59" s="104"/>
      <c r="P59" s="831"/>
      <c r="Q59" s="6"/>
      <c r="R59" s="108"/>
      <c r="S59" s="33"/>
      <c r="T59" s="77"/>
      <c r="U59" s="108"/>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row>
    <row r="60" spans="2:236" ht="15" customHeight="1" x14ac:dyDescent="0.2">
      <c r="B60" s="1466"/>
      <c r="C60" s="914">
        <v>0.03</v>
      </c>
      <c r="D60" s="914"/>
      <c r="E60" s="18" t="s">
        <v>1754</v>
      </c>
      <c r="F60" s="914">
        <f>SUMIF($T$39:$AH$39,F57,$T$40:$AH$40)</f>
        <v>0</v>
      </c>
      <c r="G60" s="914"/>
      <c r="H60" s="160" t="s">
        <v>1755</v>
      </c>
      <c r="I60" s="914">
        <v>0.03</v>
      </c>
      <c r="J60" s="914"/>
      <c r="K60" s="18" t="s">
        <v>1754</v>
      </c>
      <c r="L60" s="914">
        <f>SUMIF($T$39:$AH$39,L59,$T$40:$AH$40)</f>
        <v>0</v>
      </c>
      <c r="M60" s="914"/>
      <c r="N60" s="160" t="s">
        <v>1756</v>
      </c>
      <c r="O60" s="206" t="str">
        <f>IF(F59="","",IF(C60*F60-I60*L60&lt;=0,"",C60*F60-I60*L60))</f>
        <v/>
      </c>
      <c r="P60" s="831"/>
      <c r="Q60" s="6"/>
      <c r="R60" s="108"/>
      <c r="S60" s="33"/>
      <c r="T60" s="77"/>
      <c r="U60" s="108"/>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row>
    <row r="61" spans="2:236" ht="15" customHeight="1" x14ac:dyDescent="0.2">
      <c r="B61" s="1465" t="s">
        <v>623</v>
      </c>
      <c r="C61" s="832"/>
      <c r="D61" s="832"/>
      <c r="E61" s="230"/>
      <c r="F61" s="1474"/>
      <c r="G61" s="1474"/>
      <c r="H61" s="413"/>
      <c r="I61" s="832"/>
      <c r="J61" s="832"/>
      <c r="K61" s="230"/>
      <c r="L61" s="1474"/>
      <c r="M61" s="1474"/>
      <c r="N61" s="365"/>
      <c r="O61" s="110"/>
      <c r="P61" s="831"/>
      <c r="Q61" s="6"/>
      <c r="R61" s="108"/>
      <c r="S61" s="33"/>
      <c r="T61" s="77"/>
      <c r="U61" s="108"/>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row>
    <row r="62" spans="2:236" ht="15" customHeight="1" x14ac:dyDescent="0.2">
      <c r="B62" s="1466"/>
      <c r="C62" s="914">
        <v>0.03</v>
      </c>
      <c r="D62" s="914"/>
      <c r="E62" s="18" t="s">
        <v>1754</v>
      </c>
      <c r="F62" s="914">
        <f>SUMIF($T$39:$AH$39,F61,$T$40:$AH$40)</f>
        <v>0</v>
      </c>
      <c r="G62" s="914"/>
      <c r="H62" s="160" t="s">
        <v>1755</v>
      </c>
      <c r="I62" s="914">
        <v>0.03</v>
      </c>
      <c r="J62" s="914"/>
      <c r="K62" s="18" t="s">
        <v>1754</v>
      </c>
      <c r="L62" s="914">
        <f>SUMIF($T$39:$AH$39,L61,$T$40:$AH$40)</f>
        <v>0</v>
      </c>
      <c r="M62" s="914"/>
      <c r="N62" s="160" t="s">
        <v>1756</v>
      </c>
      <c r="O62" s="239" t="str">
        <f>IF(F61="","",IF(C62*F62-I62*L62&lt;=0,"",C62*F62-I62*L62))</f>
        <v/>
      </c>
      <c r="P62" s="831"/>
      <c r="Q62" s="6"/>
      <c r="R62" s="108"/>
      <c r="S62" s="33"/>
      <c r="T62" s="77"/>
      <c r="U62" s="108"/>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row>
    <row r="63" spans="2:236" ht="30" customHeight="1" x14ac:dyDescent="0.2">
      <c r="B63" s="267" t="s">
        <v>1524</v>
      </c>
      <c r="C63" s="1487" t="str">
        <f>IF(AND(O56&lt;&gt;"",T44=1),"ERROR: Record strength for 'Overall' or specific muscles, not both.","")</f>
        <v/>
      </c>
      <c r="D63" s="1487"/>
      <c r="E63" s="1487"/>
      <c r="F63" s="1487"/>
      <c r="G63" s="1487"/>
      <c r="H63" s="1487"/>
      <c r="I63" s="1487"/>
      <c r="J63" s="1487"/>
      <c r="K63" s="1487"/>
      <c r="L63" s="1487"/>
      <c r="M63" s="1487"/>
      <c r="N63" s="160" t="s">
        <v>1756</v>
      </c>
      <c r="O63" s="239">
        <f>IF(C63&lt;&gt;"","ERROR",IF(AND(O56="",O58="",O60="",O62=""),0,AVERAGE(O56,O58,O60,O62)))</f>
        <v>0</v>
      </c>
      <c r="P63" s="831"/>
      <c r="Q63" s="6"/>
      <c r="R63" s="108"/>
      <c r="S63" s="33"/>
      <c r="T63" s="77"/>
      <c r="U63" s="108"/>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row>
    <row r="64" spans="2:236" ht="15" customHeight="1" x14ac:dyDescent="0.2">
      <c r="B64" s="416" t="s">
        <v>543</v>
      </c>
      <c r="C64" s="832"/>
      <c r="D64" s="832"/>
      <c r="E64" s="230"/>
      <c r="F64" s="1474"/>
      <c r="G64" s="1474"/>
      <c r="H64" s="413"/>
      <c r="I64" s="832"/>
      <c r="J64" s="832"/>
      <c r="K64" s="230"/>
      <c r="L64" s="1474"/>
      <c r="M64" s="1474"/>
      <c r="N64" s="413"/>
      <c r="O64" s="353"/>
      <c r="P64" s="831"/>
      <c r="Q64" s="6"/>
      <c r="R64" s="108"/>
      <c r="S64" s="33"/>
      <c r="T64" s="77"/>
      <c r="U64" s="108"/>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row>
    <row r="65" spans="2:236" ht="15" customHeight="1" x14ac:dyDescent="0.2">
      <c r="B65" s="417" t="s">
        <v>624</v>
      </c>
      <c r="C65" s="914">
        <v>0.09</v>
      </c>
      <c r="D65" s="914"/>
      <c r="E65" s="18" t="s">
        <v>1754</v>
      </c>
      <c r="F65" s="914">
        <f>SUMIF($T$39:$AH$39,F64,$T$40:$AH$40)</f>
        <v>0</v>
      </c>
      <c r="G65" s="914"/>
      <c r="H65" s="160" t="s">
        <v>1755</v>
      </c>
      <c r="I65" s="914">
        <v>0.09</v>
      </c>
      <c r="J65" s="914"/>
      <c r="K65" s="18" t="s">
        <v>1754</v>
      </c>
      <c r="L65" s="914">
        <f>SUMIF($T$39:$AH$39,L64,$T$40:$AH$40)</f>
        <v>0</v>
      </c>
      <c r="M65" s="914"/>
      <c r="N65" s="160" t="s">
        <v>1756</v>
      </c>
      <c r="O65" s="240">
        <f>IF(C65*F65-I65*L65&lt;0,0,C65*F65-I65*L65)</f>
        <v>0</v>
      </c>
      <c r="P65" s="831"/>
      <c r="Q65" s="6"/>
      <c r="R65" s="108"/>
      <c r="S65" s="33"/>
      <c r="T65" s="77"/>
      <c r="U65" s="108"/>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row>
    <row r="66" spans="2:236" ht="15" customHeight="1" x14ac:dyDescent="0.2">
      <c r="B66" s="415" t="s">
        <v>1355</v>
      </c>
      <c r="C66" s="1136"/>
      <c r="D66" s="832"/>
      <c r="E66" s="230"/>
      <c r="F66" s="1474"/>
      <c r="G66" s="1474"/>
      <c r="H66" s="413"/>
      <c r="I66" s="832"/>
      <c r="J66" s="832"/>
      <c r="K66" s="230"/>
      <c r="L66" s="1474"/>
      <c r="M66" s="1474"/>
      <c r="N66" s="413"/>
      <c r="O66" s="353"/>
      <c r="P66" s="831"/>
      <c r="Q66" s="6"/>
      <c r="R66" s="108"/>
      <c r="S66" s="33"/>
      <c r="T66" s="77"/>
      <c r="U66" s="108"/>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row>
    <row r="67" spans="2:236" ht="15" customHeight="1" x14ac:dyDescent="0.2">
      <c r="B67" s="414" t="s">
        <v>1356</v>
      </c>
      <c r="C67" s="914">
        <v>0.03</v>
      </c>
      <c r="D67" s="914"/>
      <c r="E67" s="18" t="s">
        <v>1754</v>
      </c>
      <c r="F67" s="914">
        <f>SUMIF($T$39:$AH$39,F66,$T$40:$AH$40)</f>
        <v>0</v>
      </c>
      <c r="G67" s="914"/>
      <c r="H67" s="160" t="s">
        <v>1755</v>
      </c>
      <c r="I67" s="914">
        <v>0.03</v>
      </c>
      <c r="J67" s="914"/>
      <c r="K67" s="18" t="s">
        <v>1754</v>
      </c>
      <c r="L67" s="914">
        <f>SUMIF($T$39:$AH$39,L66,$T$40:$AH$40)</f>
        <v>0</v>
      </c>
      <c r="M67" s="914"/>
      <c r="N67" s="160" t="s">
        <v>1756</v>
      </c>
      <c r="O67" s="206" t="str">
        <f>IF(F66="","",IF(C67*F67-I67*L67&lt;=0,"",C67*F67-I67*L67))</f>
        <v/>
      </c>
      <c r="P67" s="831"/>
      <c r="Q67" s="6"/>
      <c r="R67" s="108"/>
      <c r="S67" s="33"/>
      <c r="T67" s="77"/>
      <c r="U67" s="108"/>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c r="HU67" s="10"/>
      <c r="HV67" s="10"/>
      <c r="HW67" s="10"/>
      <c r="HX67" s="10"/>
      <c r="HY67" s="10"/>
      <c r="HZ67" s="10"/>
      <c r="IA67" s="10"/>
      <c r="IB67" s="10"/>
    </row>
    <row r="68" spans="2:236" ht="15" customHeight="1" x14ac:dyDescent="0.2">
      <c r="B68" s="1465" t="s">
        <v>625</v>
      </c>
      <c r="C68" s="832"/>
      <c r="D68" s="832"/>
      <c r="E68" s="230"/>
      <c r="F68" s="1474"/>
      <c r="G68" s="1474"/>
      <c r="H68" s="413"/>
      <c r="I68" s="832"/>
      <c r="J68" s="832"/>
      <c r="K68" s="230"/>
      <c r="L68" s="1474"/>
      <c r="M68" s="1474"/>
      <c r="N68" s="365"/>
      <c r="O68" s="110"/>
      <c r="P68" s="831"/>
      <c r="Q68" s="6"/>
      <c r="R68" s="108"/>
      <c r="S68" s="33"/>
      <c r="T68" s="77"/>
      <c r="U68" s="108"/>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row>
    <row r="69" spans="2:236" ht="15" customHeight="1" x14ac:dyDescent="0.2">
      <c r="B69" s="1466"/>
      <c r="C69" s="914">
        <v>0.03</v>
      </c>
      <c r="D69" s="914"/>
      <c r="E69" s="18" t="s">
        <v>1754</v>
      </c>
      <c r="F69" s="914">
        <f>SUMIF($T$39:$AH$39,F68,$T$40:$AH$40)</f>
        <v>0</v>
      </c>
      <c r="G69" s="914"/>
      <c r="H69" s="160" t="s">
        <v>1755</v>
      </c>
      <c r="I69" s="914">
        <v>0.03</v>
      </c>
      <c r="J69" s="914"/>
      <c r="K69" s="18" t="s">
        <v>1754</v>
      </c>
      <c r="L69" s="914">
        <f>SUMIF($T$39:$AH$39,L68,$T$40:$AH$40)</f>
        <v>0</v>
      </c>
      <c r="M69" s="914"/>
      <c r="N69" s="160" t="s">
        <v>1756</v>
      </c>
      <c r="O69" s="206" t="str">
        <f>IF(F68="","",IF(C69*F69-I69*L69&lt;=0,"",C69*F69-I69*L69))</f>
        <v/>
      </c>
      <c r="P69" s="831"/>
      <c r="Q69" s="6"/>
      <c r="R69" s="108"/>
      <c r="S69" s="33"/>
      <c r="T69" s="77"/>
      <c r="U69" s="108"/>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c r="HX69" s="10"/>
      <c r="HY69" s="10"/>
      <c r="HZ69" s="10"/>
      <c r="IA69" s="10"/>
      <c r="IB69" s="10"/>
    </row>
    <row r="70" spans="2:236" ht="15" customHeight="1" x14ac:dyDescent="0.2">
      <c r="B70" s="1465" t="s">
        <v>626</v>
      </c>
      <c r="C70" s="832"/>
      <c r="D70" s="832"/>
      <c r="E70" s="230"/>
      <c r="F70" s="1474"/>
      <c r="G70" s="1474"/>
      <c r="H70" s="413"/>
      <c r="I70" s="832"/>
      <c r="J70" s="832"/>
      <c r="K70" s="230"/>
      <c r="L70" s="1474"/>
      <c r="M70" s="1474"/>
      <c r="N70" s="365"/>
      <c r="O70" s="110"/>
      <c r="P70" s="831"/>
      <c r="Q70" s="6"/>
      <c r="R70" s="108"/>
      <c r="S70" s="33"/>
      <c r="T70" s="77"/>
      <c r="U70" s="108"/>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c r="HU70" s="10"/>
      <c r="HV70" s="10"/>
      <c r="HW70" s="10"/>
      <c r="HX70" s="10"/>
      <c r="HY70" s="10"/>
      <c r="HZ70" s="10"/>
      <c r="IA70" s="10"/>
      <c r="IB70" s="10"/>
    </row>
    <row r="71" spans="2:236" ht="15" customHeight="1" x14ac:dyDescent="0.2">
      <c r="B71" s="1466"/>
      <c r="C71" s="914">
        <v>0.03</v>
      </c>
      <c r="D71" s="914"/>
      <c r="E71" s="18" t="s">
        <v>1754</v>
      </c>
      <c r="F71" s="914">
        <f>SUMIF($T$39:$AH$39,F70,$T$40:$AH$40)</f>
        <v>0</v>
      </c>
      <c r="G71" s="914"/>
      <c r="H71" s="160" t="s">
        <v>1755</v>
      </c>
      <c r="I71" s="914">
        <v>0.03</v>
      </c>
      <c r="J71" s="914"/>
      <c r="K71" s="18" t="s">
        <v>1754</v>
      </c>
      <c r="L71" s="914">
        <f>SUMIF($T$39:$AH$39,L70,$T$40:$AH$40)</f>
        <v>0</v>
      </c>
      <c r="M71" s="914"/>
      <c r="N71" s="160" t="s">
        <v>1756</v>
      </c>
      <c r="O71" s="239" t="str">
        <f>IF(F70="","",IF(C71*F71-I71*L71&lt;=0,"",C71*F71-I71*L71))</f>
        <v/>
      </c>
      <c r="P71" s="831"/>
      <c r="Q71" s="6"/>
      <c r="R71" s="108"/>
      <c r="S71" s="33"/>
      <c r="T71" s="77"/>
      <c r="U71" s="108"/>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c r="HX71" s="10"/>
      <c r="HY71" s="10"/>
      <c r="HZ71" s="10"/>
      <c r="IA71" s="10"/>
      <c r="IB71" s="10"/>
    </row>
    <row r="72" spans="2:236" ht="30" customHeight="1" x14ac:dyDescent="0.2">
      <c r="B72" s="267" t="s">
        <v>1364</v>
      </c>
      <c r="C72" s="1494" t="str">
        <f>IF(AND(O67&lt;&gt;"",U44=1),"ERROR: Record strength for 'Overall' or specific muscles, not both.","")</f>
        <v/>
      </c>
      <c r="D72" s="1494"/>
      <c r="E72" s="1494"/>
      <c r="F72" s="1494"/>
      <c r="G72" s="1494"/>
      <c r="H72" s="1494"/>
      <c r="I72" s="1494"/>
      <c r="J72" s="1494"/>
      <c r="K72" s="1494"/>
      <c r="L72" s="1494"/>
      <c r="M72" s="1494"/>
      <c r="N72" s="279" t="s">
        <v>1756</v>
      </c>
      <c r="O72" s="280">
        <f>IF(C72&lt;&gt;"","ERROR",IF(AND(O67="",O69="",O71=""),0,AVERAGE(O67,O69,O71)))</f>
        <v>0</v>
      </c>
      <c r="P72" s="832"/>
      <c r="Q72" s="6"/>
      <c r="R72" s="108"/>
      <c r="S72" s="33"/>
      <c r="T72" s="77"/>
      <c r="U72" s="108"/>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row>
    <row r="73" spans="2:236" ht="11.25" customHeight="1" x14ac:dyDescent="0.2">
      <c r="B73" s="1163"/>
      <c r="C73" s="1163"/>
      <c r="D73" s="1163"/>
      <c r="E73" s="1163"/>
      <c r="F73" s="1163"/>
      <c r="G73" s="1163"/>
      <c r="H73" s="1163"/>
      <c r="I73" s="1163"/>
      <c r="J73" s="1163"/>
      <c r="K73" s="1163"/>
      <c r="L73" s="1163"/>
      <c r="M73" s="1163"/>
      <c r="N73" s="1163"/>
      <c r="O73" s="1163"/>
      <c r="P73" s="1163"/>
      <c r="Q73" s="6"/>
      <c r="R73" s="108"/>
      <c r="S73" s="34"/>
      <c r="T73" s="77"/>
      <c r="U73" s="108"/>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row>
    <row r="74" spans="2:236" ht="11.25" customHeight="1" x14ac:dyDescent="0.2">
      <c r="B74" s="1163"/>
      <c r="C74" s="1163"/>
      <c r="D74" s="1163"/>
      <c r="E74" s="1163"/>
      <c r="F74" s="1163"/>
      <c r="G74" s="1163"/>
      <c r="H74" s="1163"/>
      <c r="I74" s="1163"/>
      <c r="J74" s="1163"/>
      <c r="K74" s="1163"/>
      <c r="L74" s="1163"/>
      <c r="M74" s="1163"/>
      <c r="N74" s="1163"/>
      <c r="O74" s="1163"/>
      <c r="P74" s="1163"/>
      <c r="Q74" s="6"/>
      <c r="R74" s="108"/>
      <c r="S74" s="34"/>
      <c r="T74" s="77"/>
      <c r="U74" s="108"/>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c r="HU74" s="10"/>
      <c r="HV74" s="10"/>
      <c r="HW74" s="10"/>
      <c r="HX74" s="10"/>
      <c r="HY74" s="10"/>
      <c r="HZ74" s="10"/>
      <c r="IA74" s="10"/>
      <c r="IB74" s="10"/>
    </row>
    <row r="75" spans="2:236" ht="15" customHeight="1" x14ac:dyDescent="0.2">
      <c r="B75" s="411" t="s">
        <v>1362</v>
      </c>
      <c r="C75" s="910"/>
      <c r="D75" s="910"/>
      <c r="E75" s="146"/>
      <c r="F75" s="1005"/>
      <c r="G75" s="1005"/>
      <c r="H75" s="365"/>
      <c r="I75" s="910"/>
      <c r="J75" s="910"/>
      <c r="K75" s="146"/>
      <c r="L75" s="1005"/>
      <c r="M75" s="1005"/>
      <c r="N75" s="365"/>
      <c r="O75" s="304"/>
      <c r="P75" s="830"/>
      <c r="Q75" s="6"/>
      <c r="R75" s="108"/>
      <c r="S75" s="33"/>
      <c r="T75" s="77"/>
      <c r="U75" s="108"/>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row>
    <row r="76" spans="2:236" ht="15" customHeight="1" x14ac:dyDescent="0.2">
      <c r="B76" s="414" t="s">
        <v>985</v>
      </c>
      <c r="C76" s="914">
        <v>0.09</v>
      </c>
      <c r="D76" s="914"/>
      <c r="E76" s="18" t="s">
        <v>1754</v>
      </c>
      <c r="F76" s="914">
        <f>SUMIF($T$39:$AH$39,F75,$T$40:$AH$40)</f>
        <v>0</v>
      </c>
      <c r="G76" s="914"/>
      <c r="H76" s="160" t="s">
        <v>1755</v>
      </c>
      <c r="I76" s="914">
        <v>0.09</v>
      </c>
      <c r="J76" s="914"/>
      <c r="K76" s="18" t="s">
        <v>1754</v>
      </c>
      <c r="L76" s="914">
        <f>SUMIF($T$39:$AH$39,L75,$T$40:$AH$40)</f>
        <v>0</v>
      </c>
      <c r="M76" s="914"/>
      <c r="N76" s="160" t="s">
        <v>1756</v>
      </c>
      <c r="O76" s="239" t="str">
        <f>IF(F75="","",IF(C76*F76-I76*L76&lt;=0,"",C76*F76-I76*L76))</f>
        <v/>
      </c>
      <c r="P76" s="831"/>
      <c r="Q76" s="6"/>
      <c r="R76" s="108"/>
      <c r="S76" s="33"/>
      <c r="T76" s="77"/>
      <c r="U76" s="108"/>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row>
    <row r="77" spans="2:236" ht="15" customHeight="1" x14ac:dyDescent="0.2">
      <c r="B77" s="1465" t="s">
        <v>215</v>
      </c>
      <c r="C77" s="832"/>
      <c r="D77" s="832"/>
      <c r="E77" s="230"/>
      <c r="F77" s="1474"/>
      <c r="G77" s="1474"/>
      <c r="H77" s="413"/>
      <c r="I77" s="832"/>
      <c r="J77" s="832"/>
      <c r="K77" s="230"/>
      <c r="L77" s="1474"/>
      <c r="M77" s="1474"/>
      <c r="N77" s="413"/>
      <c r="O77" s="110"/>
      <c r="P77" s="831"/>
      <c r="Q77" s="6"/>
      <c r="R77" s="108"/>
      <c r="S77" s="33"/>
      <c r="T77" s="77"/>
      <c r="U77" s="108"/>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row>
    <row r="78" spans="2:236" ht="15" customHeight="1" x14ac:dyDescent="0.2">
      <c r="B78" s="1466"/>
      <c r="C78" s="914">
        <v>0.09</v>
      </c>
      <c r="D78" s="914"/>
      <c r="E78" s="18" t="s">
        <v>1754</v>
      </c>
      <c r="F78" s="914">
        <f>SUMIF($T$39:$AH$39,F77,$T$40:$AH$40)</f>
        <v>0</v>
      </c>
      <c r="G78" s="914"/>
      <c r="H78" s="160" t="s">
        <v>1755</v>
      </c>
      <c r="I78" s="914">
        <v>0.09</v>
      </c>
      <c r="J78" s="914"/>
      <c r="K78" s="18" t="s">
        <v>1754</v>
      </c>
      <c r="L78" s="914">
        <f>SUMIF($T$39:$AH$39,L77,$T$40:$AH$40)</f>
        <v>0</v>
      </c>
      <c r="M78" s="914"/>
      <c r="N78" s="160" t="s">
        <v>1756</v>
      </c>
      <c r="O78" s="239" t="str">
        <f>IF(F77="","",IF(C78*F78-I78*L78&lt;=0,"",C78*F78-I78*L78))</f>
        <v/>
      </c>
      <c r="P78" s="831"/>
      <c r="Q78" s="6"/>
      <c r="R78" s="108"/>
      <c r="S78" s="33"/>
      <c r="T78" s="77"/>
      <c r="U78" s="108"/>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row>
    <row r="79" spans="2:236" ht="15" customHeight="1" x14ac:dyDescent="0.2">
      <c r="B79" s="1465" t="s">
        <v>216</v>
      </c>
      <c r="C79" s="832"/>
      <c r="D79" s="832"/>
      <c r="E79" s="230"/>
      <c r="F79" s="1474"/>
      <c r="G79" s="1474"/>
      <c r="H79" s="413"/>
      <c r="I79" s="832"/>
      <c r="J79" s="832"/>
      <c r="K79" s="230"/>
      <c r="L79" s="1474"/>
      <c r="M79" s="1474"/>
      <c r="N79" s="413"/>
      <c r="O79" s="110"/>
      <c r="P79" s="831"/>
      <c r="Q79" s="6"/>
      <c r="R79" s="108"/>
      <c r="S79" s="33"/>
      <c r="T79" s="77"/>
      <c r="U79" s="108"/>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row>
    <row r="80" spans="2:236" ht="15" customHeight="1" x14ac:dyDescent="0.2">
      <c r="B80" s="1466"/>
      <c r="C80" s="914">
        <v>0.09</v>
      </c>
      <c r="D80" s="914"/>
      <c r="E80" s="18" t="s">
        <v>1754</v>
      </c>
      <c r="F80" s="914">
        <f>SUMIF($T$39:$AH$39,F79,$T$40:$AH$40)</f>
        <v>0</v>
      </c>
      <c r="G80" s="914"/>
      <c r="H80" s="160" t="s">
        <v>1755</v>
      </c>
      <c r="I80" s="914">
        <v>0.09</v>
      </c>
      <c r="J80" s="914"/>
      <c r="K80" s="18" t="s">
        <v>1754</v>
      </c>
      <c r="L80" s="914">
        <f>SUMIF($T$39:$AH$39,L79,$T$40:$AH$40)</f>
        <v>0</v>
      </c>
      <c r="M80" s="914"/>
      <c r="N80" s="160" t="s">
        <v>1756</v>
      </c>
      <c r="O80" s="239" t="str">
        <f>IF(F79="","",IF(C80*F80-I80*L80&lt;=0,"",C80*F80-I80*L80))</f>
        <v/>
      </c>
      <c r="P80" s="831"/>
      <c r="Q80" s="6"/>
      <c r="R80" s="108"/>
      <c r="S80" s="33"/>
      <c r="T80" s="77"/>
      <c r="U80" s="108"/>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row>
    <row r="81" spans="1:236" ht="36" customHeight="1" x14ac:dyDescent="0.2">
      <c r="B81" s="267" t="s">
        <v>1696</v>
      </c>
      <c r="C81" s="1487" t="str">
        <f>IF(AND(O76&lt;&gt;"",V44=1),"ERROR: Record strength for 'Overall' or specific muscles, not both.","")</f>
        <v/>
      </c>
      <c r="D81" s="1487"/>
      <c r="E81" s="1487"/>
      <c r="F81" s="1487"/>
      <c r="G81" s="1487"/>
      <c r="H81" s="1487"/>
      <c r="I81" s="1487"/>
      <c r="J81" s="1487"/>
      <c r="K81" s="1487"/>
      <c r="L81" s="1487"/>
      <c r="M81" s="1487"/>
      <c r="N81" s="160" t="s">
        <v>1756</v>
      </c>
      <c r="O81" s="239">
        <f>IF(C81&lt;&gt;"","ERROR",IF(AND(O76="",O78="",O80=""),0,AVERAGE(O76,O78,O80)))</f>
        <v>0</v>
      </c>
      <c r="P81" s="831"/>
      <c r="Q81" s="6"/>
      <c r="R81" s="108"/>
      <c r="S81" s="33"/>
      <c r="T81" s="77"/>
      <c r="U81" s="108"/>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row>
    <row r="82" spans="1:236" ht="15" customHeight="1" x14ac:dyDescent="0.2">
      <c r="B82" s="415" t="s">
        <v>1363</v>
      </c>
      <c r="C82" s="832"/>
      <c r="D82" s="832"/>
      <c r="E82" s="230"/>
      <c r="F82" s="1474"/>
      <c r="G82" s="1474"/>
      <c r="H82" s="413"/>
      <c r="I82" s="832"/>
      <c r="J82" s="832"/>
      <c r="K82" s="230"/>
      <c r="L82" s="1474"/>
      <c r="M82" s="1474"/>
      <c r="N82" s="413"/>
      <c r="O82" s="353"/>
      <c r="P82" s="831"/>
      <c r="Q82" s="6"/>
      <c r="R82" s="108"/>
      <c r="S82" s="33"/>
      <c r="T82" s="77"/>
      <c r="U82" s="108"/>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c r="HU82" s="10"/>
      <c r="HV82" s="10"/>
      <c r="HW82" s="10"/>
      <c r="HX82" s="10"/>
      <c r="HY82" s="10"/>
      <c r="HZ82" s="10"/>
      <c r="IA82" s="10"/>
      <c r="IB82" s="10"/>
    </row>
    <row r="83" spans="1:236" ht="15" customHeight="1" x14ac:dyDescent="0.2">
      <c r="B83" s="414" t="s">
        <v>217</v>
      </c>
      <c r="C83" s="914">
        <v>0.06</v>
      </c>
      <c r="D83" s="914"/>
      <c r="E83" s="18" t="s">
        <v>1754</v>
      </c>
      <c r="F83" s="914">
        <f>SUMIF($T$39:$AH$39,F82,$T$40:$AH$40)</f>
        <v>0</v>
      </c>
      <c r="G83" s="914"/>
      <c r="H83" s="160" t="s">
        <v>1755</v>
      </c>
      <c r="I83" s="914">
        <v>0.06</v>
      </c>
      <c r="J83" s="914"/>
      <c r="K83" s="18" t="s">
        <v>1754</v>
      </c>
      <c r="L83" s="914">
        <f>SUMIF($T$39:$AH$39,L82,$T$40:$AH$40)</f>
        <v>0</v>
      </c>
      <c r="M83" s="914"/>
      <c r="N83" s="160" t="s">
        <v>1756</v>
      </c>
      <c r="O83" s="240">
        <f>IF(C83*F83-I83*L83&lt;0,0,C83*F83-I83*L83)</f>
        <v>0</v>
      </c>
      <c r="P83" s="832"/>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row>
    <row r="84" spans="1:236" ht="18" customHeight="1" x14ac:dyDescent="0.2">
      <c r="B84" s="1485" t="s">
        <v>218</v>
      </c>
      <c r="C84" s="1486"/>
      <c r="D84" s="1486"/>
      <c r="E84" s="1486"/>
      <c r="F84" s="1486"/>
      <c r="G84" s="1486"/>
      <c r="H84" s="1486"/>
      <c r="I84" s="1486"/>
      <c r="J84" s="1486"/>
      <c r="K84" s="1486"/>
      <c r="L84" s="1486"/>
      <c r="M84" s="1486"/>
      <c r="N84" s="1486"/>
      <c r="O84" s="1486"/>
      <c r="P84" s="275">
        <f>V53</f>
        <v>0</v>
      </c>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row>
    <row r="85" spans="1:236" ht="13.5" customHeight="1" x14ac:dyDescent="0.2">
      <c r="B85" s="1163"/>
      <c r="C85" s="1163"/>
      <c r="D85" s="1163"/>
      <c r="E85" s="1163"/>
      <c r="F85" s="1163"/>
      <c r="G85" s="1163"/>
      <c r="H85" s="1163"/>
      <c r="I85" s="1163"/>
      <c r="J85" s="1163"/>
      <c r="K85" s="1163"/>
      <c r="L85" s="1163"/>
      <c r="M85" s="1163"/>
      <c r="N85" s="1163"/>
      <c r="O85" s="1163"/>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row>
    <row r="86" spans="1:236" ht="20.25" customHeight="1" x14ac:dyDescent="0.2">
      <c r="B86" s="947" t="s">
        <v>583</v>
      </c>
      <c r="C86" s="863"/>
      <c r="D86" s="863"/>
      <c r="E86" s="863"/>
      <c r="F86" s="863"/>
      <c r="G86" s="863"/>
      <c r="H86" s="863"/>
      <c r="I86" s="863"/>
      <c r="J86" s="863"/>
      <c r="K86" s="863"/>
      <c r="L86" s="863"/>
      <c r="M86" s="863"/>
      <c r="N86" s="863"/>
      <c r="O86" s="863"/>
      <c r="P86" s="146"/>
      <c r="Q86" s="6"/>
      <c r="R86" s="761" t="s">
        <v>2216</v>
      </c>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row>
    <row r="87" spans="1:236" ht="43.5" customHeight="1" x14ac:dyDescent="0.2">
      <c r="B87" s="761" t="s">
        <v>594</v>
      </c>
      <c r="C87" s="761"/>
      <c r="D87" s="761"/>
      <c r="E87" s="761"/>
      <c r="F87" s="761"/>
      <c r="G87" s="761"/>
      <c r="H87" s="761"/>
      <c r="I87" s="761"/>
      <c r="J87" s="761"/>
      <c r="K87" s="761"/>
      <c r="L87" s="761"/>
      <c r="M87" s="761"/>
      <c r="N87" s="761"/>
      <c r="O87" s="761"/>
      <c r="P87" s="146"/>
      <c r="Q87" s="6"/>
      <c r="R87" s="761"/>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row>
    <row r="88" spans="1:236" ht="20.25" customHeight="1" x14ac:dyDescent="0.2">
      <c r="A88" s="15"/>
      <c r="B88" s="791" t="s">
        <v>932</v>
      </c>
      <c r="C88" s="791"/>
      <c r="D88" s="791"/>
      <c r="E88" s="791"/>
      <c r="F88" s="791"/>
      <c r="G88" s="791"/>
      <c r="H88" s="791"/>
      <c r="I88" s="791"/>
      <c r="J88" s="791"/>
      <c r="K88" s="1473"/>
      <c r="L88" s="1473"/>
      <c r="M88" s="1473"/>
      <c r="N88" s="1473"/>
      <c r="O88" s="1473"/>
      <c r="P88" s="21">
        <f>IF(R88=1,0.05,0)</f>
        <v>0</v>
      </c>
      <c r="Q88" s="6"/>
      <c r="R88" s="613">
        <v>2</v>
      </c>
      <c r="S88" s="6">
        <v>1E-4</v>
      </c>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row>
    <row r="89" spans="1:236" ht="13.5" customHeight="1" x14ac:dyDescent="0.2">
      <c r="B89" s="1163"/>
      <c r="C89" s="1163"/>
      <c r="D89" s="1163"/>
      <c r="E89" s="1163"/>
      <c r="F89" s="1163"/>
      <c r="G89" s="1163"/>
      <c r="H89" s="1163"/>
      <c r="I89" s="1163"/>
      <c r="J89" s="1163"/>
      <c r="K89" s="1163"/>
      <c r="L89" s="1163"/>
      <c r="M89" s="1163"/>
      <c r="N89" s="1163"/>
      <c r="O89" s="1163"/>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row>
    <row r="90" spans="1:236" ht="30" customHeight="1" x14ac:dyDescent="0.2">
      <c r="B90" s="864" t="s">
        <v>494</v>
      </c>
      <c r="C90" s="865"/>
      <c r="D90" s="865"/>
      <c r="E90" s="865"/>
      <c r="F90" s="866"/>
      <c r="G90" s="907" t="s">
        <v>1495</v>
      </c>
      <c r="H90" s="911"/>
      <c r="I90" s="911"/>
      <c r="J90" s="911"/>
      <c r="K90" s="1467"/>
      <c r="L90" s="1468"/>
      <c r="M90" s="1468"/>
      <c r="N90" s="1468"/>
      <c r="O90" s="1469"/>
      <c r="P90" s="1488">
        <f>V97</f>
        <v>0</v>
      </c>
      <c r="Q90" s="6"/>
      <c r="S90" s="13" t="s">
        <v>1826</v>
      </c>
      <c r="T90" s="13" t="s">
        <v>1285</v>
      </c>
      <c r="U90" s="13" t="s">
        <v>1286</v>
      </c>
      <c r="V90" s="13" t="s">
        <v>1287</v>
      </c>
      <c r="W90" s="149" t="s">
        <v>498</v>
      </c>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row>
    <row r="91" spans="1:236" ht="21" customHeight="1" x14ac:dyDescent="0.2">
      <c r="B91" s="791" t="s">
        <v>1918</v>
      </c>
      <c r="C91" s="791"/>
      <c r="D91" s="791"/>
      <c r="E91" s="755">
        <f>P19</f>
        <v>0</v>
      </c>
      <c r="F91" s="755"/>
      <c r="G91" s="859"/>
      <c r="H91" s="861"/>
      <c r="I91" s="1483">
        <f t="shared" ref="I91:I98" si="3">IF(AND(W91&lt;0.01,W91&gt;0),0.01,ROUND(W91,2))</f>
        <v>0</v>
      </c>
      <c r="J91" s="1484"/>
      <c r="K91" s="1470"/>
      <c r="L91" s="1471"/>
      <c r="M91" s="1471"/>
      <c r="N91" s="1471"/>
      <c r="O91" s="1472"/>
      <c r="P91" s="1489"/>
      <c r="Q91" s="6"/>
      <c r="S91" s="205">
        <f t="shared" ref="S91:S98" si="4">IF(I91&gt;0,I91,E91)</f>
        <v>0</v>
      </c>
      <c r="T91" s="84">
        <f>LARGE($S$91:$S$98,1)</f>
        <v>0</v>
      </c>
      <c r="U91" s="12">
        <f>T91+T92*(1-T91)</f>
        <v>0</v>
      </c>
      <c r="V91" s="52">
        <f t="shared" ref="V91:V97" si="5">ROUND(U91,2)</f>
        <v>0</v>
      </c>
      <c r="W91" s="204">
        <f t="shared" ref="W91:W98" si="6">IF(G91&gt;0,E91*G91,0)</f>
        <v>0</v>
      </c>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row>
    <row r="92" spans="1:236" ht="21" customHeight="1" x14ac:dyDescent="0.2">
      <c r="B92" s="791" t="s">
        <v>219</v>
      </c>
      <c r="C92" s="791"/>
      <c r="D92" s="791"/>
      <c r="E92" s="755">
        <f>P22</f>
        <v>0</v>
      </c>
      <c r="F92" s="755"/>
      <c r="G92" s="859"/>
      <c r="H92" s="861"/>
      <c r="I92" s="1483">
        <f t="shared" si="3"/>
        <v>0</v>
      </c>
      <c r="J92" s="1484"/>
      <c r="K92" s="1470"/>
      <c r="L92" s="1471"/>
      <c r="M92" s="1471"/>
      <c r="N92" s="1471"/>
      <c r="O92" s="1472"/>
      <c r="P92" s="1489"/>
      <c r="Q92" s="6"/>
      <c r="S92" s="205">
        <f t="shared" si="4"/>
        <v>0</v>
      </c>
      <c r="T92" s="84">
        <f>LARGE($S$91:$S$98,2)</f>
        <v>0</v>
      </c>
      <c r="U92" s="12">
        <f t="shared" ref="U92:U97" si="7">V91+T93*(1-V91)</f>
        <v>0</v>
      </c>
      <c r="V92" s="52">
        <f t="shared" si="5"/>
        <v>0</v>
      </c>
      <c r="W92" s="204">
        <f t="shared" si="6"/>
        <v>0</v>
      </c>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row>
    <row r="93" spans="1:236" ht="21" customHeight="1" x14ac:dyDescent="0.2">
      <c r="B93" s="791" t="s">
        <v>1603</v>
      </c>
      <c r="C93" s="791"/>
      <c r="D93" s="791"/>
      <c r="E93" s="755">
        <f>P23</f>
        <v>0</v>
      </c>
      <c r="F93" s="755"/>
      <c r="G93" s="859"/>
      <c r="H93" s="861"/>
      <c r="I93" s="1483">
        <f t="shared" si="3"/>
        <v>0</v>
      </c>
      <c r="J93" s="1484"/>
      <c r="K93" s="1470"/>
      <c r="L93" s="1471"/>
      <c r="M93" s="1471"/>
      <c r="N93" s="1471"/>
      <c r="O93" s="1472"/>
      <c r="P93" s="1489"/>
      <c r="Q93" s="6"/>
      <c r="S93" s="205">
        <f t="shared" si="4"/>
        <v>0</v>
      </c>
      <c r="T93" s="84">
        <f>LARGE($S$91:$S$98,3)</f>
        <v>0</v>
      </c>
      <c r="U93" s="12">
        <f t="shared" si="7"/>
        <v>0</v>
      </c>
      <c r="V93" s="52">
        <f t="shared" si="5"/>
        <v>0</v>
      </c>
      <c r="W93" s="204">
        <f t="shared" si="6"/>
        <v>0</v>
      </c>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row>
    <row r="94" spans="1:236" ht="21" customHeight="1" x14ac:dyDescent="0.2">
      <c r="B94" s="791" t="s">
        <v>1604</v>
      </c>
      <c r="C94" s="791"/>
      <c r="D94" s="791"/>
      <c r="E94" s="755">
        <f>P24</f>
        <v>0</v>
      </c>
      <c r="F94" s="755"/>
      <c r="G94" s="859"/>
      <c r="H94" s="861"/>
      <c r="I94" s="1483">
        <f t="shared" si="3"/>
        <v>0</v>
      </c>
      <c r="J94" s="1484"/>
      <c r="K94" s="1470"/>
      <c r="L94" s="1471"/>
      <c r="M94" s="1471"/>
      <c r="N94" s="1471"/>
      <c r="O94" s="1472"/>
      <c r="P94" s="1489"/>
      <c r="Q94" s="6"/>
      <c r="S94" s="205">
        <f t="shared" si="4"/>
        <v>0</v>
      </c>
      <c r="T94" s="84">
        <f>LARGE($S$91:$S$98,4)</f>
        <v>0</v>
      </c>
      <c r="U94" s="12">
        <f t="shared" si="7"/>
        <v>0</v>
      </c>
      <c r="V94" s="52">
        <f t="shared" si="5"/>
        <v>0</v>
      </c>
      <c r="W94" s="204">
        <f t="shared" si="6"/>
        <v>0</v>
      </c>
      <c r="Y94" s="6"/>
      <c r="Z94" s="10"/>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row>
    <row r="95" spans="1:236" ht="21" customHeight="1" x14ac:dyDescent="0.2">
      <c r="B95" s="791" t="s">
        <v>1605</v>
      </c>
      <c r="C95" s="791"/>
      <c r="D95" s="791"/>
      <c r="E95" s="755">
        <f>P25</f>
        <v>0</v>
      </c>
      <c r="F95" s="755"/>
      <c r="G95" s="859"/>
      <c r="H95" s="861"/>
      <c r="I95" s="1483">
        <f t="shared" si="3"/>
        <v>0</v>
      </c>
      <c r="J95" s="1484"/>
      <c r="K95" s="1470"/>
      <c r="L95" s="1471"/>
      <c r="M95" s="1471"/>
      <c r="N95" s="1471"/>
      <c r="O95" s="1472"/>
      <c r="P95" s="1489"/>
      <c r="Q95" s="6"/>
      <c r="S95" s="205">
        <f t="shared" si="4"/>
        <v>0</v>
      </c>
      <c r="T95" s="84">
        <f>LARGE($S$91:$S$98,5)</f>
        <v>0</v>
      </c>
      <c r="U95" s="12">
        <f t="shared" si="7"/>
        <v>0</v>
      </c>
      <c r="V95" s="52">
        <f t="shared" si="5"/>
        <v>0</v>
      </c>
      <c r="W95" s="204">
        <f t="shared" si="6"/>
        <v>0</v>
      </c>
      <c r="Y95" s="6"/>
      <c r="Z95" s="10"/>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row>
    <row r="96" spans="1:236" ht="21" customHeight="1" x14ac:dyDescent="0.2">
      <c r="B96" s="761" t="s">
        <v>1606</v>
      </c>
      <c r="C96" s="791"/>
      <c r="D96" s="791"/>
      <c r="E96" s="755">
        <f>P31</f>
        <v>0</v>
      </c>
      <c r="F96" s="755"/>
      <c r="G96" s="859"/>
      <c r="H96" s="861"/>
      <c r="I96" s="1483">
        <f t="shared" si="3"/>
        <v>0</v>
      </c>
      <c r="J96" s="1484"/>
      <c r="K96" s="620"/>
      <c r="L96" s="621"/>
      <c r="M96" s="621"/>
      <c r="N96" s="621"/>
      <c r="O96" s="622"/>
      <c r="P96" s="1489"/>
      <c r="Q96" s="6"/>
      <c r="S96" s="205">
        <f t="shared" si="4"/>
        <v>0</v>
      </c>
      <c r="T96" s="84">
        <f>LARGE($S$91:$S$98,6)</f>
        <v>0</v>
      </c>
      <c r="U96" s="12">
        <f t="shared" si="7"/>
        <v>0</v>
      </c>
      <c r="V96" s="52">
        <f t="shared" si="5"/>
        <v>0</v>
      </c>
      <c r="W96" s="204">
        <f t="shared" si="6"/>
        <v>0</v>
      </c>
      <c r="Y96" s="6"/>
      <c r="Z96" s="10"/>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row>
    <row r="97" spans="2:241" ht="21" customHeight="1" x14ac:dyDescent="0.2">
      <c r="B97" s="791" t="s">
        <v>1607</v>
      </c>
      <c r="C97" s="791"/>
      <c r="D97" s="791"/>
      <c r="E97" s="755">
        <f>P84</f>
        <v>0</v>
      </c>
      <c r="F97" s="755"/>
      <c r="G97" s="859"/>
      <c r="H97" s="861"/>
      <c r="I97" s="1483">
        <f t="shared" si="3"/>
        <v>0</v>
      </c>
      <c r="J97" s="1484"/>
      <c r="K97" s="620"/>
      <c r="L97" s="621"/>
      <c r="M97" s="621"/>
      <c r="N97" s="621"/>
      <c r="O97" s="622"/>
      <c r="P97" s="1489"/>
      <c r="Q97" s="6"/>
      <c r="S97" s="205">
        <f t="shared" si="4"/>
        <v>0</v>
      </c>
      <c r="T97" s="84">
        <f>LARGE($S$91:$S$98,7)</f>
        <v>0</v>
      </c>
      <c r="U97" s="12">
        <f t="shared" si="7"/>
        <v>0</v>
      </c>
      <c r="V97" s="52">
        <f t="shared" si="5"/>
        <v>0</v>
      </c>
      <c r="W97" s="204">
        <f t="shared" si="6"/>
        <v>0</v>
      </c>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c r="HU97" s="10"/>
      <c r="HV97" s="10"/>
      <c r="HW97" s="10"/>
      <c r="HX97" s="10"/>
      <c r="HY97" s="10"/>
      <c r="HZ97" s="10"/>
      <c r="IA97" s="10"/>
      <c r="IB97" s="10"/>
    </row>
    <row r="98" spans="2:241" ht="21" customHeight="1" x14ac:dyDescent="0.2">
      <c r="B98" s="791" t="s">
        <v>1921</v>
      </c>
      <c r="C98" s="791"/>
      <c r="D98" s="791"/>
      <c r="E98" s="755">
        <f>P88</f>
        <v>0</v>
      </c>
      <c r="F98" s="755"/>
      <c r="G98" s="859"/>
      <c r="H98" s="861"/>
      <c r="I98" s="1483">
        <f t="shared" si="3"/>
        <v>0</v>
      </c>
      <c r="J98" s="1484"/>
      <c r="K98" s="620"/>
      <c r="L98" s="621"/>
      <c r="M98" s="621"/>
      <c r="N98" s="621"/>
      <c r="O98" s="622"/>
      <c r="P98" s="1489"/>
      <c r="Q98" s="6"/>
      <c r="S98" s="205">
        <f t="shared" si="4"/>
        <v>0</v>
      </c>
      <c r="T98" s="84">
        <f>LARGE($S$91:$S$98,8)</f>
        <v>0</v>
      </c>
      <c r="U98" s="77"/>
      <c r="V98" s="108"/>
      <c r="W98" s="204">
        <f t="shared" si="6"/>
        <v>0</v>
      </c>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row>
    <row r="99" spans="2:241" ht="21" customHeight="1" x14ac:dyDescent="0.2">
      <c r="B99" s="932"/>
      <c r="C99" s="1462"/>
      <c r="D99" s="1462"/>
      <c r="E99" s="1462"/>
      <c r="F99" s="1462"/>
      <c r="G99" s="1462"/>
      <c r="H99" s="1462"/>
      <c r="I99" s="1462"/>
      <c r="J99" s="1463"/>
      <c r="K99" s="1459" t="s">
        <v>2197</v>
      </c>
      <c r="L99" s="1460"/>
      <c r="M99" s="1460"/>
      <c r="N99" s="1460"/>
      <c r="O99" s="1461"/>
      <c r="P99" s="1490"/>
      <c r="Q99" s="6"/>
      <c r="S99" s="7"/>
      <c r="V99" s="77"/>
      <c r="W99" s="108"/>
      <c r="X99" s="102"/>
      <c r="Y99" s="102"/>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row>
    <row r="100" spans="2:241" ht="36.75" customHeight="1" x14ac:dyDescent="0.25">
      <c r="B100" s="1037" t="s">
        <v>931</v>
      </c>
      <c r="C100" s="1037"/>
      <c r="D100" s="1037"/>
      <c r="E100" s="1037"/>
      <c r="F100" s="1037"/>
      <c r="G100" s="1037"/>
      <c r="H100" s="1037"/>
      <c r="I100" s="1037"/>
      <c r="J100" s="1037"/>
      <c r="K100" s="1037"/>
      <c r="L100" s="1037"/>
      <c r="M100" s="1037"/>
      <c r="N100" s="1037"/>
      <c r="O100" s="1037"/>
      <c r="P100" s="1037"/>
      <c r="Q100" s="6"/>
      <c r="S100" s="7"/>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c r="HX100" s="10"/>
      <c r="HY100" s="10"/>
      <c r="HZ100" s="10"/>
      <c r="IA100" s="10"/>
      <c r="IB100" s="10"/>
    </row>
    <row r="101" spans="2:241" ht="15.75" customHeight="1" x14ac:dyDescent="0.25">
      <c r="B101" s="244" t="s">
        <v>775</v>
      </c>
      <c r="C101" s="1294" t="str">
        <f>IF(U1&lt;&gt;"",U1,"")</f>
        <v>Go to PPD Worksheet</v>
      </c>
      <c r="D101" s="1294"/>
      <c r="E101" s="1294"/>
      <c r="F101" s="1294"/>
      <c r="G101" s="1294"/>
      <c r="H101" s="1294"/>
      <c r="I101" s="1464" t="str">
        <f>IF(T1&lt;&gt;"",T1,"")</f>
        <v/>
      </c>
      <c r="J101" s="1464"/>
      <c r="K101" s="1464"/>
      <c r="L101" s="1464"/>
      <c r="M101" s="1464"/>
      <c r="N101" s="1464"/>
      <c r="O101" s="1"/>
      <c r="P101" s="162"/>
      <c r="Q101" s="6"/>
      <c r="R101" s="109"/>
      <c r="S101" s="77"/>
      <c r="T101" s="108"/>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row>
    <row r="102" spans="2:241" ht="15.75" customHeight="1" x14ac:dyDescent="0.25">
      <c r="B102" s="145"/>
      <c r="C102" s="145"/>
      <c r="D102" s="145"/>
      <c r="E102" s="8"/>
      <c r="F102" s="8"/>
      <c r="G102" s="1"/>
      <c r="H102" s="418"/>
      <c r="I102" s="418"/>
      <c r="J102" s="418"/>
      <c r="K102" s="418"/>
      <c r="L102" s="418"/>
      <c r="M102" s="418"/>
      <c r="N102" s="418"/>
      <c r="O102" s="1"/>
      <c r="P102" s="81"/>
      <c r="Q102" s="6"/>
      <c r="R102" s="109"/>
      <c r="S102" s="77"/>
      <c r="T102" s="108"/>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row>
    <row r="103" spans="2:241" ht="15.75" customHeight="1" x14ac:dyDescent="0.25">
      <c r="B103" s="145"/>
      <c r="C103" s="145"/>
      <c r="D103" s="145"/>
      <c r="E103" s="8"/>
      <c r="F103" s="8"/>
      <c r="G103" s="1"/>
      <c r="H103" s="418"/>
      <c r="I103" s="418"/>
      <c r="J103" s="418"/>
      <c r="K103" s="418"/>
      <c r="L103" s="418"/>
      <c r="M103" s="418"/>
      <c r="N103" s="418"/>
      <c r="O103" s="1"/>
      <c r="P103" s="81"/>
      <c r="Q103" s="6"/>
      <c r="R103" s="109"/>
      <c r="S103" s="77"/>
      <c r="T103" s="108"/>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row>
    <row r="104" spans="2:241" ht="15.75" customHeight="1" x14ac:dyDescent="0.25">
      <c r="B104" s="145"/>
      <c r="C104" s="145"/>
      <c r="D104" s="145"/>
      <c r="E104" s="8"/>
      <c r="F104" s="8"/>
      <c r="G104" s="1"/>
      <c r="H104" s="418"/>
      <c r="I104" s="418"/>
      <c r="J104" s="418"/>
      <c r="K104" s="418"/>
      <c r="L104" s="418"/>
      <c r="M104" s="418"/>
      <c r="N104" s="418"/>
      <c r="O104" s="1"/>
      <c r="P104" s="81"/>
      <c r="Q104" s="6"/>
      <c r="R104" s="109"/>
      <c r="S104" s="77"/>
      <c r="T104" s="108"/>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row>
    <row r="105" spans="2:241" ht="15.75" hidden="1" customHeight="1" x14ac:dyDescent="0.25">
      <c r="B105" s="145"/>
      <c r="C105" s="145"/>
      <c r="D105" s="145"/>
      <c r="E105" s="8"/>
      <c r="F105" s="8"/>
      <c r="G105" s="1"/>
      <c r="H105" s="418"/>
      <c r="I105" s="418"/>
      <c r="J105" s="418"/>
      <c r="K105" s="418"/>
      <c r="L105" s="418"/>
      <c r="M105" s="418"/>
      <c r="N105" s="418"/>
      <c r="O105" s="1"/>
      <c r="P105" s="81"/>
      <c r="Q105" s="6"/>
      <c r="R105" s="109"/>
      <c r="S105" s="77"/>
      <c r="T105" s="108"/>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row>
    <row r="106" spans="2:241" ht="15.75" hidden="1" customHeight="1" x14ac:dyDescent="0.25">
      <c r="B106" s="1453" t="s">
        <v>2207</v>
      </c>
      <c r="C106" s="1454"/>
      <c r="D106" s="145"/>
      <c r="E106" s="8"/>
      <c r="F106" s="1"/>
      <c r="G106" s="1"/>
      <c r="H106" s="163"/>
      <c r="I106" s="163"/>
      <c r="J106" s="163"/>
      <c r="K106" s="163"/>
      <c r="L106" s="163"/>
      <c r="M106" s="163"/>
      <c r="N106" s="163"/>
      <c r="O106" s="163"/>
      <c r="P106" s="81"/>
      <c r="Q106" s="6"/>
      <c r="R106" s="109"/>
      <c r="S106" s="77"/>
      <c r="T106" s="108"/>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row>
    <row r="107" spans="2:241" ht="18" hidden="1" customHeight="1" x14ac:dyDescent="0.25">
      <c r="B107" s="1455"/>
      <c r="C107" s="1456"/>
      <c r="D107" s="419"/>
      <c r="E107" s="419"/>
      <c r="F107" s="419"/>
      <c r="G107" s="419"/>
      <c r="H107" s="419"/>
      <c r="I107" s="419"/>
      <c r="J107" s="419"/>
      <c r="K107" s="419"/>
      <c r="L107" s="419"/>
      <c r="M107" s="419"/>
      <c r="N107" s="419"/>
      <c r="O107" s="419"/>
      <c r="P107" s="419"/>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row>
    <row r="108" spans="2:241" ht="15.75" hidden="1" customHeight="1" x14ac:dyDescent="0.25">
      <c r="B108" s="1457"/>
      <c r="C108" s="1458"/>
      <c r="D108" s="379"/>
      <c r="E108" s="1482"/>
      <c r="F108" s="777"/>
      <c r="G108" s="1"/>
      <c r="H108" s="2"/>
      <c r="J108" s="2"/>
      <c r="L108" s="2"/>
      <c r="N108" s="2"/>
      <c r="P108" s="81"/>
      <c r="Q108" s="6"/>
      <c r="R108" s="109"/>
      <c r="S108" s="77"/>
      <c r="T108" s="108"/>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row>
    <row r="109" spans="2:241" ht="15.75" hidden="1" customHeight="1" x14ac:dyDescent="0.25">
      <c r="B109" s="146">
        <v>0.01</v>
      </c>
      <c r="C109" s="146">
        <v>0.99</v>
      </c>
      <c r="D109" s="145"/>
      <c r="E109" s="8"/>
      <c r="F109" s="1"/>
      <c r="G109" s="1"/>
      <c r="H109" s="164"/>
      <c r="I109" s="164"/>
      <c r="J109" s="164"/>
      <c r="K109" s="164"/>
      <c r="L109" s="164"/>
      <c r="M109" s="164"/>
      <c r="N109" s="164"/>
      <c r="O109" s="164"/>
      <c r="P109" s="81"/>
      <c r="Q109" s="6"/>
      <c r="R109" s="33"/>
      <c r="S109" s="77"/>
      <c r="T109" s="108"/>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row>
    <row r="110" spans="2:241" s="171" customFormat="1" hidden="1" x14ac:dyDescent="0.2">
      <c r="C110" s="9"/>
      <c r="D110" s="373"/>
      <c r="F110" s="9"/>
      <c r="G110" s="373"/>
      <c r="I110" s="9"/>
      <c r="J110" s="373"/>
      <c r="L110" s="9"/>
      <c r="M110" s="373"/>
      <c r="O110" s="9"/>
      <c r="P110" s="373"/>
      <c r="Q110" s="5"/>
      <c r="R110" s="5"/>
      <c r="S110" s="111"/>
      <c r="T110" s="5"/>
      <c r="U110" s="5"/>
      <c r="V110" s="111"/>
      <c r="W110" s="5"/>
      <c r="X110" s="5"/>
      <c r="Y110" s="111"/>
      <c r="Z110" s="5"/>
      <c r="AA110" s="5"/>
      <c r="AB110" s="111"/>
      <c r="AC110" s="5"/>
      <c r="AD110" s="5"/>
      <c r="AE110" s="111"/>
      <c r="AF110" s="5"/>
      <c r="AG110" s="5"/>
      <c r="AH110" s="111"/>
      <c r="AI110" s="5"/>
      <c r="AJ110" s="5"/>
      <c r="AK110" s="111"/>
      <c r="AL110" s="5"/>
      <c r="AM110" s="5"/>
      <c r="AN110" s="111"/>
      <c r="AO110" s="5"/>
      <c r="AP110" s="5"/>
      <c r="AQ110" s="111"/>
      <c r="AR110" s="5"/>
      <c r="AS110" s="5"/>
      <c r="AT110" s="111"/>
      <c r="AU110" s="5"/>
      <c r="AV110" s="5"/>
      <c r="AW110" s="111"/>
      <c r="AX110" s="5"/>
      <c r="AY110" s="5"/>
      <c r="AZ110" s="111"/>
      <c r="BA110" s="5"/>
      <c r="BB110" s="5"/>
      <c r="BC110" s="111"/>
      <c r="BD110" s="5"/>
      <c r="BE110" s="5"/>
      <c r="BF110" s="111"/>
      <c r="BG110" s="5"/>
      <c r="BH110" s="5"/>
      <c r="BI110" s="111"/>
      <c r="BJ110" s="5"/>
      <c r="BK110" s="5"/>
      <c r="BL110" s="111"/>
      <c r="BM110" s="5"/>
      <c r="BN110" s="5"/>
      <c r="BO110" s="111"/>
      <c r="BP110" s="5"/>
      <c r="BQ110" s="5"/>
      <c r="BR110" s="111"/>
      <c r="BS110" s="5"/>
      <c r="BT110" s="5"/>
      <c r="BU110" s="111"/>
      <c r="BV110" s="5"/>
      <c r="BW110" s="5"/>
      <c r="BX110" s="111"/>
      <c r="BY110" s="5"/>
      <c r="BZ110" s="5"/>
      <c r="CA110" s="111"/>
      <c r="CB110" s="5"/>
      <c r="CC110" s="5"/>
      <c r="CD110" s="111"/>
      <c r="CE110" s="5"/>
      <c r="CF110" s="5"/>
      <c r="CG110" s="111"/>
      <c r="CH110" s="5"/>
      <c r="CI110" s="5"/>
      <c r="CJ110" s="111"/>
      <c r="CK110" s="5"/>
      <c r="CL110" s="5"/>
      <c r="CM110" s="373"/>
      <c r="CO110" s="9"/>
      <c r="CP110" s="373"/>
      <c r="CR110" s="9"/>
      <c r="CS110" s="373"/>
      <c r="CU110" s="9"/>
      <c r="CV110" s="373"/>
      <c r="CX110" s="9"/>
      <c r="CY110" s="373"/>
      <c r="DA110" s="9"/>
      <c r="DB110" s="373"/>
      <c r="DD110" s="9"/>
      <c r="DE110" s="373"/>
      <c r="DG110" s="9"/>
      <c r="DH110" s="373"/>
      <c r="DJ110" s="9"/>
      <c r="DK110" s="373"/>
      <c r="DM110" s="9"/>
      <c r="DN110" s="373"/>
      <c r="DP110" s="9"/>
      <c r="DQ110" s="373"/>
      <c r="DS110" s="9"/>
      <c r="DT110" s="373"/>
      <c r="DV110" s="9"/>
      <c r="DW110" s="373"/>
      <c r="DY110" s="9"/>
      <c r="DZ110" s="373"/>
      <c r="EB110" s="9"/>
      <c r="EC110" s="373"/>
      <c r="EE110" s="9"/>
      <c r="EF110" s="373"/>
      <c r="EH110" s="9"/>
      <c r="EI110" s="373"/>
      <c r="EK110" s="9"/>
      <c r="EL110" s="373"/>
      <c r="EN110" s="9"/>
      <c r="EO110" s="373"/>
      <c r="EQ110" s="9"/>
      <c r="ER110" s="373"/>
      <c r="ET110" s="9"/>
      <c r="EU110" s="373"/>
      <c r="EW110" s="9"/>
      <c r="EX110" s="373"/>
      <c r="EZ110" s="9"/>
      <c r="FA110" s="373"/>
      <c r="FC110" s="9"/>
      <c r="FD110" s="373"/>
      <c r="FF110" s="9"/>
      <c r="FG110" s="373"/>
      <c r="FI110" s="9"/>
      <c r="FJ110" s="373"/>
      <c r="FL110" s="9"/>
      <c r="FM110" s="373"/>
      <c r="FO110" s="9"/>
      <c r="FP110" s="373"/>
      <c r="FR110" s="9"/>
      <c r="FS110" s="373"/>
      <c r="FU110" s="9"/>
      <c r="FV110" s="373"/>
      <c r="FX110" s="9"/>
      <c r="FY110" s="373"/>
      <c r="GA110" s="9"/>
      <c r="GB110" s="373"/>
      <c r="GD110" s="9"/>
      <c r="GE110" s="373"/>
      <c r="GG110" s="9"/>
      <c r="GH110" s="373"/>
      <c r="GJ110" s="9"/>
      <c r="GK110" s="373"/>
      <c r="GM110" s="9"/>
      <c r="GN110" s="373"/>
      <c r="GP110" s="9"/>
      <c r="GQ110" s="373"/>
      <c r="GS110" s="9"/>
      <c r="GT110" s="373"/>
      <c r="GV110" s="9"/>
      <c r="GW110" s="373"/>
      <c r="GY110" s="9"/>
      <c r="GZ110" s="373"/>
      <c r="HB110" s="9"/>
      <c r="HC110" s="373"/>
      <c r="HE110" s="9"/>
      <c r="HF110" s="373"/>
      <c r="HH110" s="9"/>
      <c r="HI110" s="373"/>
      <c r="HK110" s="9"/>
      <c r="HL110" s="373"/>
      <c r="HN110" s="9"/>
      <c r="HO110" s="373"/>
      <c r="HQ110" s="9"/>
      <c r="HR110" s="373"/>
      <c r="HT110" s="9"/>
      <c r="HU110" s="373"/>
      <c r="HW110" s="9"/>
      <c r="HX110" s="373"/>
      <c r="HZ110" s="9"/>
      <c r="IA110" s="373"/>
      <c r="IC110" s="9"/>
      <c r="ID110" s="373"/>
      <c r="IF110" s="9"/>
      <c r="IG110" s="373"/>
    </row>
    <row r="111" spans="2:241" s="171" customFormat="1" hidden="1" x14ac:dyDescent="0.2">
      <c r="F111" s="9"/>
      <c r="G111" s="373"/>
      <c r="I111" s="9"/>
      <c r="J111" s="373"/>
      <c r="L111" s="9"/>
      <c r="M111" s="373"/>
      <c r="O111" s="9"/>
      <c r="P111" s="373"/>
      <c r="Q111" s="5"/>
      <c r="R111" s="5"/>
      <c r="S111" s="111"/>
      <c r="T111" s="5"/>
      <c r="U111" s="5"/>
      <c r="V111" s="111"/>
      <c r="W111" s="5"/>
      <c r="X111" s="5"/>
      <c r="Y111" s="111"/>
      <c r="Z111" s="5"/>
      <c r="AA111" s="5"/>
      <c r="AB111" s="111"/>
      <c r="AC111" s="5"/>
      <c r="AD111" s="5"/>
      <c r="AE111" s="111"/>
      <c r="AF111" s="5"/>
      <c r="AG111" s="5"/>
      <c r="AH111" s="111"/>
      <c r="AI111" s="5"/>
      <c r="AJ111" s="5"/>
      <c r="AK111" s="111"/>
      <c r="AL111" s="5"/>
      <c r="AM111" s="5"/>
      <c r="AN111" s="111"/>
      <c r="AO111" s="5"/>
      <c r="AP111" s="5"/>
      <c r="AQ111" s="111"/>
      <c r="AR111" s="5"/>
      <c r="AS111" s="5"/>
      <c r="AT111" s="111"/>
      <c r="AU111" s="5"/>
      <c r="AV111" s="5"/>
      <c r="AW111" s="111"/>
      <c r="AX111" s="5"/>
      <c r="AY111" s="5"/>
      <c r="AZ111" s="111"/>
      <c r="BA111" s="5"/>
      <c r="BB111" s="5"/>
      <c r="BC111" s="111"/>
      <c r="BD111" s="5"/>
      <c r="BE111" s="5"/>
      <c r="BF111" s="111"/>
      <c r="BG111" s="5"/>
      <c r="BH111" s="5"/>
      <c r="BI111" s="111"/>
      <c r="BJ111" s="5"/>
      <c r="BK111" s="5"/>
      <c r="BL111" s="111"/>
      <c r="BM111" s="5"/>
      <c r="BN111" s="5"/>
      <c r="BO111" s="111"/>
      <c r="BP111" s="5"/>
      <c r="BQ111" s="5"/>
      <c r="BR111" s="111"/>
      <c r="BS111" s="5"/>
      <c r="BT111" s="5"/>
      <c r="BU111" s="111"/>
      <c r="BV111" s="5"/>
      <c r="BW111" s="5"/>
      <c r="BX111" s="111"/>
      <c r="BY111" s="5"/>
      <c r="BZ111" s="5"/>
      <c r="CA111" s="111"/>
      <c r="CB111" s="5"/>
      <c r="CC111" s="5"/>
      <c r="CD111" s="111"/>
      <c r="CE111" s="5"/>
      <c r="CF111" s="5"/>
      <c r="CG111" s="111"/>
      <c r="CH111" s="5"/>
      <c r="CI111" s="5"/>
      <c r="CJ111" s="111"/>
      <c r="CK111" s="5"/>
      <c r="CL111" s="5"/>
      <c r="CM111" s="373"/>
      <c r="CO111" s="9"/>
      <c r="CP111" s="373"/>
      <c r="CR111" s="9"/>
      <c r="CS111" s="373"/>
      <c r="CU111" s="9"/>
      <c r="CV111" s="373"/>
      <c r="CX111" s="9"/>
      <c r="CY111" s="373"/>
      <c r="DA111" s="9"/>
      <c r="DB111" s="373"/>
      <c r="DD111" s="9"/>
      <c r="DE111" s="373"/>
      <c r="DG111" s="9"/>
      <c r="DH111" s="373"/>
      <c r="DJ111" s="9"/>
      <c r="DK111" s="373"/>
      <c r="DM111" s="9"/>
      <c r="DN111" s="373"/>
      <c r="DP111" s="9"/>
      <c r="DQ111" s="373"/>
      <c r="DS111" s="9"/>
      <c r="DT111" s="373"/>
      <c r="DV111" s="9"/>
      <c r="DW111" s="373"/>
      <c r="DY111" s="9"/>
      <c r="DZ111" s="373"/>
      <c r="EB111" s="9"/>
      <c r="EC111" s="373"/>
      <c r="EE111" s="9"/>
      <c r="EF111" s="373"/>
      <c r="EH111" s="9"/>
      <c r="EI111" s="373"/>
      <c r="EK111" s="9"/>
      <c r="EL111" s="373"/>
      <c r="EN111" s="9"/>
      <c r="EO111" s="373"/>
      <c r="EQ111" s="9"/>
      <c r="ER111" s="373"/>
      <c r="ET111" s="9"/>
      <c r="EU111" s="373"/>
      <c r="EW111" s="9"/>
      <c r="EX111" s="373"/>
      <c r="EZ111" s="9"/>
      <c r="FA111" s="373"/>
      <c r="FC111" s="9"/>
      <c r="FD111" s="373"/>
      <c r="FF111" s="9"/>
      <c r="FG111" s="373"/>
      <c r="FI111" s="9"/>
      <c r="FJ111" s="373"/>
      <c r="FL111" s="9"/>
      <c r="FM111" s="373"/>
      <c r="FO111" s="9"/>
      <c r="FP111" s="373"/>
      <c r="FR111" s="9"/>
      <c r="FS111" s="373"/>
      <c r="FU111" s="9"/>
      <c r="FV111" s="373"/>
      <c r="FX111" s="9"/>
      <c r="FY111" s="373"/>
      <c r="GA111" s="9"/>
      <c r="GB111" s="373"/>
      <c r="GD111" s="9"/>
      <c r="GE111" s="373"/>
      <c r="GG111" s="9"/>
      <c r="GH111" s="373"/>
      <c r="GJ111" s="9"/>
      <c r="GK111" s="373"/>
      <c r="GM111" s="9"/>
      <c r="GN111" s="373"/>
      <c r="GP111" s="9"/>
      <c r="GQ111" s="373"/>
      <c r="GS111" s="9"/>
      <c r="GT111" s="373"/>
      <c r="GV111" s="9"/>
      <c r="GW111" s="373"/>
      <c r="GY111" s="9"/>
      <c r="GZ111" s="373"/>
      <c r="HB111" s="9"/>
      <c r="HC111" s="373"/>
      <c r="HE111" s="9"/>
      <c r="HF111" s="373"/>
      <c r="HH111" s="9"/>
      <c r="HI111" s="373"/>
      <c r="HK111" s="9"/>
      <c r="HL111" s="373"/>
      <c r="HN111" s="9"/>
      <c r="HO111" s="373"/>
      <c r="HQ111" s="9"/>
      <c r="HR111" s="373"/>
      <c r="HT111" s="9"/>
      <c r="HU111" s="373"/>
      <c r="HW111" s="9"/>
      <c r="HX111" s="373"/>
      <c r="HZ111" s="9"/>
      <c r="IA111" s="373"/>
      <c r="IC111" s="9"/>
      <c r="ID111" s="373"/>
      <c r="IF111" s="9"/>
      <c r="IG111" s="373"/>
    </row>
    <row r="112" spans="2:241" hidden="1" x14ac:dyDescent="0.2">
      <c r="C112" s="2"/>
      <c r="D112" s="2"/>
      <c r="E112" s="10"/>
      <c r="F112" s="11"/>
      <c r="G112" s="11"/>
      <c r="H112" s="10"/>
      <c r="I112" s="10"/>
      <c r="J112" s="11"/>
      <c r="K112" s="10"/>
      <c r="L112" s="11"/>
      <c r="M112" s="10"/>
      <c r="N112" s="11"/>
      <c r="O112" s="10"/>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row>
    <row r="113" spans="2:90" hidden="1" x14ac:dyDescent="0.2">
      <c r="C113" s="2"/>
      <c r="D113" s="2"/>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row>
    <row r="114" spans="2:90" hidden="1" x14ac:dyDescent="0.2">
      <c r="C114" s="2"/>
      <c r="D114" s="2"/>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row>
    <row r="115" spans="2:90" hidden="1" x14ac:dyDescent="0.2">
      <c r="B115" s="146" t="s">
        <v>2206</v>
      </c>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row>
    <row r="116" spans="2:90" hidden="1" x14ac:dyDescent="0.2">
      <c r="B116" s="146" t="s">
        <v>1901</v>
      </c>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row>
    <row r="117" spans="2:90" hidden="1" x14ac:dyDescent="0.2">
      <c r="B117" s="146">
        <v>0</v>
      </c>
      <c r="C117" s="2"/>
      <c r="D117" s="2"/>
      <c r="F117" s="2"/>
      <c r="H117" s="11"/>
      <c r="I117" s="10"/>
      <c r="J117" s="11"/>
      <c r="K117" s="10"/>
      <c r="L117" s="11"/>
      <c r="M117" s="10"/>
      <c r="N117" s="11"/>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row>
    <row r="118" spans="2:90" hidden="1" x14ac:dyDescent="0.2">
      <c r="B118" s="146">
        <v>1</v>
      </c>
      <c r="C118" s="2"/>
      <c r="D118" s="2"/>
      <c r="F118" s="2"/>
      <c r="H118" s="11"/>
      <c r="I118" s="10"/>
      <c r="J118" s="11"/>
      <c r="K118" s="10"/>
      <c r="L118" s="11"/>
      <c r="M118" s="10"/>
      <c r="N118" s="11"/>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row>
    <row r="119" spans="2:90" hidden="1" x14ac:dyDescent="0.2">
      <c r="B119" s="146">
        <v>2</v>
      </c>
      <c r="C119" s="2"/>
      <c r="D119" s="2"/>
      <c r="F119" s="2"/>
      <c r="H119" s="2"/>
      <c r="J119" s="11"/>
      <c r="K119" s="10"/>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row>
    <row r="120" spans="2:90" hidden="1" x14ac:dyDescent="0.2">
      <c r="B120" s="146">
        <v>3</v>
      </c>
      <c r="C120" s="2"/>
      <c r="D120" s="2"/>
      <c r="F120" s="2"/>
      <c r="H120" s="2"/>
      <c r="J120" s="11"/>
      <c r="K120" s="10"/>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row>
    <row r="121" spans="2:90" hidden="1" x14ac:dyDescent="0.2">
      <c r="B121" s="146">
        <v>4</v>
      </c>
      <c r="C121" s="2"/>
      <c r="D121" s="2"/>
      <c r="F121" s="2"/>
      <c r="H121" s="2"/>
      <c r="J121" s="11"/>
      <c r="K121" s="10"/>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row>
    <row r="122" spans="2:90" hidden="1" x14ac:dyDescent="0.2">
      <c r="B122" s="146">
        <v>5</v>
      </c>
      <c r="C122" s="2"/>
      <c r="D122" s="2"/>
      <c r="F122" s="2"/>
      <c r="H122" s="2"/>
      <c r="J122" s="11"/>
      <c r="K122" s="10"/>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row>
    <row r="123" spans="2:90" hidden="1" x14ac:dyDescent="0.2">
      <c r="B123" s="146">
        <v>6</v>
      </c>
      <c r="C123" s="2"/>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row>
    <row r="124" spans="2:90" hidden="1" x14ac:dyDescent="0.2">
      <c r="B124" s="146">
        <v>7</v>
      </c>
      <c r="C124" s="2"/>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row>
    <row r="125" spans="2:90" hidden="1" x14ac:dyDescent="0.2">
      <c r="B125" s="146">
        <v>8</v>
      </c>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row>
    <row r="126" spans="2:90" hidden="1" x14ac:dyDescent="0.2">
      <c r="B126" s="146">
        <v>9</v>
      </c>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row>
    <row r="127" spans="2:90" hidden="1" x14ac:dyDescent="0.2">
      <c r="B127" s="146">
        <v>10</v>
      </c>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row>
    <row r="128" spans="2:90" hidden="1" x14ac:dyDescent="0.2">
      <c r="B128" s="146">
        <v>11</v>
      </c>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row>
    <row r="129" spans="2:90" hidden="1" x14ac:dyDescent="0.2">
      <c r="B129" s="146">
        <v>12</v>
      </c>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row>
    <row r="130" spans="2:90" hidden="1" x14ac:dyDescent="0.2">
      <c r="B130" s="146">
        <v>13</v>
      </c>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row>
    <row r="131" spans="2:90" hidden="1" x14ac:dyDescent="0.2">
      <c r="B131" s="146">
        <v>14</v>
      </c>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row>
    <row r="132" spans="2:90" hidden="1" x14ac:dyDescent="0.2">
      <c r="B132" s="146">
        <v>15</v>
      </c>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row>
    <row r="133" spans="2:90" hidden="1" x14ac:dyDescent="0.2">
      <c r="B133" s="146">
        <v>16</v>
      </c>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row>
    <row r="134" spans="2:90" hidden="1" x14ac:dyDescent="0.2">
      <c r="B134" s="146">
        <v>17</v>
      </c>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row>
    <row r="135" spans="2:90" hidden="1" x14ac:dyDescent="0.2">
      <c r="B135" s="146">
        <v>18</v>
      </c>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row>
    <row r="136" spans="2:90" hidden="1" x14ac:dyDescent="0.2">
      <c r="B136" s="146">
        <v>19</v>
      </c>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row>
    <row r="137" spans="2:90" hidden="1" x14ac:dyDescent="0.2">
      <c r="B137" s="146">
        <v>20</v>
      </c>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row>
    <row r="138" spans="2:90" hidden="1" x14ac:dyDescent="0.2">
      <c r="B138" s="146">
        <v>21</v>
      </c>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row>
    <row r="139" spans="2:90" hidden="1" x14ac:dyDescent="0.2">
      <c r="B139" s="146">
        <v>22</v>
      </c>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row>
    <row r="140" spans="2:90" hidden="1" x14ac:dyDescent="0.2">
      <c r="B140" s="146">
        <v>23</v>
      </c>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row>
    <row r="141" spans="2:90" hidden="1" x14ac:dyDescent="0.2">
      <c r="B141" s="146">
        <v>24</v>
      </c>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row>
    <row r="142" spans="2:90" hidden="1" x14ac:dyDescent="0.2">
      <c r="B142" s="146">
        <v>25</v>
      </c>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row>
    <row r="143" spans="2:90" hidden="1" x14ac:dyDescent="0.2">
      <c r="B143" s="146">
        <v>26</v>
      </c>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row>
    <row r="144" spans="2:90" hidden="1" x14ac:dyDescent="0.2">
      <c r="B144" s="146">
        <v>27</v>
      </c>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row>
    <row r="145" spans="2:90" hidden="1" x14ac:dyDescent="0.2">
      <c r="B145" s="146">
        <v>28</v>
      </c>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row>
    <row r="146" spans="2:90" hidden="1" x14ac:dyDescent="0.2">
      <c r="B146" s="146">
        <v>29</v>
      </c>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row>
    <row r="147" spans="2:90" hidden="1" x14ac:dyDescent="0.2">
      <c r="B147" s="146">
        <v>30</v>
      </c>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row>
    <row r="148" spans="2:90" hidden="1" x14ac:dyDescent="0.2">
      <c r="B148" s="146">
        <v>31</v>
      </c>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row>
    <row r="149" spans="2:90" hidden="1" x14ac:dyDescent="0.2">
      <c r="B149" s="146">
        <v>32</v>
      </c>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row>
    <row r="150" spans="2:90" hidden="1" x14ac:dyDescent="0.2">
      <c r="B150" s="146">
        <v>33</v>
      </c>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row>
    <row r="151" spans="2:90" hidden="1" x14ac:dyDescent="0.2">
      <c r="B151" s="146">
        <v>34</v>
      </c>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row>
    <row r="152" spans="2:90" hidden="1" x14ac:dyDescent="0.2">
      <c r="B152" s="146">
        <v>35</v>
      </c>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row>
    <row r="153" spans="2:90" hidden="1" x14ac:dyDescent="0.2">
      <c r="B153" s="146">
        <v>36</v>
      </c>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row>
    <row r="154" spans="2:90" hidden="1" x14ac:dyDescent="0.2">
      <c r="B154" s="146">
        <v>37</v>
      </c>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row>
    <row r="155" spans="2:90" hidden="1" x14ac:dyDescent="0.2">
      <c r="B155" s="146">
        <v>38</v>
      </c>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row>
    <row r="156" spans="2:90" hidden="1" x14ac:dyDescent="0.2">
      <c r="B156" s="146">
        <v>39</v>
      </c>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row>
    <row r="157" spans="2:90" hidden="1" x14ac:dyDescent="0.2">
      <c r="B157" s="146">
        <v>40</v>
      </c>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row>
    <row r="158" spans="2:90" hidden="1" x14ac:dyDescent="0.2">
      <c r="B158" s="146">
        <v>41</v>
      </c>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row>
    <row r="159" spans="2:90" hidden="1" x14ac:dyDescent="0.2">
      <c r="B159" s="146">
        <v>42</v>
      </c>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row>
    <row r="160" spans="2:90" hidden="1" x14ac:dyDescent="0.2">
      <c r="B160" s="146">
        <v>43</v>
      </c>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row>
    <row r="161" spans="2:90" hidden="1" x14ac:dyDescent="0.2">
      <c r="B161" s="146">
        <v>44</v>
      </c>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row>
    <row r="162" spans="2:90" hidden="1" x14ac:dyDescent="0.2">
      <c r="B162" s="146">
        <v>45</v>
      </c>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row>
    <row r="163" spans="2:90" hidden="1" x14ac:dyDescent="0.2">
      <c r="B163" s="146">
        <v>46</v>
      </c>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row>
    <row r="164" spans="2:90" hidden="1" x14ac:dyDescent="0.2">
      <c r="B164" s="146">
        <v>47</v>
      </c>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row>
    <row r="165" spans="2:90" hidden="1" x14ac:dyDescent="0.2">
      <c r="B165" s="146">
        <v>48</v>
      </c>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row>
    <row r="166" spans="2:90" hidden="1" x14ac:dyDescent="0.2">
      <c r="B166" s="146">
        <v>49</v>
      </c>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row>
    <row r="167" spans="2:90" hidden="1" x14ac:dyDescent="0.2">
      <c r="B167" s="146">
        <v>50</v>
      </c>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row>
    <row r="168" spans="2:90" hidden="1" x14ac:dyDescent="0.2">
      <c r="B168" s="146">
        <v>51</v>
      </c>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row>
    <row r="169" spans="2:90" hidden="1" x14ac:dyDescent="0.2">
      <c r="B169" s="146">
        <v>52</v>
      </c>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row>
    <row r="170" spans="2:90" hidden="1" x14ac:dyDescent="0.2">
      <c r="B170" s="146">
        <v>53</v>
      </c>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row>
    <row r="171" spans="2:90" hidden="1" x14ac:dyDescent="0.2">
      <c r="B171" s="146">
        <v>54</v>
      </c>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row>
    <row r="172" spans="2:90" hidden="1" x14ac:dyDescent="0.2">
      <c r="B172" s="146">
        <v>55</v>
      </c>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row>
    <row r="173" spans="2:90" hidden="1" x14ac:dyDescent="0.2">
      <c r="B173" s="146">
        <v>56</v>
      </c>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row>
    <row r="174" spans="2:90" hidden="1" x14ac:dyDescent="0.2">
      <c r="B174" s="146">
        <v>57</v>
      </c>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row>
    <row r="175" spans="2:90" hidden="1" x14ac:dyDescent="0.2">
      <c r="B175" s="146">
        <v>58</v>
      </c>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row>
    <row r="176" spans="2:90" hidden="1" x14ac:dyDescent="0.2">
      <c r="B176" s="146">
        <v>59</v>
      </c>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row>
    <row r="177" spans="2:90" hidden="1" x14ac:dyDescent="0.2">
      <c r="B177" s="146">
        <v>60</v>
      </c>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row>
    <row r="178" spans="2:90" hidden="1" x14ac:dyDescent="0.2">
      <c r="B178" s="146">
        <v>61</v>
      </c>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row>
    <row r="179" spans="2:90" hidden="1" x14ac:dyDescent="0.2">
      <c r="B179" s="146">
        <v>62</v>
      </c>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row>
    <row r="180" spans="2:90" hidden="1" x14ac:dyDescent="0.2">
      <c r="B180" s="146">
        <v>63</v>
      </c>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row>
    <row r="181" spans="2:90" hidden="1" x14ac:dyDescent="0.2">
      <c r="B181" s="146">
        <v>64</v>
      </c>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row>
    <row r="182" spans="2:90" hidden="1" x14ac:dyDescent="0.2">
      <c r="B182" s="146">
        <v>65</v>
      </c>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row>
    <row r="183" spans="2:90" hidden="1" x14ac:dyDescent="0.2">
      <c r="B183" s="146">
        <v>66</v>
      </c>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row>
    <row r="184" spans="2:90" hidden="1" x14ac:dyDescent="0.2">
      <c r="B184" s="146">
        <v>67</v>
      </c>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row>
    <row r="185" spans="2:90" hidden="1" x14ac:dyDescent="0.2">
      <c r="B185" s="146">
        <v>68</v>
      </c>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row>
    <row r="186" spans="2:90" hidden="1" x14ac:dyDescent="0.2">
      <c r="B186" s="146">
        <v>69</v>
      </c>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row>
    <row r="187" spans="2:90" hidden="1" x14ac:dyDescent="0.2">
      <c r="B187" s="146">
        <v>70</v>
      </c>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row>
    <row r="188" spans="2:90" hidden="1" x14ac:dyDescent="0.2">
      <c r="B188" s="146">
        <v>71</v>
      </c>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row>
    <row r="189" spans="2:90" hidden="1" x14ac:dyDescent="0.2">
      <c r="B189" s="146">
        <v>72</v>
      </c>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row>
    <row r="190" spans="2:90" hidden="1" x14ac:dyDescent="0.2">
      <c r="B190" s="146">
        <v>73</v>
      </c>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row>
    <row r="191" spans="2:90" hidden="1" x14ac:dyDescent="0.2">
      <c r="B191" s="146">
        <v>74</v>
      </c>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row>
    <row r="192" spans="2:90" hidden="1" x14ac:dyDescent="0.2">
      <c r="B192" s="146">
        <v>75</v>
      </c>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row>
    <row r="193" spans="2:90" hidden="1" x14ac:dyDescent="0.2">
      <c r="B193" s="146">
        <v>76</v>
      </c>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row>
    <row r="194" spans="2:90" hidden="1" x14ac:dyDescent="0.2">
      <c r="B194" s="146">
        <v>77</v>
      </c>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row>
    <row r="195" spans="2:90" hidden="1" x14ac:dyDescent="0.2">
      <c r="B195" s="146">
        <v>78</v>
      </c>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row>
    <row r="196" spans="2:90" hidden="1" x14ac:dyDescent="0.2">
      <c r="B196" s="146">
        <v>79</v>
      </c>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row>
    <row r="197" spans="2:90" hidden="1" x14ac:dyDescent="0.2">
      <c r="B197" s="146">
        <v>80</v>
      </c>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row>
    <row r="198" spans="2:90" hidden="1" x14ac:dyDescent="0.2">
      <c r="B198" s="146">
        <v>81</v>
      </c>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row>
    <row r="199" spans="2:90" hidden="1" x14ac:dyDescent="0.2">
      <c r="B199" s="146">
        <v>82</v>
      </c>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row>
    <row r="200" spans="2:90" hidden="1" x14ac:dyDescent="0.2">
      <c r="B200" s="146">
        <v>83</v>
      </c>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row>
    <row r="201" spans="2:90" hidden="1" x14ac:dyDescent="0.2">
      <c r="B201" s="146">
        <v>84</v>
      </c>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row>
    <row r="202" spans="2:90" hidden="1" x14ac:dyDescent="0.2">
      <c r="B202" s="146">
        <v>85</v>
      </c>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row>
    <row r="203" spans="2:90" hidden="1" x14ac:dyDescent="0.2">
      <c r="B203" s="146">
        <v>86</v>
      </c>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row>
    <row r="204" spans="2:90" hidden="1" x14ac:dyDescent="0.2">
      <c r="B204" s="146">
        <v>87</v>
      </c>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row>
    <row r="205" spans="2:90" hidden="1" x14ac:dyDescent="0.2">
      <c r="B205" s="146">
        <v>88</v>
      </c>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row>
    <row r="206" spans="2:90" hidden="1" x14ac:dyDescent="0.2">
      <c r="B206" s="146">
        <v>89</v>
      </c>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row>
    <row r="207" spans="2:90" hidden="1" x14ac:dyDescent="0.2">
      <c r="B207" s="146">
        <v>90</v>
      </c>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row>
    <row r="208" spans="2:90" hidden="1" x14ac:dyDescent="0.2">
      <c r="B208" s="146">
        <v>91</v>
      </c>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row>
    <row r="209" spans="2:90" hidden="1" x14ac:dyDescent="0.2">
      <c r="B209" s="146">
        <v>92</v>
      </c>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row>
    <row r="210" spans="2:90" hidden="1" x14ac:dyDescent="0.2">
      <c r="B210" s="146">
        <v>93</v>
      </c>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row>
    <row r="211" spans="2:90" hidden="1" x14ac:dyDescent="0.2">
      <c r="B211" s="146">
        <v>94</v>
      </c>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row>
    <row r="212" spans="2:90" hidden="1" x14ac:dyDescent="0.2">
      <c r="B212" s="146">
        <v>95</v>
      </c>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row>
    <row r="213" spans="2:90" hidden="1" x14ac:dyDescent="0.2">
      <c r="B213" s="146">
        <v>96</v>
      </c>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row>
    <row r="214" spans="2:90" hidden="1" x14ac:dyDescent="0.2">
      <c r="B214" s="146">
        <v>97</v>
      </c>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row>
    <row r="215" spans="2:90" hidden="1" x14ac:dyDescent="0.2">
      <c r="B215" s="146">
        <v>98</v>
      </c>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row>
    <row r="216" spans="2:90" hidden="1" x14ac:dyDescent="0.2">
      <c r="B216" s="146">
        <v>99</v>
      </c>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row>
    <row r="217" spans="2:90" hidden="1" x14ac:dyDescent="0.2">
      <c r="B217" s="146">
        <v>100</v>
      </c>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row>
    <row r="218" spans="2:90" hidden="1" x14ac:dyDescent="0.2">
      <c r="B218" s="146">
        <v>101</v>
      </c>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row>
    <row r="219" spans="2:90" hidden="1" x14ac:dyDescent="0.2">
      <c r="B219" s="146">
        <v>102</v>
      </c>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row>
    <row r="220" spans="2:90" hidden="1" x14ac:dyDescent="0.2">
      <c r="B220" s="146">
        <v>103</v>
      </c>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row>
    <row r="221" spans="2:90" hidden="1" x14ac:dyDescent="0.2">
      <c r="B221" s="146">
        <v>104</v>
      </c>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row>
    <row r="222" spans="2:90" hidden="1" x14ac:dyDescent="0.2">
      <c r="B222" s="146">
        <v>105</v>
      </c>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row>
    <row r="223" spans="2:90" hidden="1" x14ac:dyDescent="0.2">
      <c r="B223" s="146">
        <v>106</v>
      </c>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row>
    <row r="224" spans="2:90" hidden="1" x14ac:dyDescent="0.2">
      <c r="B224" s="146">
        <v>107</v>
      </c>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row>
    <row r="225" spans="2:90" hidden="1" x14ac:dyDescent="0.2">
      <c r="B225" s="146">
        <v>108</v>
      </c>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row>
    <row r="226" spans="2:90" hidden="1" x14ac:dyDescent="0.2">
      <c r="B226" s="146">
        <v>109</v>
      </c>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row>
    <row r="227" spans="2:90" hidden="1" x14ac:dyDescent="0.2">
      <c r="B227" s="146">
        <v>110</v>
      </c>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row>
    <row r="228" spans="2:90" hidden="1" x14ac:dyDescent="0.2">
      <c r="B228" s="146">
        <v>111</v>
      </c>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row>
    <row r="229" spans="2:90" hidden="1" x14ac:dyDescent="0.2">
      <c r="B229" s="146">
        <v>112</v>
      </c>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row>
    <row r="230" spans="2:90" hidden="1" x14ac:dyDescent="0.2">
      <c r="B230" s="146">
        <v>113</v>
      </c>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row>
    <row r="231" spans="2:90" hidden="1" x14ac:dyDescent="0.2">
      <c r="B231" s="146">
        <v>114</v>
      </c>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row>
    <row r="232" spans="2:90" hidden="1" x14ac:dyDescent="0.2">
      <c r="B232" s="146">
        <v>115</v>
      </c>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row>
    <row r="233" spans="2:90" hidden="1" x14ac:dyDescent="0.2">
      <c r="B233" s="146">
        <v>116</v>
      </c>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row>
    <row r="234" spans="2:90" hidden="1" x14ac:dyDescent="0.2">
      <c r="B234" s="146">
        <v>117</v>
      </c>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row>
    <row r="235" spans="2:90" hidden="1" x14ac:dyDescent="0.2">
      <c r="B235" s="146">
        <v>118</v>
      </c>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row>
    <row r="236" spans="2:90" hidden="1" x14ac:dyDescent="0.2">
      <c r="B236" s="146">
        <v>119</v>
      </c>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row>
    <row r="237" spans="2:90" hidden="1" x14ac:dyDescent="0.2">
      <c r="B237" s="146">
        <v>120</v>
      </c>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row>
    <row r="238" spans="2:90" hidden="1" x14ac:dyDescent="0.2">
      <c r="B238" s="146">
        <v>121</v>
      </c>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row>
    <row r="239" spans="2:90" hidden="1" x14ac:dyDescent="0.2">
      <c r="B239" s="146">
        <v>122</v>
      </c>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row>
    <row r="240" spans="2:90" hidden="1" x14ac:dyDescent="0.2">
      <c r="B240" s="146">
        <v>123</v>
      </c>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row>
    <row r="241" spans="2:90" hidden="1" x14ac:dyDescent="0.2">
      <c r="B241" s="146">
        <v>124</v>
      </c>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row>
    <row r="242" spans="2:90" hidden="1" x14ac:dyDescent="0.2">
      <c r="B242" s="146">
        <v>125</v>
      </c>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row>
    <row r="243" spans="2:90" hidden="1" x14ac:dyDescent="0.2">
      <c r="B243" s="146">
        <v>126</v>
      </c>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row>
    <row r="244" spans="2:90" hidden="1" x14ac:dyDescent="0.2">
      <c r="B244" s="146">
        <v>127</v>
      </c>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row>
    <row r="245" spans="2:90" hidden="1" x14ac:dyDescent="0.2">
      <c r="B245" s="146">
        <v>128</v>
      </c>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row>
    <row r="246" spans="2:90" hidden="1" x14ac:dyDescent="0.2">
      <c r="B246" s="146">
        <v>129</v>
      </c>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row>
    <row r="247" spans="2:90" hidden="1" x14ac:dyDescent="0.2">
      <c r="B247" s="146">
        <v>130</v>
      </c>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row>
    <row r="248" spans="2:90" hidden="1" x14ac:dyDescent="0.2">
      <c r="B248" s="146">
        <v>131</v>
      </c>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row>
    <row r="249" spans="2:90" hidden="1" x14ac:dyDescent="0.2">
      <c r="B249" s="146">
        <v>132</v>
      </c>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row>
    <row r="250" spans="2:90" hidden="1" x14ac:dyDescent="0.2">
      <c r="B250" s="146">
        <v>133</v>
      </c>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row>
    <row r="251" spans="2:90" hidden="1" x14ac:dyDescent="0.2">
      <c r="B251" s="146">
        <v>134</v>
      </c>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row>
    <row r="252" spans="2:90" hidden="1" x14ac:dyDescent="0.2">
      <c r="B252" s="146">
        <v>135</v>
      </c>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row>
    <row r="253" spans="2:90" hidden="1" x14ac:dyDescent="0.2">
      <c r="B253" s="146">
        <v>136</v>
      </c>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row>
    <row r="254" spans="2:90" hidden="1" x14ac:dyDescent="0.2">
      <c r="B254" s="146">
        <v>137</v>
      </c>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row>
    <row r="255" spans="2:90" hidden="1" x14ac:dyDescent="0.2">
      <c r="B255" s="146">
        <v>138</v>
      </c>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row>
    <row r="256" spans="2:90" hidden="1" x14ac:dyDescent="0.2">
      <c r="B256" s="146">
        <v>139</v>
      </c>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row>
    <row r="257" spans="2:90" hidden="1" x14ac:dyDescent="0.2">
      <c r="B257" s="146">
        <v>140</v>
      </c>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row>
    <row r="258" spans="2:90" hidden="1" x14ac:dyDescent="0.2">
      <c r="B258" s="146">
        <v>141</v>
      </c>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row>
    <row r="259" spans="2:90" hidden="1" x14ac:dyDescent="0.2">
      <c r="B259" s="146">
        <v>142</v>
      </c>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row>
    <row r="260" spans="2:90" hidden="1" x14ac:dyDescent="0.2">
      <c r="B260" s="146">
        <v>143</v>
      </c>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row>
    <row r="261" spans="2:90" hidden="1" x14ac:dyDescent="0.2">
      <c r="B261" s="146">
        <v>144</v>
      </c>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row>
    <row r="262" spans="2:90" hidden="1" x14ac:dyDescent="0.2">
      <c r="B262" s="146">
        <v>145</v>
      </c>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row>
    <row r="263" spans="2:90" hidden="1" x14ac:dyDescent="0.2">
      <c r="B263" s="146">
        <v>146</v>
      </c>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row>
    <row r="264" spans="2:90" hidden="1" x14ac:dyDescent="0.2">
      <c r="B264" s="146">
        <v>147</v>
      </c>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row>
    <row r="265" spans="2:90" hidden="1" x14ac:dyDescent="0.2">
      <c r="B265" s="146">
        <v>148</v>
      </c>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row>
    <row r="266" spans="2:90" hidden="1" x14ac:dyDescent="0.2">
      <c r="B266" s="146">
        <v>149</v>
      </c>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row>
    <row r="267" spans="2:90" hidden="1" x14ac:dyDescent="0.2">
      <c r="B267" s="146">
        <v>150</v>
      </c>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row>
    <row r="268" spans="2:90" hidden="1" x14ac:dyDescent="0.2">
      <c r="B268" s="146">
        <v>151</v>
      </c>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row>
    <row r="269" spans="2:90" hidden="1" x14ac:dyDescent="0.2">
      <c r="B269" s="146">
        <v>152</v>
      </c>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row>
    <row r="270" spans="2:90" hidden="1" x14ac:dyDescent="0.2">
      <c r="B270" s="146">
        <v>153</v>
      </c>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row>
    <row r="271" spans="2:90" hidden="1" x14ac:dyDescent="0.2">
      <c r="B271" s="146">
        <v>154</v>
      </c>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row>
    <row r="272" spans="2:90" hidden="1" x14ac:dyDescent="0.2">
      <c r="B272" s="146">
        <v>155</v>
      </c>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row>
    <row r="273" spans="2:90" hidden="1" x14ac:dyDescent="0.2">
      <c r="B273" s="146">
        <v>156</v>
      </c>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row>
    <row r="274" spans="2:90" hidden="1" x14ac:dyDescent="0.2">
      <c r="B274" s="146">
        <v>157</v>
      </c>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row>
    <row r="275" spans="2:90" hidden="1" x14ac:dyDescent="0.2">
      <c r="B275" s="146">
        <v>158</v>
      </c>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row>
    <row r="276" spans="2:90" hidden="1" x14ac:dyDescent="0.2">
      <c r="B276" s="146">
        <v>159</v>
      </c>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row>
    <row r="277" spans="2:90" hidden="1" x14ac:dyDescent="0.2">
      <c r="B277" s="146">
        <v>160</v>
      </c>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row>
    <row r="278" spans="2:90" hidden="1" x14ac:dyDescent="0.2">
      <c r="B278" s="146">
        <v>161</v>
      </c>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row>
    <row r="279" spans="2:90" hidden="1" x14ac:dyDescent="0.2">
      <c r="B279" s="146">
        <v>162</v>
      </c>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row>
    <row r="280" spans="2:90" hidden="1" x14ac:dyDescent="0.2">
      <c r="B280" s="146">
        <v>163</v>
      </c>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row>
    <row r="281" spans="2:90" hidden="1" x14ac:dyDescent="0.2">
      <c r="B281" s="146">
        <v>164</v>
      </c>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row>
    <row r="282" spans="2:90" hidden="1" x14ac:dyDescent="0.2">
      <c r="B282" s="146">
        <v>165</v>
      </c>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row>
    <row r="283" spans="2:90" hidden="1" x14ac:dyDescent="0.2">
      <c r="B283" s="146">
        <v>166</v>
      </c>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row>
    <row r="284" spans="2:90" hidden="1" x14ac:dyDescent="0.2">
      <c r="B284" s="146">
        <v>167</v>
      </c>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row>
    <row r="285" spans="2:90" hidden="1" x14ac:dyDescent="0.2">
      <c r="B285" s="146">
        <v>168</v>
      </c>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row>
    <row r="286" spans="2:90" hidden="1" x14ac:dyDescent="0.2">
      <c r="B286" s="146">
        <v>169</v>
      </c>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row>
    <row r="287" spans="2:90" hidden="1" x14ac:dyDescent="0.2">
      <c r="B287" s="146">
        <v>170</v>
      </c>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row>
    <row r="288" spans="2:90" hidden="1" x14ac:dyDescent="0.2">
      <c r="B288" s="146">
        <v>171</v>
      </c>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row>
    <row r="289" spans="2:90" hidden="1" x14ac:dyDescent="0.2">
      <c r="B289" s="146">
        <v>172</v>
      </c>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row>
    <row r="290" spans="2:90" hidden="1" x14ac:dyDescent="0.2">
      <c r="B290" s="146">
        <v>173</v>
      </c>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row>
    <row r="291" spans="2:90" hidden="1" x14ac:dyDescent="0.2">
      <c r="B291" s="146">
        <v>174</v>
      </c>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row>
    <row r="292" spans="2:90" hidden="1" x14ac:dyDescent="0.2">
      <c r="B292" s="146">
        <v>175</v>
      </c>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row>
    <row r="293" spans="2:90" hidden="1" x14ac:dyDescent="0.2">
      <c r="B293" s="146">
        <v>176</v>
      </c>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row>
    <row r="294" spans="2:90" hidden="1" x14ac:dyDescent="0.2">
      <c r="B294" s="146">
        <v>177</v>
      </c>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row>
    <row r="295" spans="2:90" hidden="1" x14ac:dyDescent="0.2">
      <c r="B295" s="146">
        <v>178</v>
      </c>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row>
    <row r="296" spans="2:90" hidden="1" x14ac:dyDescent="0.2">
      <c r="B296" s="146">
        <v>179</v>
      </c>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row>
    <row r="297" spans="2:90" hidden="1" x14ac:dyDescent="0.2">
      <c r="B297" s="146">
        <v>180</v>
      </c>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row>
    <row r="298" spans="2:90" hidden="1" x14ac:dyDescent="0.2">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row>
    <row r="299" spans="2:90" hidden="1" x14ac:dyDescent="0.2">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row>
    <row r="300" spans="2:90" x14ac:dyDescent="0.2">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row>
    <row r="301" spans="2:90" x14ac:dyDescent="0.2">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row>
    <row r="302" spans="2:90" x14ac:dyDescent="0.2">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row>
    <row r="303" spans="2:90" x14ac:dyDescent="0.2">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row>
    <row r="304" spans="2:90" x14ac:dyDescent="0.2">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row>
    <row r="305" spans="17:90" x14ac:dyDescent="0.2">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row>
    <row r="306" spans="17:90" x14ac:dyDescent="0.2">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row>
    <row r="307" spans="17:90" x14ac:dyDescent="0.2">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row>
    <row r="308" spans="17:90" x14ac:dyDescent="0.2">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row>
    <row r="309" spans="17:90" x14ac:dyDescent="0.2">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row>
    <row r="310" spans="17:90" x14ac:dyDescent="0.2">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row>
    <row r="311" spans="17:90" x14ac:dyDescent="0.2">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row>
    <row r="312" spans="17:90" x14ac:dyDescent="0.2">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row>
    <row r="313" spans="17:90" x14ac:dyDescent="0.2">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row>
    <row r="314" spans="17:90" x14ac:dyDescent="0.2">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row>
    <row r="315" spans="17:90" x14ac:dyDescent="0.2">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row>
    <row r="316" spans="17:90" x14ac:dyDescent="0.2">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row>
    <row r="317" spans="17:90" x14ac:dyDescent="0.2">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row>
    <row r="318" spans="17:90" x14ac:dyDescent="0.2">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row>
    <row r="319" spans="17:90" x14ac:dyDescent="0.2">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row>
    <row r="320" spans="17:90" x14ac:dyDescent="0.2">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row>
    <row r="321" spans="17:90" x14ac:dyDescent="0.2">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row>
    <row r="322" spans="17:90" x14ac:dyDescent="0.2">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row>
    <row r="323" spans="17:90" x14ac:dyDescent="0.2">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row>
    <row r="324" spans="17:90" x14ac:dyDescent="0.2">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row>
    <row r="325" spans="17:90" x14ac:dyDescent="0.2">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row>
    <row r="326" spans="17:90" x14ac:dyDescent="0.2">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row>
    <row r="327" spans="17:90" x14ac:dyDescent="0.2">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row>
    <row r="328" spans="17:90" x14ac:dyDescent="0.2">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row>
    <row r="329" spans="17:90" x14ac:dyDescent="0.2">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row>
    <row r="330" spans="17:90" x14ac:dyDescent="0.2">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row>
    <row r="331" spans="17:90" x14ac:dyDescent="0.2">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row>
    <row r="332" spans="17:90" x14ac:dyDescent="0.2">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row>
    <row r="333" spans="17:90" x14ac:dyDescent="0.2">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row>
    <row r="334" spans="17:90" x14ac:dyDescent="0.2">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row>
    <row r="335" spans="17:90" x14ac:dyDescent="0.2">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row>
    <row r="336" spans="17:90" x14ac:dyDescent="0.2">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row>
    <row r="337" spans="17:90" x14ac:dyDescent="0.2">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row>
    <row r="338" spans="17:90" x14ac:dyDescent="0.2">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row>
    <row r="339" spans="17:90" x14ac:dyDescent="0.2">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row>
    <row r="340" spans="17:90" x14ac:dyDescent="0.2">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row>
    <row r="341" spans="17:90" x14ac:dyDescent="0.2">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row>
    <row r="342" spans="17:90" x14ac:dyDescent="0.2">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row>
    <row r="343" spans="17:90" x14ac:dyDescent="0.2">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row>
    <row r="344" spans="17:90" x14ac:dyDescent="0.2">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row>
    <row r="345" spans="17:90" x14ac:dyDescent="0.2">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row>
    <row r="346" spans="17:90" x14ac:dyDescent="0.2">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row>
    <row r="347" spans="17:90" x14ac:dyDescent="0.2">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row>
    <row r="348" spans="17:90" x14ac:dyDescent="0.2">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row>
    <row r="349" spans="17:90" x14ac:dyDescent="0.2">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row>
    <row r="350" spans="17:90" x14ac:dyDescent="0.2">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row>
    <row r="351" spans="17:90" x14ac:dyDescent="0.2">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row>
    <row r="352" spans="17:90" x14ac:dyDescent="0.2">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row>
    <row r="353" spans="17:90" x14ac:dyDescent="0.2">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row>
    <row r="354" spans="17:90" x14ac:dyDescent="0.2">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row>
    <row r="355" spans="17:90" x14ac:dyDescent="0.2">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row>
    <row r="356" spans="17:90" x14ac:dyDescent="0.2">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row>
    <row r="357" spans="17:90" x14ac:dyDescent="0.2">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row>
    <row r="358" spans="17:90" x14ac:dyDescent="0.2">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row>
    <row r="359" spans="17:90" x14ac:dyDescent="0.2">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row>
    <row r="360" spans="17:90" x14ac:dyDescent="0.2">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row>
    <row r="361" spans="17:90" x14ac:dyDescent="0.2">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row>
    <row r="362" spans="17:90" x14ac:dyDescent="0.2">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row>
    <row r="363" spans="17:90" x14ac:dyDescent="0.2">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row>
    <row r="364" spans="17:90" x14ac:dyDescent="0.2">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row>
    <row r="365" spans="17:90" x14ac:dyDescent="0.2">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row>
    <row r="366" spans="17:90" x14ac:dyDescent="0.2">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row>
    <row r="367" spans="17:90" x14ac:dyDescent="0.2">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row>
    <row r="368" spans="17:90" x14ac:dyDescent="0.2">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row>
    <row r="369" spans="17:90" x14ac:dyDescent="0.2">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row>
    <row r="370" spans="17:90" x14ac:dyDescent="0.2">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row>
    <row r="371" spans="17:90" x14ac:dyDescent="0.2">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row>
    <row r="372" spans="17:90" x14ac:dyDescent="0.2">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row>
    <row r="373" spans="17:90" x14ac:dyDescent="0.2">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row>
    <row r="374" spans="17:90" x14ac:dyDescent="0.2">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row>
    <row r="375" spans="17:90" x14ac:dyDescent="0.2">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row>
    <row r="376" spans="17:90" x14ac:dyDescent="0.2">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row>
    <row r="377" spans="17:90" x14ac:dyDescent="0.2">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row>
    <row r="378" spans="17:90" x14ac:dyDescent="0.2">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row>
    <row r="379" spans="17:90" x14ac:dyDescent="0.2">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row>
    <row r="380" spans="17:90" x14ac:dyDescent="0.2">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row>
    <row r="381" spans="17:90" x14ac:dyDescent="0.2">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row>
    <row r="382" spans="17:90" x14ac:dyDescent="0.2">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row>
    <row r="383" spans="17:90" x14ac:dyDescent="0.2">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row>
    <row r="384" spans="17:90" x14ac:dyDescent="0.2">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row>
    <row r="385" spans="17:90" x14ac:dyDescent="0.2">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row>
    <row r="386" spans="17:90" x14ac:dyDescent="0.2">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row>
    <row r="387" spans="17:90" x14ac:dyDescent="0.2">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row>
    <row r="388" spans="17:90" x14ac:dyDescent="0.2">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row>
    <row r="389" spans="17:90" x14ac:dyDescent="0.2">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row>
    <row r="390" spans="17:90" x14ac:dyDescent="0.2">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row>
  </sheetData>
  <sheetProtection sheet="1" objects="1" scenarios="1"/>
  <mergeCells count="322">
    <mergeCell ref="AB8:AH8"/>
    <mergeCell ref="F77:G77"/>
    <mergeCell ref="B73:P73"/>
    <mergeCell ref="B74:P74"/>
    <mergeCell ref="C77:D77"/>
    <mergeCell ref="F69:G69"/>
    <mergeCell ref="I76:J76"/>
    <mergeCell ref="C72:M72"/>
    <mergeCell ref="F75:G75"/>
    <mergeCell ref="C75:D75"/>
    <mergeCell ref="I75:J75"/>
    <mergeCell ref="C66:D66"/>
    <mergeCell ref="F68:G68"/>
    <mergeCell ref="F71:G71"/>
    <mergeCell ref="L69:M69"/>
    <mergeCell ref="C70:D70"/>
    <mergeCell ref="F70:G70"/>
    <mergeCell ref="C69:D69"/>
    <mergeCell ref="B70:B71"/>
    <mergeCell ref="L66:M66"/>
    <mergeCell ref="I67:J67"/>
    <mergeCell ref="C68:D68"/>
    <mergeCell ref="C71:D71"/>
    <mergeCell ref="I69:J69"/>
    <mergeCell ref="I70:J70"/>
    <mergeCell ref="L65:M65"/>
    <mergeCell ref="C60:D60"/>
    <mergeCell ref="I57:J57"/>
    <mergeCell ref="L60:M60"/>
    <mergeCell ref="C59:D59"/>
    <mergeCell ref="I65:J65"/>
    <mergeCell ref="I61:J61"/>
    <mergeCell ref="C63:M63"/>
    <mergeCell ref="C62:D62"/>
    <mergeCell ref="F62:G62"/>
    <mergeCell ref="I62:J62"/>
    <mergeCell ref="L62:M62"/>
    <mergeCell ref="F64:G64"/>
    <mergeCell ref="C61:D61"/>
    <mergeCell ref="L61:M61"/>
    <mergeCell ref="L64:M64"/>
    <mergeCell ref="G97:H97"/>
    <mergeCell ref="I92:J92"/>
    <mergeCell ref="I93:J93"/>
    <mergeCell ref="I97:J97"/>
    <mergeCell ref="B87:O87"/>
    <mergeCell ref="L76:M76"/>
    <mergeCell ref="L82:M82"/>
    <mergeCell ref="C83:D83"/>
    <mergeCell ref="L83:M83"/>
    <mergeCell ref="F78:G78"/>
    <mergeCell ref="B77:B78"/>
    <mergeCell ref="E93:F93"/>
    <mergeCell ref="G96:H96"/>
    <mergeCell ref="F80:G80"/>
    <mergeCell ref="I96:J96"/>
    <mergeCell ref="C78:D78"/>
    <mergeCell ref="I78:J78"/>
    <mergeCell ref="B88:J88"/>
    <mergeCell ref="B79:B80"/>
    <mergeCell ref="L79:M79"/>
    <mergeCell ref="B85:O85"/>
    <mergeCell ref="I79:J79"/>
    <mergeCell ref="L80:M80"/>
    <mergeCell ref="C81:M81"/>
    <mergeCell ref="P90:P99"/>
    <mergeCell ref="F79:G79"/>
    <mergeCell ref="V42:V43"/>
    <mergeCell ref="T42:T43"/>
    <mergeCell ref="U42:U43"/>
    <mergeCell ref="S42:S43"/>
    <mergeCell ref="L56:M56"/>
    <mergeCell ref="L55:M55"/>
    <mergeCell ref="L70:M70"/>
    <mergeCell ref="G95:H95"/>
    <mergeCell ref="F65:G65"/>
    <mergeCell ref="F66:G66"/>
    <mergeCell ref="I66:J66"/>
    <mergeCell ref="I68:J68"/>
    <mergeCell ref="L67:M67"/>
    <mergeCell ref="L68:M68"/>
    <mergeCell ref="F60:G60"/>
    <mergeCell ref="I60:J60"/>
    <mergeCell ref="I59:J59"/>
    <mergeCell ref="L42:M42"/>
    <mergeCell ref="B89:O89"/>
    <mergeCell ref="I91:J91"/>
    <mergeCell ref="C76:D76"/>
    <mergeCell ref="C64:D64"/>
    <mergeCell ref="L51:M51"/>
    <mergeCell ref="L58:M58"/>
    <mergeCell ref="L52:M52"/>
    <mergeCell ref="L57:M57"/>
    <mergeCell ref="L53:M53"/>
    <mergeCell ref="C54:M54"/>
    <mergeCell ref="C55:D55"/>
    <mergeCell ref="I58:J58"/>
    <mergeCell ref="I56:J56"/>
    <mergeCell ref="C57:D57"/>
    <mergeCell ref="C52:D52"/>
    <mergeCell ref="C53:D53"/>
    <mergeCell ref="I53:J53"/>
    <mergeCell ref="I51:J51"/>
    <mergeCell ref="C51:D51"/>
    <mergeCell ref="F51:G51"/>
    <mergeCell ref="F57:G57"/>
    <mergeCell ref="F56:G56"/>
    <mergeCell ref="F53:G53"/>
    <mergeCell ref="F55:G55"/>
    <mergeCell ref="V6:W6"/>
    <mergeCell ref="B20:O20"/>
    <mergeCell ref="B37:O37"/>
    <mergeCell ref="B19:G19"/>
    <mergeCell ref="H19:O19"/>
    <mergeCell ref="C17:D17"/>
    <mergeCell ref="C14:D14"/>
    <mergeCell ref="E7:F7"/>
    <mergeCell ref="E8:F8"/>
    <mergeCell ref="T6:U6"/>
    <mergeCell ref="G6:J6"/>
    <mergeCell ref="I7:J7"/>
    <mergeCell ref="I9:J9"/>
    <mergeCell ref="C9:D9"/>
    <mergeCell ref="C7:D7"/>
    <mergeCell ref="G7:H7"/>
    <mergeCell ref="G9:H9"/>
    <mergeCell ref="P36:P72"/>
    <mergeCell ref="L43:M43"/>
    <mergeCell ref="F52:G52"/>
    <mergeCell ref="C67:D67"/>
    <mergeCell ref="F67:G67"/>
    <mergeCell ref="I64:J64"/>
    <mergeCell ref="C65:D65"/>
    <mergeCell ref="B25:O25"/>
    <mergeCell ref="B26:O26"/>
    <mergeCell ref="B24:O24"/>
    <mergeCell ref="E108:F108"/>
    <mergeCell ref="C80:D80"/>
    <mergeCell ref="B91:D91"/>
    <mergeCell ref="E91:F91"/>
    <mergeCell ref="B92:D92"/>
    <mergeCell ref="B98:D98"/>
    <mergeCell ref="E98:F98"/>
    <mergeCell ref="B100:P100"/>
    <mergeCell ref="C82:D82"/>
    <mergeCell ref="B97:D97"/>
    <mergeCell ref="G93:H93"/>
    <mergeCell ref="I98:J98"/>
    <mergeCell ref="G98:H98"/>
    <mergeCell ref="B84:O84"/>
    <mergeCell ref="I83:J83"/>
    <mergeCell ref="I95:J95"/>
    <mergeCell ref="I94:J94"/>
    <mergeCell ref="K93:O95"/>
    <mergeCell ref="G90:J90"/>
    <mergeCell ref="E97:F97"/>
    <mergeCell ref="B96:D96"/>
    <mergeCell ref="E15:F15"/>
    <mergeCell ref="E18:F18"/>
    <mergeCell ref="C16:D16"/>
    <mergeCell ref="B2:P2"/>
    <mergeCell ref="B3:P3"/>
    <mergeCell ref="B4:P4"/>
    <mergeCell ref="B5:O5"/>
    <mergeCell ref="E12:F12"/>
    <mergeCell ref="O38:O39"/>
    <mergeCell ref="C11:D11"/>
    <mergeCell ref="B28:O30"/>
    <mergeCell ref="B34:O34"/>
    <mergeCell ref="E9:F9"/>
    <mergeCell ref="G14:O14"/>
    <mergeCell ref="E10:F10"/>
    <mergeCell ref="C8:D8"/>
    <mergeCell ref="C13:D13"/>
    <mergeCell ref="E11:F11"/>
    <mergeCell ref="P31:P32"/>
    <mergeCell ref="P28:P30"/>
    <mergeCell ref="K13:O13"/>
    <mergeCell ref="C10:D10"/>
    <mergeCell ref="G12:O12"/>
    <mergeCell ref="C6:F6"/>
    <mergeCell ref="F50:G50"/>
    <mergeCell ref="C44:D44"/>
    <mergeCell ref="C49:D49"/>
    <mergeCell ref="C12:D12"/>
    <mergeCell ref="E13:F13"/>
    <mergeCell ref="E14:F14"/>
    <mergeCell ref="G13:H13"/>
    <mergeCell ref="P5:P18"/>
    <mergeCell ref="I11:J11"/>
    <mergeCell ref="G10:O10"/>
    <mergeCell ref="K11:O11"/>
    <mergeCell ref="E16:F16"/>
    <mergeCell ref="K7:O7"/>
    <mergeCell ref="G8:O8"/>
    <mergeCell ref="K9:O9"/>
    <mergeCell ref="I13:J13"/>
    <mergeCell ref="K6:O6"/>
    <mergeCell ref="G11:H11"/>
    <mergeCell ref="K17:O17"/>
    <mergeCell ref="K15:O15"/>
    <mergeCell ref="I17:J17"/>
    <mergeCell ref="I15:J15"/>
    <mergeCell ref="G15:H15"/>
    <mergeCell ref="G16:O16"/>
    <mergeCell ref="B27:O27"/>
    <mergeCell ref="C41:D41"/>
    <mergeCell ref="F43:G43"/>
    <mergeCell ref="I42:J42"/>
    <mergeCell ref="I41:J41"/>
    <mergeCell ref="C43:D43"/>
    <mergeCell ref="C42:D42"/>
    <mergeCell ref="I43:J43"/>
    <mergeCell ref="F38:G39"/>
    <mergeCell ref="I38:K39"/>
    <mergeCell ref="L38:M39"/>
    <mergeCell ref="H38:H39"/>
    <mergeCell ref="B38:B39"/>
    <mergeCell ref="C38:E39"/>
    <mergeCell ref="L41:M41"/>
    <mergeCell ref="F40:G40"/>
    <mergeCell ref="F41:G41"/>
    <mergeCell ref="F42:G42"/>
    <mergeCell ref="L40:M40"/>
    <mergeCell ref="B35:O35"/>
    <mergeCell ref="B31:O31"/>
    <mergeCell ref="F46:G46"/>
    <mergeCell ref="I46:J46"/>
    <mergeCell ref="C56:D56"/>
    <mergeCell ref="C58:D58"/>
    <mergeCell ref="F58:G58"/>
    <mergeCell ref="I55:J55"/>
    <mergeCell ref="I40:J40"/>
    <mergeCell ref="B32:O32"/>
    <mergeCell ref="N38:N39"/>
    <mergeCell ref="C50:D50"/>
    <mergeCell ref="F45:G45"/>
    <mergeCell ref="I44:J44"/>
    <mergeCell ref="I45:J45"/>
    <mergeCell ref="F49:G49"/>
    <mergeCell ref="F44:G44"/>
    <mergeCell ref="C45:D45"/>
    <mergeCell ref="I49:J49"/>
    <mergeCell ref="F47:G47"/>
    <mergeCell ref="F48:G48"/>
    <mergeCell ref="I48:J48"/>
    <mergeCell ref="C47:D47"/>
    <mergeCell ref="C48:D48"/>
    <mergeCell ref="I50:J50"/>
    <mergeCell ref="I47:J47"/>
    <mergeCell ref="C1:J1"/>
    <mergeCell ref="L1:P1"/>
    <mergeCell ref="B46:B47"/>
    <mergeCell ref="B48:B49"/>
    <mergeCell ref="B50:B51"/>
    <mergeCell ref="B33:O33"/>
    <mergeCell ref="I52:J52"/>
    <mergeCell ref="L50:M50"/>
    <mergeCell ref="L78:M78"/>
    <mergeCell ref="B57:B58"/>
    <mergeCell ref="B59:B60"/>
    <mergeCell ref="B61:B62"/>
    <mergeCell ref="B68:B69"/>
    <mergeCell ref="L71:M71"/>
    <mergeCell ref="I71:J71"/>
    <mergeCell ref="L77:M77"/>
    <mergeCell ref="L75:M75"/>
    <mergeCell ref="I77:J77"/>
    <mergeCell ref="P75:P83"/>
    <mergeCell ref="F76:G76"/>
    <mergeCell ref="F82:G82"/>
    <mergeCell ref="B21:O21"/>
    <mergeCell ref="E17:F17"/>
    <mergeCell ref="G17:H17"/>
    <mergeCell ref="L44:M44"/>
    <mergeCell ref="B22:O22"/>
    <mergeCell ref="Y7:Z7"/>
    <mergeCell ref="Y9:Z9"/>
    <mergeCell ref="R22:R25"/>
    <mergeCell ref="R29:S30"/>
    <mergeCell ref="R39:R40"/>
    <mergeCell ref="S37:T38"/>
    <mergeCell ref="I80:J80"/>
    <mergeCell ref="C40:D40"/>
    <mergeCell ref="B23:O23"/>
    <mergeCell ref="C18:D18"/>
    <mergeCell ref="G18:O18"/>
    <mergeCell ref="C15:D15"/>
    <mergeCell ref="L49:M49"/>
    <mergeCell ref="F59:G59"/>
    <mergeCell ref="L59:M59"/>
    <mergeCell ref="F61:G61"/>
    <mergeCell ref="B36:O36"/>
    <mergeCell ref="L48:M48"/>
    <mergeCell ref="L47:M47"/>
    <mergeCell ref="C46:D46"/>
    <mergeCell ref="L46:M46"/>
    <mergeCell ref="L45:M45"/>
    <mergeCell ref="R86:R87"/>
    <mergeCell ref="B106:C108"/>
    <mergeCell ref="K99:O99"/>
    <mergeCell ref="B99:J99"/>
    <mergeCell ref="C101:H101"/>
    <mergeCell ref="I101:N101"/>
    <mergeCell ref="B52:B53"/>
    <mergeCell ref="K90:O92"/>
    <mergeCell ref="B93:D93"/>
    <mergeCell ref="B95:D95"/>
    <mergeCell ref="E95:F95"/>
    <mergeCell ref="E92:F92"/>
    <mergeCell ref="B94:D94"/>
    <mergeCell ref="E94:F94"/>
    <mergeCell ref="G91:H91"/>
    <mergeCell ref="B90:F90"/>
    <mergeCell ref="G94:H94"/>
    <mergeCell ref="K88:O88"/>
    <mergeCell ref="C79:D79"/>
    <mergeCell ref="I82:J82"/>
    <mergeCell ref="B86:O86"/>
    <mergeCell ref="E96:F96"/>
    <mergeCell ref="F83:G83"/>
    <mergeCell ref="G92:H92"/>
  </mergeCells>
  <phoneticPr fontId="0" type="noConversion"/>
  <conditionalFormatting sqref="G8:O8">
    <cfRule type="cellIs" dxfId="23" priority="6" operator="equal">
      <formula>$AB$8</formula>
    </cfRule>
  </conditionalFormatting>
  <conditionalFormatting sqref="G10:O10">
    <cfRule type="cellIs" dxfId="22" priority="5" operator="equal">
      <formula>$AB$8</formula>
    </cfRule>
  </conditionalFormatting>
  <conditionalFormatting sqref="G12:O12">
    <cfRule type="cellIs" dxfId="21" priority="4" operator="equal">
      <formula>$AB$8</formula>
    </cfRule>
  </conditionalFormatting>
  <conditionalFormatting sqref="G14:O14">
    <cfRule type="cellIs" dxfId="20" priority="3" operator="equal">
      <formula>$AB$8</formula>
    </cfRule>
  </conditionalFormatting>
  <conditionalFormatting sqref="G16:O16">
    <cfRule type="cellIs" dxfId="19" priority="2" operator="equal">
      <formula>$AB$8</formula>
    </cfRule>
  </conditionalFormatting>
  <conditionalFormatting sqref="G18:O18">
    <cfRule type="cellIs" dxfId="18" priority="1" operator="equal">
      <formula>$AB$8</formula>
    </cfRule>
  </conditionalFormatting>
  <dataValidations xWindow="865" yWindow="318" count="22">
    <dataValidation type="decimal" operator="equal" allowBlank="1" showInputMessage="1" showErrorMessage="1" promptTitle="Shoulder surgery" prompt="Select type of surgery performed, if any." sqref="A22" xr:uid="{00000000-0002-0000-0A00-000004000000}">
      <formula1>T22</formula1>
    </dataValidation>
    <dataValidation type="decimal" operator="equal" allowBlank="1" showInputMessage="1" showErrorMessage="1" promptTitle="Shoulder" prompt="Check box or boxes that apply." sqref="A31" xr:uid="{00000000-0002-0000-0A00-000005000000}">
      <formula1>T31</formula1>
    </dataValidation>
    <dataValidation type="decimal" operator="equal" allowBlank="1" showInputMessage="1" showErrorMessage="1" promptTitle="Shoulder" prompt="Check &quot;Yes&quot; if the chronic condition criteria have been met." sqref="A88" xr:uid="{00000000-0002-0000-0A00-000006000000}">
      <formula1>S88</formula1>
    </dataValidation>
    <dataValidation allowBlank="1" showInputMessage="1" showErrorMessage="1" promptTitle="End of worksheet" prompt="Press TAB to return to top of sheet." sqref="P101" xr:uid="{00000000-0002-0000-0A00-000007000000}"/>
    <dataValidation type="decimal" allowBlank="1" showInputMessage="1" showErrorMessage="1" promptTitle="Apportionment (if any)" prompt="Enter percentage of impairment caused by the injury or illness. See OAR 436-035-0013." sqref="G91:H98" xr:uid="{00000000-0002-0000-0A00-000013000000}">
      <formula1>$B$109</formula1>
      <formula2>$C$109</formula2>
    </dataValidation>
    <dataValidation type="list" showInputMessage="1" showErrorMessage="1" promptTitle="Shoulder ROM" prompt="Enter retained degrees of motion, internal rotation.  If joint was not affected by the injury, select &quot;NA&quot; or leave blank." sqref="C15:D15" xr:uid="{00000000-0002-0000-0A00-000000000000}">
      <formula1>$B$116:$B$207</formula1>
    </dataValidation>
    <dataValidation type="list" showInputMessage="1" showErrorMessage="1" promptTitle="Shoulder" prompt="Enter degrees of internal rotation ankylosis.  If joint was not affected by the injury, select &quot;NA&quot; or leave blank." sqref="C16:D16" xr:uid="{00000000-0002-0000-0A00-000001000000}">
      <formula1>$B$116:$B$207</formula1>
    </dataValidation>
    <dataValidation type="list" showInputMessage="1" showErrorMessage="1" promptTitle="Shoulder ROM" prompt="Enter retained degrees of motion, external rotation.  If joint was not affected by the injury, select &quot;NA&quot; or leave blank." sqref="C17:D17" xr:uid="{00000000-0002-0000-0A00-000002000000}">
      <formula1>$B$116:$B$207</formula1>
    </dataValidation>
    <dataValidation type="list" showInputMessage="1" showErrorMessage="1" promptTitle="Shoulder" prompt="Enter degrees of external rotation ankylosis.  If joint was not affected by the injury, select &quot;NA&quot; or leave blank." sqref="C18:D18" xr:uid="{00000000-0002-0000-0A00-000003000000}">
      <formula1>$B$116:$B$207</formula1>
    </dataValidation>
    <dataValidation type="list" showInputMessage="1" showErrorMessage="1" promptTitle="Shoulder ROM" prompt="Enter retained degrees of motion, forward elevation (flexion). If joint was not affected by the injury, select &quot;NA&quot; or leave blank." sqref="C7:D7" xr:uid="{00000000-0002-0000-0A00-00000A000000}">
      <formula1>$B$116:$B$297</formula1>
    </dataValidation>
    <dataValidation type="list" showInputMessage="1" showErrorMessage="1" promptTitle="Shoulder" prompt="Enter degrees of forward elevation (flexion) ankylosis. If joint was not affected by the injury, select &quot;NA&quot; or leave blank." sqref="C8:D8" xr:uid="{00000000-0002-0000-0A00-00000B000000}">
      <formula1>$B$116:$B$297</formula1>
    </dataValidation>
    <dataValidation type="list" showInputMessage="1" showErrorMessage="1" promptTitle="Shoulder ROM" prompt="Enter retained degrees of motion, backward elevation (extension). If joint was not affected by the injury, select &quot;NA&quot; or leave blank." sqref="C9:D9" xr:uid="{00000000-0002-0000-0A00-00000C000000}">
      <formula1>$B$116:$B$167</formula1>
    </dataValidation>
    <dataValidation type="list" showInputMessage="1" showErrorMessage="1" promptTitle="Shoulder" prompt="Enter degrees of backward elevation (extension) ankylosis.  If joint was not affected by the injury, select &quot;NA&quot; or leave blank." sqref="C10:D10" xr:uid="{00000000-0002-0000-0A00-00000D000000}">
      <formula1>$B$116:$B$167</formula1>
    </dataValidation>
    <dataValidation type="list" showInputMessage="1" showErrorMessage="1" promptTitle="Shoulder ROM" prompt="Enter retained degrees of motion,abduction. If joint was not affected by the injury, select &quot;NA&quot; or leave blank." sqref="C11:D11" xr:uid="{00000000-0002-0000-0A00-00000E000000}">
      <formula1>$B$116:$B$297</formula1>
    </dataValidation>
    <dataValidation type="list" showInputMessage="1" showErrorMessage="1" promptTitle="Shoulder" prompt="Enter degrees of abduction ankylosis. If joint was not affected by the injury, select &quot;NA&quot; or leave blank." sqref="C12:D12" xr:uid="{00000000-0002-0000-0A00-00000F000000}">
      <formula1>$B$116:$B$297</formula1>
    </dataValidation>
    <dataValidation type="list" showInputMessage="1" showErrorMessage="1" promptTitle="Shoulder ROM" prompt="Enter retained degrees of motion, adduction. If joint was not affected by the injury, select &quot;NA&quot; or leave blank." sqref="C13:D13" xr:uid="{00000000-0002-0000-0A00-000010000000}">
      <formula1>$B$116:$B$167</formula1>
    </dataValidation>
    <dataValidation type="list" showInputMessage="1" showErrorMessage="1" promptTitle="Shoulder" prompt="Enter degrees of adduction ankylosis.  If joint was not affected by the injury, select &quot;NA&quot; or leave blank." sqref="C14:D14" xr:uid="{00000000-0002-0000-0A00-000011000000}">
      <formula1>$B$116:$B$167</formula1>
    </dataValidation>
    <dataValidation type="list" showInputMessage="1" showErrorMessage="1" promptTitle="Contralateral comparison" prompt="Enter retained degrees of motion or &quot;NA&quot; if contralateral joint has a history of injury or disease." sqref="G17:H17 G15:H15" xr:uid="{00000000-0002-0000-0A00-000012000000}">
      <formula1>$B$116:$B$207</formula1>
    </dataValidation>
    <dataValidation type="list" showInputMessage="1" showErrorMessage="1" promptTitle="Contralateral comparison" prompt="Enter retained degrees of motion or &quot;NA&quot; if contralateral joint has a history of injury or disease." sqref="G7:H7 G11:H11" xr:uid="{97CE18B9-C965-4546-AF45-D580A82C1AC6}">
      <formula1>$B$116:$B$297</formula1>
    </dataValidation>
    <dataValidation type="list" showInputMessage="1" showErrorMessage="1" promptTitle="Contralateral comparison" prompt="Enter retained degrees of motion or &quot;NA&quot; if contralateral joint has a history of injury or disease." sqref="G9:H9 G13:H13" xr:uid="{8950C5CD-992E-44A7-9516-D29B24BFEB35}">
      <formula1>$B$116:$B$167</formula1>
    </dataValidation>
    <dataValidation type="list" allowBlank="1" showInputMessage="1" showErrorMessage="1" promptTitle="Strength grade" prompt="Record strength using the 0 to 5  grading system as described in OAR 436-035-0011." sqref="F40:G40 F42:G42 F44:G44 F46:G46 F48:G48 F50:G50 F52:G52 F55:G55 F57:G57 F59:G59 F61:G61 F64:G64 F66:G66 F68:G68 F70:G70 F75:G75 F77:G77 F79:G79 F82:G82" xr:uid="{00000000-0002-0000-0A00-000008000000}">
      <formula1>$T$39:$AH$39</formula1>
    </dataValidation>
    <dataValidation type="list" allowBlank="1" showInputMessage="1" showErrorMessage="1" promptTitle="Strength grade" prompt="Record strength using the 0 to 5  grading system as described in OAR 436-035-0011, or enter &quot;NA&quot; if the part has a history of injury or disease." sqref="L40:M40 L42:M42 L44:M44 L46:M46 L48:M48 L50:M50 L52:M52 L55:M55 L57:M57 L59:M59 L61:M61 L64:M64 L66:M66 L68:M68 L70:M70 L75:M75 L77:M77 L79:M79 L82:M82" xr:uid="{00000000-0002-0000-0A00-000009000000}">
      <formula1>$S$39:$AH$39</formula1>
    </dataValidation>
  </dataValidations>
  <hyperlinks>
    <hyperlink ref="B36:O36" location="Rules!A3" display="Strength grade descriptions" xr:uid="{00000000-0004-0000-0A00-000000000000}"/>
    <hyperlink ref="B101" location="'Shoulder-Right'!A1" display="Return to top of sheet" xr:uid="{00000000-0004-0000-0A00-000001000000}"/>
    <hyperlink ref="I101:N101" location="'PPD DOI on or after 2005'!A1" display="'PPD DOI on or after 2005'!A1" xr:uid="{00000000-0004-0000-0A00-000002000000}"/>
    <hyperlink ref="C101:H101" location="'PPD DOI before 2005'!A1" display="'PPD DOI before 2005'!A1" xr:uid="{00000000-0004-0000-0A00-000003000000}"/>
  </hyperlinks>
  <pageMargins left="0.67" right="0.5" top="0.47" bottom="0.59" header="0.5" footer="0.69"/>
  <pageSetup orientation="portrait" horizontalDpi="300" verticalDpi="300" r:id="rId1"/>
  <headerFooter alignWithMargins="0">
    <oddFooter>&amp;LShoulder, Right&amp;CPage &amp;P</oddFooter>
  </headerFooter>
  <rowBreaks count="2" manualBreakCount="2">
    <brk id="33" max="16383" man="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5855" r:id="rId4" name="Check Box 15">
              <controlPr defaultSize="0" autoFill="0" autoLine="0" autoPict="0">
                <anchor moveWithCells="1">
                  <from>
                    <xdr:col>1</xdr:col>
                    <xdr:colOff>19050</xdr:colOff>
                    <xdr:row>30</xdr:row>
                    <xdr:rowOff>0</xdr:rowOff>
                  </from>
                  <to>
                    <xdr:col>4</xdr:col>
                    <xdr:colOff>142875</xdr:colOff>
                    <xdr:row>30</xdr:row>
                    <xdr:rowOff>238125</xdr:rowOff>
                  </to>
                </anchor>
              </controlPr>
            </control>
          </mc:Choice>
        </mc:AlternateContent>
        <mc:AlternateContent xmlns:mc="http://schemas.openxmlformats.org/markup-compatibility/2006">
          <mc:Choice Requires="x14">
            <control shapeId="35856" r:id="rId5" name="Check Box 16">
              <controlPr defaultSize="0" autoFill="0" autoLine="0" autoPict="0">
                <anchor moveWithCells="1">
                  <from>
                    <xdr:col>1</xdr:col>
                    <xdr:colOff>19050</xdr:colOff>
                    <xdr:row>30</xdr:row>
                    <xdr:rowOff>238125</xdr:rowOff>
                  </from>
                  <to>
                    <xdr:col>4</xdr:col>
                    <xdr:colOff>38100</xdr:colOff>
                    <xdr:row>31</xdr:row>
                    <xdr:rowOff>247650</xdr:rowOff>
                  </to>
                </anchor>
              </controlPr>
            </control>
          </mc:Choice>
        </mc:AlternateContent>
        <mc:AlternateContent xmlns:mc="http://schemas.openxmlformats.org/markup-compatibility/2006">
          <mc:Choice Requires="x14">
            <control shapeId="35857" r:id="rId6" name="Group Box 17">
              <controlPr defaultSize="0" autoFill="0" autoPict="0">
                <anchor moveWithCells="1">
                  <from>
                    <xdr:col>10</xdr:col>
                    <xdr:colOff>9525</xdr:colOff>
                    <xdr:row>87</xdr:row>
                    <xdr:rowOff>0</xdr:rowOff>
                  </from>
                  <to>
                    <xdr:col>15</xdr:col>
                    <xdr:colOff>0</xdr:colOff>
                    <xdr:row>87</xdr:row>
                    <xdr:rowOff>247650</xdr:rowOff>
                  </to>
                </anchor>
              </controlPr>
            </control>
          </mc:Choice>
        </mc:AlternateContent>
        <mc:AlternateContent xmlns:mc="http://schemas.openxmlformats.org/markup-compatibility/2006">
          <mc:Choice Requires="x14">
            <control shapeId="35858" r:id="rId7" name="Option Button 18">
              <controlPr defaultSize="0" autoFill="0" autoLine="0" autoPict="0">
                <anchor moveWithCells="1">
                  <from>
                    <xdr:col>10</xdr:col>
                    <xdr:colOff>28575</xdr:colOff>
                    <xdr:row>87</xdr:row>
                    <xdr:rowOff>0</xdr:rowOff>
                  </from>
                  <to>
                    <xdr:col>13</xdr:col>
                    <xdr:colOff>0</xdr:colOff>
                    <xdr:row>87</xdr:row>
                    <xdr:rowOff>219075</xdr:rowOff>
                  </to>
                </anchor>
              </controlPr>
            </control>
          </mc:Choice>
        </mc:AlternateContent>
        <mc:AlternateContent xmlns:mc="http://schemas.openxmlformats.org/markup-compatibility/2006">
          <mc:Choice Requires="x14">
            <control shapeId="35859" r:id="rId8" name="Option Button 19">
              <controlPr defaultSize="0" autoFill="0" autoLine="0" autoPict="0">
                <anchor moveWithCells="1">
                  <from>
                    <xdr:col>13</xdr:col>
                    <xdr:colOff>114300</xdr:colOff>
                    <xdr:row>87</xdr:row>
                    <xdr:rowOff>0</xdr:rowOff>
                  </from>
                  <to>
                    <xdr:col>14</xdr:col>
                    <xdr:colOff>619125</xdr:colOff>
                    <xdr:row>87</xdr:row>
                    <xdr:rowOff>219075</xdr:rowOff>
                  </to>
                </anchor>
              </controlPr>
            </control>
          </mc:Choice>
        </mc:AlternateContent>
        <mc:AlternateContent xmlns:mc="http://schemas.openxmlformats.org/markup-compatibility/2006">
          <mc:Choice Requires="x14">
            <control shapeId="35842" r:id="rId9" name="Group Box 2">
              <controlPr defaultSize="0" autoFill="0" autoPict="0">
                <anchor moveWithCells="1" sizeWithCells="1">
                  <from>
                    <xdr:col>1</xdr:col>
                    <xdr:colOff>0</xdr:colOff>
                    <xdr:row>21</xdr:row>
                    <xdr:rowOff>0</xdr:rowOff>
                  </from>
                  <to>
                    <xdr:col>15</xdr:col>
                    <xdr:colOff>0</xdr:colOff>
                    <xdr:row>22</xdr:row>
                    <xdr:rowOff>0</xdr:rowOff>
                  </to>
                </anchor>
              </controlPr>
            </control>
          </mc:Choice>
        </mc:AlternateContent>
        <mc:AlternateContent xmlns:mc="http://schemas.openxmlformats.org/markup-compatibility/2006">
          <mc:Choice Requires="x14">
            <control shapeId="35843" r:id="rId10" name="Option Button 3">
              <controlPr defaultSize="0" autoFill="0" autoLine="0" autoPict="0">
                <anchor moveWithCells="1" sizeWithCells="1">
                  <from>
                    <xdr:col>1</xdr:col>
                    <xdr:colOff>28575</xdr:colOff>
                    <xdr:row>21</xdr:row>
                    <xdr:rowOff>9525</xdr:rowOff>
                  </from>
                  <to>
                    <xdr:col>1</xdr:col>
                    <xdr:colOff>1400175</xdr:colOff>
                    <xdr:row>21</xdr:row>
                    <xdr:rowOff>228600</xdr:rowOff>
                  </to>
                </anchor>
              </controlPr>
            </control>
          </mc:Choice>
        </mc:AlternateContent>
        <mc:AlternateContent xmlns:mc="http://schemas.openxmlformats.org/markup-compatibility/2006">
          <mc:Choice Requires="x14">
            <control shapeId="35844" r:id="rId11" name="Option Button 4">
              <controlPr defaultSize="0" autoFill="0" autoLine="0" autoPict="0">
                <anchor moveWithCells="1" sizeWithCells="1">
                  <from>
                    <xdr:col>3</xdr:col>
                    <xdr:colOff>19050</xdr:colOff>
                    <xdr:row>21</xdr:row>
                    <xdr:rowOff>9525</xdr:rowOff>
                  </from>
                  <to>
                    <xdr:col>8</xdr:col>
                    <xdr:colOff>133350</xdr:colOff>
                    <xdr:row>21</xdr:row>
                    <xdr:rowOff>228600</xdr:rowOff>
                  </to>
                </anchor>
              </controlPr>
            </control>
          </mc:Choice>
        </mc:AlternateContent>
        <mc:AlternateContent xmlns:mc="http://schemas.openxmlformats.org/markup-compatibility/2006">
          <mc:Choice Requires="x14">
            <control shapeId="35845" r:id="rId12" name="Option Button 5">
              <controlPr defaultSize="0" autoFill="0" autoLine="0" autoPict="0">
                <anchor moveWithCells="1" sizeWithCells="1">
                  <from>
                    <xdr:col>8</xdr:col>
                    <xdr:colOff>304800</xdr:colOff>
                    <xdr:row>21</xdr:row>
                    <xdr:rowOff>9525</xdr:rowOff>
                  </from>
                  <to>
                    <xdr:col>12</xdr:col>
                    <xdr:colOff>180975</xdr:colOff>
                    <xdr:row>21</xdr:row>
                    <xdr:rowOff>228600</xdr:rowOff>
                  </to>
                </anchor>
              </controlPr>
            </control>
          </mc:Choice>
        </mc:AlternateContent>
        <mc:AlternateContent xmlns:mc="http://schemas.openxmlformats.org/markup-compatibility/2006">
          <mc:Choice Requires="x14">
            <control shapeId="35846" r:id="rId13" name="Group Box 6">
              <controlPr defaultSize="0" autoFill="0" autoPict="0">
                <anchor moveWithCells="1" sizeWithCells="1">
                  <from>
                    <xdr:col>1</xdr:col>
                    <xdr:colOff>0</xdr:colOff>
                    <xdr:row>22</xdr:row>
                    <xdr:rowOff>0</xdr:rowOff>
                  </from>
                  <to>
                    <xdr:col>15</xdr:col>
                    <xdr:colOff>0</xdr:colOff>
                    <xdr:row>23</xdr:row>
                    <xdr:rowOff>0</xdr:rowOff>
                  </to>
                </anchor>
              </controlPr>
            </control>
          </mc:Choice>
        </mc:AlternateContent>
        <mc:AlternateContent xmlns:mc="http://schemas.openxmlformats.org/markup-compatibility/2006">
          <mc:Choice Requires="x14">
            <control shapeId="35847" r:id="rId14" name="Option Button 7">
              <controlPr defaultSize="0" autoFill="0" autoLine="0" autoPict="0">
                <anchor moveWithCells="1" sizeWithCells="1">
                  <from>
                    <xdr:col>1</xdr:col>
                    <xdr:colOff>28575</xdr:colOff>
                    <xdr:row>22</xdr:row>
                    <xdr:rowOff>9525</xdr:rowOff>
                  </from>
                  <to>
                    <xdr:col>2</xdr:col>
                    <xdr:colOff>19050</xdr:colOff>
                    <xdr:row>22</xdr:row>
                    <xdr:rowOff>228600</xdr:rowOff>
                  </to>
                </anchor>
              </controlPr>
            </control>
          </mc:Choice>
        </mc:AlternateContent>
        <mc:AlternateContent xmlns:mc="http://schemas.openxmlformats.org/markup-compatibility/2006">
          <mc:Choice Requires="x14">
            <control shapeId="35848" r:id="rId15" name="Option Button 8">
              <controlPr defaultSize="0" autoFill="0" autoLine="0" autoPict="0">
                <anchor moveWithCells="1" sizeWithCells="1">
                  <from>
                    <xdr:col>8</xdr:col>
                    <xdr:colOff>304800</xdr:colOff>
                    <xdr:row>22</xdr:row>
                    <xdr:rowOff>9525</xdr:rowOff>
                  </from>
                  <to>
                    <xdr:col>14</xdr:col>
                    <xdr:colOff>257175</xdr:colOff>
                    <xdr:row>22</xdr:row>
                    <xdr:rowOff>228600</xdr:rowOff>
                  </to>
                </anchor>
              </controlPr>
            </control>
          </mc:Choice>
        </mc:AlternateContent>
        <mc:AlternateContent xmlns:mc="http://schemas.openxmlformats.org/markup-compatibility/2006">
          <mc:Choice Requires="x14">
            <control shapeId="35849" r:id="rId16" name="Group Box 9">
              <controlPr defaultSize="0" autoFill="0" autoPict="0">
                <anchor moveWithCells="1" sizeWithCells="1">
                  <from>
                    <xdr:col>1</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35850" r:id="rId17" name="Option Button 10">
              <controlPr defaultSize="0" autoFill="0" autoLine="0" autoPict="0">
                <anchor moveWithCells="1" sizeWithCells="1">
                  <from>
                    <xdr:col>1</xdr:col>
                    <xdr:colOff>28575</xdr:colOff>
                    <xdr:row>23</xdr:row>
                    <xdr:rowOff>9525</xdr:rowOff>
                  </from>
                  <to>
                    <xdr:col>1</xdr:col>
                    <xdr:colOff>1504950</xdr:colOff>
                    <xdr:row>23</xdr:row>
                    <xdr:rowOff>228600</xdr:rowOff>
                  </to>
                </anchor>
              </controlPr>
            </control>
          </mc:Choice>
        </mc:AlternateContent>
        <mc:AlternateContent xmlns:mc="http://schemas.openxmlformats.org/markup-compatibility/2006">
          <mc:Choice Requires="x14">
            <control shapeId="35851" r:id="rId18" name="Option Button 11">
              <controlPr defaultSize="0" autoFill="0" autoLine="0" autoPict="0">
                <anchor moveWithCells="1" sizeWithCells="1">
                  <from>
                    <xdr:col>8</xdr:col>
                    <xdr:colOff>304800</xdr:colOff>
                    <xdr:row>23</xdr:row>
                    <xdr:rowOff>9525</xdr:rowOff>
                  </from>
                  <to>
                    <xdr:col>14</xdr:col>
                    <xdr:colOff>257175</xdr:colOff>
                    <xdr:row>23</xdr:row>
                    <xdr:rowOff>228600</xdr:rowOff>
                  </to>
                </anchor>
              </controlPr>
            </control>
          </mc:Choice>
        </mc:AlternateContent>
        <mc:AlternateContent xmlns:mc="http://schemas.openxmlformats.org/markup-compatibility/2006">
          <mc:Choice Requires="x14">
            <control shapeId="35852" r:id="rId19" name="Group Box 12">
              <controlPr defaultSize="0" autoFill="0" autoPict="0">
                <anchor moveWithCells="1" sizeWithCells="1">
                  <from>
                    <xdr:col>1</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35853" r:id="rId20" name="Option Button 13">
              <controlPr defaultSize="0" autoFill="0" autoLine="0" autoPict="0">
                <anchor moveWithCells="1" sizeWithCells="1">
                  <from>
                    <xdr:col>1</xdr:col>
                    <xdr:colOff>28575</xdr:colOff>
                    <xdr:row>24</xdr:row>
                    <xdr:rowOff>9525</xdr:rowOff>
                  </from>
                  <to>
                    <xdr:col>3</xdr:col>
                    <xdr:colOff>142875</xdr:colOff>
                    <xdr:row>25</xdr:row>
                    <xdr:rowOff>0</xdr:rowOff>
                  </to>
                </anchor>
              </controlPr>
            </control>
          </mc:Choice>
        </mc:AlternateContent>
        <mc:AlternateContent xmlns:mc="http://schemas.openxmlformats.org/markup-compatibility/2006">
          <mc:Choice Requires="x14">
            <control shapeId="35854" r:id="rId21" name="Option Button 14">
              <controlPr defaultSize="0" autoFill="0" autoLine="0" autoPict="0">
                <anchor moveWithCells="1" sizeWithCells="1">
                  <from>
                    <xdr:col>8</xdr:col>
                    <xdr:colOff>304800</xdr:colOff>
                    <xdr:row>24</xdr:row>
                    <xdr:rowOff>9525</xdr:rowOff>
                  </from>
                  <to>
                    <xdr:col>12</xdr:col>
                    <xdr:colOff>180975</xdr:colOff>
                    <xdr:row>24</xdr:row>
                    <xdr:rowOff>228600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G299"/>
  <sheetViews>
    <sheetView showGridLines="0" zoomScale="120" zoomScaleNormal="120" workbookViewId="0"/>
  </sheetViews>
  <sheetFormatPr defaultColWidth="3.42578125" defaultRowHeight="12.75" x14ac:dyDescent="0.2"/>
  <cols>
    <col min="1" max="1" width="1.42578125" style="2" customWidth="1"/>
    <col min="2" max="2" width="22.28515625" style="2" customWidth="1"/>
    <col min="3" max="3" width="3.42578125" style="1" customWidth="1"/>
    <col min="4" max="4" width="4.7109375" style="151" customWidth="1"/>
    <col min="5" max="5" width="4.42578125" style="2" customWidth="1"/>
    <col min="6" max="6" width="4.85546875" style="151" customWidth="1"/>
    <col min="7" max="7" width="4.85546875" style="2" customWidth="1"/>
    <col min="8" max="8" width="2.85546875" style="151" customWidth="1"/>
    <col min="9" max="9" width="4" style="2" customWidth="1"/>
    <col min="10" max="10" width="5.5703125" style="151" customWidth="1"/>
    <col min="11" max="11" width="2.85546875" style="2" customWidth="1"/>
    <col min="12" max="12" width="4" style="151" customWidth="1"/>
    <col min="13" max="13" width="4.42578125" style="2" customWidth="1"/>
    <col min="14" max="14" width="3.5703125" style="151" customWidth="1"/>
    <col min="15" max="16" width="10.85546875" style="2" customWidth="1"/>
    <col min="17" max="17" width="1.7109375" style="2" customWidth="1"/>
    <col min="18" max="18" width="14.42578125" style="2" hidden="1" customWidth="1"/>
    <col min="19" max="19" width="16.5703125" style="2" hidden="1" customWidth="1"/>
    <col min="20" max="20" width="13.85546875" style="2" hidden="1" customWidth="1"/>
    <col min="21" max="21" width="13.140625" style="2" hidden="1" customWidth="1"/>
    <col min="22" max="22" width="12.42578125" style="2" hidden="1" customWidth="1"/>
    <col min="23" max="23" width="13.42578125" style="2" hidden="1" customWidth="1"/>
    <col min="24" max="24" width="13.7109375" style="2" hidden="1" customWidth="1"/>
    <col min="25" max="25" width="12" style="2" hidden="1" customWidth="1"/>
    <col min="26" max="26" width="12.7109375" style="2" hidden="1" customWidth="1"/>
    <col min="27" max="27" width="12.5703125" style="2" hidden="1" customWidth="1"/>
    <col min="28" max="28" width="10" style="2" hidden="1" customWidth="1"/>
    <col min="29" max="29" width="7" style="2" hidden="1" customWidth="1"/>
    <col min="30" max="30" width="5.85546875" style="2" hidden="1" customWidth="1"/>
    <col min="31" max="31" width="4" style="2" hidden="1" customWidth="1"/>
    <col min="32" max="32" width="5.140625" style="2" hidden="1" customWidth="1"/>
    <col min="33" max="51" width="3.42578125" style="2" hidden="1" customWidth="1"/>
    <col min="52" max="52" width="3.140625" style="2" hidden="1" customWidth="1"/>
    <col min="53" max="130" width="3.42578125" style="2" hidden="1" customWidth="1"/>
    <col min="131" max="255" width="3.42578125" style="2" customWidth="1"/>
    <col min="256" max="16384" width="3.42578125" style="2"/>
  </cols>
  <sheetData>
    <row r="1" spans="2:170" ht="15" customHeight="1" x14ac:dyDescent="0.2">
      <c r="B1" s="10" t="s">
        <v>1697</v>
      </c>
      <c r="C1" s="732" t="str">
        <f>IF('Start here'!A6="","",'Start here'!A6)</f>
        <v/>
      </c>
      <c r="D1" s="736"/>
      <c r="E1" s="736"/>
      <c r="F1" s="736"/>
      <c r="G1" s="736"/>
      <c r="H1" s="736"/>
      <c r="I1" s="736"/>
      <c r="J1" s="737"/>
      <c r="K1" s="1"/>
      <c r="L1" s="732" t="str">
        <f>IF('Start here'!A7="","",'Start here'!A7)</f>
        <v/>
      </c>
      <c r="M1" s="736"/>
      <c r="N1" s="736"/>
      <c r="O1" s="736"/>
      <c r="P1" s="737"/>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8.25" customHeight="1" x14ac:dyDescent="0.2">
      <c r="B2" s="777"/>
      <c r="C2" s="777"/>
      <c r="D2" s="777"/>
      <c r="E2" s="777"/>
      <c r="F2" s="777"/>
      <c r="G2" s="777"/>
      <c r="H2" s="777"/>
      <c r="I2" s="777"/>
      <c r="J2" s="777"/>
      <c r="K2" s="777"/>
      <c r="L2" s="777"/>
      <c r="M2" s="777"/>
      <c r="N2" s="777"/>
      <c r="O2" s="777"/>
      <c r="P2" s="777"/>
    </row>
    <row r="3" spans="2:170" ht="25.5" customHeight="1" x14ac:dyDescent="0.3">
      <c r="B3" s="778" t="s">
        <v>1865</v>
      </c>
      <c r="C3" s="1155"/>
      <c r="D3" s="1155"/>
      <c r="E3" s="1155"/>
      <c r="F3" s="1155"/>
      <c r="G3" s="1155"/>
      <c r="H3" s="1155"/>
      <c r="I3" s="1155"/>
      <c r="J3" s="1155"/>
      <c r="K3" s="1155"/>
      <c r="L3" s="1155"/>
      <c r="M3" s="1155"/>
      <c r="N3" s="1155"/>
      <c r="O3" s="1155"/>
      <c r="P3" s="1156"/>
      <c r="R3" s="10"/>
      <c r="S3" s="10"/>
      <c r="T3" s="10"/>
      <c r="U3" s="10"/>
      <c r="V3" s="10"/>
      <c r="W3" s="10"/>
      <c r="X3" s="10"/>
      <c r="Y3" s="10"/>
      <c r="Z3" s="10"/>
      <c r="AA3" s="10"/>
      <c r="AB3" s="10"/>
      <c r="AC3" s="10"/>
      <c r="AD3" s="10"/>
      <c r="AE3" s="10"/>
      <c r="AF3" s="10"/>
      <c r="AG3" s="10"/>
      <c r="AH3" s="10"/>
      <c r="AI3" s="10"/>
      <c r="AJ3" s="10"/>
      <c r="AK3" s="10"/>
      <c r="AL3" s="10"/>
      <c r="AM3" s="10"/>
    </row>
    <row r="4" spans="2:170" x14ac:dyDescent="0.2">
      <c r="B4" s="777"/>
      <c r="C4" s="777"/>
      <c r="D4" s="777"/>
      <c r="E4" s="777"/>
      <c r="F4" s="777"/>
      <c r="G4" s="777"/>
      <c r="H4" s="777"/>
      <c r="I4" s="777"/>
      <c r="J4" s="777"/>
      <c r="K4" s="777"/>
      <c r="L4" s="777"/>
      <c r="M4" s="777"/>
      <c r="N4" s="777"/>
      <c r="O4" s="777"/>
      <c r="P4" s="777"/>
      <c r="Q4" s="6"/>
      <c r="R4" s="6"/>
      <c r="S4" s="6"/>
      <c r="T4" s="6"/>
      <c r="U4" s="6"/>
      <c r="V4" s="6"/>
      <c r="W4" s="6"/>
      <c r="X4" s="6"/>
      <c r="Y4" s="6"/>
      <c r="Z4" s="6"/>
      <c r="AA4" s="6"/>
      <c r="AB4" s="6"/>
      <c r="AC4" s="6"/>
      <c r="AD4" s="6"/>
      <c r="AE4" s="6"/>
      <c r="AF4" s="6"/>
      <c r="AG4" s="6"/>
      <c r="AH4" s="6"/>
      <c r="AI4" s="10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row>
    <row r="5" spans="2:170" ht="18" customHeight="1" x14ac:dyDescent="0.2">
      <c r="B5" s="863" t="s">
        <v>1563</v>
      </c>
      <c r="C5" s="863"/>
      <c r="D5" s="863"/>
      <c r="E5" s="863"/>
      <c r="F5" s="863"/>
      <c r="G5" s="863"/>
      <c r="H5" s="863"/>
      <c r="I5" s="863"/>
      <c r="J5" s="863"/>
      <c r="K5" s="863"/>
      <c r="L5" s="863"/>
      <c r="M5" s="863"/>
      <c r="N5" s="863"/>
      <c r="O5" s="863"/>
      <c r="P5" s="830"/>
      <c r="Q5" s="6"/>
      <c r="R5" s="6"/>
      <c r="S5" s="6"/>
      <c r="T5" s="102"/>
      <c r="U5" s="102"/>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row>
    <row r="6" spans="2:170" ht="18" customHeight="1" x14ac:dyDescent="0.2">
      <c r="B6" s="18"/>
      <c r="C6" s="863" t="s">
        <v>1564</v>
      </c>
      <c r="D6" s="863"/>
      <c r="E6" s="863"/>
      <c r="F6" s="863"/>
      <c r="G6" s="863" t="s">
        <v>1565</v>
      </c>
      <c r="H6" s="863"/>
      <c r="I6" s="863"/>
      <c r="J6" s="863"/>
      <c r="K6" s="910"/>
      <c r="L6" s="910"/>
      <c r="M6" s="910"/>
      <c r="N6" s="910"/>
      <c r="O6" s="910"/>
      <c r="P6" s="831"/>
      <c r="Q6" s="6"/>
      <c r="R6" s="6"/>
      <c r="S6" s="13" t="s">
        <v>1566</v>
      </c>
      <c r="T6" s="1248" t="s">
        <v>202</v>
      </c>
      <c r="U6" s="1250"/>
      <c r="V6" s="1248" t="s">
        <v>187</v>
      </c>
      <c r="W6" s="1250"/>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row>
    <row r="7" spans="2:170" ht="30" customHeight="1" x14ac:dyDescent="0.2">
      <c r="B7" s="272" t="s">
        <v>1825</v>
      </c>
      <c r="C7" s="694"/>
      <c r="D7" s="694"/>
      <c r="E7" s="921">
        <f>'Sh-Table'!AB3</f>
        <v>0</v>
      </c>
      <c r="F7" s="1243"/>
      <c r="G7" s="694"/>
      <c r="H7" s="694"/>
      <c r="I7" s="936">
        <f>IF(C7="",0,IF(OR(C7&lt;=0,G7&lt;=0),E7,IF(G7&lt;C7,0,'Sh-Table'!AG3)))</f>
        <v>0</v>
      </c>
      <c r="J7" s="936"/>
      <c r="K7" s="930" t="str">
        <f>IF(OR(C7="NA",G7="NA"),"",IF(AND(C7&lt;&gt;"",G7=""),"Enter contralateral or NA.",IF(AND(C7="",G7&lt;&gt;""),"Need data","")))</f>
        <v/>
      </c>
      <c r="L7" s="930"/>
      <c r="M7" s="930"/>
      <c r="N7" s="930"/>
      <c r="O7" s="930"/>
      <c r="P7" s="831"/>
      <c r="Q7" s="6"/>
      <c r="R7" s="6"/>
      <c r="S7" s="13">
        <v>180</v>
      </c>
      <c r="T7" s="13" t="str">
        <f t="shared" ref="T7:T18" si="0">IF(OR(C7="",C7="NA"),"",IF(C7&gt;S7,S7,IF(C7&lt;0,0,C7)))</f>
        <v/>
      </c>
      <c r="U7" s="13" t="str">
        <f>IF(OR(G7="",G7="NA"),"",IF(G7&gt;S7,S7,IF(G7&lt;0,0,G7)))</f>
        <v/>
      </c>
      <c r="V7" s="56" t="str">
        <f>IF(W7="","",ROUND(W7,0))</f>
        <v/>
      </c>
      <c r="W7" s="112" t="str">
        <f>IF(T7="","",IF(OR(U7="",U7=0,U7&lt;T7),T7,(T7*S7)/U7))</f>
        <v/>
      </c>
      <c r="X7" s="53">
        <f>IF(AND(Y18=1,Z18=1),"ERROR",SUM(I7,I9,I11,I13,I15,I17,X9))</f>
        <v>0</v>
      </c>
      <c r="Y7" s="756" t="s">
        <v>2211</v>
      </c>
      <c r="Z7" s="758"/>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row>
    <row r="8" spans="2:170" ht="30" customHeight="1" x14ac:dyDescent="0.2">
      <c r="B8" s="272" t="s">
        <v>1473</v>
      </c>
      <c r="C8" s="694"/>
      <c r="D8" s="694"/>
      <c r="E8" s="921">
        <f>IF(AND($Y$18=1,$Z$18=1),"ERROR",'Sh-Table'!AB4)</f>
        <v>0</v>
      </c>
      <c r="F8" s="1243"/>
      <c r="G8" s="930" t="str">
        <f>IF(AND($Z$18=1,$Y$18=1),"Cannot rate ROM and ankylosis.",IF($Z$19&gt;1,"Multiple ankylosis findings. Use highest value only.",""))</f>
        <v/>
      </c>
      <c r="H8" s="930"/>
      <c r="I8" s="930"/>
      <c r="J8" s="930"/>
      <c r="K8" s="930"/>
      <c r="L8" s="930"/>
      <c r="M8" s="930"/>
      <c r="N8" s="930"/>
      <c r="O8" s="930"/>
      <c r="P8" s="831"/>
      <c r="Q8" s="6"/>
      <c r="R8" s="6"/>
      <c r="S8" s="13">
        <v>180</v>
      </c>
      <c r="T8" s="13" t="str">
        <f t="shared" si="0"/>
        <v/>
      </c>
      <c r="U8" s="6"/>
      <c r="V8" s="56"/>
      <c r="W8" s="113"/>
      <c r="X8" s="6"/>
      <c r="Y8" s="6"/>
      <c r="Z8" s="6"/>
      <c r="AA8" s="6"/>
      <c r="AB8" s="1491" t="s">
        <v>2295</v>
      </c>
      <c r="AC8" s="1492"/>
      <c r="AD8" s="1492"/>
      <c r="AE8" s="1492"/>
      <c r="AF8" s="1492"/>
      <c r="AG8" s="1492"/>
      <c r="AH8" s="1493"/>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row>
    <row r="9" spans="2:170" ht="30" customHeight="1" x14ac:dyDescent="0.2">
      <c r="B9" s="272" t="s">
        <v>1474</v>
      </c>
      <c r="C9" s="694"/>
      <c r="D9" s="694"/>
      <c r="E9" s="921">
        <f>'Sh-Table'!AB5</f>
        <v>0</v>
      </c>
      <c r="F9" s="1243"/>
      <c r="G9" s="694"/>
      <c r="H9" s="694"/>
      <c r="I9" s="936">
        <f>IF(C9="",0,IF(OR(C9&lt;=0,G9&lt;=0),E9,IF(G9&lt;C9,0,'Sh-Table'!AG5)))</f>
        <v>0</v>
      </c>
      <c r="J9" s="936"/>
      <c r="K9" s="930" t="str">
        <f>IF(OR(C9="NA",G9="NA"),"",IF(AND(C9&lt;&gt;"",G9=""),"Enter contralateral or NA.",IF(AND(C9="",G9&lt;&gt;""),"Need data","")))</f>
        <v/>
      </c>
      <c r="L9" s="930"/>
      <c r="M9" s="930"/>
      <c r="N9" s="930"/>
      <c r="O9" s="930"/>
      <c r="P9" s="831"/>
      <c r="Q9" s="6"/>
      <c r="R9" s="6"/>
      <c r="S9" s="13">
        <v>50</v>
      </c>
      <c r="T9" s="13" t="str">
        <f t="shared" si="0"/>
        <v/>
      </c>
      <c r="U9" s="13" t="str">
        <f>IF(OR(G9="",G9="NA"),"",IF(G9&gt;S9,S9,IF(G9&lt;0,0,G9)))</f>
        <v/>
      </c>
      <c r="V9" s="56" t="str">
        <f>IF(W9="","",ROUND(W9,0))</f>
        <v/>
      </c>
      <c r="W9" s="112" t="str">
        <f>IF(T9="","",IF(OR(U9="",U9=0,U9&lt;T9),T9,(T9*S9)/U9))</f>
        <v/>
      </c>
      <c r="X9" s="114">
        <f>MAX(E8,E10,E12,E14,E16,E18)</f>
        <v>0</v>
      </c>
      <c r="Y9" s="742" t="s">
        <v>2208</v>
      </c>
      <c r="Z9" s="744"/>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row>
    <row r="10" spans="2:170" ht="30" customHeight="1" x14ac:dyDescent="0.2">
      <c r="B10" s="272" t="s">
        <v>1475</v>
      </c>
      <c r="C10" s="694"/>
      <c r="D10" s="694"/>
      <c r="E10" s="921">
        <f>IF(AND($Y$18=1,$Z$18=1),"ERROR",'Sh-Table'!AB6)</f>
        <v>0</v>
      </c>
      <c r="F10" s="1243"/>
      <c r="G10" s="930" t="str">
        <f>IF(AND($Z$18=1,$Y$18=1),"Cannot rate ROM and ankylosis.",IF($Z$19&gt;1,"Multiple ankylosis findings. Use highest value only.",""))</f>
        <v/>
      </c>
      <c r="H10" s="930"/>
      <c r="I10" s="930"/>
      <c r="J10" s="930"/>
      <c r="K10" s="930"/>
      <c r="L10" s="930"/>
      <c r="M10" s="930"/>
      <c r="N10" s="930"/>
      <c r="O10" s="930"/>
      <c r="P10" s="831"/>
      <c r="Q10" s="6"/>
      <c r="R10" s="6"/>
      <c r="S10" s="13">
        <v>50</v>
      </c>
      <c r="T10" s="13" t="str">
        <f t="shared" si="0"/>
        <v/>
      </c>
      <c r="U10" s="6"/>
      <c r="V10" s="56"/>
      <c r="W10" s="113"/>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row>
    <row r="11" spans="2:170" ht="30" customHeight="1" x14ac:dyDescent="0.2">
      <c r="B11" s="146" t="s">
        <v>677</v>
      </c>
      <c r="C11" s="694"/>
      <c r="D11" s="694"/>
      <c r="E11" s="921">
        <f>'Sh-Table'!AB7</f>
        <v>0</v>
      </c>
      <c r="F11" s="1243"/>
      <c r="G11" s="694"/>
      <c r="H11" s="694"/>
      <c r="I11" s="936">
        <f>IF(C11="",0,IF(OR(C11&lt;=0,G11&lt;=0),E11,IF(G11&lt;C11,0,'Sh-Table'!AG7)))</f>
        <v>0</v>
      </c>
      <c r="J11" s="936"/>
      <c r="K11" s="930" t="str">
        <f>IF(OR(C11="NA",G11="NA"),"",IF(AND(C11&lt;&gt;"",G11=""),"Enter contralateral or NA.",IF(AND(C11="",G11&lt;&gt;""),"Need data","")))</f>
        <v/>
      </c>
      <c r="L11" s="930"/>
      <c r="M11" s="930"/>
      <c r="N11" s="930"/>
      <c r="O11" s="930"/>
      <c r="P11" s="831"/>
      <c r="Q11" s="6"/>
      <c r="R11" s="6"/>
      <c r="S11" s="13">
        <v>180</v>
      </c>
      <c r="T11" s="13" t="str">
        <f t="shared" si="0"/>
        <v/>
      </c>
      <c r="U11" s="13" t="str">
        <f>IF(OR(G11="",G11="NA"),"",IF(G11&gt;S11,S11,IF(G11&lt;0,0,G11)))</f>
        <v/>
      </c>
      <c r="V11" s="56" t="str">
        <f>IF(W11="","",ROUND(W11,0))</f>
        <v/>
      </c>
      <c r="W11" s="113" t="str">
        <f>IF(T11="","",IF(OR(U11="",U11=0,U11&lt;T11),T11,(T11*S11)/U11))</f>
        <v/>
      </c>
      <c r="X11" s="6"/>
      <c r="Y11" s="127" t="s">
        <v>2209</v>
      </c>
      <c r="Z11" s="127" t="s">
        <v>2210</v>
      </c>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row>
    <row r="12" spans="2:170" ht="30" customHeight="1" x14ac:dyDescent="0.2">
      <c r="B12" s="146" t="s">
        <v>680</v>
      </c>
      <c r="C12" s="694"/>
      <c r="D12" s="694"/>
      <c r="E12" s="921">
        <f>IF(AND($Y$18=1,$Z$18=1),"ERROR",'Sh-Table'!AB8)</f>
        <v>0</v>
      </c>
      <c r="F12" s="1243"/>
      <c r="G12" s="930" t="str">
        <f>IF(AND($Z$18=1,$Y$18=1),"Cannot rate ROM and ankylosis.",IF($Z$19&gt;1,"Multiple ankylosis findings. Use highest value only.",""))</f>
        <v/>
      </c>
      <c r="H12" s="930"/>
      <c r="I12" s="930"/>
      <c r="J12" s="930"/>
      <c r="K12" s="930"/>
      <c r="L12" s="930"/>
      <c r="M12" s="930"/>
      <c r="N12" s="930"/>
      <c r="O12" s="930"/>
      <c r="P12" s="831"/>
      <c r="Q12" s="6"/>
      <c r="R12" s="6"/>
      <c r="S12" s="13">
        <v>180</v>
      </c>
      <c r="T12" s="13" t="str">
        <f t="shared" si="0"/>
        <v/>
      </c>
      <c r="U12" s="6"/>
      <c r="V12" s="13"/>
      <c r="W12" s="13"/>
      <c r="X12" s="6"/>
      <c r="Y12" s="13">
        <f>IF(AND(C7&lt;&gt;"",C7&lt;&gt;"NA"),1,0)</f>
        <v>0</v>
      </c>
      <c r="Z12" s="13">
        <f>IF(AND(C8&lt;&gt;"",C8&lt;&gt;"NA"),1,0)</f>
        <v>0</v>
      </c>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row>
    <row r="13" spans="2:170" ht="30" customHeight="1" x14ac:dyDescent="0.2">
      <c r="B13" s="146" t="s">
        <v>681</v>
      </c>
      <c r="C13" s="694"/>
      <c r="D13" s="694"/>
      <c r="E13" s="921">
        <f>'Sh-Table'!AB9</f>
        <v>0</v>
      </c>
      <c r="F13" s="1243"/>
      <c r="G13" s="694"/>
      <c r="H13" s="694"/>
      <c r="I13" s="936">
        <f>IF(C13="",0,IF(OR(C13&lt;=0,G13&lt;=0),E13,IF(G13&lt;C13,0,'Sh-Table'!AG9)))</f>
        <v>0</v>
      </c>
      <c r="J13" s="936"/>
      <c r="K13" s="930" t="str">
        <f>IF(OR(C13="NA",G13="NA"),"",IF(AND(C13&lt;&gt;"",G13=""),"Enter contralateral or NA.",IF(AND(C13="",G13&lt;&gt;""),"Need data","")))</f>
        <v/>
      </c>
      <c r="L13" s="930"/>
      <c r="M13" s="930"/>
      <c r="N13" s="930"/>
      <c r="O13" s="930"/>
      <c r="P13" s="831"/>
      <c r="Q13" s="6"/>
      <c r="R13" s="115" t="s">
        <v>682</v>
      </c>
      <c r="S13" s="13">
        <v>50</v>
      </c>
      <c r="T13" s="13" t="str">
        <f t="shared" si="0"/>
        <v/>
      </c>
      <c r="U13" s="13" t="str">
        <f>IF(OR(G13="",G13="NA"),"",IF(G13&gt;S13,S13,IF(G13&lt;0,0,G13)))</f>
        <v/>
      </c>
      <c r="V13" s="56" t="str">
        <f>IF(W13="","",ROUND(W13,0))</f>
        <v/>
      </c>
      <c r="W13" s="113" t="str">
        <f>IF(T13="","",IF(OR(U13="",U13=0,U13&lt;T13),T13,(T13*S13)/U13))</f>
        <v/>
      </c>
      <c r="X13" s="6"/>
      <c r="Y13" s="13">
        <f>IF(AND(C9&lt;&gt;"",C9&lt;&gt;"NA"),1,0)</f>
        <v>0</v>
      </c>
      <c r="Z13" s="13">
        <f>IF(AND(C10&lt;&gt;"",C10&lt;&gt;"NA"),1,0)</f>
        <v>0</v>
      </c>
      <c r="AB13" s="6"/>
      <c r="AC13" s="6"/>
      <c r="AD13" s="6"/>
      <c r="AE13" s="6"/>
      <c r="AF13" s="6"/>
      <c r="AG13" s="6"/>
      <c r="AH13" s="102"/>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row>
    <row r="14" spans="2:170" ht="30" customHeight="1" x14ac:dyDescent="0.2">
      <c r="B14" s="146" t="s">
        <v>683</v>
      </c>
      <c r="C14" s="694"/>
      <c r="D14" s="694"/>
      <c r="E14" s="921">
        <f>IF(AND($Y$18=1,$Z$18=1),"ERROR",'Sh-Table'!AB10)</f>
        <v>0</v>
      </c>
      <c r="F14" s="1243"/>
      <c r="G14" s="930" t="str">
        <f>IF(AND($Z$18=1,$Y$18=1),"Cannot rate ROM and ankylosis.",IF($Z$19&gt;1,"Multiple ankylosis findings. Use highest value only.",""))</f>
        <v/>
      </c>
      <c r="H14" s="930"/>
      <c r="I14" s="930"/>
      <c r="J14" s="930"/>
      <c r="K14" s="930"/>
      <c r="L14" s="930"/>
      <c r="M14" s="930"/>
      <c r="N14" s="930"/>
      <c r="O14" s="930"/>
      <c r="P14" s="831"/>
      <c r="Q14" s="6"/>
      <c r="R14" s="88" t="s">
        <v>684</v>
      </c>
      <c r="S14" s="13">
        <v>50</v>
      </c>
      <c r="T14" s="13" t="str">
        <f t="shared" si="0"/>
        <v/>
      </c>
      <c r="U14" s="6"/>
      <c r="V14" s="13"/>
      <c r="W14" s="13"/>
      <c r="X14" s="6"/>
      <c r="Y14" s="13">
        <f>IF(AND(C11&lt;&gt;"",C11&lt;&gt;"NA"),1,0)</f>
        <v>0</v>
      </c>
      <c r="Z14" s="13">
        <f>IF(AND(C12&lt;&gt;"",C12&lt;&gt;"NA"),1,0)</f>
        <v>0</v>
      </c>
      <c r="AB14" s="6"/>
      <c r="AC14" s="6"/>
      <c r="AD14" s="6"/>
      <c r="AE14" s="6"/>
      <c r="AF14" s="6"/>
      <c r="AG14" s="6"/>
      <c r="AH14" s="102"/>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row>
    <row r="15" spans="2:170" ht="30" customHeight="1" x14ac:dyDescent="0.2">
      <c r="B15" s="146" t="s">
        <v>685</v>
      </c>
      <c r="C15" s="694"/>
      <c r="D15" s="694"/>
      <c r="E15" s="921">
        <f>'Sh-Table'!AB11</f>
        <v>0</v>
      </c>
      <c r="F15" s="1243"/>
      <c r="G15" s="694"/>
      <c r="H15" s="694"/>
      <c r="I15" s="936">
        <f>IF(C15="",0,IF(OR(C15&lt;=0,G15&lt;=0),E15,IF(G15&lt;C15,0,'Sh-Table'!AG11)))</f>
        <v>0</v>
      </c>
      <c r="J15" s="936"/>
      <c r="K15" s="930" t="str">
        <f>IF(OR(C15="NA",G15="NA"),"",IF(AND(C15&lt;&gt;"",G15=""),"Enter contralateral or NA.",IF(AND(C15="",G15&lt;&gt;""),"Need data","")))</f>
        <v/>
      </c>
      <c r="L15" s="930"/>
      <c r="M15" s="930"/>
      <c r="N15" s="930"/>
      <c r="O15" s="930"/>
      <c r="P15" s="831"/>
      <c r="Q15" s="6"/>
      <c r="R15" s="110">
        <f>IF(R19="ERROR",1,0)</f>
        <v>0</v>
      </c>
      <c r="S15" s="13">
        <v>90</v>
      </c>
      <c r="T15" s="13" t="str">
        <f t="shared" si="0"/>
        <v/>
      </c>
      <c r="U15" s="13" t="str">
        <f>IF(OR(G15="",G15="NA"),"",IF(G15&gt;S15,S15,IF(G15&lt;0,0,G15)))</f>
        <v/>
      </c>
      <c r="V15" s="56" t="str">
        <f>IF(W15="","",ROUND(W15,0))</f>
        <v/>
      </c>
      <c r="W15" s="112" t="str">
        <f>IF(T15="","",IF(OR(U15="",U15=0,U15&lt;T15),T15,(T15*S15)/U15))</f>
        <v/>
      </c>
      <c r="Y15" s="13">
        <f>IF(AND(C13&lt;&gt;"",C13&lt;&gt;"NA"),1,0)</f>
        <v>0</v>
      </c>
      <c r="Z15" s="13">
        <f>IF(AND(C14&lt;&gt;"",C14&lt;&gt;"NA"),1,0)</f>
        <v>0</v>
      </c>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row>
    <row r="16" spans="2:170" ht="30" customHeight="1" x14ac:dyDescent="0.2">
      <c r="B16" s="127" t="s">
        <v>578</v>
      </c>
      <c r="C16" s="694"/>
      <c r="D16" s="694"/>
      <c r="E16" s="921">
        <f>IF(AND($Y$18=1,$Z$18=1),"ERROR",'Sh-Table'!AB12)</f>
        <v>0</v>
      </c>
      <c r="F16" s="1243"/>
      <c r="G16" s="930" t="str">
        <f>IF(AND($Z$18=1,$Y$18=1),"Cannot rate ROM and ankylosis.",IF($Z$19&gt;1,"Multiple ankylosis findings. Use highest value only.",""))</f>
        <v/>
      </c>
      <c r="H16" s="930"/>
      <c r="I16" s="930"/>
      <c r="J16" s="930"/>
      <c r="K16" s="930"/>
      <c r="L16" s="930"/>
      <c r="M16" s="930"/>
      <c r="N16" s="930"/>
      <c r="O16" s="930"/>
      <c r="P16" s="831"/>
      <c r="Q16" s="6"/>
      <c r="R16" s="6"/>
      <c r="S16" s="13">
        <v>90</v>
      </c>
      <c r="T16" s="13" t="str">
        <f t="shared" si="0"/>
        <v/>
      </c>
      <c r="U16" s="13"/>
      <c r="V16" s="13"/>
      <c r="W16" s="13"/>
      <c r="X16" s="6"/>
      <c r="Y16" s="13">
        <f>IF(AND(C15&lt;&gt;"",C15&lt;&gt;"NA"),1,0)</f>
        <v>0</v>
      </c>
      <c r="Z16" s="13">
        <f>IF(AND(C16&lt;&gt;"",C16&lt;&gt;"NA"),1,0)</f>
        <v>0</v>
      </c>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row>
    <row r="17" spans="1:158" ht="30" customHeight="1" x14ac:dyDescent="0.2">
      <c r="B17" s="272" t="s">
        <v>579</v>
      </c>
      <c r="C17" s="694"/>
      <c r="D17" s="694"/>
      <c r="E17" s="921">
        <f>'Sh-Table'!AB13</f>
        <v>0</v>
      </c>
      <c r="F17" s="1243"/>
      <c r="G17" s="694"/>
      <c r="H17" s="694"/>
      <c r="I17" s="936">
        <f>IF(C17="",0,IF(OR(C17&lt;=0,G17&lt;=0),E17,IF(G17&lt;C17,0,'Sh-Table'!AG13)))</f>
        <v>0</v>
      </c>
      <c r="J17" s="936"/>
      <c r="K17" s="930" t="str">
        <f>IF(OR(C17="NA",G17="NA"),"",IF(AND(C17&lt;&gt;"",G17=""),"Enter contralateral or NA.",IF(AND(C17="",G17&lt;&gt;""),"Need data","")))</f>
        <v/>
      </c>
      <c r="L17" s="930"/>
      <c r="M17" s="930"/>
      <c r="N17" s="930"/>
      <c r="O17" s="930"/>
      <c r="P17" s="831"/>
      <c r="Q17" s="6"/>
      <c r="R17" s="6"/>
      <c r="S17" s="13">
        <v>90</v>
      </c>
      <c r="T17" s="13" t="str">
        <f t="shared" si="0"/>
        <v/>
      </c>
      <c r="U17" s="13" t="str">
        <f>IF(OR(G17="",G17="NA"),"",IF(G17&gt;S17,S17,IF(G17&lt;0,0,G17)))</f>
        <v/>
      </c>
      <c r="V17" s="56" t="str">
        <f>IF(W17="","",ROUND(W17,0))</f>
        <v/>
      </c>
      <c r="W17" s="113" t="str">
        <f>IF(T17="","",IF(OR(U17="",U17=0,U17&lt;T17),T17,(T17*S17)/U17))</f>
        <v/>
      </c>
      <c r="X17" s="6"/>
      <c r="Y17" s="13">
        <f>IF(AND(C17&lt;&gt;"",C17&lt;&gt;"NA"),1,0)</f>
        <v>0</v>
      </c>
      <c r="Z17" s="13">
        <f>IF(AND(C18&lt;&gt;"",C18&lt;&gt;"NA"),1,0)</f>
        <v>0</v>
      </c>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row>
    <row r="18" spans="1:158" ht="30" customHeight="1" x14ac:dyDescent="0.2">
      <c r="B18" s="272" t="s">
        <v>580</v>
      </c>
      <c r="C18" s="694"/>
      <c r="D18" s="694"/>
      <c r="E18" s="921">
        <f>IF(AND($Y$18=1,$Z$18=1),"ERROR",'Sh-Table'!AB14)</f>
        <v>0</v>
      </c>
      <c r="F18" s="1243"/>
      <c r="G18" s="930" t="str">
        <f>IF(AND($Z$18=1,$Y$18=1),"Cannot rate ROM and ankylosis.",IF($Z$19&gt;1,"Multiple ankylosis findings. Use highest value only.",""))</f>
        <v/>
      </c>
      <c r="H18" s="930"/>
      <c r="I18" s="930"/>
      <c r="J18" s="930"/>
      <c r="K18" s="930"/>
      <c r="L18" s="930"/>
      <c r="M18" s="930"/>
      <c r="N18" s="930"/>
      <c r="O18" s="930"/>
      <c r="P18" s="832"/>
      <c r="Q18" s="6"/>
      <c r="R18" s="6"/>
      <c r="S18" s="92">
        <v>90</v>
      </c>
      <c r="T18" s="13" t="str">
        <f t="shared" si="0"/>
        <v/>
      </c>
      <c r="U18" s="6"/>
      <c r="V18" s="5"/>
      <c r="W18" s="6"/>
      <c r="Y18" s="401">
        <f>IF(OR(Y12=1,Y13=1,Y14=1,Y15=1,Y16=1,Y17=1),1,0)</f>
        <v>0</v>
      </c>
      <c r="Z18" s="605">
        <f>IF(OR(Z12=1,Z13=1,Z14=1,Z15=1,Z16=1,Z17=1),1,0)</f>
        <v>0</v>
      </c>
      <c r="AB18" s="5"/>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row>
    <row r="19" spans="1:158" ht="24" customHeight="1" x14ac:dyDescent="0.2">
      <c r="B19" s="910"/>
      <c r="C19" s="910"/>
      <c r="D19" s="910"/>
      <c r="E19" s="910"/>
      <c r="F19" s="910"/>
      <c r="G19" s="910"/>
      <c r="H19" s="1006" t="s">
        <v>523</v>
      </c>
      <c r="I19" s="1007"/>
      <c r="J19" s="1007"/>
      <c r="K19" s="1007"/>
      <c r="L19" s="1007"/>
      <c r="M19" s="1007"/>
      <c r="N19" s="1007"/>
      <c r="O19" s="1008"/>
      <c r="P19" s="245">
        <f>IF(R15=1,"ERROR",S19)</f>
        <v>0</v>
      </c>
      <c r="Q19" s="6"/>
      <c r="R19" s="116">
        <f>IF(AND(X7&gt;0,X7&lt;0.01),0.01,X7)</f>
        <v>0</v>
      </c>
      <c r="S19" s="52">
        <f>IF(R19&lt;&gt;"ERROR",ROUND(R19,2),0)</f>
        <v>0</v>
      </c>
      <c r="Z19" s="146">
        <f>SUM(Z12:Z17)</f>
        <v>0</v>
      </c>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row>
    <row r="20" spans="1:158" ht="12" customHeight="1" x14ac:dyDescent="0.25">
      <c r="B20" s="1183"/>
      <c r="C20" s="1183"/>
      <c r="D20" s="1183"/>
      <c r="E20" s="1183"/>
      <c r="F20" s="1183"/>
      <c r="G20" s="1183"/>
      <c r="H20" s="1183"/>
      <c r="I20" s="1183"/>
      <c r="J20" s="1183"/>
      <c r="K20" s="1183"/>
      <c r="L20" s="1183"/>
      <c r="M20" s="1183"/>
      <c r="N20" s="1183"/>
      <c r="O20" s="1183"/>
      <c r="P20" s="379"/>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row>
    <row r="21" spans="1:158" ht="18" customHeight="1" x14ac:dyDescent="0.2">
      <c r="B21" s="863" t="s">
        <v>1866</v>
      </c>
      <c r="C21" s="863"/>
      <c r="D21" s="863"/>
      <c r="E21" s="863"/>
      <c r="F21" s="863"/>
      <c r="G21" s="863"/>
      <c r="H21" s="863"/>
      <c r="I21" s="863"/>
      <c r="J21" s="863"/>
      <c r="K21" s="863"/>
      <c r="L21" s="863"/>
      <c r="M21" s="863"/>
      <c r="N21" s="863"/>
      <c r="O21" s="863"/>
      <c r="P21" s="18"/>
      <c r="Q21" s="6"/>
      <c r="R21" s="108"/>
      <c r="S21" s="6"/>
      <c r="T21" s="121"/>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row>
    <row r="22" spans="1:158" ht="20.100000000000001" customHeight="1" x14ac:dyDescent="0.2">
      <c r="A22" s="15"/>
      <c r="B22" s="1475"/>
      <c r="C22" s="1475"/>
      <c r="D22" s="1475"/>
      <c r="E22" s="1475"/>
      <c r="F22" s="1475"/>
      <c r="G22" s="1475"/>
      <c r="H22" s="1475"/>
      <c r="I22" s="1475"/>
      <c r="J22" s="1475"/>
      <c r="K22" s="1475"/>
      <c r="L22" s="1475"/>
      <c r="M22" s="1475"/>
      <c r="N22" s="1475"/>
      <c r="O22" s="1475"/>
      <c r="P22" s="278">
        <f>IF(S22=1,0.15,IF(S22=2,0.05,IF(S22=3,0,0)))</f>
        <v>0</v>
      </c>
      <c r="Q22" s="6"/>
      <c r="R22" s="1476" t="s">
        <v>2212</v>
      </c>
      <c r="S22" s="656">
        <v>3</v>
      </c>
      <c r="T22" s="121">
        <v>1E-4</v>
      </c>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row>
    <row r="23" spans="1:158" ht="20.100000000000001" customHeight="1" x14ac:dyDescent="0.2">
      <c r="B23" s="1475"/>
      <c r="C23" s="1475"/>
      <c r="D23" s="1475"/>
      <c r="E23" s="1475"/>
      <c r="F23" s="1475"/>
      <c r="G23" s="1475"/>
      <c r="H23" s="1475"/>
      <c r="I23" s="1475"/>
      <c r="J23" s="1475"/>
      <c r="K23" s="1475"/>
      <c r="L23" s="1475"/>
      <c r="M23" s="1475"/>
      <c r="N23" s="1475"/>
      <c r="O23" s="1475"/>
      <c r="P23" s="278">
        <f>IF(S23=1,0.05,0)</f>
        <v>0</v>
      </c>
      <c r="Q23" s="6"/>
      <c r="R23" s="1476"/>
      <c r="S23" s="656">
        <v>2</v>
      </c>
      <c r="T23" s="121"/>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row>
    <row r="24" spans="1:158" ht="20.100000000000001" customHeight="1" x14ac:dyDescent="0.2">
      <c r="B24" s="1475"/>
      <c r="C24" s="1475"/>
      <c r="D24" s="1475"/>
      <c r="E24" s="1475"/>
      <c r="F24" s="1475"/>
      <c r="G24" s="1475"/>
      <c r="H24" s="1475"/>
      <c r="I24" s="1475"/>
      <c r="J24" s="1475"/>
      <c r="K24" s="1475"/>
      <c r="L24" s="1475"/>
      <c r="M24" s="1475"/>
      <c r="N24" s="1475"/>
      <c r="O24" s="1475"/>
      <c r="P24" s="278">
        <f>IF(S24=1,0.3,0)</f>
        <v>0</v>
      </c>
      <c r="Q24" s="6"/>
      <c r="R24" s="1476"/>
      <c r="S24" s="656">
        <v>2</v>
      </c>
      <c r="T24" s="121"/>
      <c r="U24" s="108"/>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row>
    <row r="25" spans="1:158" ht="20.100000000000001" customHeight="1" x14ac:dyDescent="0.2">
      <c r="B25" s="1475"/>
      <c r="C25" s="1475"/>
      <c r="D25" s="1475"/>
      <c r="E25" s="1475"/>
      <c r="F25" s="1475"/>
      <c r="G25" s="1475"/>
      <c r="H25" s="1475"/>
      <c r="I25" s="1475"/>
      <c r="J25" s="1475"/>
      <c r="K25" s="1475"/>
      <c r="L25" s="1475"/>
      <c r="M25" s="1475"/>
      <c r="N25" s="1475"/>
      <c r="O25" s="1475"/>
      <c r="P25" s="278">
        <f>IF(S25=1,0.1,0)</f>
        <v>0</v>
      </c>
      <c r="Q25" s="6"/>
      <c r="R25" s="1476"/>
      <c r="S25" s="657">
        <v>2</v>
      </c>
      <c r="T25" s="118"/>
      <c r="U25" s="108"/>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row>
    <row r="26" spans="1:158" ht="11.25" customHeight="1" x14ac:dyDescent="0.2">
      <c r="B26" s="1480"/>
      <c r="C26" s="1480"/>
      <c r="D26" s="1480"/>
      <c r="E26" s="1480"/>
      <c r="F26" s="1480"/>
      <c r="G26" s="1480"/>
      <c r="H26" s="1480"/>
      <c r="I26" s="1480"/>
      <c r="J26" s="1480"/>
      <c r="K26" s="1480"/>
      <c r="L26" s="1480"/>
      <c r="M26" s="1480"/>
      <c r="N26" s="1480"/>
      <c r="O26" s="1480"/>
      <c r="P26" s="16"/>
      <c r="Q26" s="6"/>
      <c r="R26" s="108"/>
      <c r="S26" s="109"/>
      <c r="T26" s="108"/>
      <c r="U26" s="108"/>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row>
    <row r="27" spans="1:158" ht="18" customHeight="1" x14ac:dyDescent="0.2">
      <c r="B27" s="863" t="s">
        <v>1867</v>
      </c>
      <c r="C27" s="863"/>
      <c r="D27" s="863"/>
      <c r="E27" s="863"/>
      <c r="F27" s="863"/>
      <c r="G27" s="863"/>
      <c r="H27" s="863"/>
      <c r="I27" s="863"/>
      <c r="J27" s="863"/>
      <c r="K27" s="863"/>
      <c r="L27" s="863"/>
      <c r="M27" s="863"/>
      <c r="N27" s="863"/>
      <c r="O27" s="863"/>
      <c r="P27" s="18"/>
      <c r="Q27" s="6"/>
      <c r="R27" s="108"/>
      <c r="S27" s="109"/>
      <c r="T27" s="108"/>
      <c r="U27" s="108"/>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row>
    <row r="28" spans="1:158" ht="18" customHeight="1" x14ac:dyDescent="0.2">
      <c r="B28" s="1143" t="s">
        <v>1686</v>
      </c>
      <c r="C28" s="1143"/>
      <c r="D28" s="1143"/>
      <c r="E28" s="1143"/>
      <c r="F28" s="1143"/>
      <c r="G28" s="1143"/>
      <c r="H28" s="1143"/>
      <c r="I28" s="1143"/>
      <c r="J28" s="1143"/>
      <c r="K28" s="1143"/>
      <c r="L28" s="1143"/>
      <c r="M28" s="1143"/>
      <c r="N28" s="1143"/>
      <c r="O28" s="1143"/>
      <c r="P28" s="1161"/>
      <c r="Q28" s="6"/>
      <c r="R28" s="108"/>
      <c r="S28" s="109"/>
      <c r="T28" s="77"/>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row>
    <row r="29" spans="1:158" ht="18" customHeight="1" x14ac:dyDescent="0.2">
      <c r="B29" s="1143"/>
      <c r="C29" s="1143"/>
      <c r="D29" s="1143"/>
      <c r="E29" s="1143"/>
      <c r="F29" s="1143"/>
      <c r="G29" s="1143"/>
      <c r="H29" s="1143"/>
      <c r="I29" s="1143"/>
      <c r="J29" s="1143"/>
      <c r="K29" s="1143"/>
      <c r="L29" s="1143"/>
      <c r="M29" s="1143"/>
      <c r="N29" s="1143"/>
      <c r="O29" s="1143"/>
      <c r="P29" s="1161"/>
      <c r="Q29" s="6"/>
      <c r="R29" s="1477" t="s">
        <v>2213</v>
      </c>
      <c r="S29" s="1477"/>
      <c r="T29" s="108"/>
      <c r="U29" s="108"/>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row>
    <row r="30" spans="1:158" ht="18" customHeight="1" x14ac:dyDescent="0.2">
      <c r="B30" s="1143"/>
      <c r="C30" s="1143"/>
      <c r="D30" s="1143"/>
      <c r="E30" s="1143"/>
      <c r="F30" s="1143"/>
      <c r="G30" s="1143"/>
      <c r="H30" s="1143"/>
      <c r="I30" s="1143"/>
      <c r="J30" s="1143"/>
      <c r="K30" s="1143"/>
      <c r="L30" s="1143"/>
      <c r="M30" s="1143"/>
      <c r="N30" s="1143"/>
      <c r="O30" s="1143"/>
      <c r="P30" s="1161"/>
      <c r="Q30" s="6"/>
      <c r="R30" s="1477"/>
      <c r="S30" s="1477"/>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row>
    <row r="31" spans="1:158" ht="19.5" customHeight="1" x14ac:dyDescent="0.2">
      <c r="A31" s="15"/>
      <c r="B31" s="1002"/>
      <c r="C31" s="1002"/>
      <c r="D31" s="1002"/>
      <c r="E31" s="1002"/>
      <c r="F31" s="1002"/>
      <c r="G31" s="1002"/>
      <c r="H31" s="1002"/>
      <c r="I31" s="1002"/>
      <c r="J31" s="1002"/>
      <c r="K31" s="1002"/>
      <c r="L31" s="1002"/>
      <c r="M31" s="1002"/>
      <c r="N31" s="1002"/>
      <c r="O31" s="1002"/>
      <c r="P31" s="1481">
        <f>IF(OR(S31=1,S32=1),0.15,0)</f>
        <v>0</v>
      </c>
      <c r="Q31" s="6"/>
      <c r="R31" s="613" t="b">
        <v>0</v>
      </c>
      <c r="S31" s="655">
        <f>IF(R31=TRUE,1,0)</f>
        <v>0</v>
      </c>
      <c r="T31" s="6">
        <v>1E-4</v>
      </c>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row>
    <row r="32" spans="1:158" ht="20.25" customHeight="1" x14ac:dyDescent="0.2">
      <c r="B32" s="1475"/>
      <c r="C32" s="1475"/>
      <c r="D32" s="1475"/>
      <c r="E32" s="1475"/>
      <c r="F32" s="1475"/>
      <c r="G32" s="1475"/>
      <c r="H32" s="1475"/>
      <c r="I32" s="1475"/>
      <c r="J32" s="1475"/>
      <c r="K32" s="1475"/>
      <c r="L32" s="1475"/>
      <c r="M32" s="1475"/>
      <c r="N32" s="1475"/>
      <c r="O32" s="1475"/>
      <c r="P32" s="1481"/>
      <c r="Q32" s="6"/>
      <c r="R32" s="613" t="b">
        <v>0</v>
      </c>
      <c r="S32" s="655">
        <f>IF(R32=TRUE,1,0)</f>
        <v>0</v>
      </c>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row>
    <row r="33" spans="2:158" ht="12" customHeight="1" x14ac:dyDescent="0.2">
      <c r="B33" s="1480"/>
      <c r="C33" s="1480"/>
      <c r="D33" s="1480"/>
      <c r="E33" s="1480"/>
      <c r="F33" s="1480"/>
      <c r="G33" s="1480"/>
      <c r="H33" s="1480"/>
      <c r="I33" s="1480"/>
      <c r="J33" s="1480"/>
      <c r="K33" s="1480"/>
      <c r="L33" s="1480"/>
      <c r="M33" s="1480"/>
      <c r="N33" s="1480"/>
      <c r="O33" s="1480"/>
      <c r="P33" s="165"/>
      <c r="Q33" s="6"/>
      <c r="R33" s="117"/>
      <c r="S33" s="121"/>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row>
    <row r="34" spans="2:158" ht="13.5" x14ac:dyDescent="0.2">
      <c r="B34" s="1480"/>
      <c r="C34" s="1480"/>
      <c r="D34" s="1480"/>
      <c r="E34" s="1480"/>
      <c r="F34" s="1480"/>
      <c r="G34" s="1480"/>
      <c r="H34" s="1480"/>
      <c r="I34" s="1480"/>
      <c r="J34" s="1480"/>
      <c r="K34" s="1480"/>
      <c r="L34" s="1480"/>
      <c r="M34" s="1480"/>
      <c r="N34" s="1480"/>
      <c r="O34" s="1480"/>
      <c r="P34" s="1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row>
    <row r="35" spans="2:158" ht="21" customHeight="1" x14ac:dyDescent="0.2">
      <c r="B35" s="947" t="s">
        <v>1868</v>
      </c>
      <c r="C35" s="863"/>
      <c r="D35" s="863"/>
      <c r="E35" s="863"/>
      <c r="F35" s="863"/>
      <c r="G35" s="863"/>
      <c r="H35" s="863"/>
      <c r="I35" s="863"/>
      <c r="J35" s="863"/>
      <c r="K35" s="863"/>
      <c r="L35" s="863"/>
      <c r="M35" s="863"/>
      <c r="N35" s="863"/>
      <c r="O35" s="863"/>
      <c r="P35" s="146"/>
      <c r="Q35" s="6"/>
      <c r="R35" s="6"/>
      <c r="S35" s="6"/>
      <c r="T35" s="6"/>
      <c r="U35" s="6"/>
      <c r="V35" s="6"/>
      <c r="W35" s="6"/>
      <c r="X35" s="6"/>
      <c r="Y35" s="6"/>
      <c r="Z35" s="6"/>
      <c r="AA35" s="6"/>
      <c r="AB35" s="6"/>
      <c r="AC35" s="6"/>
      <c r="AD35" s="6"/>
      <c r="AE35" s="6"/>
      <c r="AF35" s="6"/>
      <c r="AG35" s="119"/>
      <c r="AH35" s="119"/>
      <c r="AI35" s="119"/>
      <c r="AJ35" s="119"/>
      <c r="AK35" s="119"/>
      <c r="AL35" s="119"/>
      <c r="AM35" s="119"/>
      <c r="AN35" s="119"/>
      <c r="AO35" s="119"/>
      <c r="AP35" s="119"/>
      <c r="AQ35" s="119"/>
      <c r="AR35" s="119"/>
      <c r="AS35" s="119"/>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row>
    <row r="36" spans="2:158" ht="21" customHeight="1" x14ac:dyDescent="0.2">
      <c r="B36" s="1478" t="s">
        <v>798</v>
      </c>
      <c r="C36" s="1478"/>
      <c r="D36" s="1478"/>
      <c r="E36" s="1478"/>
      <c r="F36" s="1478"/>
      <c r="G36" s="1478"/>
      <c r="H36" s="1478"/>
      <c r="I36" s="1478"/>
      <c r="J36" s="1478"/>
      <c r="K36" s="1478"/>
      <c r="L36" s="1478"/>
      <c r="M36" s="1478"/>
      <c r="N36" s="1478"/>
      <c r="O36" s="1478"/>
      <c r="P36" s="830"/>
      <c r="Q36" s="6"/>
      <c r="R36" s="6"/>
      <c r="S36" s="6"/>
      <c r="T36" s="6"/>
      <c r="U36" s="6"/>
      <c r="V36" s="6"/>
      <c r="W36" s="6"/>
      <c r="X36" s="6"/>
      <c r="Y36" s="6"/>
      <c r="Z36" s="6"/>
      <c r="AA36" s="6"/>
      <c r="AB36" s="6"/>
      <c r="AC36" s="6"/>
      <c r="AD36" s="6"/>
      <c r="AE36" s="6"/>
      <c r="AF36" s="6"/>
      <c r="AG36" s="119"/>
      <c r="AH36" s="119"/>
      <c r="AI36" s="119"/>
      <c r="AJ36" s="119"/>
      <c r="AK36" s="119"/>
      <c r="AL36" s="119"/>
      <c r="AM36" s="119"/>
      <c r="AN36" s="119"/>
      <c r="AO36" s="119"/>
      <c r="AP36" s="119"/>
      <c r="AQ36" s="119"/>
      <c r="AR36" s="119"/>
      <c r="AS36" s="119"/>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row>
    <row r="37" spans="2:158" ht="45" customHeight="1" x14ac:dyDescent="0.2">
      <c r="B37" s="1143" t="s">
        <v>1833</v>
      </c>
      <c r="C37" s="1143"/>
      <c r="D37" s="1143"/>
      <c r="E37" s="1143"/>
      <c r="F37" s="1143"/>
      <c r="G37" s="1143"/>
      <c r="H37" s="1143"/>
      <c r="I37" s="1143"/>
      <c r="J37" s="1143"/>
      <c r="K37" s="1143"/>
      <c r="L37" s="1143"/>
      <c r="M37" s="1143"/>
      <c r="N37" s="1143"/>
      <c r="O37" s="1143"/>
      <c r="P37" s="831"/>
      <c r="Q37" s="6"/>
      <c r="R37" s="6"/>
      <c r="S37" s="947" t="s">
        <v>2214</v>
      </c>
      <c r="T37" s="947"/>
      <c r="U37" s="6"/>
      <c r="V37" s="6"/>
      <c r="W37" s="6"/>
      <c r="X37" s="6"/>
      <c r="Y37" s="6"/>
      <c r="Z37" s="6"/>
      <c r="AA37" s="6"/>
      <c r="AB37" s="6"/>
      <c r="AC37" s="6"/>
      <c r="AD37" s="6"/>
      <c r="AE37" s="6"/>
      <c r="AF37" s="6"/>
      <c r="AG37" s="119"/>
      <c r="AH37" s="119"/>
      <c r="AI37" s="119"/>
      <c r="AJ37" s="119"/>
      <c r="AK37" s="119"/>
      <c r="AL37" s="119"/>
      <c r="AM37" s="119"/>
      <c r="AN37" s="119"/>
      <c r="AO37" s="119"/>
      <c r="AP37" s="119"/>
      <c r="AQ37" s="119"/>
      <c r="AR37" s="119"/>
      <c r="AS37" s="119"/>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row>
    <row r="38" spans="2:158" ht="13.5" customHeight="1" x14ac:dyDescent="0.2">
      <c r="B38" s="912" t="s">
        <v>64</v>
      </c>
      <c r="C38" s="912" t="s">
        <v>65</v>
      </c>
      <c r="D38" s="912"/>
      <c r="E38" s="912"/>
      <c r="F38" s="912" t="s">
        <v>66</v>
      </c>
      <c r="G38" s="910"/>
      <c r="H38" s="910"/>
      <c r="I38" s="912" t="s">
        <v>1565</v>
      </c>
      <c r="J38" s="912"/>
      <c r="K38" s="912"/>
      <c r="L38" s="912" t="s">
        <v>66</v>
      </c>
      <c r="M38" s="1243"/>
      <c r="N38" s="910"/>
      <c r="O38" s="912" t="s">
        <v>67</v>
      </c>
      <c r="P38" s="831"/>
      <c r="Q38" s="6"/>
      <c r="R38" s="6"/>
      <c r="S38" s="947"/>
      <c r="T38" s="947"/>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row>
    <row r="39" spans="2:158" ht="15.75" customHeight="1" x14ac:dyDescent="0.2">
      <c r="B39" s="912"/>
      <c r="C39" s="912"/>
      <c r="D39" s="912"/>
      <c r="E39" s="912"/>
      <c r="F39" s="910"/>
      <c r="G39" s="910"/>
      <c r="H39" s="910"/>
      <c r="I39" s="912"/>
      <c r="J39" s="912"/>
      <c r="K39" s="912"/>
      <c r="L39" s="1243"/>
      <c r="M39" s="1243"/>
      <c r="N39" s="910"/>
      <c r="O39" s="910"/>
      <c r="P39" s="831"/>
      <c r="S39" s="655" t="s">
        <v>1901</v>
      </c>
      <c r="T39" s="658" t="s">
        <v>68</v>
      </c>
      <c r="U39" s="658" t="s">
        <v>69</v>
      </c>
      <c r="V39" s="658" t="s">
        <v>70</v>
      </c>
      <c r="W39" s="658" t="s">
        <v>71</v>
      </c>
      <c r="X39" s="13" t="s">
        <v>1804</v>
      </c>
      <c r="Y39" s="658" t="s">
        <v>1805</v>
      </c>
      <c r="Z39" s="658" t="s">
        <v>1806</v>
      </c>
      <c r="AA39" s="658" t="s">
        <v>1807</v>
      </c>
      <c r="AB39" s="658" t="s">
        <v>1808</v>
      </c>
      <c r="AC39" s="658" t="s">
        <v>1809</v>
      </c>
      <c r="AD39" s="658" t="s">
        <v>1810</v>
      </c>
      <c r="AE39" s="658" t="s">
        <v>1750</v>
      </c>
      <c r="AF39" s="658" t="s">
        <v>1751</v>
      </c>
      <c r="AG39" s="658" t="s">
        <v>1752</v>
      </c>
      <c r="AH39" s="658" t="s">
        <v>1753</v>
      </c>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row>
    <row r="40" spans="2:158" ht="15" customHeight="1" x14ac:dyDescent="0.2">
      <c r="B40" s="411" t="s">
        <v>1359</v>
      </c>
      <c r="C40" s="910"/>
      <c r="D40" s="910"/>
      <c r="E40" s="146"/>
      <c r="F40" s="1005"/>
      <c r="G40" s="1005"/>
      <c r="H40" s="365"/>
      <c r="I40" s="910"/>
      <c r="J40" s="910"/>
      <c r="K40" s="146"/>
      <c r="L40" s="1005"/>
      <c r="M40" s="1005"/>
      <c r="N40" s="365"/>
      <c r="O40" s="146"/>
      <c r="P40" s="831"/>
      <c r="S40" s="659">
        <v>0</v>
      </c>
      <c r="T40" s="84">
        <v>0</v>
      </c>
      <c r="U40" s="84">
        <v>0.05</v>
      </c>
      <c r="V40" s="84">
        <v>0.1</v>
      </c>
      <c r="W40" s="84">
        <v>0.2</v>
      </c>
      <c r="X40" s="84">
        <v>0.3</v>
      </c>
      <c r="Y40" s="84">
        <v>0.4</v>
      </c>
      <c r="Z40" s="84">
        <v>0.5</v>
      </c>
      <c r="AA40" s="84">
        <v>0.6</v>
      </c>
      <c r="AB40" s="84">
        <v>0.7</v>
      </c>
      <c r="AC40" s="84">
        <v>0.75</v>
      </c>
      <c r="AD40" s="84">
        <v>0.8</v>
      </c>
      <c r="AE40" s="84">
        <v>0.85</v>
      </c>
      <c r="AF40" s="84">
        <v>0.9</v>
      </c>
      <c r="AG40" s="84">
        <v>0.95</v>
      </c>
      <c r="AH40" s="84">
        <v>1</v>
      </c>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row>
    <row r="41" spans="2:158" ht="15" customHeight="1" x14ac:dyDescent="0.2">
      <c r="B41" s="412" t="s">
        <v>1358</v>
      </c>
      <c r="C41" s="929">
        <v>0.1</v>
      </c>
      <c r="D41" s="929"/>
      <c r="E41" s="199" t="s">
        <v>1754</v>
      </c>
      <c r="F41" s="929">
        <f>SUMIF($T$39:$AH$39,F40,$T$40:$AH$40)</f>
        <v>0</v>
      </c>
      <c r="G41" s="929"/>
      <c r="H41" s="222" t="s">
        <v>1755</v>
      </c>
      <c r="I41" s="929">
        <v>0.1</v>
      </c>
      <c r="J41" s="929"/>
      <c r="K41" s="199" t="s">
        <v>1754</v>
      </c>
      <c r="L41" s="929">
        <f>SUMIF($T$39:$AH$39,L40,$T$40:$AH$40)</f>
        <v>0</v>
      </c>
      <c r="M41" s="929"/>
      <c r="N41" s="222" t="s">
        <v>1756</v>
      </c>
      <c r="O41" s="241">
        <f>IF(C41*F41-I41*L41&lt;0,0,C41*F41-I41*L41)</f>
        <v>0</v>
      </c>
      <c r="P41" s="831"/>
      <c r="Q41" s="6"/>
      <c r="R41" s="6"/>
      <c r="S41" s="33"/>
      <c r="T41" s="33"/>
      <c r="U41" s="33"/>
      <c r="V41" s="33"/>
      <c r="W41" s="33"/>
      <c r="X41" s="33"/>
      <c r="Y41" s="33"/>
      <c r="Z41" s="33"/>
      <c r="AA41" s="33"/>
      <c r="AB41" s="33"/>
      <c r="AC41" s="33"/>
      <c r="AD41" s="33"/>
      <c r="AE41" s="33"/>
      <c r="AF41" s="33"/>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row>
    <row r="42" spans="2:158" ht="15" customHeight="1" x14ac:dyDescent="0.2">
      <c r="B42" s="420" t="s">
        <v>542</v>
      </c>
      <c r="C42" s="910"/>
      <c r="D42" s="910"/>
      <c r="E42" s="146"/>
      <c r="F42" s="1005"/>
      <c r="G42" s="1005"/>
      <c r="H42" s="365"/>
      <c r="I42" s="910"/>
      <c r="J42" s="910"/>
      <c r="K42" s="146"/>
      <c r="L42" s="1005"/>
      <c r="M42" s="1005"/>
      <c r="N42" s="365"/>
      <c r="O42" s="146"/>
      <c r="P42" s="1097"/>
      <c r="Q42" s="6"/>
      <c r="R42" s="6"/>
      <c r="S42" s="1104" t="s">
        <v>1023</v>
      </c>
      <c r="T42" s="1104" t="s">
        <v>1024</v>
      </c>
      <c r="U42" s="1104" t="s">
        <v>1025</v>
      </c>
      <c r="V42" s="1104" t="s">
        <v>1026</v>
      </c>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row>
    <row r="43" spans="2:158" ht="15" customHeight="1" x14ac:dyDescent="0.2">
      <c r="B43" s="417" t="s">
        <v>1027</v>
      </c>
      <c r="C43" s="914">
        <v>0.03</v>
      </c>
      <c r="D43" s="914"/>
      <c r="E43" s="18" t="s">
        <v>1754</v>
      </c>
      <c r="F43" s="914">
        <f>SUMIF($T$39:$AH$39,F42,$T$40:$AH$40)</f>
        <v>0</v>
      </c>
      <c r="G43" s="914"/>
      <c r="H43" s="160" t="s">
        <v>1755</v>
      </c>
      <c r="I43" s="914">
        <v>0.03</v>
      </c>
      <c r="J43" s="914"/>
      <c r="K43" s="18" t="s">
        <v>1754</v>
      </c>
      <c r="L43" s="914">
        <f>SUMIF($T$39:$AH$39,L42,$T$40:$AH$40)</f>
        <v>0</v>
      </c>
      <c r="M43" s="914"/>
      <c r="N43" s="160" t="s">
        <v>1756</v>
      </c>
      <c r="O43" s="240">
        <f>IF(C43*F43-I43*L43&lt;0,0,C43*F43-I43*L43)</f>
        <v>0</v>
      </c>
      <c r="P43" s="1097"/>
      <c r="Q43" s="6"/>
      <c r="R43" s="33"/>
      <c r="S43" s="957"/>
      <c r="T43" s="1104"/>
      <c r="U43" s="1104"/>
      <c r="V43" s="1104"/>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row>
    <row r="44" spans="2:158" ht="15" customHeight="1" x14ac:dyDescent="0.2">
      <c r="B44" s="415" t="s">
        <v>1360</v>
      </c>
      <c r="C44" s="832"/>
      <c r="D44" s="832"/>
      <c r="E44" s="230"/>
      <c r="F44" s="1474"/>
      <c r="G44" s="1474"/>
      <c r="H44" s="413"/>
      <c r="I44" s="832"/>
      <c r="J44" s="832"/>
      <c r="K44" s="230"/>
      <c r="L44" s="1474"/>
      <c r="M44" s="1474"/>
      <c r="N44" s="413"/>
      <c r="O44" s="230"/>
      <c r="P44" s="831"/>
      <c r="Q44" s="6"/>
      <c r="R44" s="6"/>
      <c r="S44" s="120">
        <f>IF(OR(O47&lt;&gt;"",O49&lt;&gt;"",O51&lt;&gt;"",O53&lt;&gt;""),1,0)</f>
        <v>0</v>
      </c>
      <c r="T44" s="120">
        <f>IF(OR(O58&lt;&gt;"",O60&lt;&gt;"",O62&lt;&gt;""),1,0)</f>
        <v>0</v>
      </c>
      <c r="U44" s="120">
        <f>IF(OR(O69&lt;&gt;"",O71&lt;&gt;""),1,0)</f>
        <v>0</v>
      </c>
      <c r="V44" s="120">
        <f>IF(OR(O78&lt;&gt;"",O80&lt;&gt;""),1,0)</f>
        <v>0</v>
      </c>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row>
    <row r="45" spans="2:158" ht="15" customHeight="1" x14ac:dyDescent="0.2">
      <c r="B45" s="414" t="s">
        <v>985</v>
      </c>
      <c r="C45" s="914">
        <v>0.21</v>
      </c>
      <c r="D45" s="914"/>
      <c r="E45" s="18" t="s">
        <v>1754</v>
      </c>
      <c r="F45" s="914">
        <f>SUMIF($T$39:$AH$39,F44,$T$40:$AH$40)</f>
        <v>0</v>
      </c>
      <c r="G45" s="914"/>
      <c r="H45" s="160" t="s">
        <v>1755</v>
      </c>
      <c r="I45" s="914">
        <v>0.21</v>
      </c>
      <c r="J45" s="914"/>
      <c r="K45" s="18" t="s">
        <v>1754</v>
      </c>
      <c r="L45" s="914">
        <f>SUMIF($T$39:$AH$39,L44,$T$40:$AH$40)</f>
        <v>0</v>
      </c>
      <c r="M45" s="914"/>
      <c r="N45" s="160" t="s">
        <v>1756</v>
      </c>
      <c r="O45" s="239" t="str">
        <f>IF(F44="","",IF(C45*F45-I45*L45&lt;=0,"",C45*F45-I45*L45))</f>
        <v/>
      </c>
      <c r="P45" s="831"/>
      <c r="Q45" s="6"/>
      <c r="R45" s="108"/>
      <c r="S45" s="33"/>
      <c r="T45" s="77"/>
      <c r="U45" s="108"/>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row>
    <row r="46" spans="2:158" ht="15" customHeight="1" x14ac:dyDescent="0.2">
      <c r="B46" s="1465" t="s">
        <v>986</v>
      </c>
      <c r="C46" s="832"/>
      <c r="D46" s="832"/>
      <c r="E46" s="230"/>
      <c r="F46" s="1474"/>
      <c r="G46" s="1474"/>
      <c r="H46" s="413"/>
      <c r="I46" s="832"/>
      <c r="J46" s="832"/>
      <c r="K46" s="230"/>
      <c r="L46" s="1474"/>
      <c r="M46" s="1474"/>
      <c r="N46" s="365"/>
      <c r="O46" s="50"/>
      <c r="P46" s="831"/>
      <c r="Q46" s="6"/>
      <c r="R46" s="6"/>
      <c r="S46" s="13" t="s">
        <v>2215</v>
      </c>
      <c r="T46" s="50" t="s">
        <v>1285</v>
      </c>
      <c r="U46" s="50" t="s">
        <v>1286</v>
      </c>
      <c r="V46" s="50" t="s">
        <v>1287</v>
      </c>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row>
    <row r="47" spans="2:158" ht="15" customHeight="1" x14ac:dyDescent="0.2">
      <c r="B47" s="1466"/>
      <c r="C47" s="914">
        <v>0.21</v>
      </c>
      <c r="D47" s="914"/>
      <c r="E47" s="18" t="s">
        <v>1754</v>
      </c>
      <c r="F47" s="914">
        <f>SUMIF($T$39:$AH$39,F46,$T$40:$AH$40)</f>
        <v>0</v>
      </c>
      <c r="G47" s="914"/>
      <c r="H47" s="160" t="s">
        <v>1755</v>
      </c>
      <c r="I47" s="914">
        <v>0.21</v>
      </c>
      <c r="J47" s="914"/>
      <c r="K47" s="18" t="s">
        <v>1754</v>
      </c>
      <c r="L47" s="914">
        <f>SUMIF($T$39:$AH$39,L46,$T$40:$AH$40)</f>
        <v>0</v>
      </c>
      <c r="M47" s="914"/>
      <c r="N47" s="160" t="s">
        <v>1756</v>
      </c>
      <c r="O47" s="240" t="str">
        <f>IF(F46="","",IF(C47*F47-I47*L47&lt;=0,"",C47*F47-I47*L47))</f>
        <v/>
      </c>
      <c r="P47" s="831"/>
      <c r="Q47" s="6"/>
      <c r="R47" s="6"/>
      <c r="S47" s="52">
        <f>IF(AND(O41&gt;0,O41&lt;0.01),0.01,ROUND(O41,2))</f>
        <v>0</v>
      </c>
      <c r="T47" s="84">
        <f>LARGE($S$47:$S$54,1)</f>
        <v>0</v>
      </c>
      <c r="U47" s="12">
        <f>T47+T48*(1-T47)</f>
        <v>0</v>
      </c>
      <c r="V47" s="52">
        <f t="shared" ref="V47:V53" si="1">ROUND(U47,2)</f>
        <v>0</v>
      </c>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row>
    <row r="48" spans="2:158" ht="15" customHeight="1" x14ac:dyDescent="0.2">
      <c r="B48" s="1465" t="s">
        <v>987</v>
      </c>
      <c r="C48" s="832"/>
      <c r="D48" s="832"/>
      <c r="E48" s="230"/>
      <c r="F48" s="1474"/>
      <c r="G48" s="1474"/>
      <c r="H48" s="413"/>
      <c r="I48" s="832"/>
      <c r="J48" s="832"/>
      <c r="K48" s="230"/>
      <c r="L48" s="1474"/>
      <c r="M48" s="1474"/>
      <c r="N48" s="365"/>
      <c r="O48" s="146"/>
      <c r="P48" s="831"/>
      <c r="Q48" s="77"/>
      <c r="R48" s="6"/>
      <c r="S48" s="52">
        <f>IF(AND(O43&gt;0,O43&lt;0.01),0.01,ROUND(O43,2))</f>
        <v>0</v>
      </c>
      <c r="T48" s="84">
        <f>LARGE($S$47:$S$54,2)</f>
        <v>0</v>
      </c>
      <c r="U48" s="12">
        <f t="shared" ref="U48:U53" si="2">V47+T49*(1-V47)</f>
        <v>0</v>
      </c>
      <c r="V48" s="52">
        <f t="shared" si="1"/>
        <v>0</v>
      </c>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row>
    <row r="49" spans="2:158" ht="15" customHeight="1" x14ac:dyDescent="0.2">
      <c r="B49" s="1466"/>
      <c r="C49" s="914">
        <v>0.21</v>
      </c>
      <c r="D49" s="914"/>
      <c r="E49" s="18" t="s">
        <v>1754</v>
      </c>
      <c r="F49" s="914">
        <f>SUMIF($T$39:$AH$39,F48,$T$40:$AH$40)</f>
        <v>0</v>
      </c>
      <c r="G49" s="914"/>
      <c r="H49" s="160" t="s">
        <v>1755</v>
      </c>
      <c r="I49" s="914">
        <v>0.21</v>
      </c>
      <c r="J49" s="914"/>
      <c r="K49" s="18" t="s">
        <v>1754</v>
      </c>
      <c r="L49" s="914">
        <f>SUMIF($T$39:$AH$39,L48,$T$40:$AH$40)</f>
        <v>0</v>
      </c>
      <c r="M49" s="914"/>
      <c r="N49" s="160" t="s">
        <v>1756</v>
      </c>
      <c r="O49" s="240" t="str">
        <f>IF(F48="","",IF(C49*F49-I49*L49&lt;=0,"",C49*F49-I49*L49))</f>
        <v/>
      </c>
      <c r="P49" s="831"/>
      <c r="Q49" s="6"/>
      <c r="R49" s="6"/>
      <c r="S49" s="52">
        <f>IF(AND(O54&gt;0,O54&lt;0.01),0.01,ROUND(O54,2))</f>
        <v>0</v>
      </c>
      <c r="T49" s="84">
        <f>LARGE($S$47:$S$54,3)</f>
        <v>0</v>
      </c>
      <c r="U49" s="12">
        <f t="shared" si="2"/>
        <v>0</v>
      </c>
      <c r="V49" s="52">
        <f t="shared" si="1"/>
        <v>0</v>
      </c>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row>
    <row r="50" spans="2:158" ht="15" customHeight="1" x14ac:dyDescent="0.2">
      <c r="B50" s="1465" t="s">
        <v>1772</v>
      </c>
      <c r="C50" s="832"/>
      <c r="D50" s="832"/>
      <c r="E50" s="230"/>
      <c r="F50" s="1474"/>
      <c r="G50" s="1474"/>
      <c r="H50" s="413"/>
      <c r="I50" s="832"/>
      <c r="J50" s="832"/>
      <c r="K50" s="230"/>
      <c r="L50" s="1474"/>
      <c r="M50" s="1474"/>
      <c r="N50" s="365"/>
      <c r="O50" s="146"/>
      <c r="P50" s="831"/>
      <c r="Q50" s="6"/>
      <c r="R50" s="6"/>
      <c r="S50" s="52">
        <f>IF(AND(O63&gt;0,O63&lt;0.01),0.01,ROUND(O63,2))</f>
        <v>0</v>
      </c>
      <c r="T50" s="84">
        <f>LARGE($S$47:$S$54,4)</f>
        <v>0</v>
      </c>
      <c r="U50" s="12">
        <f t="shared" si="2"/>
        <v>0</v>
      </c>
      <c r="V50" s="52">
        <f t="shared" si="1"/>
        <v>0</v>
      </c>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row>
    <row r="51" spans="2:158" ht="15" customHeight="1" x14ac:dyDescent="0.2">
      <c r="B51" s="1466"/>
      <c r="C51" s="914">
        <v>0.21</v>
      </c>
      <c r="D51" s="914"/>
      <c r="E51" s="18" t="s">
        <v>1754</v>
      </c>
      <c r="F51" s="914">
        <f>SUMIF($T$39:$AH$39,F50,$T$40:$AH$40)</f>
        <v>0</v>
      </c>
      <c r="G51" s="914"/>
      <c r="H51" s="160" t="s">
        <v>1755</v>
      </c>
      <c r="I51" s="914">
        <v>0.21</v>
      </c>
      <c r="J51" s="914"/>
      <c r="K51" s="18" t="s">
        <v>1754</v>
      </c>
      <c r="L51" s="914">
        <f>SUMIF($T$39:$AH$39,L50,$T$40:$AH$40)</f>
        <v>0</v>
      </c>
      <c r="M51" s="914"/>
      <c r="N51" s="160" t="s">
        <v>1756</v>
      </c>
      <c r="O51" s="240" t="str">
        <f>IF(F50="","",IF(C51*F51-I51*L51&lt;=0,"",C51*F51-I51*L51))</f>
        <v/>
      </c>
      <c r="P51" s="831"/>
      <c r="Q51" s="6"/>
      <c r="R51" s="6"/>
      <c r="S51" s="52">
        <f>IF(AND(O65&gt;0,O65&lt;0.01),0.01,ROUND(O65,2))</f>
        <v>0</v>
      </c>
      <c r="T51" s="84">
        <f>LARGE($S$47:$S$54,5)</f>
        <v>0</v>
      </c>
      <c r="U51" s="12">
        <f t="shared" si="2"/>
        <v>0</v>
      </c>
      <c r="V51" s="52">
        <f t="shared" si="1"/>
        <v>0</v>
      </c>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row>
    <row r="52" spans="2:158" ht="15" customHeight="1" x14ac:dyDescent="0.2">
      <c r="B52" s="1465" t="s">
        <v>1773</v>
      </c>
      <c r="C52" s="832"/>
      <c r="D52" s="832"/>
      <c r="E52" s="230"/>
      <c r="F52" s="1474"/>
      <c r="G52" s="1474"/>
      <c r="H52" s="413"/>
      <c r="I52" s="832"/>
      <c r="J52" s="832"/>
      <c r="K52" s="230"/>
      <c r="L52" s="1474"/>
      <c r="M52" s="1474"/>
      <c r="N52" s="365"/>
      <c r="O52" s="146"/>
      <c r="P52" s="831"/>
      <c r="Q52" s="6"/>
      <c r="R52" s="6"/>
      <c r="S52" s="52">
        <f>IF(AND(O72&gt;0,O72&lt;0.01),0.01,ROUND(O72,2))</f>
        <v>0</v>
      </c>
      <c r="T52" s="84">
        <f>LARGE($S$47:$S$54,6)</f>
        <v>0</v>
      </c>
      <c r="U52" s="12">
        <f t="shared" si="2"/>
        <v>0</v>
      </c>
      <c r="V52" s="52">
        <f t="shared" si="1"/>
        <v>0</v>
      </c>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row>
    <row r="53" spans="2:158" ht="15" customHeight="1" x14ac:dyDescent="0.2">
      <c r="B53" s="1466"/>
      <c r="C53" s="914">
        <v>0.21</v>
      </c>
      <c r="D53" s="914"/>
      <c r="E53" s="18" t="s">
        <v>1754</v>
      </c>
      <c r="F53" s="914">
        <f>SUMIF($T$39:$AH$39,F52,$T$40:$AH$40)</f>
        <v>0</v>
      </c>
      <c r="G53" s="914"/>
      <c r="H53" s="160" t="s">
        <v>1755</v>
      </c>
      <c r="I53" s="914">
        <v>0.21</v>
      </c>
      <c r="J53" s="914"/>
      <c r="K53" s="18" t="s">
        <v>1754</v>
      </c>
      <c r="L53" s="914">
        <f>SUMIF($T$39:$AH$39,L52,$T$40:$AH$40)</f>
        <v>0</v>
      </c>
      <c r="M53" s="914"/>
      <c r="N53" s="160" t="s">
        <v>1756</v>
      </c>
      <c r="O53" s="240" t="str">
        <f>IF(F52="","",IF(C53*F53-I53*L53&lt;=0,"",C53*F53-I53*L53))</f>
        <v/>
      </c>
      <c r="P53" s="831"/>
      <c r="Q53" s="6"/>
      <c r="R53" s="6"/>
      <c r="S53" s="52">
        <f>IF(AND(O81&gt;0,O81&lt;0.01),0.01,ROUND(O81,2))</f>
        <v>0</v>
      </c>
      <c r="T53" s="84">
        <f>LARGE($S$47:$S$54,7)</f>
        <v>0</v>
      </c>
      <c r="U53" s="12">
        <f t="shared" si="2"/>
        <v>0</v>
      </c>
      <c r="V53" s="52">
        <f t="shared" si="1"/>
        <v>0</v>
      </c>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row>
    <row r="54" spans="2:158" ht="29.25" customHeight="1" x14ac:dyDescent="0.2">
      <c r="B54" s="267" t="s">
        <v>1361</v>
      </c>
      <c r="C54" s="1487" t="str">
        <f>IF(AND(O45&lt;&gt;"",S44=1),"ERROR: Record strength for 'Overall' or specific muscles, not both.","")</f>
        <v/>
      </c>
      <c r="D54" s="1487"/>
      <c r="E54" s="1487"/>
      <c r="F54" s="1487"/>
      <c r="G54" s="1487"/>
      <c r="H54" s="1487"/>
      <c r="I54" s="1487"/>
      <c r="J54" s="1487"/>
      <c r="K54" s="1487"/>
      <c r="L54" s="1487"/>
      <c r="M54" s="1487"/>
      <c r="N54" s="160" t="s">
        <v>1756</v>
      </c>
      <c r="O54" s="239">
        <f>IF(C54&lt;&gt;"","ERROR",IF(AND(O45="",O47="",O49="",O51="",O53=""),0,AVERAGE(O45,O47,O49,O51,O53)))</f>
        <v>0</v>
      </c>
      <c r="P54" s="831"/>
      <c r="Q54" s="6"/>
      <c r="R54" s="6"/>
      <c r="S54" s="52">
        <f>IF(AND(O83&gt;0,O83&lt;0.01),0.01,ROUND(O83,2))</f>
        <v>0</v>
      </c>
      <c r="T54" s="84">
        <f>LARGE($S$47:$S$54,8)</f>
        <v>0</v>
      </c>
      <c r="U54" s="77"/>
      <c r="V54" s="108"/>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row>
    <row r="55" spans="2:158" ht="15" customHeight="1" x14ac:dyDescent="0.2">
      <c r="B55" s="415" t="s">
        <v>1357</v>
      </c>
      <c r="C55" s="832"/>
      <c r="D55" s="832"/>
      <c r="E55" s="230"/>
      <c r="F55" s="1474"/>
      <c r="G55" s="1474"/>
      <c r="H55" s="413"/>
      <c r="I55" s="832"/>
      <c r="J55" s="832"/>
      <c r="K55" s="230"/>
      <c r="L55" s="1474"/>
      <c r="M55" s="1474"/>
      <c r="N55" s="413"/>
      <c r="O55" s="230"/>
      <c r="P55" s="831"/>
      <c r="Q55" s="6"/>
      <c r="R55" s="6"/>
      <c r="S55" s="108"/>
      <c r="T55" s="33"/>
      <c r="U55" s="77"/>
      <c r="V55" s="108"/>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row>
    <row r="56" spans="2:158" ht="15" customHeight="1" x14ac:dyDescent="0.2">
      <c r="B56" s="414" t="s">
        <v>985</v>
      </c>
      <c r="C56" s="914">
        <v>0.03</v>
      </c>
      <c r="D56" s="914"/>
      <c r="E56" s="18" t="s">
        <v>1754</v>
      </c>
      <c r="F56" s="914">
        <f>SUMIF($T$39:$AH$39,F55,$T$40:$AH$40)</f>
        <v>0</v>
      </c>
      <c r="G56" s="914"/>
      <c r="H56" s="160" t="s">
        <v>1755</v>
      </c>
      <c r="I56" s="914">
        <v>0.03</v>
      </c>
      <c r="J56" s="914"/>
      <c r="K56" s="18" t="s">
        <v>1754</v>
      </c>
      <c r="L56" s="914">
        <f>SUMIF($T$39:$AH$39,L55,$T$40:$AH$40)</f>
        <v>0</v>
      </c>
      <c r="M56" s="914"/>
      <c r="N56" s="160" t="s">
        <v>1756</v>
      </c>
      <c r="O56" s="239" t="str">
        <f>IF(F55="","",IF(C56*F56-I56*L56&lt;=0,"",C56*F56-I56*L56))</f>
        <v/>
      </c>
      <c r="P56" s="831"/>
      <c r="Q56" s="6"/>
      <c r="R56" s="6"/>
      <c r="S56" s="108"/>
      <c r="T56" s="33"/>
      <c r="U56" s="77"/>
      <c r="V56" s="108"/>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row>
    <row r="57" spans="2:158" ht="15" customHeight="1" x14ac:dyDescent="0.2">
      <c r="B57" s="1465" t="s">
        <v>621</v>
      </c>
      <c r="C57" s="832"/>
      <c r="D57" s="832"/>
      <c r="E57" s="230"/>
      <c r="F57" s="1474"/>
      <c r="G57" s="1474"/>
      <c r="H57" s="413"/>
      <c r="I57" s="832"/>
      <c r="J57" s="832"/>
      <c r="K57" s="230"/>
      <c r="L57" s="1474"/>
      <c r="M57" s="1474"/>
      <c r="N57" s="365"/>
      <c r="O57" s="13"/>
      <c r="P57" s="831"/>
      <c r="Q57" s="6"/>
      <c r="R57" s="108"/>
      <c r="S57" s="33"/>
      <c r="T57" s="77"/>
      <c r="U57" s="108"/>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row>
    <row r="58" spans="2:158" ht="15" customHeight="1" x14ac:dyDescent="0.2">
      <c r="B58" s="1466"/>
      <c r="C58" s="914">
        <v>0.03</v>
      </c>
      <c r="D58" s="914"/>
      <c r="E58" s="18" t="s">
        <v>1754</v>
      </c>
      <c r="F58" s="914">
        <f>SUMIF($T$39:$AH$39,F57,$T$40:$AH$40)</f>
        <v>0</v>
      </c>
      <c r="G58" s="914"/>
      <c r="H58" s="160" t="s">
        <v>1755</v>
      </c>
      <c r="I58" s="914">
        <v>0.03</v>
      </c>
      <c r="J58" s="914"/>
      <c r="K58" s="18" t="s">
        <v>1754</v>
      </c>
      <c r="L58" s="914">
        <f>SUMIF($T$39:$AH$39,L57,$T$40:$AH$40)</f>
        <v>0</v>
      </c>
      <c r="M58" s="914"/>
      <c r="N58" s="160" t="s">
        <v>1756</v>
      </c>
      <c r="O58" s="239" t="str">
        <f>IF(F57="","",IF(C58*F58-I58*L58&lt;=0,"",C58*F58-I58*L58))</f>
        <v/>
      </c>
      <c r="P58" s="831"/>
      <c r="Q58" s="6"/>
      <c r="R58" s="108"/>
      <c r="S58" s="33"/>
      <c r="T58" s="77"/>
      <c r="U58" s="108"/>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row>
    <row r="59" spans="2:158" ht="15" customHeight="1" x14ac:dyDescent="0.2">
      <c r="B59" s="1465" t="s">
        <v>622</v>
      </c>
      <c r="C59" s="832"/>
      <c r="D59" s="832"/>
      <c r="E59" s="230"/>
      <c r="F59" s="1474"/>
      <c r="G59" s="1474"/>
      <c r="H59" s="413"/>
      <c r="I59" s="832"/>
      <c r="J59" s="832"/>
      <c r="K59" s="230"/>
      <c r="L59" s="1474"/>
      <c r="M59" s="1474"/>
      <c r="N59" s="365"/>
      <c r="O59" s="13"/>
      <c r="P59" s="831"/>
      <c r="Q59" s="6"/>
      <c r="R59" s="108"/>
      <c r="S59" s="33"/>
      <c r="T59" s="77"/>
      <c r="U59" s="108"/>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row>
    <row r="60" spans="2:158" ht="15" customHeight="1" x14ac:dyDescent="0.2">
      <c r="B60" s="1466"/>
      <c r="C60" s="914">
        <v>0.03</v>
      </c>
      <c r="D60" s="914"/>
      <c r="E60" s="18" t="s">
        <v>1754</v>
      </c>
      <c r="F60" s="914">
        <f>SUMIF($T$39:$AH$39,F57,$T$40:$AH$40)</f>
        <v>0</v>
      </c>
      <c r="G60" s="914"/>
      <c r="H60" s="160" t="s">
        <v>1755</v>
      </c>
      <c r="I60" s="914">
        <v>0.03</v>
      </c>
      <c r="J60" s="914"/>
      <c r="K60" s="18" t="s">
        <v>1754</v>
      </c>
      <c r="L60" s="914">
        <f>SUMIF($T$39:$AH$39,L59,$T$40:$AH$40)</f>
        <v>0</v>
      </c>
      <c r="M60" s="914"/>
      <c r="N60" s="160" t="s">
        <v>1756</v>
      </c>
      <c r="O60" s="239" t="str">
        <f>IF(F59="","",IF(C60*F60-I60*L60&lt;=0,"",C60*F60-I60*L60))</f>
        <v/>
      </c>
      <c r="P60" s="831"/>
      <c r="Q60" s="6"/>
      <c r="R60" s="108"/>
      <c r="S60" s="33"/>
      <c r="T60" s="77"/>
      <c r="U60" s="108"/>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row>
    <row r="61" spans="2:158" ht="15" customHeight="1" x14ac:dyDescent="0.2">
      <c r="B61" s="1465" t="s">
        <v>623</v>
      </c>
      <c r="C61" s="832"/>
      <c r="D61" s="832"/>
      <c r="E61" s="230"/>
      <c r="F61" s="1474"/>
      <c r="G61" s="1474"/>
      <c r="H61" s="413"/>
      <c r="I61" s="832"/>
      <c r="J61" s="832"/>
      <c r="K61" s="230"/>
      <c r="L61" s="1474"/>
      <c r="M61" s="1474"/>
      <c r="N61" s="365"/>
      <c r="O61" s="13"/>
      <c r="P61" s="831"/>
      <c r="Q61" s="6"/>
      <c r="R61" s="108"/>
      <c r="S61" s="33"/>
      <c r="T61" s="77"/>
      <c r="U61" s="108"/>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row>
    <row r="62" spans="2:158" ht="15" customHeight="1" x14ac:dyDescent="0.2">
      <c r="B62" s="1466"/>
      <c r="C62" s="914">
        <v>0.03</v>
      </c>
      <c r="D62" s="914"/>
      <c r="E62" s="18" t="s">
        <v>1754</v>
      </c>
      <c r="F62" s="914">
        <f>SUMIF($T$39:$AH$39,F61,$T$40:$AH$40)</f>
        <v>0</v>
      </c>
      <c r="G62" s="914"/>
      <c r="H62" s="160" t="s">
        <v>1755</v>
      </c>
      <c r="I62" s="914">
        <v>0.03</v>
      </c>
      <c r="J62" s="914"/>
      <c r="K62" s="18" t="s">
        <v>1754</v>
      </c>
      <c r="L62" s="914">
        <f>SUMIF($T$39:$AH$39,L61,$T$40:$AH$40)</f>
        <v>0</v>
      </c>
      <c r="M62" s="914"/>
      <c r="N62" s="160" t="s">
        <v>1756</v>
      </c>
      <c r="O62" s="239" t="str">
        <f>IF(F61="","",IF(C62*F62-I62*L62&lt;=0,"",C62*F62-I62*L62))</f>
        <v/>
      </c>
      <c r="P62" s="831"/>
      <c r="Q62" s="6"/>
      <c r="R62" s="108"/>
      <c r="S62" s="33"/>
      <c r="T62" s="77"/>
      <c r="U62" s="108"/>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row>
    <row r="63" spans="2:158" ht="30" customHeight="1" x14ac:dyDescent="0.2">
      <c r="B63" s="267" t="s">
        <v>1524</v>
      </c>
      <c r="C63" s="1487" t="str">
        <f>IF(AND(O56&lt;&gt;"",T44=1),"ERROR: Record strength for 'Overall' or specific muscles, not both.","")</f>
        <v/>
      </c>
      <c r="D63" s="1487"/>
      <c r="E63" s="1487"/>
      <c r="F63" s="1487"/>
      <c r="G63" s="1487"/>
      <c r="H63" s="1487"/>
      <c r="I63" s="1487"/>
      <c r="J63" s="1487"/>
      <c r="K63" s="1487"/>
      <c r="L63" s="1487"/>
      <c r="M63" s="1487"/>
      <c r="N63" s="160" t="s">
        <v>1756</v>
      </c>
      <c r="O63" s="239">
        <f>IF(C63&lt;&gt;"","ERROR",IF(AND(O56="",O58="",O60="",O62=""),0,AVERAGE(O56,O58,O60,O62)))</f>
        <v>0</v>
      </c>
      <c r="P63" s="831"/>
      <c r="Q63" s="6"/>
      <c r="R63" s="108"/>
      <c r="S63" s="33"/>
      <c r="T63" s="77"/>
      <c r="U63" s="108"/>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row>
    <row r="64" spans="2:158" ht="15" customHeight="1" x14ac:dyDescent="0.2">
      <c r="B64" s="416" t="s">
        <v>543</v>
      </c>
      <c r="C64" s="832"/>
      <c r="D64" s="832"/>
      <c r="E64" s="230"/>
      <c r="F64" s="1474"/>
      <c r="G64" s="1474"/>
      <c r="H64" s="413"/>
      <c r="I64" s="832"/>
      <c r="J64" s="832"/>
      <c r="K64" s="230"/>
      <c r="L64" s="1474"/>
      <c r="M64" s="1474"/>
      <c r="N64" s="413"/>
      <c r="O64" s="230"/>
      <c r="P64" s="831"/>
      <c r="Q64" s="6"/>
      <c r="R64" s="108"/>
      <c r="S64" s="33"/>
      <c r="T64" s="77"/>
      <c r="U64" s="108"/>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row>
    <row r="65" spans="2:158" ht="15" customHeight="1" x14ac:dyDescent="0.2">
      <c r="B65" s="417" t="s">
        <v>624</v>
      </c>
      <c r="C65" s="914">
        <v>0.09</v>
      </c>
      <c r="D65" s="914"/>
      <c r="E65" s="18" t="s">
        <v>1754</v>
      </c>
      <c r="F65" s="914">
        <f>SUMIF($T$39:$AH$39,F64,$T$40:$AH$40)</f>
        <v>0</v>
      </c>
      <c r="G65" s="914"/>
      <c r="H65" s="160" t="s">
        <v>1755</v>
      </c>
      <c r="I65" s="914">
        <v>0.09</v>
      </c>
      <c r="J65" s="914"/>
      <c r="K65" s="18" t="s">
        <v>1754</v>
      </c>
      <c r="L65" s="914">
        <f>SUMIF($T$39:$AH$39,L64,$T$40:$AH$40)</f>
        <v>0</v>
      </c>
      <c r="M65" s="914"/>
      <c r="N65" s="160" t="s">
        <v>1756</v>
      </c>
      <c r="O65" s="239">
        <f>IF(C65*F65-I65*L65&lt;0,0,C65*F65-I65*L65)</f>
        <v>0</v>
      </c>
      <c r="P65" s="831"/>
      <c r="Q65" s="6"/>
      <c r="R65" s="108"/>
      <c r="S65" s="33"/>
      <c r="T65" s="77"/>
      <c r="U65" s="108"/>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row>
    <row r="66" spans="2:158" ht="15" customHeight="1" x14ac:dyDescent="0.2">
      <c r="B66" s="415" t="s">
        <v>1355</v>
      </c>
      <c r="C66" s="832"/>
      <c r="D66" s="832"/>
      <c r="E66" s="230"/>
      <c r="F66" s="1474"/>
      <c r="G66" s="1474"/>
      <c r="H66" s="413"/>
      <c r="I66" s="832"/>
      <c r="J66" s="832"/>
      <c r="K66" s="230"/>
      <c r="L66" s="1474"/>
      <c r="M66" s="1474"/>
      <c r="N66" s="413"/>
      <c r="O66" s="85"/>
      <c r="P66" s="831"/>
      <c r="Q66" s="6"/>
      <c r="R66" s="108"/>
      <c r="S66" s="33"/>
      <c r="T66" s="77"/>
      <c r="U66" s="108"/>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row>
    <row r="67" spans="2:158" ht="15" customHeight="1" x14ac:dyDescent="0.2">
      <c r="B67" s="414" t="s">
        <v>1356</v>
      </c>
      <c r="C67" s="914">
        <v>0.03</v>
      </c>
      <c r="D67" s="914"/>
      <c r="E67" s="18" t="s">
        <v>1754</v>
      </c>
      <c r="F67" s="914">
        <f>SUMIF($T$39:$AH$39,F66,$T$40:$AH$40)</f>
        <v>0</v>
      </c>
      <c r="G67" s="914"/>
      <c r="H67" s="160" t="s">
        <v>1755</v>
      </c>
      <c r="I67" s="914">
        <v>0.03</v>
      </c>
      <c r="J67" s="914"/>
      <c r="K67" s="18" t="s">
        <v>1754</v>
      </c>
      <c r="L67" s="914">
        <f>SUMIF($T$39:$AH$39,L66,$T$40:$AH$40)</f>
        <v>0</v>
      </c>
      <c r="M67" s="914"/>
      <c r="N67" s="160" t="s">
        <v>1756</v>
      </c>
      <c r="O67" s="239" t="str">
        <f>IF(F66="","",IF(C67*F67-I67*L67&lt;=0,"",C67*F67-I67*L67))</f>
        <v/>
      </c>
      <c r="P67" s="831"/>
      <c r="Q67" s="6"/>
      <c r="R67" s="108"/>
      <c r="S67" s="33"/>
      <c r="T67" s="77"/>
      <c r="U67" s="108"/>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row>
    <row r="68" spans="2:158" ht="15" customHeight="1" x14ac:dyDescent="0.2">
      <c r="B68" s="1465" t="s">
        <v>625</v>
      </c>
      <c r="C68" s="832"/>
      <c r="D68" s="832"/>
      <c r="E68" s="230"/>
      <c r="F68" s="1474"/>
      <c r="G68" s="1474"/>
      <c r="H68" s="413"/>
      <c r="I68" s="832"/>
      <c r="J68" s="832"/>
      <c r="K68" s="230"/>
      <c r="L68" s="1474"/>
      <c r="M68" s="1474"/>
      <c r="N68" s="365"/>
      <c r="O68" s="13"/>
      <c r="P68" s="831"/>
      <c r="Q68" s="6"/>
      <c r="R68" s="108"/>
      <c r="S68" s="33"/>
      <c r="T68" s="77"/>
      <c r="U68" s="108"/>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row>
    <row r="69" spans="2:158" ht="15" customHeight="1" x14ac:dyDescent="0.2">
      <c r="B69" s="1466"/>
      <c r="C69" s="914">
        <v>0.03</v>
      </c>
      <c r="D69" s="914"/>
      <c r="E69" s="18" t="s">
        <v>1754</v>
      </c>
      <c r="F69" s="914">
        <f>SUMIF($T$39:$AH$39,F68,$T$40:$AH$40)</f>
        <v>0</v>
      </c>
      <c r="G69" s="914"/>
      <c r="H69" s="160" t="s">
        <v>1755</v>
      </c>
      <c r="I69" s="914">
        <v>0.03</v>
      </c>
      <c r="J69" s="914"/>
      <c r="K69" s="18" t="s">
        <v>1754</v>
      </c>
      <c r="L69" s="914">
        <f>SUMIF($T$39:$AH$39,L68,$T$40:$AH$40)</f>
        <v>0</v>
      </c>
      <c r="M69" s="914"/>
      <c r="N69" s="160" t="s">
        <v>1756</v>
      </c>
      <c r="O69" s="239" t="str">
        <f>IF(F68="","",IF(C69*F69-I69*L69&lt;=0,"",C69*F69-I69*L69))</f>
        <v/>
      </c>
      <c r="P69" s="831"/>
      <c r="Q69" s="6"/>
      <c r="R69" s="108"/>
      <c r="S69" s="33"/>
      <c r="T69" s="77"/>
      <c r="U69" s="108"/>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row>
    <row r="70" spans="2:158" ht="15" customHeight="1" x14ac:dyDescent="0.2">
      <c r="B70" s="1465" t="s">
        <v>626</v>
      </c>
      <c r="C70" s="832"/>
      <c r="D70" s="832"/>
      <c r="E70" s="230"/>
      <c r="F70" s="1474"/>
      <c r="G70" s="1474"/>
      <c r="H70" s="413"/>
      <c r="I70" s="832"/>
      <c r="J70" s="832"/>
      <c r="K70" s="230"/>
      <c r="L70" s="1474"/>
      <c r="M70" s="1474"/>
      <c r="N70" s="365"/>
      <c r="O70" s="13"/>
      <c r="P70" s="831"/>
      <c r="Q70" s="6"/>
      <c r="R70" s="108"/>
      <c r="S70" s="33"/>
      <c r="T70" s="77"/>
      <c r="U70" s="108"/>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row>
    <row r="71" spans="2:158" ht="15" customHeight="1" x14ac:dyDescent="0.2">
      <c r="B71" s="1466"/>
      <c r="C71" s="914">
        <v>0.03</v>
      </c>
      <c r="D71" s="914"/>
      <c r="E71" s="18" t="s">
        <v>1754</v>
      </c>
      <c r="F71" s="914">
        <f>SUMIF($T$39:$AH$39,F70,$T$40:$AH$40)</f>
        <v>0</v>
      </c>
      <c r="G71" s="914"/>
      <c r="H71" s="160" t="s">
        <v>1755</v>
      </c>
      <c r="I71" s="914">
        <v>0.03</v>
      </c>
      <c r="J71" s="914"/>
      <c r="K71" s="18" t="s">
        <v>1754</v>
      </c>
      <c r="L71" s="914">
        <f>SUMIF($T$39:$AH$39,L70,$T$40:$AH$40)</f>
        <v>0</v>
      </c>
      <c r="M71" s="914"/>
      <c r="N71" s="160" t="s">
        <v>1756</v>
      </c>
      <c r="O71" s="239" t="str">
        <f>IF(F70="","",IF(C71*F71-I71*L71&lt;=0,"",C71*F71-I71*L71))</f>
        <v/>
      </c>
      <c r="P71" s="831"/>
      <c r="Q71" s="6"/>
      <c r="R71" s="108"/>
      <c r="S71" s="33"/>
      <c r="T71" s="77"/>
      <c r="U71" s="108"/>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row>
    <row r="72" spans="2:158" ht="30" customHeight="1" x14ac:dyDescent="0.2">
      <c r="B72" s="267" t="s">
        <v>1364</v>
      </c>
      <c r="C72" s="1494" t="str">
        <f>IF(AND(O67&lt;&gt;"",U44=1),"ERROR: Record strength for 'Overall' or specific muscles, not both.","")</f>
        <v/>
      </c>
      <c r="D72" s="1494"/>
      <c r="E72" s="1494"/>
      <c r="F72" s="1494"/>
      <c r="G72" s="1494"/>
      <c r="H72" s="1494"/>
      <c r="I72" s="1494"/>
      <c r="J72" s="1494"/>
      <c r="K72" s="1494"/>
      <c r="L72" s="1494"/>
      <c r="M72" s="1494"/>
      <c r="N72" s="279" t="s">
        <v>1756</v>
      </c>
      <c r="O72" s="280">
        <f>IF(C72&lt;&gt;"","ERROR",IF(AND(O67="",O69="",O71=""),0,AVERAGE(O67,O69,O71)))</f>
        <v>0</v>
      </c>
      <c r="P72" s="832"/>
      <c r="Q72" s="6"/>
      <c r="R72" s="108"/>
      <c r="S72" s="33"/>
      <c r="T72" s="77"/>
      <c r="U72" s="108"/>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row>
    <row r="73" spans="2:158" ht="11.25" customHeight="1" x14ac:dyDescent="0.2">
      <c r="B73" s="1324"/>
      <c r="C73" s="1496"/>
      <c r="D73" s="1496"/>
      <c r="E73" s="1496"/>
      <c r="F73" s="1496"/>
      <c r="G73" s="1496"/>
      <c r="H73" s="1496"/>
      <c r="I73" s="1496"/>
      <c r="J73" s="1496"/>
      <c r="K73" s="1496"/>
      <c r="L73" s="1496"/>
      <c r="M73" s="1496"/>
      <c r="N73" s="1496"/>
      <c r="O73" s="1496"/>
      <c r="P73" s="1323"/>
      <c r="Q73" s="6"/>
      <c r="R73" s="108"/>
      <c r="S73" s="33"/>
      <c r="T73" s="77"/>
      <c r="U73" s="108"/>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row>
    <row r="74" spans="2:158" ht="11.25" customHeight="1" x14ac:dyDescent="0.2">
      <c r="B74" s="1326"/>
      <c r="C74" s="1326"/>
      <c r="D74" s="1326"/>
      <c r="E74" s="1326"/>
      <c r="F74" s="1326"/>
      <c r="G74" s="1326"/>
      <c r="H74" s="1326"/>
      <c r="I74" s="1326"/>
      <c r="J74" s="1326"/>
      <c r="K74" s="1326"/>
      <c r="L74" s="1326"/>
      <c r="M74" s="1326"/>
      <c r="N74" s="1326"/>
      <c r="O74" s="1326"/>
      <c r="P74" s="1326"/>
      <c r="Q74" s="6"/>
      <c r="R74" s="108"/>
      <c r="S74" s="33"/>
      <c r="T74" s="77"/>
      <c r="U74" s="108"/>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row>
    <row r="75" spans="2:158" ht="15" customHeight="1" x14ac:dyDescent="0.2">
      <c r="B75" s="411" t="s">
        <v>1362</v>
      </c>
      <c r="C75" s="832"/>
      <c r="D75" s="832"/>
      <c r="E75" s="230"/>
      <c r="F75" s="1474"/>
      <c r="G75" s="1474"/>
      <c r="H75" s="413"/>
      <c r="I75" s="832"/>
      <c r="J75" s="832"/>
      <c r="K75" s="230"/>
      <c r="L75" s="1474"/>
      <c r="M75" s="1474"/>
      <c r="N75" s="413"/>
      <c r="O75" s="85"/>
      <c r="P75" s="831"/>
      <c r="Q75" s="6"/>
      <c r="R75" s="108"/>
      <c r="S75" s="33"/>
      <c r="T75" s="77"/>
      <c r="U75" s="108"/>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row>
    <row r="76" spans="2:158" ht="15" customHeight="1" x14ac:dyDescent="0.2">
      <c r="B76" s="414" t="s">
        <v>985</v>
      </c>
      <c r="C76" s="914">
        <v>0.09</v>
      </c>
      <c r="D76" s="914"/>
      <c r="E76" s="18" t="s">
        <v>1754</v>
      </c>
      <c r="F76" s="914">
        <f>SUMIF($T$39:$AH$39,F75,$T$40:$AH$40)</f>
        <v>0</v>
      </c>
      <c r="G76" s="914"/>
      <c r="H76" s="160" t="s">
        <v>1755</v>
      </c>
      <c r="I76" s="914">
        <v>0.09</v>
      </c>
      <c r="J76" s="914"/>
      <c r="K76" s="18" t="s">
        <v>1754</v>
      </c>
      <c r="L76" s="914">
        <f>SUMIF($T$39:$AH$39,L75,$T$40:$AH$40)</f>
        <v>0</v>
      </c>
      <c r="M76" s="914"/>
      <c r="N76" s="160" t="s">
        <v>1756</v>
      </c>
      <c r="O76" s="239" t="str">
        <f>IF(F75="","",IF(C76*F76-I76*L76&lt;=0,"",C76*F76-I76*L76))</f>
        <v/>
      </c>
      <c r="P76" s="831"/>
      <c r="Q76" s="6"/>
      <c r="R76" s="108"/>
      <c r="S76" s="33"/>
      <c r="T76" s="77"/>
      <c r="U76" s="108"/>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row>
    <row r="77" spans="2:158" ht="15" customHeight="1" x14ac:dyDescent="0.2">
      <c r="B77" s="1465" t="s">
        <v>215</v>
      </c>
      <c r="C77" s="832"/>
      <c r="D77" s="832"/>
      <c r="E77" s="230"/>
      <c r="F77" s="1474"/>
      <c r="G77" s="1474"/>
      <c r="H77" s="413"/>
      <c r="I77" s="832"/>
      <c r="J77" s="832"/>
      <c r="K77" s="230"/>
      <c r="L77" s="1474"/>
      <c r="M77" s="1474"/>
      <c r="N77" s="365"/>
      <c r="O77" s="13"/>
      <c r="P77" s="831"/>
      <c r="Q77" s="6"/>
      <c r="R77" s="108"/>
      <c r="S77" s="33"/>
      <c r="T77" s="77"/>
      <c r="U77" s="108"/>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row>
    <row r="78" spans="2:158" ht="15" customHeight="1" x14ac:dyDescent="0.2">
      <c r="B78" s="1466"/>
      <c r="C78" s="914">
        <v>0.09</v>
      </c>
      <c r="D78" s="914"/>
      <c r="E78" s="18" t="s">
        <v>1754</v>
      </c>
      <c r="F78" s="914">
        <f>SUMIF($T$39:$AH$39,F77,$T$40:$AH$40)</f>
        <v>0</v>
      </c>
      <c r="G78" s="914"/>
      <c r="H78" s="160" t="s">
        <v>1755</v>
      </c>
      <c r="I78" s="914">
        <v>0.09</v>
      </c>
      <c r="J78" s="914"/>
      <c r="K78" s="18" t="s">
        <v>1754</v>
      </c>
      <c r="L78" s="914">
        <f>SUMIF($T$39:$AH$39,L77,$T$40:$AH$40)</f>
        <v>0</v>
      </c>
      <c r="M78" s="914"/>
      <c r="N78" s="160" t="s">
        <v>1756</v>
      </c>
      <c r="O78" s="239" t="str">
        <f>IF(F77="","",IF(C78*F78-I78*L78&lt;=0,"",C78*F78-I78*L78))</f>
        <v/>
      </c>
      <c r="P78" s="831"/>
      <c r="Q78" s="6"/>
      <c r="R78" s="108"/>
      <c r="S78" s="33"/>
      <c r="T78" s="77"/>
      <c r="U78" s="108"/>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row>
    <row r="79" spans="2:158" ht="15" customHeight="1" x14ac:dyDescent="0.2">
      <c r="B79" s="1465" t="s">
        <v>216</v>
      </c>
      <c r="C79" s="832"/>
      <c r="D79" s="832"/>
      <c r="E79" s="230"/>
      <c r="F79" s="1474"/>
      <c r="G79" s="1474"/>
      <c r="H79" s="413"/>
      <c r="I79" s="832"/>
      <c r="J79" s="832"/>
      <c r="K79" s="230"/>
      <c r="L79" s="1474"/>
      <c r="M79" s="1474"/>
      <c r="N79" s="365"/>
      <c r="O79" s="13"/>
      <c r="P79" s="831"/>
      <c r="Q79" s="6"/>
      <c r="R79" s="108"/>
      <c r="S79" s="33"/>
      <c r="T79" s="77"/>
      <c r="U79" s="108"/>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row>
    <row r="80" spans="2:158" ht="15" customHeight="1" x14ac:dyDescent="0.2">
      <c r="B80" s="1466"/>
      <c r="C80" s="914">
        <v>0.09</v>
      </c>
      <c r="D80" s="914"/>
      <c r="E80" s="18" t="s">
        <v>1754</v>
      </c>
      <c r="F80" s="914">
        <f>SUMIF($T$39:$AH$39,F79,$T$40:$AH$40)</f>
        <v>0</v>
      </c>
      <c r="G80" s="914"/>
      <c r="H80" s="160" t="s">
        <v>1755</v>
      </c>
      <c r="I80" s="914">
        <v>0.09</v>
      </c>
      <c r="J80" s="914"/>
      <c r="K80" s="18" t="s">
        <v>1754</v>
      </c>
      <c r="L80" s="914">
        <f>SUMIF($T$39:$AH$39,L79,$T$40:$AH$40)</f>
        <v>0</v>
      </c>
      <c r="M80" s="914"/>
      <c r="N80" s="160" t="s">
        <v>1756</v>
      </c>
      <c r="O80" s="239" t="str">
        <f>IF(F79="","",IF(C80*F80-I80*L80&lt;=0,"",C80*F80-I80*L80))</f>
        <v/>
      </c>
      <c r="P80" s="831"/>
      <c r="Q80" s="6"/>
      <c r="R80" s="108"/>
      <c r="S80" s="33"/>
      <c r="T80" s="77"/>
      <c r="U80" s="108"/>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row>
    <row r="81" spans="1:158" ht="36" customHeight="1" x14ac:dyDescent="0.2">
      <c r="B81" s="267" t="s">
        <v>1696</v>
      </c>
      <c r="C81" s="1487" t="str">
        <f>IF(AND(O76&lt;&gt;"",V44=1),"ERROR: Record strength for 'Overall' or specific muscles, not both.","")</f>
        <v/>
      </c>
      <c r="D81" s="1487"/>
      <c r="E81" s="1487"/>
      <c r="F81" s="1487"/>
      <c r="G81" s="1487"/>
      <c r="H81" s="1487"/>
      <c r="I81" s="1487"/>
      <c r="J81" s="1487"/>
      <c r="K81" s="1487"/>
      <c r="L81" s="1487"/>
      <c r="M81" s="1487"/>
      <c r="N81" s="160" t="s">
        <v>1756</v>
      </c>
      <c r="O81" s="239">
        <f>IF(C81&lt;&gt;"","ERROR",IF(AND(O76="",O78="",O80=""),0,AVERAGE(O76,O78,O80)))</f>
        <v>0</v>
      </c>
      <c r="P81" s="831"/>
      <c r="Q81" s="6"/>
      <c r="R81" s="108"/>
      <c r="S81" s="33"/>
      <c r="T81" s="77"/>
      <c r="U81" s="108"/>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row>
    <row r="82" spans="1:158" ht="15" customHeight="1" x14ac:dyDescent="0.2">
      <c r="B82" s="415" t="s">
        <v>1363</v>
      </c>
      <c r="C82" s="832"/>
      <c r="D82" s="832"/>
      <c r="E82" s="230"/>
      <c r="F82" s="1474"/>
      <c r="G82" s="1474"/>
      <c r="H82" s="413"/>
      <c r="I82" s="832"/>
      <c r="J82" s="832"/>
      <c r="K82" s="230"/>
      <c r="L82" s="1474"/>
      <c r="M82" s="1474"/>
      <c r="N82" s="413"/>
      <c r="O82" s="230"/>
      <c r="P82" s="831"/>
      <c r="Q82" s="6"/>
      <c r="R82" s="108"/>
      <c r="S82" s="33"/>
      <c r="T82" s="77"/>
      <c r="U82" s="108"/>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row>
    <row r="83" spans="1:158" ht="15" customHeight="1" x14ac:dyDescent="0.2">
      <c r="B83" s="414" t="s">
        <v>217</v>
      </c>
      <c r="C83" s="914">
        <v>0.06</v>
      </c>
      <c r="D83" s="914"/>
      <c r="E83" s="18" t="s">
        <v>1754</v>
      </c>
      <c r="F83" s="914">
        <f>SUMIF($T$39:$AH$39,F82,$T$40:$AH$40)</f>
        <v>0</v>
      </c>
      <c r="G83" s="914"/>
      <c r="H83" s="160" t="s">
        <v>1755</v>
      </c>
      <c r="I83" s="914">
        <v>0.06</v>
      </c>
      <c r="J83" s="914"/>
      <c r="K83" s="18" t="s">
        <v>1754</v>
      </c>
      <c r="L83" s="914">
        <f>SUMIF($T$39:$AH$39,L82,$T$40:$AH$40)</f>
        <v>0</v>
      </c>
      <c r="M83" s="914"/>
      <c r="N83" s="160" t="s">
        <v>1756</v>
      </c>
      <c r="O83" s="240">
        <f>IF(C83*F83-I83*L83&lt;0,0,C83*F83-I83*L83)</f>
        <v>0</v>
      </c>
      <c r="P83" s="832"/>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row>
    <row r="84" spans="1:158" ht="18" customHeight="1" x14ac:dyDescent="0.2">
      <c r="B84" s="956" t="s">
        <v>218</v>
      </c>
      <c r="C84" s="956"/>
      <c r="D84" s="956"/>
      <c r="E84" s="956"/>
      <c r="F84" s="956"/>
      <c r="G84" s="956"/>
      <c r="H84" s="956"/>
      <c r="I84" s="956"/>
      <c r="J84" s="956"/>
      <c r="K84" s="956"/>
      <c r="L84" s="956"/>
      <c r="M84" s="956"/>
      <c r="N84" s="956"/>
      <c r="O84" s="956"/>
      <c r="P84" s="245">
        <f>V53</f>
        <v>0</v>
      </c>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row>
    <row r="85" spans="1:158" ht="13.5" customHeight="1" x14ac:dyDescent="0.2">
      <c r="B85" s="1163"/>
      <c r="C85" s="1163"/>
      <c r="D85" s="1163"/>
      <c r="E85" s="1163"/>
      <c r="F85" s="1163"/>
      <c r="G85" s="1163"/>
      <c r="H85" s="1163"/>
      <c r="I85" s="1163"/>
      <c r="J85" s="1163"/>
      <c r="K85" s="1163"/>
      <c r="L85" s="1163"/>
      <c r="M85" s="1163"/>
      <c r="N85" s="1163"/>
      <c r="O85" s="1163"/>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row>
    <row r="86" spans="1:158" ht="20.25" customHeight="1" x14ac:dyDescent="0.2">
      <c r="B86" s="947" t="s">
        <v>583</v>
      </c>
      <c r="C86" s="863"/>
      <c r="D86" s="863"/>
      <c r="E86" s="863"/>
      <c r="F86" s="863"/>
      <c r="G86" s="863"/>
      <c r="H86" s="863"/>
      <c r="I86" s="863"/>
      <c r="J86" s="863"/>
      <c r="K86" s="863"/>
      <c r="L86" s="863"/>
      <c r="M86" s="863"/>
      <c r="N86" s="863"/>
      <c r="O86" s="863"/>
      <c r="P86" s="146"/>
      <c r="Q86" s="6"/>
      <c r="R86" s="761" t="s">
        <v>2216</v>
      </c>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row>
    <row r="87" spans="1:158" ht="41.25" customHeight="1" x14ac:dyDescent="0.2">
      <c r="B87" s="761" t="s">
        <v>594</v>
      </c>
      <c r="C87" s="761"/>
      <c r="D87" s="761"/>
      <c r="E87" s="761"/>
      <c r="F87" s="761"/>
      <c r="G87" s="761"/>
      <c r="H87" s="761"/>
      <c r="I87" s="761"/>
      <c r="J87" s="761"/>
      <c r="K87" s="761"/>
      <c r="L87" s="761"/>
      <c r="M87" s="761"/>
      <c r="N87" s="761"/>
      <c r="O87" s="761"/>
      <c r="P87" s="146"/>
      <c r="Q87" s="6"/>
      <c r="R87" s="761"/>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row>
    <row r="88" spans="1:158" ht="20.25" customHeight="1" x14ac:dyDescent="0.2">
      <c r="A88" s="15"/>
      <c r="B88" s="791" t="s">
        <v>932</v>
      </c>
      <c r="C88" s="791"/>
      <c r="D88" s="791"/>
      <c r="E88" s="791"/>
      <c r="F88" s="791"/>
      <c r="G88" s="791"/>
      <c r="H88" s="791"/>
      <c r="I88" s="791"/>
      <c r="J88" s="791"/>
      <c r="K88" s="1473"/>
      <c r="L88" s="1473"/>
      <c r="M88" s="1473"/>
      <c r="N88" s="1473"/>
      <c r="O88" s="1473"/>
      <c r="P88" s="21">
        <f>IF(R88=1,0.05,0)</f>
        <v>0</v>
      </c>
      <c r="Q88" s="6"/>
      <c r="R88" s="613">
        <v>2</v>
      </c>
      <c r="S88" s="6">
        <v>1E-4</v>
      </c>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row>
    <row r="89" spans="1:158" ht="13.5" customHeight="1" x14ac:dyDescent="0.2">
      <c r="B89" s="1163"/>
      <c r="C89" s="1163"/>
      <c r="D89" s="1163"/>
      <c r="E89" s="1163"/>
      <c r="F89" s="1163"/>
      <c r="G89" s="1163"/>
      <c r="H89" s="1163"/>
      <c r="I89" s="1163"/>
      <c r="J89" s="1163"/>
      <c r="K89" s="1163"/>
      <c r="L89" s="1163"/>
      <c r="M89" s="1163"/>
      <c r="N89" s="1163"/>
      <c r="O89" s="1163"/>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row>
    <row r="90" spans="1:158" ht="27" customHeight="1" x14ac:dyDescent="0.2">
      <c r="B90" s="864" t="s">
        <v>1736</v>
      </c>
      <c r="C90" s="865"/>
      <c r="D90" s="865"/>
      <c r="E90" s="865"/>
      <c r="F90" s="866"/>
      <c r="G90" s="907" t="s">
        <v>1495</v>
      </c>
      <c r="H90" s="911"/>
      <c r="I90" s="911"/>
      <c r="J90" s="911"/>
      <c r="K90" s="1467"/>
      <c r="L90" s="1468"/>
      <c r="M90" s="1468"/>
      <c r="N90" s="1468"/>
      <c r="O90" s="1469"/>
      <c r="P90" s="1488">
        <f>V97</f>
        <v>0</v>
      </c>
      <c r="Q90" s="6"/>
      <c r="S90" s="13" t="s">
        <v>1826</v>
      </c>
      <c r="T90" s="13" t="s">
        <v>1285</v>
      </c>
      <c r="U90" s="13" t="s">
        <v>1286</v>
      </c>
      <c r="V90" s="13" t="s">
        <v>1287</v>
      </c>
      <c r="W90" s="149" t="s">
        <v>498</v>
      </c>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row>
    <row r="91" spans="1:158" ht="21" customHeight="1" x14ac:dyDescent="0.2">
      <c r="B91" s="791" t="s">
        <v>1918</v>
      </c>
      <c r="C91" s="791"/>
      <c r="D91" s="791"/>
      <c r="E91" s="755">
        <f>P19</f>
        <v>0</v>
      </c>
      <c r="F91" s="755"/>
      <c r="G91" s="1497"/>
      <c r="H91" s="1498"/>
      <c r="I91" s="1483">
        <f t="shared" ref="I91:I98" si="3">IF(AND(W91&lt;0.01,W91&gt;0),0.01,ROUND(W91,2))</f>
        <v>0</v>
      </c>
      <c r="J91" s="1484"/>
      <c r="K91" s="1470"/>
      <c r="L91" s="1471"/>
      <c r="M91" s="1471"/>
      <c r="N91" s="1471"/>
      <c r="O91" s="1472"/>
      <c r="P91" s="1489"/>
      <c r="Q91" s="6"/>
      <c r="S91" s="205">
        <f t="shared" ref="S91:S98" si="4">IF(I91&gt;0,I91,E91)</f>
        <v>0</v>
      </c>
      <c r="T91" s="84">
        <f>LARGE($S$91:$S$98,1)</f>
        <v>0</v>
      </c>
      <c r="U91" s="12">
        <f>T91+T92*(1-T91)</f>
        <v>0</v>
      </c>
      <c r="V91" s="52">
        <f t="shared" ref="V91:V97" si="5">ROUND(U91,2)</f>
        <v>0</v>
      </c>
      <c r="W91" s="204">
        <f t="shared" ref="W91:W98" si="6">IF(G91&gt;0,E91*G91,0)</f>
        <v>0</v>
      </c>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row>
    <row r="92" spans="1:158" ht="21" customHeight="1" x14ac:dyDescent="0.2">
      <c r="B92" s="791" t="s">
        <v>219</v>
      </c>
      <c r="C92" s="791"/>
      <c r="D92" s="791"/>
      <c r="E92" s="755">
        <f>P22</f>
        <v>0</v>
      </c>
      <c r="F92" s="755"/>
      <c r="G92" s="1497"/>
      <c r="H92" s="1498"/>
      <c r="I92" s="1483">
        <f t="shared" si="3"/>
        <v>0</v>
      </c>
      <c r="J92" s="1484"/>
      <c r="K92" s="1470"/>
      <c r="L92" s="1471"/>
      <c r="M92" s="1471"/>
      <c r="N92" s="1471"/>
      <c r="O92" s="1472"/>
      <c r="P92" s="1489"/>
      <c r="Q92" s="6"/>
      <c r="S92" s="205">
        <f t="shared" si="4"/>
        <v>0</v>
      </c>
      <c r="T92" s="84">
        <f>LARGE($S$91:$S$98,2)</f>
        <v>0</v>
      </c>
      <c r="U92" s="12">
        <f t="shared" ref="U92:U97" si="7">V91+T93*(1-V91)</f>
        <v>0</v>
      </c>
      <c r="V92" s="52">
        <f t="shared" si="5"/>
        <v>0</v>
      </c>
      <c r="W92" s="204">
        <f t="shared" si="6"/>
        <v>0</v>
      </c>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row>
    <row r="93" spans="1:158" ht="21" customHeight="1" x14ac:dyDescent="0.2">
      <c r="B93" s="791" t="s">
        <v>1603</v>
      </c>
      <c r="C93" s="791"/>
      <c r="D93" s="791"/>
      <c r="E93" s="755">
        <f>P23</f>
        <v>0</v>
      </c>
      <c r="F93" s="755"/>
      <c r="G93" s="1497"/>
      <c r="H93" s="1498"/>
      <c r="I93" s="1483">
        <f t="shared" si="3"/>
        <v>0</v>
      </c>
      <c r="J93" s="1484"/>
      <c r="K93" s="1470"/>
      <c r="L93" s="1471"/>
      <c r="M93" s="1471"/>
      <c r="N93" s="1471"/>
      <c r="O93" s="1472"/>
      <c r="P93" s="1489"/>
      <c r="Q93" s="6"/>
      <c r="S93" s="205">
        <f t="shared" si="4"/>
        <v>0</v>
      </c>
      <c r="T93" s="84">
        <f>LARGE($S$91:$S$98,3)</f>
        <v>0</v>
      </c>
      <c r="U93" s="12">
        <f t="shared" si="7"/>
        <v>0</v>
      </c>
      <c r="V93" s="52">
        <f t="shared" si="5"/>
        <v>0</v>
      </c>
      <c r="W93" s="204">
        <f t="shared" si="6"/>
        <v>0</v>
      </c>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row>
    <row r="94" spans="1:158" ht="21" customHeight="1" x14ac:dyDescent="0.2">
      <c r="B94" s="791" t="s">
        <v>1604</v>
      </c>
      <c r="C94" s="791"/>
      <c r="D94" s="791"/>
      <c r="E94" s="755">
        <f>P24</f>
        <v>0</v>
      </c>
      <c r="F94" s="755"/>
      <c r="G94" s="1497"/>
      <c r="H94" s="1498"/>
      <c r="I94" s="1483">
        <f t="shared" si="3"/>
        <v>0</v>
      </c>
      <c r="J94" s="1484"/>
      <c r="K94" s="1470"/>
      <c r="L94" s="1471"/>
      <c r="M94" s="1471"/>
      <c r="N94" s="1471"/>
      <c r="O94" s="1472"/>
      <c r="P94" s="1489"/>
      <c r="Q94" s="6"/>
      <c r="S94" s="205">
        <f t="shared" si="4"/>
        <v>0</v>
      </c>
      <c r="T94" s="84">
        <f>LARGE($S$91:$S$98,4)</f>
        <v>0</v>
      </c>
      <c r="U94" s="12">
        <f t="shared" si="7"/>
        <v>0</v>
      </c>
      <c r="V94" s="52">
        <f t="shared" si="5"/>
        <v>0</v>
      </c>
      <c r="W94" s="204">
        <f t="shared" si="6"/>
        <v>0</v>
      </c>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row>
    <row r="95" spans="1:158" ht="21" customHeight="1" x14ac:dyDescent="0.2">
      <c r="B95" s="791" t="s">
        <v>1605</v>
      </c>
      <c r="C95" s="791"/>
      <c r="D95" s="791"/>
      <c r="E95" s="755">
        <f>P25</f>
        <v>0</v>
      </c>
      <c r="F95" s="755"/>
      <c r="G95" s="1497"/>
      <c r="H95" s="1498"/>
      <c r="I95" s="1483">
        <f t="shared" si="3"/>
        <v>0</v>
      </c>
      <c r="J95" s="1484"/>
      <c r="K95" s="1470"/>
      <c r="L95" s="1471"/>
      <c r="M95" s="1471"/>
      <c r="N95" s="1471"/>
      <c r="O95" s="1472"/>
      <c r="P95" s="1489"/>
      <c r="Q95" s="6"/>
      <c r="S95" s="205">
        <f t="shared" si="4"/>
        <v>0</v>
      </c>
      <c r="T95" s="84">
        <f>LARGE($S$91:$S$98,5)</f>
        <v>0</v>
      </c>
      <c r="U95" s="12">
        <f t="shared" si="7"/>
        <v>0</v>
      </c>
      <c r="V95" s="52">
        <f t="shared" si="5"/>
        <v>0</v>
      </c>
      <c r="W95" s="204">
        <f t="shared" si="6"/>
        <v>0</v>
      </c>
      <c r="Y95" s="6"/>
      <c r="Z95" s="10"/>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row>
    <row r="96" spans="1:158" ht="21" customHeight="1" x14ac:dyDescent="0.2">
      <c r="B96" s="761" t="s">
        <v>1606</v>
      </c>
      <c r="C96" s="791"/>
      <c r="D96" s="791"/>
      <c r="E96" s="755">
        <f>P31</f>
        <v>0</v>
      </c>
      <c r="F96" s="755"/>
      <c r="G96" s="1497"/>
      <c r="H96" s="1498"/>
      <c r="I96" s="1483">
        <f t="shared" si="3"/>
        <v>0</v>
      </c>
      <c r="J96" s="1484"/>
      <c r="K96" s="1500"/>
      <c r="L96" s="1501"/>
      <c r="M96" s="1501"/>
      <c r="N96" s="1501"/>
      <c r="O96" s="1502"/>
      <c r="P96" s="1489"/>
      <c r="Q96" s="6"/>
      <c r="S96" s="205">
        <f t="shared" si="4"/>
        <v>0</v>
      </c>
      <c r="T96" s="84">
        <f>LARGE($S$91:$S$98,6)</f>
        <v>0</v>
      </c>
      <c r="U96" s="12">
        <f t="shared" si="7"/>
        <v>0</v>
      </c>
      <c r="V96" s="52">
        <f t="shared" si="5"/>
        <v>0</v>
      </c>
      <c r="W96" s="204">
        <f t="shared" si="6"/>
        <v>0</v>
      </c>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row>
    <row r="97" spans="2:241" ht="21" customHeight="1" x14ac:dyDescent="0.2">
      <c r="B97" s="791" t="s">
        <v>1607</v>
      </c>
      <c r="C97" s="791"/>
      <c r="D97" s="791"/>
      <c r="E97" s="755">
        <f>P84</f>
        <v>0</v>
      </c>
      <c r="F97" s="755"/>
      <c r="G97" s="1497"/>
      <c r="H97" s="1498"/>
      <c r="I97" s="1483">
        <f t="shared" si="3"/>
        <v>0</v>
      </c>
      <c r="J97" s="1484"/>
      <c r="K97" s="1500"/>
      <c r="L97" s="1501"/>
      <c r="M97" s="1501"/>
      <c r="N97" s="1501"/>
      <c r="O97" s="1502"/>
      <c r="P97" s="1489"/>
      <c r="Q97" s="6"/>
      <c r="S97" s="205">
        <f t="shared" si="4"/>
        <v>0</v>
      </c>
      <c r="T97" s="84">
        <f>LARGE($S$91:$S$98,7)</f>
        <v>0</v>
      </c>
      <c r="U97" s="12">
        <f t="shared" si="7"/>
        <v>0</v>
      </c>
      <c r="V97" s="52">
        <f t="shared" si="5"/>
        <v>0</v>
      </c>
      <c r="W97" s="204">
        <f t="shared" si="6"/>
        <v>0</v>
      </c>
      <c r="Y97" s="6"/>
      <c r="Z97" s="10"/>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row>
    <row r="98" spans="2:241" ht="21" customHeight="1" x14ac:dyDescent="0.2">
      <c r="B98" s="789" t="s">
        <v>583</v>
      </c>
      <c r="C98" s="789"/>
      <c r="D98" s="789"/>
      <c r="E98" s="1022">
        <f>P88</f>
        <v>0</v>
      </c>
      <c r="F98" s="1022"/>
      <c r="G98" s="1497"/>
      <c r="H98" s="1498"/>
      <c r="I98" s="1483">
        <f t="shared" si="3"/>
        <v>0</v>
      </c>
      <c r="J98" s="1484"/>
      <c r="K98" s="1503"/>
      <c r="L98" s="1504"/>
      <c r="M98" s="1504"/>
      <c r="N98" s="1504"/>
      <c r="O98" s="1505"/>
      <c r="P98" s="1489"/>
      <c r="Q98" s="6"/>
      <c r="S98" s="205">
        <f t="shared" si="4"/>
        <v>0</v>
      </c>
      <c r="T98" s="84">
        <f>LARGE($S$91:$S$98,8)</f>
        <v>0</v>
      </c>
      <c r="U98" s="77"/>
      <c r="V98" s="108"/>
      <c r="W98" s="204">
        <f t="shared" si="6"/>
        <v>0</v>
      </c>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row>
    <row r="99" spans="2:241" ht="21" customHeight="1" x14ac:dyDescent="0.2">
      <c r="B99" s="932"/>
      <c r="C99" s="1462"/>
      <c r="D99" s="1462"/>
      <c r="E99" s="1462"/>
      <c r="F99" s="1462"/>
      <c r="G99" s="1462"/>
      <c r="H99" s="1462"/>
      <c r="I99" s="1462"/>
      <c r="J99" s="1463"/>
      <c r="K99" s="1460" t="s">
        <v>2196</v>
      </c>
      <c r="L99" s="1460"/>
      <c r="M99" s="1460"/>
      <c r="N99" s="1460"/>
      <c r="O99" s="1461"/>
      <c r="P99" s="1499"/>
      <c r="Q99" s="6"/>
      <c r="S99" s="6"/>
      <c r="V99" s="77"/>
      <c r="W99" s="108"/>
      <c r="X99" s="102"/>
      <c r="Y99" s="102"/>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row>
    <row r="100" spans="2:241" ht="36.75" customHeight="1" x14ac:dyDescent="0.25">
      <c r="B100" s="764" t="s">
        <v>931</v>
      </c>
      <c r="C100" s="764"/>
      <c r="D100" s="764"/>
      <c r="E100" s="764"/>
      <c r="F100" s="764"/>
      <c r="G100" s="764"/>
      <c r="H100" s="764"/>
      <c r="I100" s="764"/>
      <c r="J100" s="764"/>
      <c r="K100" s="764"/>
      <c r="L100" s="764"/>
      <c r="M100" s="764"/>
      <c r="N100" s="764"/>
      <c r="O100" s="764"/>
      <c r="P100" s="1037"/>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row>
    <row r="101" spans="2:241" ht="15.75" customHeight="1" x14ac:dyDescent="0.25">
      <c r="B101" s="244" t="s">
        <v>775</v>
      </c>
      <c r="C101" s="1294" t="str">
        <f>IF(U1&lt;&gt;"",U1,"")</f>
        <v>Go to PPD Worksheet</v>
      </c>
      <c r="D101" s="1294"/>
      <c r="E101" s="1294"/>
      <c r="F101" s="1294"/>
      <c r="G101" s="1294"/>
      <c r="H101" s="1294"/>
      <c r="I101" s="1464" t="str">
        <f>IF(T1&lt;&gt;"",T1,"")</f>
        <v/>
      </c>
      <c r="J101" s="1464"/>
      <c r="K101" s="1464"/>
      <c r="L101" s="1464"/>
      <c r="M101" s="1464"/>
      <c r="N101" s="1464"/>
      <c r="O101" s="1"/>
      <c r="P101" s="162"/>
      <c r="Q101" s="6"/>
      <c r="R101" s="109"/>
      <c r="S101" s="77"/>
      <c r="T101" s="108"/>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row>
    <row r="102" spans="2:241" ht="15.75" customHeight="1" x14ac:dyDescent="0.25">
      <c r="B102" s="145"/>
      <c r="C102" s="145"/>
      <c r="D102" s="145"/>
      <c r="E102" s="8"/>
      <c r="F102" s="8"/>
      <c r="G102" s="1"/>
      <c r="H102" s="418"/>
      <c r="I102" s="418"/>
      <c r="J102" s="418"/>
      <c r="K102" s="418"/>
      <c r="L102" s="418"/>
      <c r="M102" s="418"/>
      <c r="N102" s="418"/>
      <c r="O102" s="1"/>
      <c r="P102" s="81"/>
      <c r="Q102" s="6"/>
      <c r="R102" s="109"/>
      <c r="S102" s="77"/>
      <c r="T102" s="108"/>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row>
    <row r="103" spans="2:241" ht="15.75" customHeight="1" x14ac:dyDescent="0.25">
      <c r="B103" s="145"/>
      <c r="C103" s="145"/>
      <c r="D103" s="145"/>
      <c r="E103" s="8"/>
      <c r="F103" s="8"/>
      <c r="G103" s="1"/>
      <c r="H103" s="418"/>
      <c r="I103" s="418"/>
      <c r="J103" s="418"/>
      <c r="K103" s="418"/>
      <c r="L103" s="418"/>
      <c r="M103" s="418"/>
      <c r="N103" s="418"/>
      <c r="O103" s="1"/>
      <c r="P103" s="81"/>
      <c r="Q103" s="6"/>
      <c r="R103" s="109"/>
      <c r="S103" s="77"/>
      <c r="T103" s="108"/>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row>
    <row r="104" spans="2:241" ht="15.75" customHeight="1" x14ac:dyDescent="0.25">
      <c r="B104" s="145"/>
      <c r="C104" s="145"/>
      <c r="D104" s="145"/>
      <c r="E104" s="8"/>
      <c r="F104" s="8"/>
      <c r="G104" s="1"/>
      <c r="H104" s="418"/>
      <c r="I104" s="418"/>
      <c r="J104" s="418"/>
      <c r="K104" s="418"/>
      <c r="L104" s="418"/>
      <c r="M104" s="418"/>
      <c r="N104" s="418"/>
      <c r="O104" s="1"/>
      <c r="P104" s="81"/>
      <c r="Q104" s="6"/>
      <c r="R104" s="109"/>
      <c r="S104" s="77"/>
      <c r="T104" s="108"/>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row>
    <row r="105" spans="2:241" ht="15.75" hidden="1" customHeight="1" x14ac:dyDescent="0.25">
      <c r="B105" s="145"/>
      <c r="C105" s="145"/>
      <c r="D105" s="145"/>
      <c r="E105" s="8"/>
      <c r="F105" s="8"/>
      <c r="G105" s="1"/>
      <c r="H105" s="418"/>
      <c r="I105" s="418"/>
      <c r="J105" s="418"/>
      <c r="K105" s="418"/>
      <c r="L105" s="418"/>
      <c r="M105" s="418"/>
      <c r="N105" s="418"/>
      <c r="O105" s="1"/>
      <c r="P105" s="81"/>
      <c r="Q105" s="6"/>
      <c r="R105" s="109"/>
      <c r="S105" s="77"/>
      <c r="T105" s="108"/>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row>
    <row r="106" spans="2:241" ht="15.75" hidden="1" customHeight="1" x14ac:dyDescent="0.25">
      <c r="B106" s="1495" t="s">
        <v>2207</v>
      </c>
      <c r="C106" s="1495"/>
      <c r="D106" s="660"/>
      <c r="E106" s="8"/>
      <c r="F106" s="1"/>
      <c r="G106" s="1"/>
      <c r="H106" s="163"/>
      <c r="I106" s="163"/>
      <c r="J106" s="163"/>
      <c r="K106" s="163"/>
      <c r="L106" s="163"/>
      <c r="M106" s="163"/>
      <c r="N106" s="163"/>
      <c r="O106" s="163"/>
      <c r="P106" s="81"/>
      <c r="Q106" s="6"/>
      <c r="R106" s="109"/>
      <c r="S106" s="77"/>
      <c r="T106" s="108"/>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row>
    <row r="107" spans="2:241" ht="18" hidden="1" customHeight="1" x14ac:dyDescent="0.25">
      <c r="B107" s="1495"/>
      <c r="C107" s="1495"/>
      <c r="D107" s="660"/>
      <c r="E107" s="419"/>
      <c r="F107" s="419"/>
      <c r="G107" s="419"/>
      <c r="H107" s="419"/>
      <c r="I107" s="419"/>
      <c r="J107" s="419"/>
      <c r="K107" s="419"/>
      <c r="L107" s="419"/>
      <c r="M107" s="419"/>
      <c r="N107" s="419"/>
      <c r="O107" s="419"/>
      <c r="P107" s="419"/>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row>
    <row r="108" spans="2:241" ht="15.75" hidden="1" customHeight="1" x14ac:dyDescent="0.25">
      <c r="B108" s="1495"/>
      <c r="C108" s="1495"/>
      <c r="D108" s="660"/>
      <c r="E108" s="1482"/>
      <c r="F108" s="777"/>
      <c r="G108" s="1"/>
      <c r="H108" s="2"/>
      <c r="J108" s="2"/>
      <c r="L108" s="2"/>
      <c r="N108" s="2"/>
      <c r="P108" s="81"/>
      <c r="Q108" s="6"/>
      <c r="R108" s="109"/>
      <c r="S108" s="77"/>
      <c r="T108" s="108"/>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row>
    <row r="109" spans="2:241" ht="15.75" hidden="1" customHeight="1" x14ac:dyDescent="0.25">
      <c r="B109" s="146">
        <v>0.01</v>
      </c>
      <c r="C109" s="146">
        <v>0.99</v>
      </c>
      <c r="D109" s="145"/>
      <c r="E109" s="8"/>
      <c r="F109" s="1"/>
      <c r="G109" s="1"/>
      <c r="H109" s="164"/>
      <c r="I109" s="164"/>
      <c r="J109" s="164"/>
      <c r="K109" s="164"/>
      <c r="L109" s="164"/>
      <c r="M109" s="164"/>
      <c r="N109" s="164"/>
      <c r="O109" s="164"/>
      <c r="P109" s="81"/>
      <c r="Q109" s="6"/>
      <c r="R109" s="33"/>
      <c r="S109" s="77"/>
      <c r="T109" s="108"/>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row>
    <row r="110" spans="2:241" s="171" customFormat="1" hidden="1" x14ac:dyDescent="0.2">
      <c r="C110" s="9"/>
      <c r="D110" s="373"/>
      <c r="F110" s="9"/>
      <c r="G110" s="373"/>
      <c r="I110" s="9"/>
      <c r="J110" s="373"/>
      <c r="L110" s="9"/>
      <c r="M110" s="373"/>
      <c r="O110" s="9"/>
      <c r="P110" s="373"/>
      <c r="Q110" s="5"/>
      <c r="R110" s="5"/>
      <c r="S110" s="111"/>
      <c r="T110" s="5"/>
      <c r="U110" s="5"/>
      <c r="V110" s="111"/>
      <c r="W110" s="5"/>
      <c r="X110" s="5"/>
      <c r="Y110" s="111"/>
      <c r="Z110" s="5"/>
      <c r="AA110" s="5"/>
      <c r="AB110" s="111"/>
      <c r="AC110" s="5"/>
      <c r="AD110" s="5"/>
      <c r="AE110" s="111"/>
      <c r="AF110" s="5"/>
      <c r="AG110" s="5"/>
      <c r="AH110" s="111"/>
      <c r="AI110" s="5"/>
      <c r="AJ110" s="5"/>
      <c r="AK110" s="111"/>
      <c r="AL110" s="5"/>
      <c r="AM110" s="5"/>
      <c r="AN110" s="111"/>
      <c r="AO110" s="5"/>
      <c r="AP110" s="5"/>
      <c r="AQ110" s="111"/>
      <c r="AR110" s="5"/>
      <c r="AS110" s="5"/>
      <c r="AT110" s="111"/>
      <c r="AU110" s="5"/>
      <c r="AV110" s="5"/>
      <c r="AW110" s="111"/>
      <c r="AX110" s="5"/>
      <c r="AY110" s="5"/>
      <c r="AZ110" s="111"/>
      <c r="BA110" s="5"/>
      <c r="BB110" s="5"/>
      <c r="BC110" s="111"/>
      <c r="BD110" s="5"/>
      <c r="BE110" s="5"/>
      <c r="BF110" s="111"/>
      <c r="BG110" s="5"/>
      <c r="BH110" s="5"/>
      <c r="BI110" s="111"/>
      <c r="BJ110" s="5"/>
      <c r="BK110" s="5"/>
      <c r="BL110" s="111"/>
      <c r="BM110" s="5"/>
      <c r="BN110" s="5"/>
      <c r="BO110" s="111"/>
      <c r="BP110" s="5"/>
      <c r="BQ110" s="5"/>
      <c r="BR110" s="111"/>
      <c r="BS110" s="5"/>
      <c r="BT110" s="5"/>
      <c r="BU110" s="111"/>
      <c r="BV110" s="5"/>
      <c r="BW110" s="5"/>
      <c r="BX110" s="111"/>
      <c r="BY110" s="5"/>
      <c r="BZ110" s="5"/>
      <c r="CA110" s="111"/>
      <c r="CB110" s="5"/>
      <c r="CC110" s="5"/>
      <c r="CD110" s="111"/>
      <c r="CE110" s="5"/>
      <c r="CF110" s="5"/>
      <c r="CG110" s="111"/>
      <c r="CH110" s="5"/>
      <c r="CI110" s="5"/>
      <c r="CJ110" s="111"/>
      <c r="CK110" s="5"/>
      <c r="CL110" s="5"/>
      <c r="CM110" s="111"/>
      <c r="CN110" s="5"/>
      <c r="CO110" s="5"/>
      <c r="CP110" s="111"/>
      <c r="CQ110" s="5"/>
      <c r="CR110" s="5"/>
      <c r="CS110" s="111"/>
      <c r="CT110" s="5"/>
      <c r="CU110" s="5"/>
      <c r="CV110" s="111"/>
      <c r="CW110" s="5"/>
      <c r="CX110" s="5"/>
      <c r="CY110" s="111"/>
      <c r="CZ110" s="5"/>
      <c r="DA110" s="5"/>
      <c r="DB110" s="111"/>
      <c r="DC110" s="5"/>
      <c r="DD110" s="5"/>
      <c r="DE110" s="111"/>
      <c r="DF110" s="5"/>
      <c r="DG110" s="5"/>
      <c r="DH110" s="111"/>
      <c r="DI110" s="5"/>
      <c r="DJ110" s="5"/>
      <c r="DK110" s="111"/>
      <c r="DL110" s="5"/>
      <c r="DM110" s="5"/>
      <c r="DN110" s="111"/>
      <c r="DO110" s="5"/>
      <c r="DP110" s="5"/>
      <c r="DQ110" s="111"/>
      <c r="DR110" s="5"/>
      <c r="DS110" s="5"/>
      <c r="DT110" s="111"/>
      <c r="DU110" s="5"/>
      <c r="DV110" s="5"/>
      <c r="DW110" s="111"/>
      <c r="DX110" s="5"/>
      <c r="DY110" s="5"/>
      <c r="DZ110" s="111"/>
      <c r="EA110" s="5"/>
      <c r="EB110" s="5"/>
      <c r="EC110" s="111"/>
      <c r="ED110" s="5"/>
      <c r="EE110" s="5"/>
      <c r="EF110" s="111"/>
      <c r="EG110" s="5"/>
      <c r="EH110" s="5"/>
      <c r="EI110" s="111"/>
      <c r="EJ110" s="5"/>
      <c r="EK110" s="5"/>
      <c r="EL110" s="111"/>
      <c r="EM110" s="5"/>
      <c r="EN110" s="5"/>
      <c r="EO110" s="111"/>
      <c r="EP110" s="5"/>
      <c r="EQ110" s="5"/>
      <c r="ER110" s="111"/>
      <c r="ES110" s="5"/>
      <c r="ET110" s="5"/>
      <c r="EU110" s="111"/>
      <c r="EV110" s="5"/>
      <c r="EW110" s="5"/>
      <c r="EX110" s="111"/>
      <c r="EY110" s="5"/>
      <c r="EZ110" s="5"/>
      <c r="FA110" s="111"/>
      <c r="FB110" s="5"/>
      <c r="FC110" s="9"/>
      <c r="FD110" s="373"/>
      <c r="FF110" s="9"/>
      <c r="FG110" s="373"/>
      <c r="FI110" s="9"/>
      <c r="FJ110" s="373"/>
      <c r="FL110" s="9"/>
      <c r="FM110" s="373"/>
      <c r="FO110" s="9"/>
      <c r="FP110" s="373"/>
      <c r="FR110" s="9"/>
      <c r="FS110" s="373"/>
      <c r="FU110" s="9"/>
      <c r="FV110" s="373"/>
      <c r="FX110" s="9"/>
      <c r="FY110" s="373"/>
      <c r="GA110" s="9"/>
      <c r="GB110" s="373"/>
      <c r="GD110" s="9"/>
      <c r="GE110" s="373"/>
      <c r="GG110" s="9"/>
      <c r="GH110" s="373"/>
      <c r="GJ110" s="9"/>
      <c r="GK110" s="373"/>
      <c r="GM110" s="9"/>
      <c r="GN110" s="373"/>
      <c r="GP110" s="9"/>
      <c r="GQ110" s="373"/>
      <c r="GS110" s="9"/>
      <c r="GT110" s="373"/>
      <c r="GV110" s="9"/>
      <c r="GW110" s="373"/>
      <c r="GY110" s="9"/>
      <c r="GZ110" s="373"/>
      <c r="HB110" s="9"/>
      <c r="HC110" s="373"/>
      <c r="HE110" s="9"/>
      <c r="HF110" s="373"/>
      <c r="HH110" s="9"/>
      <c r="HI110" s="373"/>
      <c r="HK110" s="9"/>
      <c r="HL110" s="373"/>
      <c r="HN110" s="9"/>
      <c r="HO110" s="373"/>
      <c r="HQ110" s="9"/>
      <c r="HR110" s="373"/>
      <c r="HT110" s="9"/>
      <c r="HU110" s="373"/>
      <c r="HW110" s="9"/>
      <c r="HX110" s="373"/>
      <c r="HZ110" s="9"/>
      <c r="IA110" s="373"/>
      <c r="IC110" s="9"/>
      <c r="ID110" s="373"/>
      <c r="IF110" s="9"/>
      <c r="IG110" s="373"/>
    </row>
    <row r="111" spans="2:241" s="171" customFormat="1" hidden="1" x14ac:dyDescent="0.2">
      <c r="F111" s="9"/>
      <c r="G111" s="373"/>
      <c r="I111" s="9"/>
      <c r="J111" s="373"/>
      <c r="L111" s="9"/>
      <c r="M111" s="373"/>
      <c r="O111" s="9"/>
      <c r="P111" s="373"/>
      <c r="Q111" s="5"/>
      <c r="R111" s="5"/>
      <c r="S111" s="111"/>
      <c r="T111" s="5"/>
      <c r="U111" s="5"/>
      <c r="V111" s="111"/>
      <c r="W111" s="5"/>
      <c r="X111" s="5"/>
      <c r="Y111" s="111"/>
      <c r="Z111" s="5"/>
      <c r="AA111" s="5"/>
      <c r="AB111" s="111"/>
      <c r="AC111" s="5"/>
      <c r="AD111" s="5"/>
      <c r="AE111" s="111"/>
      <c r="AF111" s="5"/>
      <c r="AG111" s="5"/>
      <c r="AH111" s="111"/>
      <c r="AI111" s="5"/>
      <c r="AJ111" s="5"/>
      <c r="AK111" s="111"/>
      <c r="AL111" s="5"/>
      <c r="AM111" s="5"/>
      <c r="AN111" s="111"/>
      <c r="AO111" s="5"/>
      <c r="AP111" s="5"/>
      <c r="AQ111" s="111"/>
      <c r="AR111" s="5"/>
      <c r="AS111" s="5"/>
      <c r="AT111" s="111"/>
      <c r="AU111" s="5"/>
      <c r="AV111" s="5"/>
      <c r="AW111" s="111"/>
      <c r="AX111" s="5"/>
      <c r="AY111" s="5"/>
      <c r="AZ111" s="111"/>
      <c r="BA111" s="5"/>
      <c r="BB111" s="5"/>
      <c r="BC111" s="111"/>
      <c r="BD111" s="5"/>
      <c r="BE111" s="5"/>
      <c r="BF111" s="111"/>
      <c r="BG111" s="5"/>
      <c r="BH111" s="5"/>
      <c r="BI111" s="111"/>
      <c r="BJ111" s="5"/>
      <c r="BK111" s="5"/>
      <c r="BL111" s="111"/>
      <c r="BM111" s="5"/>
      <c r="BN111" s="5"/>
      <c r="BO111" s="111"/>
      <c r="BP111" s="5"/>
      <c r="BQ111" s="5"/>
      <c r="BR111" s="111"/>
      <c r="BS111" s="5"/>
      <c r="BT111" s="5"/>
      <c r="BU111" s="111"/>
      <c r="BV111" s="5"/>
      <c r="BW111" s="5"/>
      <c r="BX111" s="111"/>
      <c r="BY111" s="5"/>
      <c r="BZ111" s="5"/>
      <c r="CA111" s="111"/>
      <c r="CB111" s="5"/>
      <c r="CC111" s="5"/>
      <c r="CD111" s="111"/>
      <c r="CE111" s="5"/>
      <c r="CF111" s="5"/>
      <c r="CG111" s="111"/>
      <c r="CH111" s="5"/>
      <c r="CI111" s="5"/>
      <c r="CJ111" s="111"/>
      <c r="CK111" s="5"/>
      <c r="CL111" s="5"/>
      <c r="CM111" s="111"/>
      <c r="CN111" s="5"/>
      <c r="CO111" s="5"/>
      <c r="CP111" s="111"/>
      <c r="CQ111" s="5"/>
      <c r="CR111" s="5"/>
      <c r="CS111" s="111"/>
      <c r="CT111" s="5"/>
      <c r="CU111" s="5"/>
      <c r="CV111" s="111"/>
      <c r="CW111" s="5"/>
      <c r="CX111" s="5"/>
      <c r="CY111" s="111"/>
      <c r="CZ111" s="5"/>
      <c r="DA111" s="5"/>
      <c r="DB111" s="111"/>
      <c r="DC111" s="5"/>
      <c r="DD111" s="5"/>
      <c r="DE111" s="111"/>
      <c r="DF111" s="5"/>
      <c r="DG111" s="5"/>
      <c r="DH111" s="111"/>
      <c r="DI111" s="5"/>
      <c r="DJ111" s="5"/>
      <c r="DK111" s="111"/>
      <c r="DL111" s="5"/>
      <c r="DM111" s="5"/>
      <c r="DN111" s="111"/>
      <c r="DO111" s="5"/>
      <c r="DP111" s="5"/>
      <c r="DQ111" s="111"/>
      <c r="DR111" s="5"/>
      <c r="DS111" s="5"/>
      <c r="DT111" s="111"/>
      <c r="DU111" s="5"/>
      <c r="DV111" s="5"/>
      <c r="DW111" s="111"/>
      <c r="DX111" s="5"/>
      <c r="DY111" s="5"/>
      <c r="DZ111" s="111"/>
      <c r="EA111" s="5"/>
      <c r="EB111" s="5"/>
      <c r="EC111" s="111"/>
      <c r="ED111" s="5"/>
      <c r="EE111" s="5"/>
      <c r="EF111" s="111"/>
      <c r="EG111" s="5"/>
      <c r="EH111" s="5"/>
      <c r="EI111" s="111"/>
      <c r="EJ111" s="5"/>
      <c r="EK111" s="5"/>
      <c r="EL111" s="111"/>
      <c r="EM111" s="5"/>
      <c r="EN111" s="5"/>
      <c r="EO111" s="111"/>
      <c r="EP111" s="5"/>
      <c r="EQ111" s="5"/>
      <c r="ER111" s="111"/>
      <c r="ES111" s="5"/>
      <c r="ET111" s="5"/>
      <c r="EU111" s="111"/>
      <c r="EV111" s="5"/>
      <c r="EW111" s="5"/>
      <c r="EX111" s="111"/>
      <c r="EY111" s="5"/>
      <c r="EZ111" s="5"/>
      <c r="FA111" s="111"/>
      <c r="FB111" s="5"/>
      <c r="FC111" s="9"/>
      <c r="FD111" s="373"/>
      <c r="FF111" s="9"/>
      <c r="FG111" s="373"/>
      <c r="FI111" s="9"/>
      <c r="FJ111" s="373"/>
      <c r="FL111" s="9"/>
      <c r="FM111" s="373"/>
      <c r="FO111" s="9"/>
      <c r="FP111" s="373"/>
      <c r="FR111" s="9"/>
      <c r="FS111" s="373"/>
      <c r="FU111" s="9"/>
      <c r="FV111" s="373"/>
      <c r="FX111" s="9"/>
      <c r="FY111" s="373"/>
      <c r="GA111" s="9"/>
      <c r="GB111" s="373"/>
      <c r="GD111" s="9"/>
      <c r="GE111" s="373"/>
      <c r="GG111" s="9"/>
      <c r="GH111" s="373"/>
      <c r="GJ111" s="9"/>
      <c r="GK111" s="373"/>
      <c r="GM111" s="9"/>
      <c r="GN111" s="373"/>
      <c r="GP111" s="9"/>
      <c r="GQ111" s="373"/>
      <c r="GS111" s="9"/>
      <c r="GT111" s="373"/>
      <c r="GV111" s="9"/>
      <c r="GW111" s="373"/>
      <c r="GY111" s="9"/>
      <c r="GZ111" s="373"/>
      <c r="HB111" s="9"/>
      <c r="HC111" s="373"/>
      <c r="HE111" s="9"/>
      <c r="HF111" s="373"/>
      <c r="HH111" s="9"/>
      <c r="HI111" s="373"/>
      <c r="HK111" s="9"/>
      <c r="HL111" s="373"/>
      <c r="HN111" s="9"/>
      <c r="HO111" s="373"/>
      <c r="HQ111" s="9"/>
      <c r="HR111" s="373"/>
      <c r="HT111" s="9"/>
      <c r="HU111" s="373"/>
      <c r="HW111" s="9"/>
      <c r="HX111" s="373"/>
      <c r="HZ111" s="9"/>
      <c r="IA111" s="373"/>
      <c r="IC111" s="9"/>
      <c r="ID111" s="373"/>
      <c r="IF111" s="9"/>
      <c r="IG111" s="373"/>
    </row>
    <row r="112" spans="2:241" hidden="1" x14ac:dyDescent="0.2">
      <c r="C112" s="2"/>
      <c r="D112" s="2"/>
      <c r="E112" s="10"/>
      <c r="F112" s="11"/>
      <c r="G112" s="11"/>
      <c r="H112" s="10"/>
      <c r="I112" s="10"/>
      <c r="J112" s="11"/>
      <c r="K112" s="10"/>
      <c r="L112" s="11"/>
      <c r="M112" s="10"/>
      <c r="N112" s="11"/>
      <c r="O112" s="10"/>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row>
    <row r="113" spans="2:158" hidden="1" x14ac:dyDescent="0.2">
      <c r="C113" s="2"/>
      <c r="D113" s="2"/>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row>
    <row r="114" spans="2:158" hidden="1" x14ac:dyDescent="0.2">
      <c r="C114" s="2"/>
      <c r="D114" s="2"/>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row>
    <row r="115" spans="2:158" hidden="1" x14ac:dyDescent="0.2">
      <c r="B115" s="146" t="s">
        <v>2206</v>
      </c>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row>
    <row r="116" spans="2:158" hidden="1" x14ac:dyDescent="0.2">
      <c r="B116" s="146" t="s">
        <v>1901</v>
      </c>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row>
    <row r="117" spans="2:158" hidden="1" x14ac:dyDescent="0.2">
      <c r="B117" s="146">
        <v>0</v>
      </c>
      <c r="C117" s="2"/>
      <c r="D117" s="2"/>
      <c r="F117" s="2"/>
      <c r="H117" s="11"/>
      <c r="I117" s="10"/>
      <c r="J117" s="11"/>
      <c r="K117" s="10"/>
      <c r="L117" s="11"/>
      <c r="M117" s="10"/>
      <c r="N117" s="11"/>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row>
    <row r="118" spans="2:158" hidden="1" x14ac:dyDescent="0.2">
      <c r="B118" s="146">
        <v>1</v>
      </c>
      <c r="C118" s="2"/>
      <c r="D118" s="2"/>
      <c r="F118" s="2"/>
      <c r="H118" s="11"/>
      <c r="I118" s="10"/>
      <c r="J118" s="11"/>
      <c r="K118" s="10"/>
      <c r="L118" s="11"/>
      <c r="M118" s="10"/>
      <c r="N118" s="11"/>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row>
    <row r="119" spans="2:158" hidden="1" x14ac:dyDescent="0.2">
      <c r="B119" s="146">
        <v>2</v>
      </c>
      <c r="C119" s="2"/>
      <c r="D119" s="2"/>
      <c r="F119" s="2"/>
      <c r="H119" s="2"/>
      <c r="J119" s="11"/>
      <c r="K119" s="10"/>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row>
    <row r="120" spans="2:158" hidden="1" x14ac:dyDescent="0.2">
      <c r="B120" s="146">
        <v>3</v>
      </c>
      <c r="C120" s="2"/>
      <c r="D120" s="2"/>
      <c r="F120" s="2"/>
      <c r="H120" s="2"/>
      <c r="J120" s="11"/>
      <c r="K120" s="10"/>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row>
    <row r="121" spans="2:158" hidden="1" x14ac:dyDescent="0.2">
      <c r="B121" s="146">
        <v>4</v>
      </c>
      <c r="C121" s="2"/>
      <c r="D121" s="2"/>
      <c r="F121" s="2"/>
      <c r="H121" s="2"/>
      <c r="J121" s="11"/>
      <c r="K121" s="10"/>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row>
    <row r="122" spans="2:158" hidden="1" x14ac:dyDescent="0.2">
      <c r="B122" s="146">
        <v>5</v>
      </c>
      <c r="C122" s="2"/>
      <c r="D122" s="2"/>
      <c r="F122" s="2"/>
      <c r="H122" s="2"/>
      <c r="J122" s="11"/>
      <c r="K122" s="10"/>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row>
    <row r="123" spans="2:158" hidden="1" x14ac:dyDescent="0.2">
      <c r="B123" s="146">
        <v>6</v>
      </c>
      <c r="C123" s="2"/>
    </row>
    <row r="124" spans="2:158" hidden="1" x14ac:dyDescent="0.2">
      <c r="B124" s="146">
        <v>7</v>
      </c>
      <c r="C124" s="2"/>
    </row>
    <row r="125" spans="2:158" hidden="1" x14ac:dyDescent="0.2">
      <c r="B125" s="146">
        <v>8</v>
      </c>
    </row>
    <row r="126" spans="2:158" hidden="1" x14ac:dyDescent="0.2">
      <c r="B126" s="146">
        <v>9</v>
      </c>
    </row>
    <row r="127" spans="2:158" hidden="1" x14ac:dyDescent="0.2">
      <c r="B127" s="146">
        <v>10</v>
      </c>
    </row>
    <row r="128" spans="2:158" hidden="1" x14ac:dyDescent="0.2">
      <c r="B128" s="146">
        <v>11</v>
      </c>
    </row>
    <row r="129" spans="2:2" hidden="1" x14ac:dyDescent="0.2">
      <c r="B129" s="146">
        <v>12</v>
      </c>
    </row>
    <row r="130" spans="2:2" hidden="1" x14ac:dyDescent="0.2">
      <c r="B130" s="146">
        <v>13</v>
      </c>
    </row>
    <row r="131" spans="2:2" hidden="1" x14ac:dyDescent="0.2">
      <c r="B131" s="146">
        <v>14</v>
      </c>
    </row>
    <row r="132" spans="2:2" hidden="1" x14ac:dyDescent="0.2">
      <c r="B132" s="146">
        <v>15</v>
      </c>
    </row>
    <row r="133" spans="2:2" hidden="1" x14ac:dyDescent="0.2">
      <c r="B133" s="146">
        <v>16</v>
      </c>
    </row>
    <row r="134" spans="2:2" hidden="1" x14ac:dyDescent="0.2">
      <c r="B134" s="146">
        <v>17</v>
      </c>
    </row>
    <row r="135" spans="2:2" hidden="1" x14ac:dyDescent="0.2">
      <c r="B135" s="146">
        <v>18</v>
      </c>
    </row>
    <row r="136" spans="2:2" hidden="1" x14ac:dyDescent="0.2">
      <c r="B136" s="146">
        <v>19</v>
      </c>
    </row>
    <row r="137" spans="2:2" hidden="1" x14ac:dyDescent="0.2">
      <c r="B137" s="146">
        <v>20</v>
      </c>
    </row>
    <row r="138" spans="2:2" hidden="1" x14ac:dyDescent="0.2">
      <c r="B138" s="146">
        <v>21</v>
      </c>
    </row>
    <row r="139" spans="2:2" hidden="1" x14ac:dyDescent="0.2">
      <c r="B139" s="146">
        <v>22</v>
      </c>
    </row>
    <row r="140" spans="2:2" hidden="1" x14ac:dyDescent="0.2">
      <c r="B140" s="146">
        <v>23</v>
      </c>
    </row>
    <row r="141" spans="2:2" hidden="1" x14ac:dyDescent="0.2">
      <c r="B141" s="146">
        <v>24</v>
      </c>
    </row>
    <row r="142" spans="2:2" hidden="1" x14ac:dyDescent="0.2">
      <c r="B142" s="146">
        <v>25</v>
      </c>
    </row>
    <row r="143" spans="2:2" hidden="1" x14ac:dyDescent="0.2">
      <c r="B143" s="146">
        <v>26</v>
      </c>
    </row>
    <row r="144" spans="2:2" hidden="1" x14ac:dyDescent="0.2">
      <c r="B144" s="146">
        <v>27</v>
      </c>
    </row>
    <row r="145" spans="2:2" hidden="1" x14ac:dyDescent="0.2">
      <c r="B145" s="146">
        <v>28</v>
      </c>
    </row>
    <row r="146" spans="2:2" hidden="1" x14ac:dyDescent="0.2">
      <c r="B146" s="146">
        <v>29</v>
      </c>
    </row>
    <row r="147" spans="2:2" hidden="1" x14ac:dyDescent="0.2">
      <c r="B147" s="146">
        <v>30</v>
      </c>
    </row>
    <row r="148" spans="2:2" hidden="1" x14ac:dyDescent="0.2">
      <c r="B148" s="146">
        <v>31</v>
      </c>
    </row>
    <row r="149" spans="2:2" hidden="1" x14ac:dyDescent="0.2">
      <c r="B149" s="146">
        <v>32</v>
      </c>
    </row>
    <row r="150" spans="2:2" hidden="1" x14ac:dyDescent="0.2">
      <c r="B150" s="146">
        <v>33</v>
      </c>
    </row>
    <row r="151" spans="2:2" hidden="1" x14ac:dyDescent="0.2">
      <c r="B151" s="146">
        <v>34</v>
      </c>
    </row>
    <row r="152" spans="2:2" hidden="1" x14ac:dyDescent="0.2">
      <c r="B152" s="146">
        <v>35</v>
      </c>
    </row>
    <row r="153" spans="2:2" hidden="1" x14ac:dyDescent="0.2">
      <c r="B153" s="146">
        <v>36</v>
      </c>
    </row>
    <row r="154" spans="2:2" hidden="1" x14ac:dyDescent="0.2">
      <c r="B154" s="146">
        <v>37</v>
      </c>
    </row>
    <row r="155" spans="2:2" hidden="1" x14ac:dyDescent="0.2">
      <c r="B155" s="146">
        <v>38</v>
      </c>
    </row>
    <row r="156" spans="2:2" hidden="1" x14ac:dyDescent="0.2">
      <c r="B156" s="146">
        <v>39</v>
      </c>
    </row>
    <row r="157" spans="2:2" hidden="1" x14ac:dyDescent="0.2">
      <c r="B157" s="146">
        <v>40</v>
      </c>
    </row>
    <row r="158" spans="2:2" hidden="1" x14ac:dyDescent="0.2">
      <c r="B158" s="146">
        <v>41</v>
      </c>
    </row>
    <row r="159" spans="2:2" hidden="1" x14ac:dyDescent="0.2">
      <c r="B159" s="146">
        <v>42</v>
      </c>
    </row>
    <row r="160" spans="2:2" hidden="1" x14ac:dyDescent="0.2">
      <c r="B160" s="146">
        <v>43</v>
      </c>
    </row>
    <row r="161" spans="2:2" hidden="1" x14ac:dyDescent="0.2">
      <c r="B161" s="146">
        <v>44</v>
      </c>
    </row>
    <row r="162" spans="2:2" hidden="1" x14ac:dyDescent="0.2">
      <c r="B162" s="146">
        <v>45</v>
      </c>
    </row>
    <row r="163" spans="2:2" hidden="1" x14ac:dyDescent="0.2">
      <c r="B163" s="146">
        <v>46</v>
      </c>
    </row>
    <row r="164" spans="2:2" hidden="1" x14ac:dyDescent="0.2">
      <c r="B164" s="146">
        <v>47</v>
      </c>
    </row>
    <row r="165" spans="2:2" hidden="1" x14ac:dyDescent="0.2">
      <c r="B165" s="146">
        <v>48</v>
      </c>
    </row>
    <row r="166" spans="2:2" hidden="1" x14ac:dyDescent="0.2">
      <c r="B166" s="146">
        <v>49</v>
      </c>
    </row>
    <row r="167" spans="2:2" hidden="1" x14ac:dyDescent="0.2">
      <c r="B167" s="146">
        <v>50</v>
      </c>
    </row>
    <row r="168" spans="2:2" hidden="1" x14ac:dyDescent="0.2">
      <c r="B168" s="146">
        <v>51</v>
      </c>
    </row>
    <row r="169" spans="2:2" hidden="1" x14ac:dyDescent="0.2">
      <c r="B169" s="146">
        <v>52</v>
      </c>
    </row>
    <row r="170" spans="2:2" hidden="1" x14ac:dyDescent="0.2">
      <c r="B170" s="146">
        <v>53</v>
      </c>
    </row>
    <row r="171" spans="2:2" hidden="1" x14ac:dyDescent="0.2">
      <c r="B171" s="146">
        <v>54</v>
      </c>
    </row>
    <row r="172" spans="2:2" hidden="1" x14ac:dyDescent="0.2">
      <c r="B172" s="146">
        <v>55</v>
      </c>
    </row>
    <row r="173" spans="2:2" hidden="1" x14ac:dyDescent="0.2">
      <c r="B173" s="146">
        <v>56</v>
      </c>
    </row>
    <row r="174" spans="2:2" hidden="1" x14ac:dyDescent="0.2">
      <c r="B174" s="146">
        <v>57</v>
      </c>
    </row>
    <row r="175" spans="2:2" hidden="1" x14ac:dyDescent="0.2">
      <c r="B175" s="146">
        <v>58</v>
      </c>
    </row>
    <row r="176" spans="2:2" hidden="1" x14ac:dyDescent="0.2">
      <c r="B176" s="146">
        <v>59</v>
      </c>
    </row>
    <row r="177" spans="2:2" hidden="1" x14ac:dyDescent="0.2">
      <c r="B177" s="146">
        <v>60</v>
      </c>
    </row>
    <row r="178" spans="2:2" hidden="1" x14ac:dyDescent="0.2">
      <c r="B178" s="146">
        <v>61</v>
      </c>
    </row>
    <row r="179" spans="2:2" hidden="1" x14ac:dyDescent="0.2">
      <c r="B179" s="146">
        <v>62</v>
      </c>
    </row>
    <row r="180" spans="2:2" hidden="1" x14ac:dyDescent="0.2">
      <c r="B180" s="146">
        <v>63</v>
      </c>
    </row>
    <row r="181" spans="2:2" hidden="1" x14ac:dyDescent="0.2">
      <c r="B181" s="146">
        <v>64</v>
      </c>
    </row>
    <row r="182" spans="2:2" hidden="1" x14ac:dyDescent="0.2">
      <c r="B182" s="146">
        <v>65</v>
      </c>
    </row>
    <row r="183" spans="2:2" hidden="1" x14ac:dyDescent="0.2">
      <c r="B183" s="146">
        <v>66</v>
      </c>
    </row>
    <row r="184" spans="2:2" hidden="1" x14ac:dyDescent="0.2">
      <c r="B184" s="146">
        <v>67</v>
      </c>
    </row>
    <row r="185" spans="2:2" hidden="1" x14ac:dyDescent="0.2">
      <c r="B185" s="146">
        <v>68</v>
      </c>
    </row>
    <row r="186" spans="2:2" hidden="1" x14ac:dyDescent="0.2">
      <c r="B186" s="146">
        <v>69</v>
      </c>
    </row>
    <row r="187" spans="2:2" hidden="1" x14ac:dyDescent="0.2">
      <c r="B187" s="146">
        <v>70</v>
      </c>
    </row>
    <row r="188" spans="2:2" hidden="1" x14ac:dyDescent="0.2">
      <c r="B188" s="146">
        <v>71</v>
      </c>
    </row>
    <row r="189" spans="2:2" hidden="1" x14ac:dyDescent="0.2">
      <c r="B189" s="146">
        <v>72</v>
      </c>
    </row>
    <row r="190" spans="2:2" hidden="1" x14ac:dyDescent="0.2">
      <c r="B190" s="146">
        <v>73</v>
      </c>
    </row>
    <row r="191" spans="2:2" hidden="1" x14ac:dyDescent="0.2">
      <c r="B191" s="146">
        <v>74</v>
      </c>
    </row>
    <row r="192" spans="2:2" hidden="1" x14ac:dyDescent="0.2">
      <c r="B192" s="146">
        <v>75</v>
      </c>
    </row>
    <row r="193" spans="2:2" hidden="1" x14ac:dyDescent="0.2">
      <c r="B193" s="146">
        <v>76</v>
      </c>
    </row>
    <row r="194" spans="2:2" hidden="1" x14ac:dyDescent="0.2">
      <c r="B194" s="146">
        <v>77</v>
      </c>
    </row>
    <row r="195" spans="2:2" hidden="1" x14ac:dyDescent="0.2">
      <c r="B195" s="146">
        <v>78</v>
      </c>
    </row>
    <row r="196" spans="2:2" hidden="1" x14ac:dyDescent="0.2">
      <c r="B196" s="146">
        <v>79</v>
      </c>
    </row>
    <row r="197" spans="2:2" hidden="1" x14ac:dyDescent="0.2">
      <c r="B197" s="146">
        <v>80</v>
      </c>
    </row>
    <row r="198" spans="2:2" hidden="1" x14ac:dyDescent="0.2">
      <c r="B198" s="146">
        <v>81</v>
      </c>
    </row>
    <row r="199" spans="2:2" hidden="1" x14ac:dyDescent="0.2">
      <c r="B199" s="146">
        <v>82</v>
      </c>
    </row>
    <row r="200" spans="2:2" hidden="1" x14ac:dyDescent="0.2">
      <c r="B200" s="146">
        <v>83</v>
      </c>
    </row>
    <row r="201" spans="2:2" hidden="1" x14ac:dyDescent="0.2">
      <c r="B201" s="146">
        <v>84</v>
      </c>
    </row>
    <row r="202" spans="2:2" hidden="1" x14ac:dyDescent="0.2">
      <c r="B202" s="146">
        <v>85</v>
      </c>
    </row>
    <row r="203" spans="2:2" hidden="1" x14ac:dyDescent="0.2">
      <c r="B203" s="146">
        <v>86</v>
      </c>
    </row>
    <row r="204" spans="2:2" hidden="1" x14ac:dyDescent="0.2">
      <c r="B204" s="146">
        <v>87</v>
      </c>
    </row>
    <row r="205" spans="2:2" hidden="1" x14ac:dyDescent="0.2">
      <c r="B205" s="146">
        <v>88</v>
      </c>
    </row>
    <row r="206" spans="2:2" hidden="1" x14ac:dyDescent="0.2">
      <c r="B206" s="146">
        <v>89</v>
      </c>
    </row>
    <row r="207" spans="2:2" hidden="1" x14ac:dyDescent="0.2">
      <c r="B207" s="146">
        <v>90</v>
      </c>
    </row>
    <row r="208" spans="2:2" hidden="1" x14ac:dyDescent="0.2">
      <c r="B208" s="146">
        <v>91</v>
      </c>
    </row>
    <row r="209" spans="2:2" hidden="1" x14ac:dyDescent="0.2">
      <c r="B209" s="146">
        <v>92</v>
      </c>
    </row>
    <row r="210" spans="2:2" hidden="1" x14ac:dyDescent="0.2">
      <c r="B210" s="146">
        <v>93</v>
      </c>
    </row>
    <row r="211" spans="2:2" hidden="1" x14ac:dyDescent="0.2">
      <c r="B211" s="146">
        <v>94</v>
      </c>
    </row>
    <row r="212" spans="2:2" hidden="1" x14ac:dyDescent="0.2">
      <c r="B212" s="146">
        <v>95</v>
      </c>
    </row>
    <row r="213" spans="2:2" hidden="1" x14ac:dyDescent="0.2">
      <c r="B213" s="146">
        <v>96</v>
      </c>
    </row>
    <row r="214" spans="2:2" hidden="1" x14ac:dyDescent="0.2">
      <c r="B214" s="146">
        <v>97</v>
      </c>
    </row>
    <row r="215" spans="2:2" hidden="1" x14ac:dyDescent="0.2">
      <c r="B215" s="146">
        <v>98</v>
      </c>
    </row>
    <row r="216" spans="2:2" hidden="1" x14ac:dyDescent="0.2">
      <c r="B216" s="146">
        <v>99</v>
      </c>
    </row>
    <row r="217" spans="2:2" hidden="1" x14ac:dyDescent="0.2">
      <c r="B217" s="146">
        <v>100</v>
      </c>
    </row>
    <row r="218" spans="2:2" hidden="1" x14ac:dyDescent="0.2">
      <c r="B218" s="146">
        <v>101</v>
      </c>
    </row>
    <row r="219" spans="2:2" hidden="1" x14ac:dyDescent="0.2">
      <c r="B219" s="146">
        <v>102</v>
      </c>
    </row>
    <row r="220" spans="2:2" hidden="1" x14ac:dyDescent="0.2">
      <c r="B220" s="146">
        <v>103</v>
      </c>
    </row>
    <row r="221" spans="2:2" hidden="1" x14ac:dyDescent="0.2">
      <c r="B221" s="146">
        <v>104</v>
      </c>
    </row>
    <row r="222" spans="2:2" hidden="1" x14ac:dyDescent="0.2">
      <c r="B222" s="146">
        <v>105</v>
      </c>
    </row>
    <row r="223" spans="2:2" hidden="1" x14ac:dyDescent="0.2">
      <c r="B223" s="146">
        <v>106</v>
      </c>
    </row>
    <row r="224" spans="2:2" hidden="1" x14ac:dyDescent="0.2">
      <c r="B224" s="146">
        <v>107</v>
      </c>
    </row>
    <row r="225" spans="2:2" hidden="1" x14ac:dyDescent="0.2">
      <c r="B225" s="146">
        <v>108</v>
      </c>
    </row>
    <row r="226" spans="2:2" hidden="1" x14ac:dyDescent="0.2">
      <c r="B226" s="146">
        <v>109</v>
      </c>
    </row>
    <row r="227" spans="2:2" hidden="1" x14ac:dyDescent="0.2">
      <c r="B227" s="146">
        <v>110</v>
      </c>
    </row>
    <row r="228" spans="2:2" hidden="1" x14ac:dyDescent="0.2">
      <c r="B228" s="146">
        <v>111</v>
      </c>
    </row>
    <row r="229" spans="2:2" hidden="1" x14ac:dyDescent="0.2">
      <c r="B229" s="146">
        <v>112</v>
      </c>
    </row>
    <row r="230" spans="2:2" hidden="1" x14ac:dyDescent="0.2">
      <c r="B230" s="146">
        <v>113</v>
      </c>
    </row>
    <row r="231" spans="2:2" hidden="1" x14ac:dyDescent="0.2">
      <c r="B231" s="146">
        <v>114</v>
      </c>
    </row>
    <row r="232" spans="2:2" hidden="1" x14ac:dyDescent="0.2">
      <c r="B232" s="146">
        <v>115</v>
      </c>
    </row>
    <row r="233" spans="2:2" hidden="1" x14ac:dyDescent="0.2">
      <c r="B233" s="146">
        <v>116</v>
      </c>
    </row>
    <row r="234" spans="2:2" hidden="1" x14ac:dyDescent="0.2">
      <c r="B234" s="146">
        <v>117</v>
      </c>
    </row>
    <row r="235" spans="2:2" hidden="1" x14ac:dyDescent="0.2">
      <c r="B235" s="146">
        <v>118</v>
      </c>
    </row>
    <row r="236" spans="2:2" hidden="1" x14ac:dyDescent="0.2">
      <c r="B236" s="146">
        <v>119</v>
      </c>
    </row>
    <row r="237" spans="2:2" hidden="1" x14ac:dyDescent="0.2">
      <c r="B237" s="146">
        <v>120</v>
      </c>
    </row>
    <row r="238" spans="2:2" hidden="1" x14ac:dyDescent="0.2">
      <c r="B238" s="146">
        <v>121</v>
      </c>
    </row>
    <row r="239" spans="2:2" hidden="1" x14ac:dyDescent="0.2">
      <c r="B239" s="146">
        <v>122</v>
      </c>
    </row>
    <row r="240" spans="2:2" hidden="1" x14ac:dyDescent="0.2">
      <c r="B240" s="146">
        <v>123</v>
      </c>
    </row>
    <row r="241" spans="2:2" hidden="1" x14ac:dyDescent="0.2">
      <c r="B241" s="146">
        <v>124</v>
      </c>
    </row>
    <row r="242" spans="2:2" hidden="1" x14ac:dyDescent="0.2">
      <c r="B242" s="146">
        <v>125</v>
      </c>
    </row>
    <row r="243" spans="2:2" hidden="1" x14ac:dyDescent="0.2">
      <c r="B243" s="146">
        <v>126</v>
      </c>
    </row>
    <row r="244" spans="2:2" hidden="1" x14ac:dyDescent="0.2">
      <c r="B244" s="146">
        <v>127</v>
      </c>
    </row>
    <row r="245" spans="2:2" hidden="1" x14ac:dyDescent="0.2">
      <c r="B245" s="146">
        <v>128</v>
      </c>
    </row>
    <row r="246" spans="2:2" hidden="1" x14ac:dyDescent="0.2">
      <c r="B246" s="146">
        <v>129</v>
      </c>
    </row>
    <row r="247" spans="2:2" hidden="1" x14ac:dyDescent="0.2">
      <c r="B247" s="146">
        <v>130</v>
      </c>
    </row>
    <row r="248" spans="2:2" hidden="1" x14ac:dyDescent="0.2">
      <c r="B248" s="146">
        <v>131</v>
      </c>
    </row>
    <row r="249" spans="2:2" hidden="1" x14ac:dyDescent="0.2">
      <c r="B249" s="146">
        <v>132</v>
      </c>
    </row>
    <row r="250" spans="2:2" hidden="1" x14ac:dyDescent="0.2">
      <c r="B250" s="146">
        <v>133</v>
      </c>
    </row>
    <row r="251" spans="2:2" hidden="1" x14ac:dyDescent="0.2">
      <c r="B251" s="146">
        <v>134</v>
      </c>
    </row>
    <row r="252" spans="2:2" hidden="1" x14ac:dyDescent="0.2">
      <c r="B252" s="146">
        <v>135</v>
      </c>
    </row>
    <row r="253" spans="2:2" hidden="1" x14ac:dyDescent="0.2">
      <c r="B253" s="146">
        <v>136</v>
      </c>
    </row>
    <row r="254" spans="2:2" hidden="1" x14ac:dyDescent="0.2">
      <c r="B254" s="146">
        <v>137</v>
      </c>
    </row>
    <row r="255" spans="2:2" hidden="1" x14ac:dyDescent="0.2">
      <c r="B255" s="146">
        <v>138</v>
      </c>
    </row>
    <row r="256" spans="2:2" hidden="1" x14ac:dyDescent="0.2">
      <c r="B256" s="146">
        <v>139</v>
      </c>
    </row>
    <row r="257" spans="2:2" hidden="1" x14ac:dyDescent="0.2">
      <c r="B257" s="146">
        <v>140</v>
      </c>
    </row>
    <row r="258" spans="2:2" hidden="1" x14ac:dyDescent="0.2">
      <c r="B258" s="146">
        <v>141</v>
      </c>
    </row>
    <row r="259" spans="2:2" hidden="1" x14ac:dyDescent="0.2">
      <c r="B259" s="146">
        <v>142</v>
      </c>
    </row>
    <row r="260" spans="2:2" hidden="1" x14ac:dyDescent="0.2">
      <c r="B260" s="146">
        <v>143</v>
      </c>
    </row>
    <row r="261" spans="2:2" hidden="1" x14ac:dyDescent="0.2">
      <c r="B261" s="146">
        <v>144</v>
      </c>
    </row>
    <row r="262" spans="2:2" hidden="1" x14ac:dyDescent="0.2">
      <c r="B262" s="146">
        <v>145</v>
      </c>
    </row>
    <row r="263" spans="2:2" hidden="1" x14ac:dyDescent="0.2">
      <c r="B263" s="146">
        <v>146</v>
      </c>
    </row>
    <row r="264" spans="2:2" hidden="1" x14ac:dyDescent="0.2">
      <c r="B264" s="146">
        <v>147</v>
      </c>
    </row>
    <row r="265" spans="2:2" hidden="1" x14ac:dyDescent="0.2">
      <c r="B265" s="146">
        <v>148</v>
      </c>
    </row>
    <row r="266" spans="2:2" hidden="1" x14ac:dyDescent="0.2">
      <c r="B266" s="146">
        <v>149</v>
      </c>
    </row>
    <row r="267" spans="2:2" hidden="1" x14ac:dyDescent="0.2">
      <c r="B267" s="146">
        <v>150</v>
      </c>
    </row>
    <row r="268" spans="2:2" hidden="1" x14ac:dyDescent="0.2">
      <c r="B268" s="146">
        <v>151</v>
      </c>
    </row>
    <row r="269" spans="2:2" hidden="1" x14ac:dyDescent="0.2">
      <c r="B269" s="146">
        <v>152</v>
      </c>
    </row>
    <row r="270" spans="2:2" hidden="1" x14ac:dyDescent="0.2">
      <c r="B270" s="146">
        <v>153</v>
      </c>
    </row>
    <row r="271" spans="2:2" hidden="1" x14ac:dyDescent="0.2">
      <c r="B271" s="146">
        <v>154</v>
      </c>
    </row>
    <row r="272" spans="2:2" hidden="1" x14ac:dyDescent="0.2">
      <c r="B272" s="146">
        <v>155</v>
      </c>
    </row>
    <row r="273" spans="2:2" hidden="1" x14ac:dyDescent="0.2">
      <c r="B273" s="146">
        <v>156</v>
      </c>
    </row>
    <row r="274" spans="2:2" hidden="1" x14ac:dyDescent="0.2">
      <c r="B274" s="146">
        <v>157</v>
      </c>
    </row>
    <row r="275" spans="2:2" hidden="1" x14ac:dyDescent="0.2">
      <c r="B275" s="146">
        <v>158</v>
      </c>
    </row>
    <row r="276" spans="2:2" hidden="1" x14ac:dyDescent="0.2">
      <c r="B276" s="146">
        <v>159</v>
      </c>
    </row>
    <row r="277" spans="2:2" hidden="1" x14ac:dyDescent="0.2">
      <c r="B277" s="146">
        <v>160</v>
      </c>
    </row>
    <row r="278" spans="2:2" hidden="1" x14ac:dyDescent="0.2">
      <c r="B278" s="146">
        <v>161</v>
      </c>
    </row>
    <row r="279" spans="2:2" hidden="1" x14ac:dyDescent="0.2">
      <c r="B279" s="146">
        <v>162</v>
      </c>
    </row>
    <row r="280" spans="2:2" hidden="1" x14ac:dyDescent="0.2">
      <c r="B280" s="146">
        <v>163</v>
      </c>
    </row>
    <row r="281" spans="2:2" hidden="1" x14ac:dyDescent="0.2">
      <c r="B281" s="146">
        <v>164</v>
      </c>
    </row>
    <row r="282" spans="2:2" hidden="1" x14ac:dyDescent="0.2">
      <c r="B282" s="146">
        <v>165</v>
      </c>
    </row>
    <row r="283" spans="2:2" hidden="1" x14ac:dyDescent="0.2">
      <c r="B283" s="146">
        <v>166</v>
      </c>
    </row>
    <row r="284" spans="2:2" hidden="1" x14ac:dyDescent="0.2">
      <c r="B284" s="146">
        <v>167</v>
      </c>
    </row>
    <row r="285" spans="2:2" hidden="1" x14ac:dyDescent="0.2">
      <c r="B285" s="146">
        <v>168</v>
      </c>
    </row>
    <row r="286" spans="2:2" hidden="1" x14ac:dyDescent="0.2">
      <c r="B286" s="146">
        <v>169</v>
      </c>
    </row>
    <row r="287" spans="2:2" hidden="1" x14ac:dyDescent="0.2">
      <c r="B287" s="146">
        <v>170</v>
      </c>
    </row>
    <row r="288" spans="2:2" hidden="1" x14ac:dyDescent="0.2">
      <c r="B288" s="146">
        <v>171</v>
      </c>
    </row>
    <row r="289" spans="2:2" hidden="1" x14ac:dyDescent="0.2">
      <c r="B289" s="146">
        <v>172</v>
      </c>
    </row>
    <row r="290" spans="2:2" hidden="1" x14ac:dyDescent="0.2">
      <c r="B290" s="146">
        <v>173</v>
      </c>
    </row>
    <row r="291" spans="2:2" hidden="1" x14ac:dyDescent="0.2">
      <c r="B291" s="146">
        <v>174</v>
      </c>
    </row>
    <row r="292" spans="2:2" hidden="1" x14ac:dyDescent="0.2">
      <c r="B292" s="146">
        <v>175</v>
      </c>
    </row>
    <row r="293" spans="2:2" hidden="1" x14ac:dyDescent="0.2">
      <c r="B293" s="146">
        <v>176</v>
      </c>
    </row>
    <row r="294" spans="2:2" hidden="1" x14ac:dyDescent="0.2">
      <c r="B294" s="146">
        <v>177</v>
      </c>
    </row>
    <row r="295" spans="2:2" hidden="1" x14ac:dyDescent="0.2">
      <c r="B295" s="146">
        <v>178</v>
      </c>
    </row>
    <row r="296" spans="2:2" hidden="1" x14ac:dyDescent="0.2">
      <c r="B296" s="146">
        <v>179</v>
      </c>
    </row>
    <row r="297" spans="2:2" hidden="1" x14ac:dyDescent="0.2">
      <c r="B297" s="146">
        <v>180</v>
      </c>
    </row>
    <row r="298" spans="2:2" hidden="1" x14ac:dyDescent="0.2"/>
    <row r="299" spans="2:2" hidden="1" x14ac:dyDescent="0.2"/>
  </sheetData>
  <sheetProtection sheet="1" objects="1" scenarios="1"/>
  <mergeCells count="322">
    <mergeCell ref="AB8:AH8"/>
    <mergeCell ref="B61:B62"/>
    <mergeCell ref="B46:B47"/>
    <mergeCell ref="B48:B49"/>
    <mergeCell ref="B50:B51"/>
    <mergeCell ref="B52:B53"/>
    <mergeCell ref="B57:B58"/>
    <mergeCell ref="B59:B60"/>
    <mergeCell ref="C51:D51"/>
    <mergeCell ref="C62:D62"/>
    <mergeCell ref="C59:D59"/>
    <mergeCell ref="C47:D47"/>
    <mergeCell ref="C57:D57"/>
    <mergeCell ref="C56:D56"/>
    <mergeCell ref="C54:M54"/>
    <mergeCell ref="C52:D52"/>
    <mergeCell ref="C58:D58"/>
    <mergeCell ref="C55:D55"/>
    <mergeCell ref="F58:G58"/>
    <mergeCell ref="I58:J58"/>
    <mergeCell ref="F59:G59"/>
    <mergeCell ref="F55:G55"/>
    <mergeCell ref="I55:J55"/>
    <mergeCell ref="I62:J62"/>
    <mergeCell ref="L79:M79"/>
    <mergeCell ref="C78:D78"/>
    <mergeCell ref="I78:J78"/>
    <mergeCell ref="C79:D79"/>
    <mergeCell ref="F79:G79"/>
    <mergeCell ref="L82:M82"/>
    <mergeCell ref="C64:D64"/>
    <mergeCell ref="L60:M60"/>
    <mergeCell ref="F60:G60"/>
    <mergeCell ref="I60:J60"/>
    <mergeCell ref="L67:M67"/>
    <mergeCell ref="L69:M69"/>
    <mergeCell ref="F71:G71"/>
    <mergeCell ref="C65:D65"/>
    <mergeCell ref="C61:D61"/>
    <mergeCell ref="C60:D60"/>
    <mergeCell ref="I61:J61"/>
    <mergeCell ref="C77:D77"/>
    <mergeCell ref="C63:M63"/>
    <mergeCell ref="C70:D70"/>
    <mergeCell ref="C66:D66"/>
    <mergeCell ref="C67:D67"/>
    <mergeCell ref="F69:G69"/>
    <mergeCell ref="C68:D68"/>
    <mergeCell ref="L77:M77"/>
    <mergeCell ref="F77:G77"/>
    <mergeCell ref="L65:M65"/>
    <mergeCell ref="F65:G65"/>
    <mergeCell ref="C75:D75"/>
    <mergeCell ref="C71:D71"/>
    <mergeCell ref="L66:M66"/>
    <mergeCell ref="I69:J69"/>
    <mergeCell ref="I77:J77"/>
    <mergeCell ref="C76:D76"/>
    <mergeCell ref="I71:J71"/>
    <mergeCell ref="L70:M70"/>
    <mergeCell ref="L68:M68"/>
    <mergeCell ref="I66:J66"/>
    <mergeCell ref="T6:U6"/>
    <mergeCell ref="P5:P18"/>
    <mergeCell ref="E7:F7"/>
    <mergeCell ref="C101:H101"/>
    <mergeCell ref="B100:P100"/>
    <mergeCell ref="P90:P99"/>
    <mergeCell ref="G92:H92"/>
    <mergeCell ref="I92:J92"/>
    <mergeCell ref="G93:H93"/>
    <mergeCell ref="I93:J93"/>
    <mergeCell ref="K93:O95"/>
    <mergeCell ref="G94:H94"/>
    <mergeCell ref="G90:J90"/>
    <mergeCell ref="I94:J94"/>
    <mergeCell ref="G95:H95"/>
    <mergeCell ref="I95:J95"/>
    <mergeCell ref="B99:J99"/>
    <mergeCell ref="K99:O99"/>
    <mergeCell ref="K96:O98"/>
    <mergeCell ref="I79:J79"/>
    <mergeCell ref="L78:M78"/>
    <mergeCell ref="B77:B78"/>
    <mergeCell ref="F82:G82"/>
    <mergeCell ref="F62:G62"/>
    <mergeCell ref="E14:F14"/>
    <mergeCell ref="B2:P2"/>
    <mergeCell ref="B3:P3"/>
    <mergeCell ref="B4:P4"/>
    <mergeCell ref="B5:O5"/>
    <mergeCell ref="K6:O6"/>
    <mergeCell ref="G8:O8"/>
    <mergeCell ref="C7:D7"/>
    <mergeCell ref="K9:O9"/>
    <mergeCell ref="I7:J7"/>
    <mergeCell ref="G7:H7"/>
    <mergeCell ref="G9:H9"/>
    <mergeCell ref="C14:D14"/>
    <mergeCell ref="G10:O10"/>
    <mergeCell ref="G11:H11"/>
    <mergeCell ref="G12:O12"/>
    <mergeCell ref="E11:F11"/>
    <mergeCell ref="C16:D16"/>
    <mergeCell ref="I15:J15"/>
    <mergeCell ref="B25:O25"/>
    <mergeCell ref="C18:D18"/>
    <mergeCell ref="B38:B39"/>
    <mergeCell ref="F38:G39"/>
    <mergeCell ref="C43:D43"/>
    <mergeCell ref="F42:G42"/>
    <mergeCell ref="C41:D41"/>
    <mergeCell ref="C38:E39"/>
    <mergeCell ref="F43:G43"/>
    <mergeCell ref="C42:D42"/>
    <mergeCell ref="F41:G41"/>
    <mergeCell ref="E15:F15"/>
    <mergeCell ref="N38:N39"/>
    <mergeCell ref="O38:O39"/>
    <mergeCell ref="B35:O35"/>
    <mergeCell ref="B36:O36"/>
    <mergeCell ref="H38:H39"/>
    <mergeCell ref="L38:M39"/>
    <mergeCell ref="I38:K39"/>
    <mergeCell ref="G18:O18"/>
    <mergeCell ref="C15:D15"/>
    <mergeCell ref="E17:F17"/>
    <mergeCell ref="K88:O88"/>
    <mergeCell ref="I91:J91"/>
    <mergeCell ref="E91:F91"/>
    <mergeCell ref="G91:H91"/>
    <mergeCell ref="B90:F90"/>
    <mergeCell ref="E95:F95"/>
    <mergeCell ref="G98:H98"/>
    <mergeCell ref="I98:J98"/>
    <mergeCell ref="B89:O89"/>
    <mergeCell ref="B92:D92"/>
    <mergeCell ref="E92:F92"/>
    <mergeCell ref="K90:O92"/>
    <mergeCell ref="B97:D97"/>
    <mergeCell ref="E97:F97"/>
    <mergeCell ref="B94:D94"/>
    <mergeCell ref="B96:D96"/>
    <mergeCell ref="B88:J88"/>
    <mergeCell ref="E108:F108"/>
    <mergeCell ref="C80:D80"/>
    <mergeCell ref="B98:D98"/>
    <mergeCell ref="E98:F98"/>
    <mergeCell ref="E94:F94"/>
    <mergeCell ref="B95:D95"/>
    <mergeCell ref="B91:D91"/>
    <mergeCell ref="C83:D83"/>
    <mergeCell ref="E96:F96"/>
    <mergeCell ref="B84:O84"/>
    <mergeCell ref="C82:D82"/>
    <mergeCell ref="B93:D93"/>
    <mergeCell ref="E93:F93"/>
    <mergeCell ref="B86:O86"/>
    <mergeCell ref="B87:O87"/>
    <mergeCell ref="G96:H96"/>
    <mergeCell ref="I96:J96"/>
    <mergeCell ref="I101:N101"/>
    <mergeCell ref="G97:H97"/>
    <mergeCell ref="I97:J97"/>
    <mergeCell ref="F80:G80"/>
    <mergeCell ref="B79:B80"/>
    <mergeCell ref="F83:G83"/>
    <mergeCell ref="B85:O85"/>
    <mergeCell ref="V6:W6"/>
    <mergeCell ref="B20:O20"/>
    <mergeCell ref="B37:O37"/>
    <mergeCell ref="B19:G19"/>
    <mergeCell ref="H19:O19"/>
    <mergeCell ref="C17:D17"/>
    <mergeCell ref="B31:O31"/>
    <mergeCell ref="B32:O32"/>
    <mergeCell ref="B34:O34"/>
    <mergeCell ref="C10:D10"/>
    <mergeCell ref="I13:J13"/>
    <mergeCell ref="I11:J11"/>
    <mergeCell ref="E12:F12"/>
    <mergeCell ref="B26:O26"/>
    <mergeCell ref="E18:F18"/>
    <mergeCell ref="C11:D11"/>
    <mergeCell ref="B22:O22"/>
    <mergeCell ref="E8:F8"/>
    <mergeCell ref="G15:H15"/>
    <mergeCell ref="G6:J6"/>
    <mergeCell ref="E16:F16"/>
    <mergeCell ref="E9:F9"/>
    <mergeCell ref="G14:O14"/>
    <mergeCell ref="I9:J9"/>
    <mergeCell ref="V42:V43"/>
    <mergeCell ref="U42:U43"/>
    <mergeCell ref="L53:M53"/>
    <mergeCell ref="F44:G44"/>
    <mergeCell ref="L44:M44"/>
    <mergeCell ref="L42:M42"/>
    <mergeCell ref="T42:T43"/>
    <mergeCell ref="I42:J42"/>
    <mergeCell ref="I44:J44"/>
    <mergeCell ref="L43:M43"/>
    <mergeCell ref="I43:J43"/>
    <mergeCell ref="S42:S43"/>
    <mergeCell ref="L50:M50"/>
    <mergeCell ref="F53:G53"/>
    <mergeCell ref="F52:G52"/>
    <mergeCell ref="I50:J50"/>
    <mergeCell ref="L52:M52"/>
    <mergeCell ref="I53:J53"/>
    <mergeCell ref="L51:M51"/>
    <mergeCell ref="I46:J46"/>
    <mergeCell ref="F49:G49"/>
    <mergeCell ref="F51:G51"/>
    <mergeCell ref="F50:G50"/>
    <mergeCell ref="L64:M64"/>
    <mergeCell ref="F68:G68"/>
    <mergeCell ref="F67:G67"/>
    <mergeCell ref="F70:G70"/>
    <mergeCell ref="I70:J70"/>
    <mergeCell ref="F64:G64"/>
    <mergeCell ref="I65:J65"/>
    <mergeCell ref="I68:J68"/>
    <mergeCell ref="I67:J67"/>
    <mergeCell ref="F66:G66"/>
    <mergeCell ref="L58:M58"/>
    <mergeCell ref="F56:G56"/>
    <mergeCell ref="I57:J57"/>
    <mergeCell ref="L56:M56"/>
    <mergeCell ref="L55:M55"/>
    <mergeCell ref="L61:M61"/>
    <mergeCell ref="I59:J59"/>
    <mergeCell ref="F57:G57"/>
    <mergeCell ref="L57:M57"/>
    <mergeCell ref="L59:M59"/>
    <mergeCell ref="I56:J56"/>
    <mergeCell ref="F61:G61"/>
    <mergeCell ref="B68:B69"/>
    <mergeCell ref="B70:B71"/>
    <mergeCell ref="C69:D69"/>
    <mergeCell ref="L62:M62"/>
    <mergeCell ref="I64:J64"/>
    <mergeCell ref="B74:P74"/>
    <mergeCell ref="P75:P83"/>
    <mergeCell ref="L80:M80"/>
    <mergeCell ref="C81:M81"/>
    <mergeCell ref="I80:J80"/>
    <mergeCell ref="F76:G76"/>
    <mergeCell ref="I76:J76"/>
    <mergeCell ref="L76:M76"/>
    <mergeCell ref="L71:M71"/>
    <mergeCell ref="L75:M75"/>
    <mergeCell ref="I75:J75"/>
    <mergeCell ref="F75:G75"/>
    <mergeCell ref="I83:J83"/>
    <mergeCell ref="L83:M83"/>
    <mergeCell ref="F78:G78"/>
    <mergeCell ref="I82:J82"/>
    <mergeCell ref="C72:M72"/>
    <mergeCell ref="B73:P73"/>
    <mergeCell ref="P36:P72"/>
    <mergeCell ref="C1:J1"/>
    <mergeCell ref="L1:P1"/>
    <mergeCell ref="K7:O7"/>
    <mergeCell ref="C8:D8"/>
    <mergeCell ref="C6:F6"/>
    <mergeCell ref="C9:D9"/>
    <mergeCell ref="C13:D13"/>
    <mergeCell ref="K11:O11"/>
    <mergeCell ref="G13:H13"/>
    <mergeCell ref="C12:D12"/>
    <mergeCell ref="E10:F10"/>
    <mergeCell ref="E13:F13"/>
    <mergeCell ref="K13:O13"/>
    <mergeCell ref="L40:M40"/>
    <mergeCell ref="L41:M41"/>
    <mergeCell ref="I41:J41"/>
    <mergeCell ref="F48:G48"/>
    <mergeCell ref="C49:D49"/>
    <mergeCell ref="C40:D40"/>
    <mergeCell ref="K15:O15"/>
    <mergeCell ref="G16:O16"/>
    <mergeCell ref="K17:O17"/>
    <mergeCell ref="I17:J17"/>
    <mergeCell ref="G17:H17"/>
    <mergeCell ref="I40:J40"/>
    <mergeCell ref="B21:O21"/>
    <mergeCell ref="B24:O24"/>
    <mergeCell ref="B27:O27"/>
    <mergeCell ref="F40:G40"/>
    <mergeCell ref="L45:M45"/>
    <mergeCell ref="B23:O23"/>
    <mergeCell ref="F46:G46"/>
    <mergeCell ref="L49:M49"/>
    <mergeCell ref="B33:O33"/>
    <mergeCell ref="L48:M48"/>
    <mergeCell ref="L46:M46"/>
    <mergeCell ref="L47:M47"/>
    <mergeCell ref="C45:D45"/>
    <mergeCell ref="S37:T38"/>
    <mergeCell ref="R86:R87"/>
    <mergeCell ref="B106:C108"/>
    <mergeCell ref="Y9:Z9"/>
    <mergeCell ref="Y7:Z7"/>
    <mergeCell ref="R22:R25"/>
    <mergeCell ref="R29:S30"/>
    <mergeCell ref="P31:P32"/>
    <mergeCell ref="P28:P30"/>
    <mergeCell ref="B28:O30"/>
    <mergeCell ref="C44:D44"/>
    <mergeCell ref="C48:D48"/>
    <mergeCell ref="C50:D50"/>
    <mergeCell ref="C53:D53"/>
    <mergeCell ref="C46:D46"/>
    <mergeCell ref="F45:G45"/>
    <mergeCell ref="I48:J48"/>
    <mergeCell ref="I52:J52"/>
    <mergeCell ref="I49:J49"/>
    <mergeCell ref="I47:J47"/>
    <mergeCell ref="I45:J45"/>
    <mergeCell ref="F47:G47"/>
    <mergeCell ref="I51:J51"/>
  </mergeCells>
  <phoneticPr fontId="0" type="noConversion"/>
  <conditionalFormatting sqref="G8:O8">
    <cfRule type="cellIs" dxfId="17" priority="6" operator="equal">
      <formula>$AB$8</formula>
    </cfRule>
  </conditionalFormatting>
  <conditionalFormatting sqref="G10:O10">
    <cfRule type="cellIs" dxfId="16" priority="5" operator="equal">
      <formula>$AB$8</formula>
    </cfRule>
  </conditionalFormatting>
  <conditionalFormatting sqref="G12:O12">
    <cfRule type="cellIs" dxfId="15" priority="4" operator="equal">
      <formula>$AB$8</formula>
    </cfRule>
  </conditionalFormatting>
  <conditionalFormatting sqref="G14:O14">
    <cfRule type="cellIs" dxfId="14" priority="3" operator="equal">
      <formula>$AB$8</formula>
    </cfRule>
  </conditionalFormatting>
  <conditionalFormatting sqref="G16:O16">
    <cfRule type="cellIs" dxfId="13" priority="2" operator="equal">
      <formula>$AB$8</formula>
    </cfRule>
  </conditionalFormatting>
  <conditionalFormatting sqref="G18:O18">
    <cfRule type="cellIs" dxfId="12" priority="1" operator="equal">
      <formula>$AB$8</formula>
    </cfRule>
  </conditionalFormatting>
  <dataValidations xWindow="843" yWindow="349" count="22">
    <dataValidation type="decimal" operator="equal" allowBlank="1" showInputMessage="1" showErrorMessage="1" promptTitle="Shoulder surgery" prompt="Select type of surgery performed, if any." sqref="A22" xr:uid="{00000000-0002-0000-0B00-000004000000}">
      <formula1>T22</formula1>
    </dataValidation>
    <dataValidation type="decimal" operator="equal" allowBlank="1" showInputMessage="1" showErrorMessage="1" promptTitle="Shoulder" prompt="Check box or boxes that apply." sqref="A31" xr:uid="{00000000-0002-0000-0B00-000005000000}">
      <formula1>T31</formula1>
    </dataValidation>
    <dataValidation type="decimal" operator="equal" allowBlank="1" showInputMessage="1" showErrorMessage="1" promptTitle="Shoulder" prompt="Check &quot;Yes&quot; if the chronic condition criteria have been met." sqref="A88" xr:uid="{00000000-0002-0000-0B00-000006000000}">
      <formula1>S88</formula1>
    </dataValidation>
    <dataValidation allowBlank="1" showInputMessage="1" showErrorMessage="1" promptTitle="End of worksheet" prompt="Press TAB to return to top of sheet." sqref="P101" xr:uid="{00000000-0002-0000-0B00-000007000000}"/>
    <dataValidation type="decimal" allowBlank="1" showInputMessage="1" showErrorMessage="1" promptTitle="Apportionment (if any)" prompt="Enter percentage of impairment caused by the injury or illness. See OAR 436-035-0013." sqref="G91:H98" xr:uid="{00000000-0002-0000-0B00-000013000000}">
      <formula1>$B$109</formula1>
      <formula2>$C$109</formula2>
    </dataValidation>
    <dataValidation type="list" showInputMessage="1" showErrorMessage="1" promptTitle="Shoulder" prompt="Enter degrees of adduction ankylosis.  If joint was not affected by the injury, select &quot;NA&quot; or leave blank." sqref="C14:D14" xr:uid="{8BD14035-7A14-415D-A632-90634364793A}">
      <formula1>$B$116:$B$167</formula1>
    </dataValidation>
    <dataValidation type="list" showInputMessage="1" showErrorMessage="1" promptTitle="Shoulder" prompt="Enter degrees of abduction ankylosis. If joint was not affected by the injury, select &quot;NA&quot; or leave blank." sqref="C12:D12" xr:uid="{0B22442A-F376-4882-ABF8-249A7D3C1F51}">
      <formula1>$B$116:$B$297</formula1>
    </dataValidation>
    <dataValidation type="list" showInputMessage="1" showErrorMessage="1" promptTitle="Shoulder" prompt="Enter degrees of backward elevation (extension) ankylosis.  If joint was not affected by the injury, select &quot;NA&quot; or leave blank." sqref="C10:D10" xr:uid="{E852B9BC-1999-4A6E-9AFE-9378690F89E2}">
      <formula1>$B$116:$B$167</formula1>
    </dataValidation>
    <dataValidation type="list" showInputMessage="1" showErrorMessage="1" promptTitle="Shoulder ROM" prompt="Enter retained degrees of motion, backward elevation (extension). If joint was not affected by the injury, select &quot;NA&quot; or leave blank." sqref="C9:D9" xr:uid="{B00EF07B-3474-42CD-85DC-E1699FE3F876}">
      <formula1>$B$116:$B$167</formula1>
    </dataValidation>
    <dataValidation type="list" showInputMessage="1" showErrorMessage="1" promptTitle="Shoulder" prompt="Enter degrees of forward elevation (flexion) ankylosis. If joint was not affected by the injury, select &quot;NA&quot; or leave blank." sqref="C8:D8" xr:uid="{4972FADA-D974-4624-A02D-10A9390A90C9}">
      <formula1>$B$116:$B$297</formula1>
    </dataValidation>
    <dataValidation type="list" showInputMessage="1" showErrorMessage="1" promptTitle="Shoulder ROM" prompt="Enter retained degrees of motion, forward elevation (flexion). If joint was not affected by the injury, select &quot;NA&quot; or leave blank." sqref="C7:D7" xr:uid="{C381BE7D-E5A7-44FF-BA2F-3470348E3FBD}">
      <formula1>$B$116:$B$297</formula1>
    </dataValidation>
    <dataValidation type="list" showInputMessage="1" showErrorMessage="1" promptTitle="Shoulder" prompt="Enter degrees of external rotation ankylosis.  If joint was not affected by the injury, select &quot;NA&quot; or leave blank." sqref="C18:D18" xr:uid="{D2A1E7F4-58E6-4BDD-869E-C19BE24847C1}">
      <formula1>$B$116:$B$207</formula1>
    </dataValidation>
    <dataValidation type="list" showInputMessage="1" showErrorMessage="1" promptTitle="Shoulder" prompt="Enter degrees of internal rotation ankylosis.  If joint was not affected by the injury, select &quot;NA&quot; or leave blank." sqref="C16:D16" xr:uid="{93F9AA72-0906-4DCD-8135-5B14243E6F9A}">
      <formula1>$B$116:$B$207</formula1>
    </dataValidation>
    <dataValidation type="list" showInputMessage="1" showErrorMessage="1" promptTitle="Contralateral comparison" prompt="Enter retained degrees of motion or &quot;NA&quot; if contralateral joint has a history of injury or disease." sqref="G7:H7 G11:H11" xr:uid="{E53E41DA-DDEA-40F6-9AE6-6DDD0C59CF92}">
      <formula1>$B$116:$B$297</formula1>
    </dataValidation>
    <dataValidation type="list" showInputMessage="1" showErrorMessage="1" promptTitle="Contralateral comparison" prompt="Enter retained degrees of motion or &quot;NA&quot; if contralateral joint has a history of injury or disease." sqref="G9:H9 G13:H13" xr:uid="{BF277144-2942-48FA-953A-37ED86826186}">
      <formula1>$B$116:$B$167</formula1>
    </dataValidation>
    <dataValidation type="list" showInputMessage="1" showErrorMessage="1" promptTitle="Shoulder ROM" prompt="Enter retained degrees of motion,abduction. If joint was not affected by the injury, select &quot;NA&quot; or leave blank." sqref="C11:D11" xr:uid="{F6752D1C-1438-4BED-BD3E-0D17E2CBBC20}">
      <formula1>$B$116:$B$297</formula1>
    </dataValidation>
    <dataValidation type="list" showInputMessage="1" showErrorMessage="1" promptTitle="Shoulder ROM" prompt="Enter retained degrees of motion, adduction. If joint was not affected by the injury, select &quot;NA&quot; or leave blank." sqref="C13:D13" xr:uid="{84A32C26-125B-4515-984A-7FD81BBDAF34}">
      <formula1>$B$116:$B$167</formula1>
    </dataValidation>
    <dataValidation type="list" showInputMessage="1" showErrorMessage="1" promptTitle="Shoulder ROM" prompt="Enter retained degrees of motion, external rotation.  If joint was not affected by the injury, select &quot;NA&quot; or leave blank." sqref="C17:D17" xr:uid="{1213BCA2-D985-4356-912A-471EC4C71775}">
      <formula1>$B$116:$B$207</formula1>
    </dataValidation>
    <dataValidation type="list" showInputMessage="1" showErrorMessage="1" promptTitle="Shoulder ROM" prompt="Enter retained degrees of motion, internal rotation.  If joint was not affected by the injury, select &quot;NA&quot; or leave blank." sqref="C15:D15" xr:uid="{F6FD05DE-3B6B-449B-B9AF-108B58D80606}">
      <formula1>$B$116:$B$207</formula1>
    </dataValidation>
    <dataValidation type="list" showInputMessage="1" showErrorMessage="1" promptTitle="Contralateral comparison" prompt="Enter retained degrees of motion or &quot;NA&quot; if contralateral joint has a history of injury or disease." sqref="G15:H15 G17:H17" xr:uid="{B81613B0-828B-4900-B5BB-C4669215831B}">
      <formula1>$B$116:$B$207</formula1>
    </dataValidation>
    <dataValidation type="list" allowBlank="1" showInputMessage="1" showErrorMessage="1" promptTitle="Strength grade" prompt="Record strength using the 0 to 5  grading system as described in OAR 436-035-0011." sqref="F40:G40 F82:G82 F79:G79 F77:G77 F75:G75 F70:G70 F68:G68 F66:G66 F64:G64 F61:G61 F59:G59 F57:G57 F55:G55 F52:G52 F50:G50 F48:G48 F46:G46 F44:G44 F42:G42" xr:uid="{00000000-0002-0000-0B00-000008000000}">
      <formula1>$T$39:$AH$39</formula1>
    </dataValidation>
    <dataValidation type="list" allowBlank="1" showInputMessage="1" showErrorMessage="1" promptTitle="Strength grade" prompt="Record strength using the 0 to 5  grading system as described in OAR 436-035-0011, or enter &quot;NA&quot; if the part has a history of injury or disease." sqref="L40:M40 L82:M82 L79:M79 L77:M77 L75:M75 L70:M70 L68:M68 L66:M66 L64:M64 L61:M61 L59:M59 L57:M57 L55:M55 L52:M52 L50:M50 L48:M48 L46:M46 L44:M44 L42:M42" xr:uid="{00000000-0002-0000-0B00-000009000000}">
      <formula1>$S$39:$AH$39</formula1>
    </dataValidation>
  </dataValidations>
  <hyperlinks>
    <hyperlink ref="B36:O36" location="Rules!A3" display="Strength grade descriptions" xr:uid="{00000000-0004-0000-0B00-000000000000}"/>
    <hyperlink ref="B101" location="'Shoulder-Left'!A1" display="Return to top of sheet" xr:uid="{00000000-0004-0000-0B00-000001000000}"/>
    <hyperlink ref="I101:N101" location="'PPD DOI on or after 2005'!A1" display="'PPD DOI on or after 2005'!A1" xr:uid="{00000000-0004-0000-0B00-000002000000}"/>
    <hyperlink ref="C101:H101" location="'PPD DOI before 2005'!A1" display="'PPD DOI before 2005'!A1" xr:uid="{00000000-0004-0000-0B00-000003000000}"/>
  </hyperlinks>
  <pageMargins left="0.67" right="0.5" top="0.47" bottom="0.59" header="0.5" footer="0.5"/>
  <pageSetup orientation="portrait" horizontalDpi="300" verticalDpi="300" r:id="rId1"/>
  <headerFooter alignWithMargins="0">
    <oddFooter>&amp;LShoulder, Left&amp;CPage &amp;P</oddFooter>
  </headerFooter>
  <rowBreaks count="2" manualBreakCount="2">
    <brk id="33" max="16383" man="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7903" r:id="rId4" name="Check Box 15">
              <controlPr defaultSize="0" autoFill="0" autoLine="0" autoPict="0">
                <anchor moveWithCells="1">
                  <from>
                    <xdr:col>1</xdr:col>
                    <xdr:colOff>19050</xdr:colOff>
                    <xdr:row>30</xdr:row>
                    <xdr:rowOff>9525</xdr:rowOff>
                  </from>
                  <to>
                    <xdr:col>4</xdr:col>
                    <xdr:colOff>152400</xdr:colOff>
                    <xdr:row>31</xdr:row>
                    <xdr:rowOff>0</xdr:rowOff>
                  </to>
                </anchor>
              </controlPr>
            </control>
          </mc:Choice>
        </mc:AlternateContent>
        <mc:AlternateContent xmlns:mc="http://schemas.openxmlformats.org/markup-compatibility/2006">
          <mc:Choice Requires="x14">
            <control shapeId="37904" r:id="rId5" name="Check Box 16">
              <controlPr defaultSize="0" autoFill="0" autoLine="0" autoPict="0">
                <anchor moveWithCells="1">
                  <from>
                    <xdr:col>1</xdr:col>
                    <xdr:colOff>19050</xdr:colOff>
                    <xdr:row>31</xdr:row>
                    <xdr:rowOff>0</xdr:rowOff>
                  </from>
                  <to>
                    <xdr:col>4</xdr:col>
                    <xdr:colOff>47625</xdr:colOff>
                    <xdr:row>31</xdr:row>
                    <xdr:rowOff>247650</xdr:rowOff>
                  </to>
                </anchor>
              </controlPr>
            </control>
          </mc:Choice>
        </mc:AlternateContent>
        <mc:AlternateContent xmlns:mc="http://schemas.openxmlformats.org/markup-compatibility/2006">
          <mc:Choice Requires="x14">
            <control shapeId="37905" r:id="rId6" name="Group Box 17">
              <controlPr defaultSize="0" autoFill="0" autoPict="0">
                <anchor moveWithCells="1">
                  <from>
                    <xdr:col>10</xdr:col>
                    <xdr:colOff>9525</xdr:colOff>
                    <xdr:row>87</xdr:row>
                    <xdr:rowOff>9525</xdr:rowOff>
                  </from>
                  <to>
                    <xdr:col>15</xdr:col>
                    <xdr:colOff>9525</xdr:colOff>
                    <xdr:row>88</xdr:row>
                    <xdr:rowOff>0</xdr:rowOff>
                  </to>
                </anchor>
              </controlPr>
            </control>
          </mc:Choice>
        </mc:AlternateContent>
        <mc:AlternateContent xmlns:mc="http://schemas.openxmlformats.org/markup-compatibility/2006">
          <mc:Choice Requires="x14">
            <control shapeId="37906" r:id="rId7" name="Option Button 18">
              <controlPr defaultSize="0" autoFill="0" autoLine="0" autoPict="0">
                <anchor moveWithCells="1">
                  <from>
                    <xdr:col>10</xdr:col>
                    <xdr:colOff>28575</xdr:colOff>
                    <xdr:row>87</xdr:row>
                    <xdr:rowOff>9525</xdr:rowOff>
                  </from>
                  <to>
                    <xdr:col>12</xdr:col>
                    <xdr:colOff>285750</xdr:colOff>
                    <xdr:row>87</xdr:row>
                    <xdr:rowOff>228600</xdr:rowOff>
                  </to>
                </anchor>
              </controlPr>
            </control>
          </mc:Choice>
        </mc:AlternateContent>
        <mc:AlternateContent xmlns:mc="http://schemas.openxmlformats.org/markup-compatibility/2006">
          <mc:Choice Requires="x14">
            <control shapeId="37907" r:id="rId8" name="Option Button 19">
              <controlPr defaultSize="0" autoFill="0" autoLine="0" autoPict="0">
                <anchor moveWithCells="1">
                  <from>
                    <xdr:col>13</xdr:col>
                    <xdr:colOff>114300</xdr:colOff>
                    <xdr:row>87</xdr:row>
                    <xdr:rowOff>9525</xdr:rowOff>
                  </from>
                  <to>
                    <xdr:col>14</xdr:col>
                    <xdr:colOff>638175</xdr:colOff>
                    <xdr:row>87</xdr:row>
                    <xdr:rowOff>228600</xdr:rowOff>
                  </to>
                </anchor>
              </controlPr>
            </control>
          </mc:Choice>
        </mc:AlternateContent>
        <mc:AlternateContent xmlns:mc="http://schemas.openxmlformats.org/markup-compatibility/2006">
          <mc:Choice Requires="x14">
            <control shapeId="37890" r:id="rId9" name="Group Box 2">
              <controlPr defaultSize="0" autoFill="0" autoPict="0">
                <anchor moveWithCells="1" sizeWithCells="1">
                  <from>
                    <xdr:col>1</xdr:col>
                    <xdr:colOff>0</xdr:colOff>
                    <xdr:row>21</xdr:row>
                    <xdr:rowOff>0</xdr:rowOff>
                  </from>
                  <to>
                    <xdr:col>15</xdr:col>
                    <xdr:colOff>0</xdr:colOff>
                    <xdr:row>22</xdr:row>
                    <xdr:rowOff>0</xdr:rowOff>
                  </to>
                </anchor>
              </controlPr>
            </control>
          </mc:Choice>
        </mc:AlternateContent>
        <mc:AlternateContent xmlns:mc="http://schemas.openxmlformats.org/markup-compatibility/2006">
          <mc:Choice Requires="x14">
            <control shapeId="37891" r:id="rId10" name="Option Button 3">
              <controlPr defaultSize="0" autoFill="0" autoLine="0" autoPict="0">
                <anchor moveWithCells="1" sizeWithCells="1">
                  <from>
                    <xdr:col>1</xdr:col>
                    <xdr:colOff>28575</xdr:colOff>
                    <xdr:row>21</xdr:row>
                    <xdr:rowOff>9525</xdr:rowOff>
                  </from>
                  <to>
                    <xdr:col>1</xdr:col>
                    <xdr:colOff>1381125</xdr:colOff>
                    <xdr:row>21</xdr:row>
                    <xdr:rowOff>228600</xdr:rowOff>
                  </to>
                </anchor>
              </controlPr>
            </control>
          </mc:Choice>
        </mc:AlternateContent>
        <mc:AlternateContent xmlns:mc="http://schemas.openxmlformats.org/markup-compatibility/2006">
          <mc:Choice Requires="x14">
            <control shapeId="37892" r:id="rId11" name="Option Button 4">
              <controlPr defaultSize="0" autoFill="0" autoLine="0" autoPict="0">
                <anchor moveWithCells="1" sizeWithCells="1">
                  <from>
                    <xdr:col>3</xdr:col>
                    <xdr:colOff>19050</xdr:colOff>
                    <xdr:row>21</xdr:row>
                    <xdr:rowOff>9525</xdr:rowOff>
                  </from>
                  <to>
                    <xdr:col>8</xdr:col>
                    <xdr:colOff>123825</xdr:colOff>
                    <xdr:row>21</xdr:row>
                    <xdr:rowOff>228600</xdr:rowOff>
                  </to>
                </anchor>
              </controlPr>
            </control>
          </mc:Choice>
        </mc:AlternateContent>
        <mc:AlternateContent xmlns:mc="http://schemas.openxmlformats.org/markup-compatibility/2006">
          <mc:Choice Requires="x14">
            <control shapeId="37893" r:id="rId12" name="Option Button 5">
              <controlPr defaultSize="0" autoFill="0" autoLine="0" autoPict="0">
                <anchor moveWithCells="1" sizeWithCells="1">
                  <from>
                    <xdr:col>9</xdr:col>
                    <xdr:colOff>28575</xdr:colOff>
                    <xdr:row>21</xdr:row>
                    <xdr:rowOff>9525</xdr:rowOff>
                  </from>
                  <to>
                    <xdr:col>12</xdr:col>
                    <xdr:colOff>123825</xdr:colOff>
                    <xdr:row>21</xdr:row>
                    <xdr:rowOff>228600</xdr:rowOff>
                  </to>
                </anchor>
              </controlPr>
            </control>
          </mc:Choice>
        </mc:AlternateContent>
        <mc:AlternateContent xmlns:mc="http://schemas.openxmlformats.org/markup-compatibility/2006">
          <mc:Choice Requires="x14">
            <control shapeId="37894" r:id="rId13" name="Group Box 6">
              <controlPr defaultSize="0" autoFill="0" autoPict="0">
                <anchor moveWithCells="1" sizeWithCells="1">
                  <from>
                    <xdr:col>1</xdr:col>
                    <xdr:colOff>0</xdr:colOff>
                    <xdr:row>22</xdr:row>
                    <xdr:rowOff>0</xdr:rowOff>
                  </from>
                  <to>
                    <xdr:col>15</xdr:col>
                    <xdr:colOff>0</xdr:colOff>
                    <xdr:row>23</xdr:row>
                    <xdr:rowOff>0</xdr:rowOff>
                  </to>
                </anchor>
              </controlPr>
            </control>
          </mc:Choice>
        </mc:AlternateContent>
        <mc:AlternateContent xmlns:mc="http://schemas.openxmlformats.org/markup-compatibility/2006">
          <mc:Choice Requires="x14">
            <control shapeId="37895" r:id="rId14" name="Option Button 7">
              <controlPr defaultSize="0" autoFill="0" autoLine="0" autoPict="0">
                <anchor moveWithCells="1" sizeWithCells="1">
                  <from>
                    <xdr:col>1</xdr:col>
                    <xdr:colOff>28575</xdr:colOff>
                    <xdr:row>22</xdr:row>
                    <xdr:rowOff>9525</xdr:rowOff>
                  </from>
                  <to>
                    <xdr:col>2</xdr:col>
                    <xdr:colOff>19050</xdr:colOff>
                    <xdr:row>22</xdr:row>
                    <xdr:rowOff>228600</xdr:rowOff>
                  </to>
                </anchor>
              </controlPr>
            </control>
          </mc:Choice>
        </mc:AlternateContent>
        <mc:AlternateContent xmlns:mc="http://schemas.openxmlformats.org/markup-compatibility/2006">
          <mc:Choice Requires="x14">
            <control shapeId="37896" r:id="rId15" name="Option Button 8">
              <controlPr defaultSize="0" autoFill="0" autoLine="0" autoPict="0">
                <anchor moveWithCells="1" sizeWithCells="1">
                  <from>
                    <xdr:col>9</xdr:col>
                    <xdr:colOff>28575</xdr:colOff>
                    <xdr:row>22</xdr:row>
                    <xdr:rowOff>9525</xdr:rowOff>
                  </from>
                  <to>
                    <xdr:col>14</xdr:col>
                    <xdr:colOff>228600</xdr:colOff>
                    <xdr:row>22</xdr:row>
                    <xdr:rowOff>228600</xdr:rowOff>
                  </to>
                </anchor>
              </controlPr>
            </control>
          </mc:Choice>
        </mc:AlternateContent>
        <mc:AlternateContent xmlns:mc="http://schemas.openxmlformats.org/markup-compatibility/2006">
          <mc:Choice Requires="x14">
            <control shapeId="37897" r:id="rId16" name="Group Box 9">
              <controlPr defaultSize="0" autoFill="0" autoPict="0">
                <anchor moveWithCells="1" sizeWithCells="1">
                  <from>
                    <xdr:col>1</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37898" r:id="rId17" name="Option Button 10">
              <controlPr defaultSize="0" autoFill="0" autoLine="0" autoPict="0">
                <anchor moveWithCells="1" sizeWithCells="1">
                  <from>
                    <xdr:col>1</xdr:col>
                    <xdr:colOff>28575</xdr:colOff>
                    <xdr:row>23</xdr:row>
                    <xdr:rowOff>9525</xdr:rowOff>
                  </from>
                  <to>
                    <xdr:col>2</xdr:col>
                    <xdr:colOff>0</xdr:colOff>
                    <xdr:row>23</xdr:row>
                    <xdr:rowOff>228600</xdr:rowOff>
                  </to>
                </anchor>
              </controlPr>
            </control>
          </mc:Choice>
        </mc:AlternateContent>
        <mc:AlternateContent xmlns:mc="http://schemas.openxmlformats.org/markup-compatibility/2006">
          <mc:Choice Requires="x14">
            <control shapeId="37899" r:id="rId18" name="Option Button 11">
              <controlPr defaultSize="0" autoFill="0" autoLine="0" autoPict="0">
                <anchor moveWithCells="1" sizeWithCells="1">
                  <from>
                    <xdr:col>9</xdr:col>
                    <xdr:colOff>28575</xdr:colOff>
                    <xdr:row>23</xdr:row>
                    <xdr:rowOff>9525</xdr:rowOff>
                  </from>
                  <to>
                    <xdr:col>14</xdr:col>
                    <xdr:colOff>228600</xdr:colOff>
                    <xdr:row>23</xdr:row>
                    <xdr:rowOff>228600</xdr:rowOff>
                  </to>
                </anchor>
              </controlPr>
            </control>
          </mc:Choice>
        </mc:AlternateContent>
        <mc:AlternateContent xmlns:mc="http://schemas.openxmlformats.org/markup-compatibility/2006">
          <mc:Choice Requires="x14">
            <control shapeId="37900" r:id="rId19" name="Group Box 12">
              <controlPr defaultSize="0" autoFill="0" autoPict="0">
                <anchor moveWithCells="1" sizeWithCells="1">
                  <from>
                    <xdr:col>1</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37901" r:id="rId20" name="Option Button 13">
              <controlPr defaultSize="0" autoFill="0" autoLine="0" autoPict="0">
                <anchor moveWithCells="1" sizeWithCells="1">
                  <from>
                    <xdr:col>1</xdr:col>
                    <xdr:colOff>28575</xdr:colOff>
                    <xdr:row>24</xdr:row>
                    <xdr:rowOff>9525</xdr:rowOff>
                  </from>
                  <to>
                    <xdr:col>3</xdr:col>
                    <xdr:colOff>142875</xdr:colOff>
                    <xdr:row>25</xdr:row>
                    <xdr:rowOff>0</xdr:rowOff>
                  </to>
                </anchor>
              </controlPr>
            </control>
          </mc:Choice>
        </mc:AlternateContent>
        <mc:AlternateContent xmlns:mc="http://schemas.openxmlformats.org/markup-compatibility/2006">
          <mc:Choice Requires="x14">
            <control shapeId="37902" r:id="rId21" name="Option Button 14">
              <controlPr defaultSize="0" autoFill="0" autoLine="0" autoPict="0">
                <anchor moveWithCells="1" sizeWithCells="1">
                  <from>
                    <xdr:col>9</xdr:col>
                    <xdr:colOff>28575</xdr:colOff>
                    <xdr:row>24</xdr:row>
                    <xdr:rowOff>9525</xdr:rowOff>
                  </from>
                  <to>
                    <xdr:col>12</xdr:col>
                    <xdr:colOff>123825</xdr:colOff>
                    <xdr:row>24</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G149"/>
  <sheetViews>
    <sheetView showGridLines="0" zoomScale="120" zoomScaleNormal="120" workbookViewId="0"/>
  </sheetViews>
  <sheetFormatPr defaultColWidth="2.42578125" defaultRowHeight="12.75" x14ac:dyDescent="0.2"/>
  <cols>
    <col min="1" max="1" width="1.42578125" style="2" customWidth="1"/>
    <col min="2" max="2" width="22.85546875" style="2" customWidth="1"/>
    <col min="3" max="3" width="4.85546875" style="1" customWidth="1"/>
    <col min="4" max="4" width="4.140625" style="151" customWidth="1"/>
    <col min="5" max="5" width="2.85546875" style="2" customWidth="1"/>
    <col min="6" max="6" width="4.85546875" style="151" customWidth="1"/>
    <col min="7" max="7" width="4" style="2" customWidth="1"/>
    <col min="8" max="8" width="3.85546875" style="151" customWidth="1"/>
    <col min="9" max="9" width="4" style="2" customWidth="1"/>
    <col min="10" max="10" width="5.5703125" style="151" customWidth="1"/>
    <col min="11" max="11" width="2.85546875" style="2" customWidth="1"/>
    <col min="12" max="12" width="4" style="151" customWidth="1"/>
    <col min="13" max="13" width="4.42578125" style="2" customWidth="1"/>
    <col min="14" max="14" width="4" style="151" customWidth="1"/>
    <col min="15" max="15" width="9.5703125" style="2" customWidth="1"/>
    <col min="16" max="16" width="9.28515625" style="2" customWidth="1"/>
    <col min="17" max="17" width="0.85546875" style="2" customWidth="1"/>
    <col min="18" max="18" width="12.85546875" style="2" hidden="1" customWidth="1"/>
    <col min="19" max="19" width="12.7109375" style="2" hidden="1" customWidth="1"/>
    <col min="20" max="20" width="12" style="2" hidden="1" customWidth="1"/>
    <col min="21" max="21" width="10.5703125" style="2" hidden="1" customWidth="1"/>
    <col min="22" max="22" width="9.140625" style="2" hidden="1" customWidth="1"/>
    <col min="23" max="23" width="13" style="2" hidden="1" customWidth="1"/>
    <col min="24" max="24" width="12.5703125" style="2" hidden="1" customWidth="1"/>
    <col min="25" max="25" width="13.7109375" style="2" hidden="1" customWidth="1"/>
    <col min="26" max="26" width="12.7109375" style="2" hidden="1" customWidth="1"/>
    <col min="27" max="27" width="7.5703125" style="2" hidden="1" customWidth="1"/>
    <col min="28" max="28" width="10" style="2" hidden="1" customWidth="1"/>
    <col min="29" max="29" width="7" style="2" hidden="1" customWidth="1"/>
    <col min="30" max="30" width="5.85546875" style="2" hidden="1" customWidth="1"/>
    <col min="31" max="31" width="4" style="2" hidden="1" customWidth="1"/>
    <col min="32" max="32" width="5.140625" style="2" hidden="1" customWidth="1"/>
    <col min="33" max="130" width="2.42578125" style="2" hidden="1" customWidth="1"/>
    <col min="131" max="255" width="2.42578125" style="2" customWidth="1"/>
    <col min="256" max="16384" width="2.42578125" style="2"/>
  </cols>
  <sheetData>
    <row r="1" spans="2:170" ht="15" customHeight="1" x14ac:dyDescent="0.2">
      <c r="B1" s="10" t="s">
        <v>1697</v>
      </c>
      <c r="C1" s="732" t="str">
        <f>IF('Start here'!A6="","",'Start here'!A6)</f>
        <v/>
      </c>
      <c r="D1" s="736"/>
      <c r="E1" s="736"/>
      <c r="F1" s="736"/>
      <c r="G1" s="736"/>
      <c r="H1" s="736"/>
      <c r="I1" s="736"/>
      <c r="J1" s="737"/>
      <c r="K1" s="1"/>
      <c r="L1" s="732" t="str">
        <f>IF('Start here'!A7="","",'Start here'!A7)</f>
        <v/>
      </c>
      <c r="M1" s="736"/>
      <c r="N1" s="736"/>
      <c r="O1" s="736"/>
      <c r="P1" s="737"/>
      <c r="S1" s="242">
        <v>38353</v>
      </c>
      <c r="T1" s="155">
        <f>'Start here'!A8</f>
        <v>0</v>
      </c>
      <c r="U1" s="50" t="str">
        <f>IF(T1&gt;=S1,"Go to PPD Worksheet","")</f>
        <v/>
      </c>
      <c r="V1" s="50" t="str">
        <f>IF(T1&lt;S1,"Go to PPD Worksheet","")</f>
        <v>Go to PPD Worksheet</v>
      </c>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2">
      <c r="B2" s="1"/>
      <c r="D2" s="1"/>
      <c r="E2" s="1"/>
      <c r="F2" s="1"/>
      <c r="G2" s="1"/>
      <c r="H2" s="1"/>
      <c r="I2" s="1"/>
      <c r="J2" s="1"/>
      <c r="K2" s="1"/>
      <c r="L2" s="1"/>
      <c r="M2" s="1"/>
      <c r="N2" s="1"/>
      <c r="O2" s="1"/>
      <c r="P2" s="1"/>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row>
    <row r="3" spans="2:170" ht="24" customHeight="1" x14ac:dyDescent="0.3">
      <c r="B3" s="1511" t="s">
        <v>496</v>
      </c>
      <c r="C3" s="1512"/>
      <c r="D3" s="1512"/>
      <c r="E3" s="1512"/>
      <c r="F3" s="1512"/>
      <c r="G3" s="1512"/>
      <c r="H3" s="1512"/>
      <c r="I3" s="1512"/>
      <c r="J3" s="1512"/>
      <c r="K3" s="1512"/>
      <c r="L3" s="1512"/>
      <c r="M3" s="1512"/>
      <c r="N3" s="1512"/>
      <c r="O3" s="1512"/>
      <c r="P3" s="1512"/>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row>
    <row r="4" spans="2:170" ht="26.25" customHeight="1" x14ac:dyDescent="0.2">
      <c r="B4" s="1513" t="s">
        <v>2094</v>
      </c>
      <c r="C4" s="1514"/>
      <c r="D4" s="1514"/>
      <c r="E4" s="1514"/>
      <c r="F4" s="1514"/>
      <c r="G4" s="1514"/>
      <c r="H4" s="1514"/>
      <c r="I4" s="1514"/>
      <c r="J4" s="1514"/>
      <c r="K4" s="1514"/>
      <c r="L4" s="1514"/>
      <c r="M4" s="1514"/>
      <c r="N4" s="1514"/>
      <c r="O4" s="1514"/>
      <c r="P4" s="1515"/>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row>
    <row r="5" spans="2:170" ht="27" customHeight="1" x14ac:dyDescent="0.2">
      <c r="B5" s="1328" t="s">
        <v>2096</v>
      </c>
      <c r="C5" s="1328"/>
      <c r="D5" s="1328"/>
      <c r="E5" s="1328"/>
      <c r="F5" s="1328"/>
      <c r="G5" s="1328"/>
      <c r="H5" s="1328"/>
      <c r="I5" s="1328"/>
      <c r="J5" s="1328"/>
      <c r="K5" s="1328"/>
      <c r="L5" s="1328"/>
      <c r="M5" s="1328"/>
      <c r="N5" s="1328"/>
      <c r="O5" s="1328"/>
      <c r="P5" s="1328"/>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row>
    <row r="6" spans="2:170" x14ac:dyDescent="0.2">
      <c r="B6" s="777"/>
      <c r="C6" s="777"/>
      <c r="D6" s="777"/>
      <c r="E6" s="777"/>
      <c r="F6" s="777"/>
      <c r="G6" s="777"/>
      <c r="H6" s="777"/>
      <c r="I6" s="777"/>
      <c r="J6" s="777"/>
      <c r="K6" s="777"/>
      <c r="L6" s="777"/>
      <c r="M6" s="777"/>
      <c r="N6" s="777"/>
      <c r="O6" s="777"/>
      <c r="P6" s="777"/>
      <c r="R6" s="6"/>
      <c r="S6" s="6"/>
      <c r="T6" s="6"/>
      <c r="U6" s="6"/>
      <c r="V6" s="6"/>
      <c r="W6" s="6"/>
      <c r="X6" s="6"/>
      <c r="Y6" s="6"/>
      <c r="Z6" s="6"/>
      <c r="AA6" s="6"/>
      <c r="AB6" s="6"/>
      <c r="AC6" s="6"/>
      <c r="AD6" s="6"/>
      <c r="AE6" s="6"/>
      <c r="AF6" s="6"/>
      <c r="AG6" s="6"/>
      <c r="AH6" s="6"/>
      <c r="AI6" s="10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row>
    <row r="7" spans="2:170" ht="18" customHeight="1" x14ac:dyDescent="0.2">
      <c r="B7" s="910" t="s">
        <v>1563</v>
      </c>
      <c r="C7" s="910"/>
      <c r="D7" s="910"/>
      <c r="E7" s="910"/>
      <c r="F7" s="910"/>
      <c r="G7" s="910"/>
      <c r="H7" s="910"/>
      <c r="I7" s="910"/>
      <c r="J7" s="910"/>
      <c r="K7" s="910"/>
      <c r="L7" s="910"/>
      <c r="M7" s="910"/>
      <c r="N7" s="910"/>
      <c r="O7" s="910"/>
      <c r="P7" s="18"/>
      <c r="R7" s="6"/>
      <c r="S7" s="6"/>
      <c r="T7" s="102"/>
      <c r="U7" s="102"/>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row>
    <row r="8" spans="2:170" ht="18" customHeight="1" x14ac:dyDescent="0.25">
      <c r="B8" s="273"/>
      <c r="C8" s="910" t="s">
        <v>1564</v>
      </c>
      <c r="D8" s="910"/>
      <c r="E8" s="910"/>
      <c r="F8" s="910"/>
      <c r="G8" s="910" t="s">
        <v>1565</v>
      </c>
      <c r="H8" s="910"/>
      <c r="I8" s="910"/>
      <c r="J8" s="910"/>
      <c r="K8" s="1516"/>
      <c r="L8" s="1516"/>
      <c r="M8" s="1516"/>
      <c r="N8" s="1516"/>
      <c r="O8" s="1516"/>
      <c r="P8" s="857">
        <f>IF(R17=1,"ERROR",S21)</f>
        <v>0</v>
      </c>
      <c r="R8" s="6"/>
      <c r="S8" s="13" t="s">
        <v>1566</v>
      </c>
      <c r="T8" s="1248" t="s">
        <v>202</v>
      </c>
      <c r="U8" s="1250"/>
      <c r="V8" s="1248" t="s">
        <v>187</v>
      </c>
      <c r="W8" s="1250"/>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row>
    <row r="9" spans="2:170" ht="30" customHeight="1" x14ac:dyDescent="0.2">
      <c r="B9" s="272" t="s">
        <v>188</v>
      </c>
      <c r="C9" s="694"/>
      <c r="D9" s="694"/>
      <c r="E9" s="921">
        <f>'H-Table'!R3</f>
        <v>0</v>
      </c>
      <c r="F9" s="921"/>
      <c r="G9" s="694"/>
      <c r="H9" s="694"/>
      <c r="I9" s="936">
        <f>IF(C9="",0,IF(OR(C9&lt;=0,G9&lt;=0),E9,IF(G9&lt;C9,0,'H-Table'!W3)))</f>
        <v>0</v>
      </c>
      <c r="J9" s="936"/>
      <c r="K9" s="1232" t="str">
        <f>IF(OR(C9="NA",G9="NA"),"",IF(AND(C9&lt;&gt;"",G9=""),"Enter contralateral or NA.",IF(AND(C9="",G9&lt;&gt;""),"Need data","")))</f>
        <v/>
      </c>
      <c r="L9" s="1232"/>
      <c r="M9" s="1232"/>
      <c r="N9" s="1232"/>
      <c r="O9" s="1232"/>
      <c r="P9" s="961"/>
      <c r="R9" s="6"/>
      <c r="S9" s="13">
        <v>100</v>
      </c>
      <c r="T9" s="13" t="str">
        <f t="shared" ref="T9:T20" si="0">IF(OR(C9="",C9="NA"),"",IF(C9&gt;S9,S9,IF(C9&lt;0,0,C9)))</f>
        <v/>
      </c>
      <c r="U9" s="13" t="str">
        <f>IF(OR(G9="",G9="NA"),"",IF(G9&gt;S9,S9,IF(G9&lt;0,0,G9)))</f>
        <v/>
      </c>
      <c r="V9" s="56" t="str">
        <f>IF(W9="","",ROUND(W9,0))</f>
        <v/>
      </c>
      <c r="W9" s="112" t="str">
        <f>IF(T9="","",IF(OR(U9="",U9=0,U9&lt;T9),T9,(T9*S9)/U9))</f>
        <v/>
      </c>
      <c r="X9" s="53">
        <f>IF(AND(Y20=1,Z20=1),"ERROR",SUM(I9,I11,I13,I15,I17,I19,X11))</f>
        <v>0</v>
      </c>
      <c r="Y9" s="756" t="s">
        <v>2217</v>
      </c>
      <c r="Z9" s="758"/>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row>
    <row r="10" spans="2:170" ht="30" customHeight="1" x14ac:dyDescent="0.2">
      <c r="B10" s="272" t="s">
        <v>1899</v>
      </c>
      <c r="C10" s="694"/>
      <c r="D10" s="694"/>
      <c r="E10" s="921">
        <f>IF(AND($Y$20=1,$Z$20=1),"ERROR",'H-Table'!R4)</f>
        <v>0</v>
      </c>
      <c r="F10" s="921"/>
      <c r="G10" s="930" t="str">
        <f>IF(AND($Z$20=1,$Y$20=1),"Cannot rate ROM and ankylosis.",IF($Z$21&gt;1,"Multiple ankylosis values. Use highest value only.",""))</f>
        <v/>
      </c>
      <c r="H10" s="930"/>
      <c r="I10" s="930"/>
      <c r="J10" s="930"/>
      <c r="K10" s="930"/>
      <c r="L10" s="930"/>
      <c r="M10" s="930"/>
      <c r="N10" s="930"/>
      <c r="O10" s="930"/>
      <c r="P10" s="961"/>
      <c r="R10" s="6"/>
      <c r="S10" s="13">
        <v>100</v>
      </c>
      <c r="T10" s="13" t="str">
        <f t="shared" si="0"/>
        <v/>
      </c>
      <c r="U10" s="6"/>
      <c r="V10" s="56"/>
      <c r="W10" s="113"/>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row>
    <row r="11" spans="2:170" ht="30" customHeight="1" x14ac:dyDescent="0.2">
      <c r="B11" s="272" t="s">
        <v>1900</v>
      </c>
      <c r="C11" s="694"/>
      <c r="D11" s="694"/>
      <c r="E11" s="921">
        <f>'H-Table'!R5</f>
        <v>0</v>
      </c>
      <c r="F11" s="921"/>
      <c r="G11" s="694"/>
      <c r="H11" s="694"/>
      <c r="I11" s="936">
        <f>IF(C11="",0,IF(OR(C11&lt;=0,G11&lt;=0),E11,IF(G11&lt;C11,0,'H-Table'!W5)))</f>
        <v>0</v>
      </c>
      <c r="J11" s="936"/>
      <c r="K11" s="1232" t="str">
        <f>IF(OR(C11="NA",G11="NA"),"",IF(AND(C11&lt;&gt;"",G11=""),"Enter contralateral or NA.",IF(AND(C11="",G11&lt;&gt;""),"Need data","")))</f>
        <v/>
      </c>
      <c r="L11" s="1232"/>
      <c r="M11" s="1232"/>
      <c r="N11" s="1232"/>
      <c r="O11" s="1232"/>
      <c r="P11" s="961"/>
      <c r="R11" s="6"/>
      <c r="S11" s="13">
        <v>30</v>
      </c>
      <c r="T11" s="13" t="str">
        <f t="shared" si="0"/>
        <v/>
      </c>
      <c r="U11" s="13" t="str">
        <f>IF(OR(G11="",G11="NA"),"",IF(G11&gt;S11,S11,IF(G11&lt;0,0,G11)))</f>
        <v/>
      </c>
      <c r="V11" s="56" t="str">
        <f>IF(W11="","",ROUND(W11,0))</f>
        <v/>
      </c>
      <c r="W11" s="112" t="str">
        <f>IF(T11="","",IF(OR(U11="",U11=0,U11&lt;T11),T11,(T11*S11)/U11))</f>
        <v/>
      </c>
      <c r="X11" s="114">
        <f>MAX(E10,E12,E14,E16,E18,E20)</f>
        <v>0</v>
      </c>
      <c r="Y11" s="756" t="s">
        <v>2208</v>
      </c>
      <c r="Z11" s="758"/>
      <c r="AA11" s="6"/>
      <c r="AB11" s="742" t="s">
        <v>2294</v>
      </c>
      <c r="AC11" s="743"/>
      <c r="AD11" s="743"/>
      <c r="AE11" s="743"/>
      <c r="AF11" s="743"/>
      <c r="AG11" s="743"/>
      <c r="AH11" s="744"/>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row>
    <row r="12" spans="2:170" ht="30" customHeight="1" x14ac:dyDescent="0.2">
      <c r="B12" s="272" t="s">
        <v>676</v>
      </c>
      <c r="C12" s="694"/>
      <c r="D12" s="694"/>
      <c r="E12" s="921">
        <f>IF(AND($Y$20=1,$Z$20=1),"ERROR",'H-Table'!R6)</f>
        <v>0</v>
      </c>
      <c r="F12" s="921"/>
      <c r="G12" s="930" t="str">
        <f>IF(AND($Z$20=1,$Y$20=1),"Cannot rate ROM and ankylosis.",IF($Z$21&gt;1,"Multiple ankylosis values. Use highest value only.",""))</f>
        <v/>
      </c>
      <c r="H12" s="930"/>
      <c r="I12" s="930"/>
      <c r="J12" s="930"/>
      <c r="K12" s="930"/>
      <c r="L12" s="930"/>
      <c r="M12" s="930"/>
      <c r="N12" s="930"/>
      <c r="O12" s="930"/>
      <c r="P12" s="961"/>
      <c r="R12" s="6"/>
      <c r="S12" s="13">
        <v>30</v>
      </c>
      <c r="T12" s="13" t="str">
        <f t="shared" si="0"/>
        <v/>
      </c>
      <c r="U12" s="6"/>
      <c r="V12" s="56"/>
      <c r="W12" s="113"/>
      <c r="X12" s="6"/>
      <c r="Y12" s="6"/>
      <c r="Z12" s="6"/>
      <c r="AA12" s="6"/>
      <c r="AB12" s="5"/>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row>
    <row r="13" spans="2:170" ht="30" customHeight="1" x14ac:dyDescent="0.2">
      <c r="B13" s="146" t="s">
        <v>677</v>
      </c>
      <c r="C13" s="694"/>
      <c r="D13" s="694"/>
      <c r="E13" s="921">
        <f>'H-Table'!R7</f>
        <v>0</v>
      </c>
      <c r="F13" s="921"/>
      <c r="G13" s="694"/>
      <c r="H13" s="694"/>
      <c r="I13" s="936">
        <f>IF(C13="",0,IF(OR(C13&lt;=0,G13&lt;=0),E13,IF(G13&lt;C13,0,'H-Table'!W7)))</f>
        <v>0</v>
      </c>
      <c r="J13" s="936"/>
      <c r="K13" s="1232" t="str">
        <f>IF(OR(C13="NA",G13="NA"),"",IF(AND(C13&lt;&gt;"",G13=""),"Enter contralateral or NA.",IF(AND(C13="",G13&lt;&gt;""),"Need data","")))</f>
        <v/>
      </c>
      <c r="L13" s="1232"/>
      <c r="M13" s="1232"/>
      <c r="N13" s="1232"/>
      <c r="O13" s="1232"/>
      <c r="P13" s="961"/>
      <c r="R13" s="6"/>
      <c r="S13" s="13">
        <v>40</v>
      </c>
      <c r="T13" s="13" t="str">
        <f t="shared" si="0"/>
        <v/>
      </c>
      <c r="U13" s="13" t="str">
        <f>IF(OR(G13="",G13="NA"),"",IF(G13&gt;S13,S13,IF(G13&lt;0,0,G13)))</f>
        <v/>
      </c>
      <c r="V13" s="56" t="str">
        <f>IF(W13="","",ROUND(W13,0))</f>
        <v/>
      </c>
      <c r="W13" s="113" t="str">
        <f>IF(T13="","",IF(OR(U13="",U13=0,U13&lt;T13),T13,(T13*S13)/U13))</f>
        <v/>
      </c>
      <c r="Y13" s="127" t="s">
        <v>2209</v>
      </c>
      <c r="Z13" s="127" t="s">
        <v>2210</v>
      </c>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row>
    <row r="14" spans="2:170" ht="30" customHeight="1" x14ac:dyDescent="0.2">
      <c r="B14" s="146" t="s">
        <v>680</v>
      </c>
      <c r="C14" s="694"/>
      <c r="D14" s="694"/>
      <c r="E14" s="921">
        <f>IF(AND($Y$20=1,$Z$20=1),"ERROR",'H-Table'!R8)</f>
        <v>0</v>
      </c>
      <c r="F14" s="921"/>
      <c r="G14" s="930" t="str">
        <f>IF(AND($Z$20=1,$Y$20=1),"Cannot rate ROM and ankylosis.",IF($Z$21&gt;1,"Multiple ankylosis values. Use highest value only.",""))</f>
        <v/>
      </c>
      <c r="H14" s="930"/>
      <c r="I14" s="930"/>
      <c r="J14" s="930"/>
      <c r="K14" s="930"/>
      <c r="L14" s="930"/>
      <c r="M14" s="930"/>
      <c r="N14" s="930"/>
      <c r="O14" s="930"/>
      <c r="P14" s="961"/>
      <c r="R14" s="6"/>
      <c r="S14" s="13">
        <v>40</v>
      </c>
      <c r="T14" s="13" t="str">
        <f t="shared" si="0"/>
        <v/>
      </c>
      <c r="U14" s="6"/>
      <c r="V14" s="13"/>
      <c r="W14" s="13"/>
      <c r="Y14" s="13">
        <f>IF(AND(C9&lt;&gt;"",C9&lt;&gt;"NA"),1,0)</f>
        <v>0</v>
      </c>
      <c r="Z14" s="13">
        <f>IF(AND(C10&lt;&gt;"",C10&lt;&gt;"NA"),1,0)</f>
        <v>0</v>
      </c>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row>
    <row r="15" spans="2:170" ht="30" customHeight="1" x14ac:dyDescent="0.2">
      <c r="B15" s="146" t="s">
        <v>681</v>
      </c>
      <c r="C15" s="694"/>
      <c r="D15" s="694"/>
      <c r="E15" s="921">
        <f>'H-Table'!R9</f>
        <v>0</v>
      </c>
      <c r="F15" s="921"/>
      <c r="G15" s="694"/>
      <c r="H15" s="694"/>
      <c r="I15" s="936">
        <f>IF(C15="",0,IF(OR(C15&lt;=0,G15&lt;=0),E15,IF(G15&lt;C15,0,'H-Table'!W9)))</f>
        <v>0</v>
      </c>
      <c r="J15" s="936"/>
      <c r="K15" s="1232" t="str">
        <f>IF(OR(C15="NA",G15="NA"),"",IF(AND(C15&lt;&gt;"",G15=""),"Enter contralateral or NA.",IF(AND(C15="",G15&lt;&gt;""),"Need data","")))</f>
        <v/>
      </c>
      <c r="L15" s="1232"/>
      <c r="M15" s="1232"/>
      <c r="N15" s="1232"/>
      <c r="O15" s="1232"/>
      <c r="P15" s="961"/>
      <c r="R15" s="115" t="s">
        <v>682</v>
      </c>
      <c r="S15" s="13">
        <v>20</v>
      </c>
      <c r="T15" s="13" t="str">
        <f t="shared" si="0"/>
        <v/>
      </c>
      <c r="U15" s="13" t="str">
        <f>IF(OR(G15="",G15="NA"),"",IF(G15&gt;S15,S15,IF(G15&lt;0,0,G15)))</f>
        <v/>
      </c>
      <c r="V15" s="56" t="str">
        <f>IF(W15="","",ROUND(W15,0))</f>
        <v/>
      </c>
      <c r="W15" s="113" t="str">
        <f>IF(T15="","",IF(OR(U15="",U15=0,U15&lt;T15),T15,(T15*S15)/U15))</f>
        <v/>
      </c>
      <c r="Y15" s="13">
        <f>IF(AND(C11&lt;&gt;"",C11&lt;&gt;"NA"),1,0)</f>
        <v>0</v>
      </c>
      <c r="Z15" s="13">
        <f>IF(AND(C12&lt;&gt;"",C12&lt;&gt;"NA"),1,0)</f>
        <v>0</v>
      </c>
      <c r="AA15" s="6"/>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row>
    <row r="16" spans="2:170" ht="30" customHeight="1" x14ac:dyDescent="0.2">
      <c r="B16" s="146" t="s">
        <v>683</v>
      </c>
      <c r="C16" s="694"/>
      <c r="D16" s="694"/>
      <c r="E16" s="921">
        <f>IF(AND($Y$20=1,$Z$20=1),"ERROR",'H-Table'!R10)</f>
        <v>0</v>
      </c>
      <c r="F16" s="921"/>
      <c r="G16" s="930" t="str">
        <f>IF(AND($Z$20=1,$Y$20=1),"Cannot rate ROM and ankylosis.",IF($Z$21&gt;1,"Multiple ankylosis values. Use highest value only.",""))</f>
        <v/>
      </c>
      <c r="H16" s="930"/>
      <c r="I16" s="930"/>
      <c r="J16" s="930"/>
      <c r="K16" s="930"/>
      <c r="L16" s="930"/>
      <c r="M16" s="930"/>
      <c r="N16" s="930"/>
      <c r="O16" s="930"/>
      <c r="P16" s="961"/>
      <c r="R16" s="88" t="s">
        <v>684</v>
      </c>
      <c r="S16" s="13">
        <v>20</v>
      </c>
      <c r="T16" s="13" t="str">
        <f t="shared" si="0"/>
        <v/>
      </c>
      <c r="U16" s="6"/>
      <c r="V16" s="13"/>
      <c r="W16" s="13"/>
      <c r="Y16" s="13">
        <f>IF(AND(C13&lt;&gt;"",C13&lt;&gt;"NA"),1,0)</f>
        <v>0</v>
      </c>
      <c r="Z16" s="13">
        <f>IF(AND(C14&lt;&gt;"",C14&lt;&gt;"NA"),1,0)</f>
        <v>0</v>
      </c>
      <c r="AA16" s="6"/>
      <c r="AB16" s="6"/>
      <c r="AC16" s="6"/>
      <c r="AD16" s="6"/>
      <c r="AE16" s="6"/>
      <c r="AF16" s="6"/>
      <c r="AG16" s="6"/>
      <c r="AH16" s="102"/>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row>
    <row r="17" spans="1:170" ht="30" customHeight="1" x14ac:dyDescent="0.2">
      <c r="B17" s="146" t="s">
        <v>685</v>
      </c>
      <c r="C17" s="694"/>
      <c r="D17" s="694"/>
      <c r="E17" s="921">
        <f>'H-Table'!R11</f>
        <v>0</v>
      </c>
      <c r="F17" s="921"/>
      <c r="G17" s="694"/>
      <c r="H17" s="694"/>
      <c r="I17" s="936">
        <f>IF(C17="",0,IF(OR(C17&lt;=0,G17&lt;=0),E17,IF(G17&lt;C17,0,'H-Table'!W11)))</f>
        <v>0</v>
      </c>
      <c r="J17" s="936"/>
      <c r="K17" s="1232" t="str">
        <f>IF(OR(C17="NA",G17="NA"),"",IF(AND(C17&lt;&gt;"",G17=""),"Enter contralateral or NA.",IF(AND(C17="",G17&lt;&gt;""),"Need data","")))</f>
        <v/>
      </c>
      <c r="L17" s="1232"/>
      <c r="M17" s="1232"/>
      <c r="N17" s="1232"/>
      <c r="O17" s="1232"/>
      <c r="P17" s="961"/>
      <c r="R17" s="110">
        <f>IF(R21="ERROR",1,0)</f>
        <v>0</v>
      </c>
      <c r="S17" s="13">
        <v>40</v>
      </c>
      <c r="T17" s="13" t="str">
        <f t="shared" si="0"/>
        <v/>
      </c>
      <c r="U17" s="13" t="str">
        <f>IF(OR(G17="",G17="NA"),"",IF(G17&gt;S17,S17,IF(G17&lt;0,0,G17)))</f>
        <v/>
      </c>
      <c r="V17" s="56" t="str">
        <f>IF(W17="","",ROUND(W17,0))</f>
        <v/>
      </c>
      <c r="W17" s="113" t="str">
        <f>IF(T17="","",IF(OR(U17="",U17=0,U17&lt;T17),T17,(T17*S17)/U17))</f>
        <v/>
      </c>
      <c r="Y17" s="13">
        <f>IF(AND(C15&lt;&gt;"",C15&lt;&gt;"NA"),1,0)</f>
        <v>0</v>
      </c>
      <c r="Z17" s="13">
        <f>IF(AND(C16&lt;&gt;"",C16&lt;&gt;"NA"),1,0)</f>
        <v>0</v>
      </c>
      <c r="AA17" s="6"/>
      <c r="AB17" s="6"/>
      <c r="AC17" s="6"/>
      <c r="AD17" s="6"/>
      <c r="AE17" s="6"/>
      <c r="AF17" s="6"/>
      <c r="AG17" s="6"/>
      <c r="AH17" s="102"/>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row>
    <row r="18" spans="1:170" ht="30" customHeight="1" x14ac:dyDescent="0.2">
      <c r="B18" s="127" t="s">
        <v>578</v>
      </c>
      <c r="C18" s="694"/>
      <c r="D18" s="694"/>
      <c r="E18" s="921">
        <f>IF(AND($Y$20=1,$Z$20=1),"ERROR",'H-Table'!R12)</f>
        <v>0</v>
      </c>
      <c r="F18" s="921"/>
      <c r="G18" s="930" t="str">
        <f>IF(AND($Z$20=1,$Y$20=1),"Cannot rate ROM and ankylosis.",IF($Z$21&gt;1,"Multiple ankylosis values. Use highest value only.",""))</f>
        <v/>
      </c>
      <c r="H18" s="930"/>
      <c r="I18" s="930"/>
      <c r="J18" s="930"/>
      <c r="K18" s="930"/>
      <c r="L18" s="930"/>
      <c r="M18" s="930"/>
      <c r="N18" s="930"/>
      <c r="O18" s="930"/>
      <c r="P18" s="961"/>
      <c r="R18" s="6"/>
      <c r="S18" s="13">
        <v>40</v>
      </c>
      <c r="T18" s="13" t="str">
        <f t="shared" si="0"/>
        <v/>
      </c>
      <c r="U18" s="13"/>
      <c r="V18" s="13"/>
      <c r="W18" s="13"/>
      <c r="X18" s="6"/>
      <c r="Y18" s="13">
        <f>IF(AND(C17&lt;&gt;"",C17&lt;&gt;"NA"),1,0)</f>
        <v>0</v>
      </c>
      <c r="Z18" s="13">
        <f>IF(AND(C18&lt;&gt;"",C18&lt;&gt;"NA"),1,0)</f>
        <v>0</v>
      </c>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row>
    <row r="19" spans="1:170" ht="30" customHeight="1" x14ac:dyDescent="0.2">
      <c r="B19" s="272" t="s">
        <v>579</v>
      </c>
      <c r="C19" s="694"/>
      <c r="D19" s="694"/>
      <c r="E19" s="921">
        <f>'H-Table'!R13</f>
        <v>0</v>
      </c>
      <c r="F19" s="921"/>
      <c r="G19" s="694"/>
      <c r="H19" s="694"/>
      <c r="I19" s="936">
        <f>IF(C19="",0,IF(OR(C19&lt;=0,G19&lt;=0),E19,IF(G19&lt;C19,0,'H-Table'!W13)))</f>
        <v>0</v>
      </c>
      <c r="J19" s="936"/>
      <c r="K19" s="1232" t="str">
        <f>IF(OR(C19="NA",G19="NA"),"",IF(AND(C19&lt;&gt;"",G19=""),"Enter contralateral or NA.",IF(AND(C19="",G19&lt;&gt;""),"Need data","")))</f>
        <v/>
      </c>
      <c r="L19" s="1232"/>
      <c r="M19" s="1232"/>
      <c r="N19" s="1232"/>
      <c r="O19" s="1232"/>
      <c r="P19" s="961"/>
      <c r="R19" s="6"/>
      <c r="S19" s="13">
        <v>50</v>
      </c>
      <c r="T19" s="13" t="str">
        <f t="shared" si="0"/>
        <v/>
      </c>
      <c r="U19" s="13" t="str">
        <f>IF(OR(G19="",G19="NA"),"",IF(G19&gt;S19,S19,IF(G19&lt;0,0,G19)))</f>
        <v/>
      </c>
      <c r="V19" s="56" t="str">
        <f>IF(W19="","",ROUND(W19,0))</f>
        <v/>
      </c>
      <c r="W19" s="113" t="str">
        <f>IF(T19="","",IF(OR(U19="",U19=0,U19&lt;T19),T19,(T19*S19)/U19))</f>
        <v/>
      </c>
      <c r="X19" s="6"/>
      <c r="Y19" s="13">
        <f>IF(AND(C19&lt;&gt;"",C19&lt;&gt;"NA"),1,0)</f>
        <v>0</v>
      </c>
      <c r="Z19" s="13">
        <f>IF(AND(C20&lt;&gt;"",C20&lt;&gt;"NA"),1,0)</f>
        <v>0</v>
      </c>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row>
    <row r="20" spans="1:170" ht="30" customHeight="1" x14ac:dyDescent="0.2">
      <c r="B20" s="272" t="s">
        <v>580</v>
      </c>
      <c r="C20" s="694"/>
      <c r="D20" s="694"/>
      <c r="E20" s="921">
        <f>IF(AND($Y$20=1,$Z$20=1),"ERROR",'H-Table'!R14)</f>
        <v>0</v>
      </c>
      <c r="F20" s="921"/>
      <c r="G20" s="930" t="str">
        <f>IF(AND($Z$20=1,$Y$20=1),"Cannot rate ROM and ankylosis.",IF($Z$21&gt;1,"Multiple ankylosis values. Use highest value only.",""))</f>
        <v/>
      </c>
      <c r="H20" s="930"/>
      <c r="I20" s="930"/>
      <c r="J20" s="930"/>
      <c r="K20" s="930"/>
      <c r="L20" s="930"/>
      <c r="M20" s="930"/>
      <c r="N20" s="930"/>
      <c r="O20" s="930"/>
      <c r="P20" s="961"/>
      <c r="R20" s="6"/>
      <c r="S20" s="92">
        <v>50</v>
      </c>
      <c r="T20" s="13" t="str">
        <f t="shared" si="0"/>
        <v/>
      </c>
      <c r="U20" s="6"/>
      <c r="V20" s="5"/>
      <c r="W20" s="6"/>
      <c r="X20" s="6"/>
      <c r="Y20" s="605">
        <f>IF(OR(Y14=1,Y15=1,Y16=1,Y17=1,Y18=1,Y19=1),1,0)</f>
        <v>0</v>
      </c>
      <c r="Z20" s="605">
        <f>IF(OR(Z14=1,Z15=1,Z16=1,Z17=1,Z18=1,Z19=1),1,0)</f>
        <v>0</v>
      </c>
      <c r="AA20" s="6"/>
      <c r="AB20" s="5"/>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row>
    <row r="21" spans="1:170" ht="26.25" customHeight="1" x14ac:dyDescent="0.2">
      <c r="B21" s="1006" t="s">
        <v>151</v>
      </c>
      <c r="C21" s="1007"/>
      <c r="D21" s="1007"/>
      <c r="E21" s="1007"/>
      <c r="F21" s="1007"/>
      <c r="G21" s="1007"/>
      <c r="H21" s="1007"/>
      <c r="I21" s="1007"/>
      <c r="J21" s="1007"/>
      <c r="K21" s="1007"/>
      <c r="L21" s="1007"/>
      <c r="M21" s="1007"/>
      <c r="N21" s="1007"/>
      <c r="O21" s="1008"/>
      <c r="P21" s="962"/>
      <c r="R21" s="116">
        <f>IF(AND(X9&gt;0,X9&lt;0.01),0.01,X9)</f>
        <v>0</v>
      </c>
      <c r="S21" s="52">
        <f>IF(R21&lt;&gt;"ERROR",ROUND(R21,2),0)</f>
        <v>0</v>
      </c>
      <c r="T21" s="6"/>
      <c r="U21" s="6"/>
      <c r="W21" s="6"/>
      <c r="X21" s="6"/>
      <c r="Y21" s="6"/>
      <c r="Z21" s="13">
        <f>SUM(Z14:Z19)</f>
        <v>0</v>
      </c>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row>
    <row r="22" spans="1:170" ht="15" x14ac:dyDescent="0.25">
      <c r="B22" s="1183"/>
      <c r="C22" s="1183"/>
      <c r="D22" s="1183"/>
      <c r="E22" s="1183"/>
      <c r="F22" s="1183"/>
      <c r="G22" s="1183"/>
      <c r="H22" s="1183"/>
      <c r="I22" s="1183"/>
      <c r="J22" s="1183"/>
      <c r="K22" s="1183"/>
      <c r="L22" s="1183"/>
      <c r="M22" s="1183"/>
      <c r="N22" s="1183"/>
      <c r="O22" s="1183"/>
      <c r="P22" s="379"/>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row>
    <row r="23" spans="1:170" ht="25.5" customHeight="1" x14ac:dyDescent="0.2">
      <c r="B23" s="910" t="s">
        <v>152</v>
      </c>
      <c r="C23" s="910"/>
      <c r="D23" s="910"/>
      <c r="E23" s="910"/>
      <c r="F23" s="910"/>
      <c r="G23" s="910"/>
      <c r="H23" s="910"/>
      <c r="I23" s="910"/>
      <c r="J23" s="910"/>
      <c r="K23" s="910"/>
      <c r="L23" s="910"/>
      <c r="M23" s="910"/>
      <c r="N23" s="910"/>
      <c r="O23" s="910"/>
      <c r="P23" s="18"/>
      <c r="R23" s="661" t="s">
        <v>2241</v>
      </c>
      <c r="S23" s="109"/>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row>
    <row r="24" spans="1:170" ht="20.25" customHeight="1" x14ac:dyDescent="0.2">
      <c r="A24" s="15">
        <v>1E-4</v>
      </c>
      <c r="B24" s="924" t="s">
        <v>581</v>
      </c>
      <c r="C24" s="924"/>
      <c r="D24" s="924"/>
      <c r="E24" s="1475"/>
      <c r="F24" s="1475"/>
      <c r="G24" s="1475"/>
      <c r="H24" s="1475"/>
      <c r="I24" s="1475"/>
      <c r="J24" s="1475"/>
      <c r="K24" s="1510"/>
      <c r="L24" s="1510"/>
      <c r="M24" s="1510"/>
      <c r="N24" s="1510"/>
      <c r="O24" s="1510"/>
      <c r="P24" s="278">
        <f>IF(R24=1,0.13,0)</f>
        <v>0</v>
      </c>
      <c r="R24" s="613">
        <v>2</v>
      </c>
      <c r="S24" s="6">
        <v>1E-4</v>
      </c>
      <c r="T24" s="109"/>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row>
    <row r="25" spans="1:170" ht="19.5" customHeight="1" x14ac:dyDescent="0.2">
      <c r="B25" s="924" t="s">
        <v>582</v>
      </c>
      <c r="C25" s="924"/>
      <c r="D25" s="924"/>
      <c r="E25" s="1475"/>
      <c r="F25" s="1475"/>
      <c r="G25" s="1475"/>
      <c r="H25" s="1475"/>
      <c r="I25" s="1475"/>
      <c r="J25" s="1475"/>
      <c r="K25" s="1510"/>
      <c r="L25" s="1510"/>
      <c r="M25" s="1510"/>
      <c r="N25" s="1510"/>
      <c r="O25" s="1510"/>
      <c r="P25" s="278">
        <f>IF(R25=1,0.05,0)</f>
        <v>0</v>
      </c>
      <c r="R25" s="657">
        <v>2</v>
      </c>
      <c r="S25" s="109"/>
      <c r="T25" s="109"/>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row>
    <row r="26" spans="1:170" ht="13.5" customHeight="1" x14ac:dyDescent="0.2">
      <c r="B26" s="1163"/>
      <c r="C26" s="1163"/>
      <c r="D26" s="1163"/>
      <c r="E26" s="1163"/>
      <c r="F26" s="1163"/>
      <c r="G26" s="1163"/>
      <c r="H26" s="1163"/>
      <c r="I26" s="1163"/>
      <c r="J26" s="1163"/>
      <c r="K26" s="1163"/>
      <c r="L26" s="1163"/>
      <c r="M26" s="1163"/>
      <c r="N26" s="1163"/>
      <c r="O26" s="1163"/>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row>
    <row r="27" spans="1:170" ht="20.25" customHeight="1" x14ac:dyDescent="0.2">
      <c r="B27" s="912" t="s">
        <v>583</v>
      </c>
      <c r="C27" s="910"/>
      <c r="D27" s="910"/>
      <c r="E27" s="910"/>
      <c r="F27" s="910"/>
      <c r="G27" s="910"/>
      <c r="H27" s="910"/>
      <c r="I27" s="910"/>
      <c r="J27" s="910"/>
      <c r="K27" s="910"/>
      <c r="L27" s="910"/>
      <c r="M27" s="910"/>
      <c r="N27" s="910"/>
      <c r="O27" s="910"/>
      <c r="P27" s="14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row>
    <row r="28" spans="1:170" ht="42.75" customHeight="1" x14ac:dyDescent="0.2">
      <c r="B28" s="761" t="s">
        <v>603</v>
      </c>
      <c r="C28" s="761"/>
      <c r="D28" s="761"/>
      <c r="E28" s="761"/>
      <c r="F28" s="761"/>
      <c r="G28" s="761"/>
      <c r="H28" s="761"/>
      <c r="I28" s="761"/>
      <c r="J28" s="761"/>
      <c r="K28" s="761"/>
      <c r="L28" s="761"/>
      <c r="M28" s="761"/>
      <c r="N28" s="761"/>
      <c r="O28" s="761"/>
      <c r="P28" s="929">
        <f>IF(R29=1,0.05,0)</f>
        <v>0</v>
      </c>
      <c r="R28" s="661" t="s">
        <v>2241</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row>
    <row r="29" spans="1:170" ht="20.25" customHeight="1" x14ac:dyDescent="0.2">
      <c r="A29" s="15"/>
      <c r="B29" s="791" t="s">
        <v>932</v>
      </c>
      <c r="C29" s="791"/>
      <c r="D29" s="791"/>
      <c r="E29" s="791"/>
      <c r="F29" s="791"/>
      <c r="G29" s="791"/>
      <c r="H29" s="791"/>
      <c r="I29" s="791"/>
      <c r="J29" s="791"/>
      <c r="K29" s="1473"/>
      <c r="L29" s="1473"/>
      <c r="M29" s="1473"/>
      <c r="N29" s="1473"/>
      <c r="O29" s="1473"/>
      <c r="P29" s="1072"/>
      <c r="R29" s="613">
        <v>2</v>
      </c>
      <c r="S29" s="6">
        <v>1E-4</v>
      </c>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row>
    <row r="30" spans="1:170" ht="15" x14ac:dyDescent="0.25">
      <c r="B30" s="1221"/>
      <c r="C30" s="1221"/>
      <c r="D30" s="1221"/>
      <c r="E30" s="1221"/>
      <c r="F30" s="1221"/>
      <c r="G30" s="1221"/>
      <c r="H30" s="1221"/>
      <c r="I30" s="1221"/>
      <c r="J30" s="1221"/>
      <c r="K30" s="1221"/>
      <c r="L30" s="1221"/>
      <c r="M30" s="1221"/>
      <c r="N30" s="1221"/>
      <c r="O30" s="1221"/>
      <c r="P30" s="74"/>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row>
    <row r="31" spans="1:170" ht="13.5" customHeight="1" x14ac:dyDescent="0.2">
      <c r="B31" s="1163"/>
      <c r="C31" s="1163"/>
      <c r="D31" s="1163"/>
      <c r="E31" s="1163"/>
      <c r="F31" s="1163"/>
      <c r="G31" s="1163"/>
      <c r="H31" s="1163"/>
      <c r="I31" s="1163"/>
      <c r="J31" s="1163"/>
      <c r="K31" s="1163"/>
      <c r="L31" s="1163"/>
      <c r="M31" s="1163"/>
      <c r="N31" s="1163"/>
      <c r="O31" s="1163"/>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row>
    <row r="32" spans="1:170" ht="27" customHeight="1" x14ac:dyDescent="0.2">
      <c r="B32" s="864" t="s">
        <v>1326</v>
      </c>
      <c r="C32" s="865"/>
      <c r="D32" s="865"/>
      <c r="E32" s="866"/>
      <c r="F32" s="907" t="s">
        <v>1495</v>
      </c>
      <c r="G32" s="911"/>
      <c r="H32" s="911"/>
      <c r="I32" s="911"/>
      <c r="J32" s="1467"/>
      <c r="K32" s="1468"/>
      <c r="L32" s="1468"/>
      <c r="M32" s="1468"/>
      <c r="N32" s="1468"/>
      <c r="O32" s="1469"/>
      <c r="P32" s="1506">
        <f>V35</f>
        <v>0</v>
      </c>
      <c r="S32" s="13" t="s">
        <v>1826</v>
      </c>
      <c r="T32" s="13" t="s">
        <v>1285</v>
      </c>
      <c r="U32" s="13" t="s">
        <v>1286</v>
      </c>
      <c r="V32" s="13" t="s">
        <v>1287</v>
      </c>
      <c r="W32" s="149" t="s">
        <v>498</v>
      </c>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row>
    <row r="33" spans="2:241" ht="21" customHeight="1" x14ac:dyDescent="0.2">
      <c r="B33" s="791" t="s">
        <v>1918</v>
      </c>
      <c r="C33" s="791"/>
      <c r="D33" s="755">
        <f>P8</f>
        <v>0</v>
      </c>
      <c r="E33" s="755"/>
      <c r="F33" s="1497"/>
      <c r="G33" s="1498"/>
      <c r="H33" s="1483">
        <f>IF(AND(W33&lt;0.01,W33&gt;0),0.01,ROUND(W33,2))</f>
        <v>0</v>
      </c>
      <c r="I33" s="1484"/>
      <c r="J33" s="1470"/>
      <c r="K33" s="1471"/>
      <c r="L33" s="1471"/>
      <c r="M33" s="1471"/>
      <c r="N33" s="1471"/>
      <c r="O33" s="1472"/>
      <c r="P33" s="1507"/>
      <c r="S33" s="365">
        <f>IF(H33&gt;0,H33,D33)</f>
        <v>0</v>
      </c>
      <c r="T33" s="84">
        <f>LARGE($S$33:$S$36,1)</f>
        <v>0</v>
      </c>
      <c r="U33" s="12">
        <f>T33+T34*(1-T33)</f>
        <v>0</v>
      </c>
      <c r="V33" s="52">
        <f>ROUND(U33,2)</f>
        <v>0</v>
      </c>
      <c r="W33" s="204">
        <f>IF(F33&gt;0,D33*F33,0)</f>
        <v>0</v>
      </c>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row>
    <row r="34" spans="2:241" ht="21" customHeight="1" x14ac:dyDescent="0.2">
      <c r="B34" s="761" t="s">
        <v>1919</v>
      </c>
      <c r="C34" s="761"/>
      <c r="D34" s="755">
        <f>P24</f>
        <v>0</v>
      </c>
      <c r="E34" s="755"/>
      <c r="F34" s="1497"/>
      <c r="G34" s="1498"/>
      <c r="H34" s="1483">
        <f>IF(AND(W34&lt;0.01,W34&gt;0),0.01,ROUND(W34,2))</f>
        <v>0</v>
      </c>
      <c r="I34" s="1484"/>
      <c r="J34" s="1470"/>
      <c r="K34" s="1471"/>
      <c r="L34" s="1471"/>
      <c r="M34" s="1471"/>
      <c r="N34" s="1471"/>
      <c r="O34" s="1472"/>
      <c r="P34" s="1507"/>
      <c r="S34" s="365">
        <f>IF(H34&gt;0,H34,D34)</f>
        <v>0</v>
      </c>
      <c r="T34" s="84">
        <f>LARGE($S$33:$S$36,2)</f>
        <v>0</v>
      </c>
      <c r="U34" s="12">
        <f>V33+T35*(1-V33)</f>
        <v>0</v>
      </c>
      <c r="V34" s="52">
        <f>ROUND(U34,2)</f>
        <v>0</v>
      </c>
      <c r="W34" s="204">
        <f>IF(F34&gt;0,D34*F34,0)</f>
        <v>0</v>
      </c>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row>
    <row r="35" spans="2:241" ht="21" customHeight="1" x14ac:dyDescent="0.2">
      <c r="B35" s="791" t="s">
        <v>1920</v>
      </c>
      <c r="C35" s="791"/>
      <c r="D35" s="755">
        <f>P25</f>
        <v>0</v>
      </c>
      <c r="E35" s="755"/>
      <c r="F35" s="1497"/>
      <c r="G35" s="1498"/>
      <c r="H35" s="1483">
        <f>IF(AND(W35&lt;0.01,W35&gt;0),0.01,ROUND(W35,2))</f>
        <v>0</v>
      </c>
      <c r="I35" s="1484"/>
      <c r="J35" s="1470"/>
      <c r="K35" s="1471"/>
      <c r="L35" s="1471"/>
      <c r="M35" s="1471"/>
      <c r="N35" s="1471"/>
      <c r="O35" s="1472"/>
      <c r="P35" s="1507"/>
      <c r="S35" s="365">
        <f>IF(H35&gt;0,H35,D35)</f>
        <v>0</v>
      </c>
      <c r="T35" s="84">
        <f>LARGE($S$33:$S$36,3)</f>
        <v>0</v>
      </c>
      <c r="U35" s="12">
        <f>V34+T36*(1-V34)</f>
        <v>0</v>
      </c>
      <c r="V35" s="52">
        <f>ROUND(U35,2)</f>
        <v>0</v>
      </c>
      <c r="W35" s="204">
        <f>IF(F35&gt;0,D35*F35,0)</f>
        <v>0</v>
      </c>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row>
    <row r="36" spans="2:241" ht="21" customHeight="1" x14ac:dyDescent="0.2">
      <c r="B36" s="789" t="s">
        <v>583</v>
      </c>
      <c r="C36" s="789"/>
      <c r="D36" s="1022">
        <f>P28</f>
        <v>0</v>
      </c>
      <c r="E36" s="1022"/>
      <c r="F36" s="1497"/>
      <c r="G36" s="1498"/>
      <c r="H36" s="1483">
        <f>IF(AND(W36&lt;0.01,W36&gt;0),0.01,ROUND(W36,2))</f>
        <v>0</v>
      </c>
      <c r="I36" s="1484"/>
      <c r="J36" s="615"/>
      <c r="K36" s="616"/>
      <c r="L36" s="616"/>
      <c r="M36" s="616"/>
      <c r="N36" s="616"/>
      <c r="O36" s="617"/>
      <c r="P36" s="1507"/>
      <c r="S36" s="365">
        <f>IF(H36&gt;0,H36,D36)</f>
        <v>0</v>
      </c>
      <c r="T36" s="84">
        <f>LARGE($S$33:$S$36,4)</f>
        <v>0</v>
      </c>
      <c r="U36" s="77"/>
      <c r="V36" s="108"/>
      <c r="W36" s="204">
        <f>IF(F36&gt;0,D36*F36,0)</f>
        <v>0</v>
      </c>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row>
    <row r="37" spans="2:241" ht="21" customHeight="1" x14ac:dyDescent="0.2">
      <c r="B37" s="618"/>
      <c r="C37" s="619"/>
      <c r="D37" s="619"/>
      <c r="E37" s="619"/>
      <c r="F37" s="619"/>
      <c r="G37" s="619"/>
      <c r="H37" s="619"/>
      <c r="I37" s="619"/>
      <c r="J37" s="1508" t="s">
        <v>2195</v>
      </c>
      <c r="K37" s="1508"/>
      <c r="L37" s="1508"/>
      <c r="M37" s="1508"/>
      <c r="N37" s="1508"/>
      <c r="O37" s="1509"/>
      <c r="P37" s="1499"/>
      <c r="S37" s="6"/>
      <c r="T37" s="151"/>
      <c r="U37" s="34"/>
      <c r="V37" s="77"/>
      <c r="W37" s="108"/>
      <c r="X37" s="6"/>
      <c r="Y37" s="10"/>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row>
    <row r="38" spans="2:241" ht="36.75" customHeight="1" x14ac:dyDescent="0.25">
      <c r="B38" s="764" t="s">
        <v>931</v>
      </c>
      <c r="C38" s="764"/>
      <c r="D38" s="764"/>
      <c r="E38" s="764"/>
      <c r="F38" s="764"/>
      <c r="G38" s="764"/>
      <c r="H38" s="764"/>
      <c r="I38" s="764"/>
      <c r="J38" s="764"/>
      <c r="K38" s="764"/>
      <c r="L38" s="764"/>
      <c r="M38" s="764"/>
      <c r="N38" s="764"/>
      <c r="O38" s="764"/>
      <c r="P38" s="1037"/>
      <c r="R38" s="6"/>
      <c r="S38" s="6"/>
      <c r="T38" s="6"/>
      <c r="U38" s="6"/>
      <c r="V38" s="6"/>
      <c r="W38" s="6"/>
      <c r="X38" s="6"/>
      <c r="Y38" s="10"/>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row>
    <row r="39" spans="2:241" ht="15.75" customHeight="1" x14ac:dyDescent="0.25">
      <c r="B39" s="244" t="s">
        <v>775</v>
      </c>
      <c r="C39" s="1294" t="str">
        <f>IF(V1&lt;&gt;"",V1,"")</f>
        <v>Go to PPD Worksheet</v>
      </c>
      <c r="D39" s="1294"/>
      <c r="E39" s="1294"/>
      <c r="F39" s="1294"/>
      <c r="G39" s="1294"/>
      <c r="H39" s="1294"/>
      <c r="I39" s="1464" t="str">
        <f>IF(U1&lt;&gt;"",U1,"")</f>
        <v/>
      </c>
      <c r="J39" s="1464"/>
      <c r="K39" s="1464"/>
      <c r="L39" s="1464"/>
      <c r="M39" s="1464"/>
      <c r="N39" s="1464"/>
      <c r="P39" s="162"/>
      <c r="R39" s="109"/>
      <c r="S39" s="77"/>
      <c r="T39" s="108"/>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row>
    <row r="40" spans="2:241" ht="15.75" customHeight="1" x14ac:dyDescent="0.25">
      <c r="B40" s="145"/>
      <c r="C40" s="145"/>
      <c r="D40" s="145"/>
      <c r="E40" s="8"/>
      <c r="F40" s="1"/>
      <c r="G40" s="1"/>
      <c r="H40" s="164"/>
      <c r="I40" s="164"/>
      <c r="J40" s="164"/>
      <c r="K40" s="164"/>
      <c r="L40" s="164"/>
      <c r="M40" s="164"/>
      <c r="N40" s="164"/>
      <c r="O40" s="164"/>
      <c r="P40" s="81"/>
      <c r="R40" s="33"/>
      <c r="S40" s="77"/>
      <c r="T40" s="108"/>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row>
    <row r="41" spans="2:241" s="171" customFormat="1" hidden="1" x14ac:dyDescent="0.2">
      <c r="C41" s="9"/>
      <c r="D41" s="373"/>
      <c r="F41" s="9"/>
      <c r="G41" s="373"/>
      <c r="I41" s="9"/>
      <c r="J41" s="373"/>
      <c r="L41" s="9"/>
      <c r="M41" s="373"/>
      <c r="O41" s="9"/>
      <c r="P41" s="373"/>
      <c r="R41" s="5"/>
      <c r="S41" s="111"/>
      <c r="T41" s="5"/>
      <c r="U41" s="5"/>
      <c r="V41" s="111"/>
      <c r="W41" s="5"/>
      <c r="X41" s="5"/>
      <c r="Y41" s="111"/>
      <c r="Z41" s="5"/>
      <c r="AA41" s="5"/>
      <c r="AB41" s="111"/>
      <c r="AC41" s="5"/>
      <c r="AD41" s="5"/>
      <c r="AE41" s="111"/>
      <c r="AF41" s="5"/>
      <c r="AG41" s="5"/>
      <c r="AH41" s="111"/>
      <c r="AI41" s="5"/>
      <c r="AJ41" s="5"/>
      <c r="AK41" s="111"/>
      <c r="AL41" s="5"/>
      <c r="AM41" s="5"/>
      <c r="AN41" s="111"/>
      <c r="AO41" s="5"/>
      <c r="AP41" s="5"/>
      <c r="AQ41" s="111"/>
      <c r="AR41" s="5"/>
      <c r="AS41" s="5"/>
      <c r="AT41" s="111"/>
      <c r="AU41" s="5"/>
      <c r="AV41" s="5"/>
      <c r="AW41" s="111"/>
      <c r="AX41" s="5"/>
      <c r="AY41" s="5"/>
      <c r="AZ41" s="111"/>
      <c r="BA41" s="5"/>
      <c r="BB41" s="5"/>
      <c r="BC41" s="111"/>
      <c r="BD41" s="5"/>
      <c r="BE41" s="5"/>
      <c r="BF41" s="111"/>
      <c r="BG41" s="5"/>
      <c r="BH41" s="5"/>
      <c r="BI41" s="111"/>
      <c r="BJ41" s="5"/>
      <c r="BK41" s="5"/>
      <c r="BL41" s="111"/>
      <c r="BM41" s="5"/>
      <c r="BN41" s="5"/>
      <c r="BO41" s="111"/>
      <c r="BP41" s="5"/>
      <c r="BQ41" s="5"/>
      <c r="BR41" s="111"/>
      <c r="BS41" s="5"/>
      <c r="BT41" s="5"/>
      <c r="BU41" s="111"/>
      <c r="BV41" s="5"/>
      <c r="BW41" s="5"/>
      <c r="BX41" s="111"/>
      <c r="BY41" s="5"/>
      <c r="BZ41" s="5"/>
      <c r="CA41" s="111"/>
      <c r="CB41" s="5"/>
      <c r="CC41" s="5"/>
      <c r="CD41" s="111"/>
      <c r="CE41" s="5"/>
      <c r="CF41" s="5"/>
      <c r="CG41" s="111"/>
      <c r="CH41" s="5"/>
      <c r="CI41" s="5"/>
      <c r="CJ41" s="111"/>
      <c r="CK41" s="5"/>
      <c r="CL41" s="5"/>
      <c r="CM41" s="111"/>
      <c r="CN41" s="5"/>
      <c r="CO41" s="5"/>
      <c r="CP41" s="111"/>
      <c r="CQ41" s="5"/>
      <c r="CR41" s="5"/>
      <c r="CS41" s="111"/>
      <c r="CT41" s="5"/>
      <c r="CU41" s="5"/>
      <c r="CV41" s="111"/>
      <c r="CW41" s="5"/>
      <c r="CX41" s="5"/>
      <c r="CY41" s="111"/>
      <c r="CZ41" s="5"/>
      <c r="DA41" s="5"/>
      <c r="DB41" s="111"/>
      <c r="DC41" s="5"/>
      <c r="DD41" s="5"/>
      <c r="DE41" s="111"/>
      <c r="DF41" s="5"/>
      <c r="DG41" s="5"/>
      <c r="DH41" s="111"/>
      <c r="DI41" s="5"/>
      <c r="DJ41" s="5"/>
      <c r="DK41" s="111"/>
      <c r="DL41" s="5"/>
      <c r="DM41" s="5"/>
      <c r="DN41" s="111"/>
      <c r="DO41" s="5"/>
      <c r="DP41" s="5"/>
      <c r="DQ41" s="111"/>
      <c r="DR41" s="5"/>
      <c r="DS41" s="5"/>
      <c r="DT41" s="111"/>
      <c r="DU41" s="5"/>
      <c r="DV41" s="5"/>
      <c r="DW41" s="111"/>
      <c r="DX41" s="5"/>
      <c r="DY41" s="5"/>
      <c r="DZ41" s="111"/>
      <c r="EA41" s="5"/>
      <c r="EB41" s="5"/>
      <c r="EC41" s="111"/>
      <c r="ED41" s="5"/>
      <c r="EE41" s="5"/>
      <c r="EF41" s="111"/>
      <c r="EG41" s="5"/>
      <c r="EH41" s="5"/>
      <c r="EI41" s="111"/>
      <c r="EJ41" s="5"/>
      <c r="EK41" s="5"/>
      <c r="EL41" s="111"/>
      <c r="EM41" s="5"/>
      <c r="EN41" s="5"/>
      <c r="EO41" s="111"/>
      <c r="EP41" s="5"/>
      <c r="EQ41" s="5"/>
      <c r="ER41" s="111"/>
      <c r="ES41" s="5"/>
      <c r="ET41" s="5"/>
      <c r="EU41" s="111"/>
      <c r="EV41" s="5"/>
      <c r="EW41" s="5"/>
      <c r="EX41" s="111"/>
      <c r="EY41" s="5"/>
      <c r="EZ41" s="5"/>
      <c r="FA41" s="111"/>
      <c r="FB41" s="5"/>
      <c r="FC41" s="5"/>
      <c r="FD41" s="111"/>
      <c r="FE41" s="5"/>
      <c r="FF41" s="5"/>
      <c r="FG41" s="111"/>
      <c r="FH41" s="5"/>
      <c r="FI41" s="5"/>
      <c r="FJ41" s="111"/>
      <c r="FK41" s="5"/>
      <c r="FL41" s="5"/>
      <c r="FM41" s="111"/>
      <c r="FN41" s="5"/>
      <c r="FO41" s="9"/>
      <c r="FP41" s="373"/>
      <c r="FR41" s="9"/>
      <c r="FS41" s="373"/>
      <c r="FU41" s="9"/>
      <c r="FV41" s="373"/>
      <c r="FX41" s="9"/>
      <c r="FY41" s="373"/>
      <c r="GA41" s="9"/>
      <c r="GB41" s="373"/>
      <c r="GD41" s="9"/>
      <c r="GE41" s="373"/>
      <c r="GG41" s="9"/>
      <c r="GH41" s="373"/>
      <c r="GJ41" s="9"/>
      <c r="GK41" s="373"/>
      <c r="GM41" s="9"/>
      <c r="GN41" s="373"/>
      <c r="GP41" s="9"/>
      <c r="GQ41" s="373"/>
      <c r="GS41" s="9"/>
      <c r="GT41" s="373"/>
      <c r="GV41" s="9"/>
      <c r="GW41" s="373"/>
      <c r="GY41" s="9"/>
      <c r="GZ41" s="373"/>
      <c r="HB41" s="9"/>
      <c r="HC41" s="373"/>
      <c r="HE41" s="9"/>
      <c r="HF41" s="373"/>
      <c r="HH41" s="9"/>
      <c r="HI41" s="373"/>
      <c r="HK41" s="9"/>
      <c r="HL41" s="373"/>
      <c r="HN41" s="9"/>
      <c r="HO41" s="373"/>
      <c r="HQ41" s="9"/>
      <c r="HR41" s="373"/>
      <c r="HT41" s="9"/>
      <c r="HU41" s="373"/>
      <c r="HW41" s="9"/>
      <c r="HX41" s="373"/>
      <c r="HZ41" s="9"/>
      <c r="IA41" s="373"/>
      <c r="IC41" s="9"/>
      <c r="ID41" s="373"/>
      <c r="IF41" s="9"/>
      <c r="IG41" s="373"/>
    </row>
    <row r="42" spans="2:241" s="171" customFormat="1" ht="12.75" hidden="1" customHeight="1" x14ac:dyDescent="0.2">
      <c r="B42" s="912" t="s">
        <v>2207</v>
      </c>
      <c r="C42" s="912"/>
      <c r="F42" s="9"/>
      <c r="G42" s="373"/>
      <c r="I42" s="9"/>
      <c r="J42" s="373"/>
      <c r="L42" s="9"/>
      <c r="M42" s="373"/>
      <c r="O42" s="9"/>
      <c r="P42" s="373"/>
      <c r="R42" s="5"/>
      <c r="S42" s="111"/>
      <c r="T42" s="5"/>
      <c r="U42" s="5"/>
      <c r="V42" s="111"/>
      <c r="W42" s="5"/>
      <c r="X42" s="5"/>
      <c r="Y42" s="111"/>
      <c r="Z42" s="5"/>
      <c r="AA42" s="5"/>
      <c r="AB42" s="111"/>
      <c r="AC42" s="5"/>
      <c r="AD42" s="5"/>
      <c r="AE42" s="111"/>
      <c r="AF42" s="5"/>
      <c r="AG42" s="5"/>
      <c r="AH42" s="111"/>
      <c r="AI42" s="5"/>
      <c r="AJ42" s="5"/>
      <c r="AK42" s="111"/>
      <c r="AL42" s="5"/>
      <c r="AM42" s="5"/>
      <c r="AN42" s="111"/>
      <c r="AO42" s="5"/>
      <c r="AP42" s="5"/>
      <c r="AQ42" s="111"/>
      <c r="AR42" s="5"/>
      <c r="AS42" s="5"/>
      <c r="AT42" s="111"/>
      <c r="AU42" s="5"/>
      <c r="AV42" s="5"/>
      <c r="AW42" s="111"/>
      <c r="AX42" s="5"/>
      <c r="AY42" s="5"/>
      <c r="AZ42" s="111"/>
      <c r="BA42" s="5"/>
      <c r="BB42" s="5"/>
      <c r="BC42" s="111"/>
      <c r="BD42" s="5"/>
      <c r="BE42" s="5"/>
      <c r="BF42" s="111"/>
      <c r="BG42" s="5"/>
      <c r="BH42" s="5"/>
      <c r="BI42" s="111"/>
      <c r="BJ42" s="5"/>
      <c r="BK42" s="5"/>
      <c r="BL42" s="111"/>
      <c r="BM42" s="5"/>
      <c r="BN42" s="5"/>
      <c r="BO42" s="111"/>
      <c r="BP42" s="5"/>
      <c r="BQ42" s="5"/>
      <c r="BR42" s="111"/>
      <c r="BS42" s="5"/>
      <c r="BT42" s="5"/>
      <c r="BU42" s="111"/>
      <c r="BV42" s="5"/>
      <c r="BW42" s="5"/>
      <c r="BX42" s="111"/>
      <c r="BY42" s="5"/>
      <c r="BZ42" s="5"/>
      <c r="CA42" s="111"/>
      <c r="CB42" s="5"/>
      <c r="CC42" s="5"/>
      <c r="CD42" s="111"/>
      <c r="CE42" s="5"/>
      <c r="CF42" s="5"/>
      <c r="CG42" s="111"/>
      <c r="CH42" s="5"/>
      <c r="CI42" s="5"/>
      <c r="CJ42" s="111"/>
      <c r="CK42" s="5"/>
      <c r="CL42" s="5"/>
      <c r="CM42" s="111"/>
      <c r="CN42" s="5"/>
      <c r="CO42" s="5"/>
      <c r="CP42" s="111"/>
      <c r="CQ42" s="5"/>
      <c r="CR42" s="5"/>
      <c r="CS42" s="111"/>
      <c r="CT42" s="5"/>
      <c r="CU42" s="5"/>
      <c r="CV42" s="111"/>
      <c r="CW42" s="5"/>
      <c r="CX42" s="5"/>
      <c r="CY42" s="111"/>
      <c r="CZ42" s="5"/>
      <c r="DA42" s="5"/>
      <c r="DB42" s="111"/>
      <c r="DC42" s="5"/>
      <c r="DD42" s="5"/>
      <c r="DE42" s="111"/>
      <c r="DF42" s="5"/>
      <c r="DG42" s="5"/>
      <c r="DH42" s="111"/>
      <c r="DI42" s="5"/>
      <c r="DJ42" s="5"/>
      <c r="DK42" s="111"/>
      <c r="DL42" s="5"/>
      <c r="DM42" s="5"/>
      <c r="DN42" s="111"/>
      <c r="DO42" s="5"/>
      <c r="DP42" s="5"/>
      <c r="DQ42" s="111"/>
      <c r="DR42" s="5"/>
      <c r="DS42" s="5"/>
      <c r="DT42" s="111"/>
      <c r="DU42" s="5"/>
      <c r="DV42" s="5"/>
      <c r="DW42" s="111"/>
      <c r="DX42" s="5"/>
      <c r="DY42" s="5"/>
      <c r="DZ42" s="111"/>
      <c r="EA42" s="5"/>
      <c r="EB42" s="5"/>
      <c r="EC42" s="111"/>
      <c r="ED42" s="5"/>
      <c r="EE42" s="5"/>
      <c r="EF42" s="111"/>
      <c r="EG42" s="5"/>
      <c r="EH42" s="5"/>
      <c r="EI42" s="111"/>
      <c r="EJ42" s="5"/>
      <c r="EK42" s="5"/>
      <c r="EL42" s="111"/>
      <c r="EM42" s="5"/>
      <c r="EN42" s="5"/>
      <c r="EO42" s="111"/>
      <c r="EP42" s="5"/>
      <c r="EQ42" s="5"/>
      <c r="ER42" s="111"/>
      <c r="ES42" s="5"/>
      <c r="ET42" s="5"/>
      <c r="EU42" s="111"/>
      <c r="EV42" s="5"/>
      <c r="EW42" s="5"/>
      <c r="EX42" s="111"/>
      <c r="EY42" s="5"/>
      <c r="EZ42" s="5"/>
      <c r="FA42" s="111"/>
      <c r="FB42" s="5"/>
      <c r="FC42" s="5"/>
      <c r="FD42" s="111"/>
      <c r="FE42" s="5"/>
      <c r="FF42" s="5"/>
      <c r="FG42" s="111"/>
      <c r="FH42" s="5"/>
      <c r="FI42" s="5"/>
      <c r="FJ42" s="111"/>
      <c r="FK42" s="5"/>
      <c r="FL42" s="5"/>
      <c r="FM42" s="111"/>
      <c r="FN42" s="5"/>
      <c r="FO42" s="9"/>
      <c r="FP42" s="373"/>
      <c r="FR42" s="9"/>
      <c r="FS42" s="373"/>
      <c r="FU42" s="9"/>
      <c r="FV42" s="373"/>
      <c r="FX42" s="9"/>
      <c r="FY42" s="373"/>
      <c r="GA42" s="9"/>
      <c r="GB42" s="373"/>
      <c r="GD42" s="9"/>
      <c r="GE42" s="373"/>
      <c r="GG42" s="9"/>
      <c r="GH42" s="373"/>
      <c r="GJ42" s="9"/>
      <c r="GK42" s="373"/>
      <c r="GM42" s="9"/>
      <c r="GN42" s="373"/>
      <c r="GP42" s="9"/>
      <c r="GQ42" s="373"/>
      <c r="GS42" s="9"/>
      <c r="GT42" s="373"/>
      <c r="GV42" s="9"/>
      <c r="GW42" s="373"/>
      <c r="GY42" s="9"/>
      <c r="GZ42" s="373"/>
      <c r="HB42" s="9"/>
      <c r="HC42" s="373"/>
      <c r="HE42" s="9"/>
      <c r="HF42" s="373"/>
      <c r="HH42" s="9"/>
      <c r="HI42" s="373"/>
      <c r="HK42" s="9"/>
      <c r="HL42" s="373"/>
      <c r="HN42" s="9"/>
      <c r="HO42" s="373"/>
      <c r="HQ42" s="9"/>
      <c r="HR42" s="373"/>
      <c r="HT42" s="9"/>
      <c r="HU42" s="373"/>
      <c r="HW42" s="9"/>
      <c r="HX42" s="373"/>
      <c r="HZ42" s="9"/>
      <c r="IA42" s="373"/>
      <c r="IC42" s="9"/>
      <c r="ID42" s="373"/>
      <c r="IF42" s="9"/>
      <c r="IG42" s="373"/>
    </row>
    <row r="43" spans="2:241" hidden="1" x14ac:dyDescent="0.2">
      <c r="B43" s="912"/>
      <c r="C43" s="912"/>
      <c r="D43" s="2"/>
      <c r="E43" s="10"/>
      <c r="F43" s="11"/>
      <c r="G43" s="11"/>
      <c r="H43" s="10"/>
      <c r="I43" s="10"/>
      <c r="J43" s="11"/>
      <c r="K43" s="10"/>
      <c r="L43" s="11"/>
      <c r="M43" s="10"/>
      <c r="N43" s="11"/>
      <c r="O43" s="10"/>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row>
    <row r="44" spans="2:241" hidden="1" x14ac:dyDescent="0.2">
      <c r="B44" s="912"/>
      <c r="C44" s="912"/>
      <c r="D44" s="2"/>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row>
    <row r="45" spans="2:241" hidden="1" x14ac:dyDescent="0.2">
      <c r="B45" s="146">
        <v>0.01</v>
      </c>
      <c r="C45" s="146">
        <v>0.99</v>
      </c>
      <c r="D45" s="2"/>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row>
    <row r="46" spans="2:241" hidden="1" x14ac:dyDescent="0.2">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row>
    <row r="47" spans="2:241" hidden="1" x14ac:dyDescent="0.2">
      <c r="B47" s="146" t="s">
        <v>1901</v>
      </c>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row>
    <row r="48" spans="2:241" hidden="1" x14ac:dyDescent="0.2">
      <c r="B48" s="146">
        <v>0</v>
      </c>
      <c r="C48" s="2"/>
      <c r="D48" s="2"/>
      <c r="F48" s="2"/>
      <c r="H48" s="11"/>
      <c r="I48" s="10"/>
      <c r="J48" s="11"/>
      <c r="K48" s="10"/>
      <c r="L48" s="11"/>
      <c r="M48" s="10"/>
      <c r="N48" s="11"/>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row>
    <row r="49" spans="2:69" hidden="1" x14ac:dyDescent="0.2">
      <c r="B49" s="146">
        <v>1</v>
      </c>
      <c r="C49" s="2"/>
      <c r="D49" s="2"/>
      <c r="F49" s="2"/>
      <c r="H49" s="11"/>
      <c r="I49" s="10"/>
      <c r="J49" s="11"/>
      <c r="K49" s="10"/>
      <c r="L49" s="11"/>
      <c r="M49" s="10"/>
      <c r="N49" s="11"/>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row>
    <row r="50" spans="2:69" hidden="1" x14ac:dyDescent="0.2">
      <c r="B50" s="146">
        <v>2</v>
      </c>
      <c r="C50" s="2"/>
      <c r="D50" s="2"/>
      <c r="F50" s="2"/>
      <c r="H50" s="2"/>
      <c r="J50" s="11"/>
      <c r="K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row>
    <row r="51" spans="2:69" hidden="1" x14ac:dyDescent="0.2">
      <c r="B51" s="146">
        <v>3</v>
      </c>
      <c r="C51" s="2"/>
      <c r="D51" s="2"/>
      <c r="F51" s="2"/>
      <c r="H51" s="2"/>
      <c r="J51" s="11"/>
      <c r="K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row>
    <row r="52" spans="2:69" hidden="1" x14ac:dyDescent="0.2">
      <c r="B52" s="146">
        <v>4</v>
      </c>
      <c r="C52" s="2"/>
      <c r="D52" s="2"/>
      <c r="F52" s="2"/>
      <c r="H52" s="2"/>
      <c r="J52" s="11"/>
      <c r="K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row>
    <row r="53" spans="2:69" hidden="1" x14ac:dyDescent="0.2">
      <c r="B53" s="146">
        <v>5</v>
      </c>
      <c r="C53" s="2"/>
      <c r="D53" s="2"/>
      <c r="F53" s="2"/>
      <c r="H53" s="2"/>
      <c r="J53" s="11"/>
      <c r="K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row>
    <row r="54" spans="2:69" hidden="1" x14ac:dyDescent="0.2">
      <c r="B54" s="146">
        <v>6</v>
      </c>
      <c r="C54" s="2"/>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row>
    <row r="55" spans="2:69" hidden="1" x14ac:dyDescent="0.2">
      <c r="B55" s="146">
        <v>7</v>
      </c>
      <c r="C55" s="2"/>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row>
    <row r="56" spans="2:69" hidden="1" x14ac:dyDescent="0.2">
      <c r="B56" s="146">
        <v>8</v>
      </c>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row>
    <row r="57" spans="2:69" hidden="1" x14ac:dyDescent="0.2">
      <c r="B57" s="146">
        <v>9</v>
      </c>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row>
    <row r="58" spans="2:69" hidden="1" x14ac:dyDescent="0.2">
      <c r="B58" s="146">
        <v>10</v>
      </c>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row>
    <row r="59" spans="2:69" hidden="1" x14ac:dyDescent="0.2">
      <c r="B59" s="146">
        <v>11</v>
      </c>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row>
    <row r="60" spans="2:69" hidden="1" x14ac:dyDescent="0.2">
      <c r="B60" s="146">
        <v>12</v>
      </c>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row>
    <row r="61" spans="2:69" hidden="1" x14ac:dyDescent="0.2">
      <c r="B61" s="146">
        <v>13</v>
      </c>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row>
    <row r="62" spans="2:69" hidden="1" x14ac:dyDescent="0.2">
      <c r="B62" s="146">
        <v>14</v>
      </c>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row>
    <row r="63" spans="2:69" hidden="1" x14ac:dyDescent="0.2">
      <c r="B63" s="146">
        <v>15</v>
      </c>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row>
    <row r="64" spans="2:69" hidden="1" x14ac:dyDescent="0.2">
      <c r="B64" s="146">
        <v>16</v>
      </c>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row>
    <row r="65" spans="2:69" hidden="1" x14ac:dyDescent="0.2">
      <c r="B65" s="146">
        <v>17</v>
      </c>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row>
    <row r="66" spans="2:69" hidden="1" x14ac:dyDescent="0.2">
      <c r="B66" s="146">
        <v>18</v>
      </c>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row>
    <row r="67" spans="2:69" hidden="1" x14ac:dyDescent="0.2">
      <c r="B67" s="146">
        <v>19</v>
      </c>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row>
    <row r="68" spans="2:69" hidden="1" x14ac:dyDescent="0.2">
      <c r="B68" s="146">
        <v>20</v>
      </c>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row>
    <row r="69" spans="2:69" hidden="1" x14ac:dyDescent="0.2">
      <c r="B69" s="146">
        <v>21</v>
      </c>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row>
    <row r="70" spans="2:69" hidden="1" x14ac:dyDescent="0.2">
      <c r="B70" s="146">
        <v>22</v>
      </c>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row>
    <row r="71" spans="2:69" hidden="1" x14ac:dyDescent="0.2">
      <c r="B71" s="146">
        <v>23</v>
      </c>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row>
    <row r="72" spans="2:69" hidden="1" x14ac:dyDescent="0.2">
      <c r="B72" s="146">
        <v>24</v>
      </c>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row>
    <row r="73" spans="2:69" hidden="1" x14ac:dyDescent="0.2">
      <c r="B73" s="146">
        <v>25</v>
      </c>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row>
    <row r="74" spans="2:69" hidden="1" x14ac:dyDescent="0.2">
      <c r="B74" s="146">
        <v>26</v>
      </c>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row>
    <row r="75" spans="2:69" hidden="1" x14ac:dyDescent="0.2">
      <c r="B75" s="146">
        <v>27</v>
      </c>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row>
    <row r="76" spans="2:69" hidden="1" x14ac:dyDescent="0.2">
      <c r="B76" s="146">
        <v>28</v>
      </c>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row>
    <row r="77" spans="2:69" hidden="1" x14ac:dyDescent="0.2">
      <c r="B77" s="146">
        <v>29</v>
      </c>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row>
    <row r="78" spans="2:69" hidden="1" x14ac:dyDescent="0.2">
      <c r="B78" s="146">
        <v>30</v>
      </c>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row>
    <row r="79" spans="2:69" hidden="1" x14ac:dyDescent="0.2">
      <c r="B79" s="146">
        <v>31</v>
      </c>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row>
    <row r="80" spans="2:69" hidden="1" x14ac:dyDescent="0.2">
      <c r="B80" s="146">
        <v>32</v>
      </c>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row>
    <row r="81" spans="2:69" hidden="1" x14ac:dyDescent="0.2">
      <c r="B81" s="146">
        <v>33</v>
      </c>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row>
    <row r="82" spans="2:69" hidden="1" x14ac:dyDescent="0.2">
      <c r="B82" s="146">
        <v>34</v>
      </c>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row>
    <row r="83" spans="2:69" hidden="1" x14ac:dyDescent="0.2">
      <c r="B83" s="146">
        <v>35</v>
      </c>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row>
    <row r="84" spans="2:69" hidden="1" x14ac:dyDescent="0.2">
      <c r="B84" s="146">
        <v>36</v>
      </c>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row>
    <row r="85" spans="2:69" hidden="1" x14ac:dyDescent="0.2">
      <c r="B85" s="146">
        <v>37</v>
      </c>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row>
    <row r="86" spans="2:69" hidden="1" x14ac:dyDescent="0.2">
      <c r="B86" s="146">
        <v>38</v>
      </c>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row>
    <row r="87" spans="2:69" hidden="1" x14ac:dyDescent="0.2">
      <c r="B87" s="146">
        <v>39</v>
      </c>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row>
    <row r="88" spans="2:69" hidden="1" x14ac:dyDescent="0.2">
      <c r="B88" s="146">
        <v>40</v>
      </c>
      <c r="R88" s="10">
        <v>2</v>
      </c>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row>
    <row r="89" spans="2:69" hidden="1" x14ac:dyDescent="0.2">
      <c r="B89" s="146">
        <v>41</v>
      </c>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row>
    <row r="90" spans="2:69" hidden="1" x14ac:dyDescent="0.2">
      <c r="B90" s="146">
        <v>42</v>
      </c>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row>
    <row r="91" spans="2:69" hidden="1" x14ac:dyDescent="0.2">
      <c r="B91" s="146">
        <v>43</v>
      </c>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row>
    <row r="92" spans="2:69" hidden="1" x14ac:dyDescent="0.2">
      <c r="B92" s="146">
        <v>44</v>
      </c>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row>
    <row r="93" spans="2:69" hidden="1" x14ac:dyDescent="0.2">
      <c r="B93" s="146">
        <v>45</v>
      </c>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row>
    <row r="94" spans="2:69" hidden="1" x14ac:dyDescent="0.2">
      <c r="B94" s="146">
        <v>46</v>
      </c>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row>
    <row r="95" spans="2:69" hidden="1" x14ac:dyDescent="0.2">
      <c r="B95" s="146">
        <v>47</v>
      </c>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row>
    <row r="96" spans="2:69" hidden="1" x14ac:dyDescent="0.2">
      <c r="B96" s="146">
        <v>48</v>
      </c>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row>
    <row r="97" spans="2:69" hidden="1" x14ac:dyDescent="0.2">
      <c r="B97" s="146">
        <v>49</v>
      </c>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row>
    <row r="98" spans="2:69" hidden="1" x14ac:dyDescent="0.2">
      <c r="B98" s="146">
        <v>50</v>
      </c>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row>
    <row r="99" spans="2:69" hidden="1" x14ac:dyDescent="0.2">
      <c r="B99" s="146">
        <v>51</v>
      </c>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row>
    <row r="100" spans="2:69" hidden="1" x14ac:dyDescent="0.2">
      <c r="B100" s="146">
        <v>52</v>
      </c>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row>
    <row r="101" spans="2:69" hidden="1" x14ac:dyDescent="0.2">
      <c r="B101" s="146">
        <v>53</v>
      </c>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row>
    <row r="102" spans="2:69" hidden="1" x14ac:dyDescent="0.2">
      <c r="B102" s="146">
        <v>54</v>
      </c>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row>
    <row r="103" spans="2:69" hidden="1" x14ac:dyDescent="0.2">
      <c r="B103" s="146">
        <v>55</v>
      </c>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row>
    <row r="104" spans="2:69" hidden="1" x14ac:dyDescent="0.2">
      <c r="B104" s="146">
        <v>56</v>
      </c>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row>
    <row r="105" spans="2:69" hidden="1" x14ac:dyDescent="0.2">
      <c r="B105" s="146">
        <v>57</v>
      </c>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row>
    <row r="106" spans="2:69" hidden="1" x14ac:dyDescent="0.2">
      <c r="B106" s="146">
        <v>58</v>
      </c>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row>
    <row r="107" spans="2:69" hidden="1" x14ac:dyDescent="0.2">
      <c r="B107" s="146">
        <v>59</v>
      </c>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row>
    <row r="108" spans="2:69" hidden="1" x14ac:dyDescent="0.2">
      <c r="B108" s="146">
        <v>60</v>
      </c>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row>
    <row r="109" spans="2:69" hidden="1" x14ac:dyDescent="0.2">
      <c r="B109" s="146">
        <v>61</v>
      </c>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row>
    <row r="110" spans="2:69" hidden="1" x14ac:dyDescent="0.2">
      <c r="B110" s="146">
        <v>62</v>
      </c>
    </row>
    <row r="111" spans="2:69" hidden="1" x14ac:dyDescent="0.2">
      <c r="B111" s="146">
        <v>63</v>
      </c>
    </row>
    <row r="112" spans="2:69" hidden="1" x14ac:dyDescent="0.2">
      <c r="B112" s="146">
        <v>64</v>
      </c>
    </row>
    <row r="113" spans="2:2" hidden="1" x14ac:dyDescent="0.2">
      <c r="B113" s="146">
        <v>65</v>
      </c>
    </row>
    <row r="114" spans="2:2" hidden="1" x14ac:dyDescent="0.2">
      <c r="B114" s="146">
        <v>66</v>
      </c>
    </row>
    <row r="115" spans="2:2" hidden="1" x14ac:dyDescent="0.2">
      <c r="B115" s="146">
        <v>67</v>
      </c>
    </row>
    <row r="116" spans="2:2" hidden="1" x14ac:dyDescent="0.2">
      <c r="B116" s="146">
        <v>68</v>
      </c>
    </row>
    <row r="117" spans="2:2" hidden="1" x14ac:dyDescent="0.2">
      <c r="B117" s="146">
        <v>69</v>
      </c>
    </row>
    <row r="118" spans="2:2" hidden="1" x14ac:dyDescent="0.2">
      <c r="B118" s="146">
        <v>70</v>
      </c>
    </row>
    <row r="119" spans="2:2" hidden="1" x14ac:dyDescent="0.2">
      <c r="B119" s="146">
        <v>71</v>
      </c>
    </row>
    <row r="120" spans="2:2" hidden="1" x14ac:dyDescent="0.2">
      <c r="B120" s="146">
        <v>72</v>
      </c>
    </row>
    <row r="121" spans="2:2" hidden="1" x14ac:dyDescent="0.2">
      <c r="B121" s="146">
        <v>73</v>
      </c>
    </row>
    <row r="122" spans="2:2" hidden="1" x14ac:dyDescent="0.2">
      <c r="B122" s="146">
        <v>74</v>
      </c>
    </row>
    <row r="123" spans="2:2" hidden="1" x14ac:dyDescent="0.2">
      <c r="B123" s="146">
        <v>75</v>
      </c>
    </row>
    <row r="124" spans="2:2" hidden="1" x14ac:dyDescent="0.2">
      <c r="B124" s="146">
        <v>76</v>
      </c>
    </row>
    <row r="125" spans="2:2" hidden="1" x14ac:dyDescent="0.2">
      <c r="B125" s="146">
        <v>77</v>
      </c>
    </row>
    <row r="126" spans="2:2" hidden="1" x14ac:dyDescent="0.2">
      <c r="B126" s="146">
        <v>78</v>
      </c>
    </row>
    <row r="127" spans="2:2" hidden="1" x14ac:dyDescent="0.2">
      <c r="B127" s="146">
        <v>79</v>
      </c>
    </row>
    <row r="128" spans="2:2" hidden="1" x14ac:dyDescent="0.2">
      <c r="B128" s="146">
        <v>80</v>
      </c>
    </row>
    <row r="129" spans="2:2" hidden="1" x14ac:dyDescent="0.2">
      <c r="B129" s="146">
        <v>81</v>
      </c>
    </row>
    <row r="130" spans="2:2" hidden="1" x14ac:dyDescent="0.2">
      <c r="B130" s="146">
        <v>82</v>
      </c>
    </row>
    <row r="131" spans="2:2" hidden="1" x14ac:dyDescent="0.2">
      <c r="B131" s="146">
        <v>83</v>
      </c>
    </row>
    <row r="132" spans="2:2" hidden="1" x14ac:dyDescent="0.2">
      <c r="B132" s="146">
        <v>84</v>
      </c>
    </row>
    <row r="133" spans="2:2" hidden="1" x14ac:dyDescent="0.2">
      <c r="B133" s="146">
        <v>85</v>
      </c>
    </row>
    <row r="134" spans="2:2" hidden="1" x14ac:dyDescent="0.2">
      <c r="B134" s="146">
        <v>86</v>
      </c>
    </row>
    <row r="135" spans="2:2" hidden="1" x14ac:dyDescent="0.2">
      <c r="B135" s="146">
        <v>87</v>
      </c>
    </row>
    <row r="136" spans="2:2" hidden="1" x14ac:dyDescent="0.2">
      <c r="B136" s="146">
        <v>88</v>
      </c>
    </row>
    <row r="137" spans="2:2" hidden="1" x14ac:dyDescent="0.2">
      <c r="B137" s="146">
        <v>89</v>
      </c>
    </row>
    <row r="138" spans="2:2" hidden="1" x14ac:dyDescent="0.2">
      <c r="B138" s="146">
        <v>90</v>
      </c>
    </row>
    <row r="139" spans="2:2" hidden="1" x14ac:dyDescent="0.2">
      <c r="B139" s="146">
        <v>91</v>
      </c>
    </row>
    <row r="140" spans="2:2" hidden="1" x14ac:dyDescent="0.2">
      <c r="B140" s="146">
        <v>92</v>
      </c>
    </row>
    <row r="141" spans="2:2" hidden="1" x14ac:dyDescent="0.2">
      <c r="B141" s="146">
        <v>93</v>
      </c>
    </row>
    <row r="142" spans="2:2" hidden="1" x14ac:dyDescent="0.2">
      <c r="B142" s="146">
        <v>94</v>
      </c>
    </row>
    <row r="143" spans="2:2" hidden="1" x14ac:dyDescent="0.2">
      <c r="B143" s="146">
        <v>95</v>
      </c>
    </row>
    <row r="144" spans="2:2" hidden="1" x14ac:dyDescent="0.2">
      <c r="B144" s="146">
        <v>96</v>
      </c>
    </row>
    <row r="145" spans="2:2" hidden="1" x14ac:dyDescent="0.2">
      <c r="B145" s="146">
        <v>97</v>
      </c>
    </row>
    <row r="146" spans="2:2" hidden="1" x14ac:dyDescent="0.2">
      <c r="B146" s="146">
        <v>98</v>
      </c>
    </row>
    <row r="147" spans="2:2" hidden="1" x14ac:dyDescent="0.2">
      <c r="B147" s="146">
        <v>99</v>
      </c>
    </row>
    <row r="148" spans="2:2" hidden="1" x14ac:dyDescent="0.2">
      <c r="B148" s="146">
        <v>100</v>
      </c>
    </row>
    <row r="149" spans="2:2" hidden="1" x14ac:dyDescent="0.2"/>
  </sheetData>
  <sheetProtection sheet="1" objects="1" scenarios="1"/>
  <mergeCells count="107">
    <mergeCell ref="AB11:AH11"/>
    <mergeCell ref="B3:P3"/>
    <mergeCell ref="C14:D14"/>
    <mergeCell ref="B6:P6"/>
    <mergeCell ref="B7:O7"/>
    <mergeCell ref="C9:D9"/>
    <mergeCell ref="E10:F10"/>
    <mergeCell ref="E11:F11"/>
    <mergeCell ref="B4:P4"/>
    <mergeCell ref="G8:J8"/>
    <mergeCell ref="K9:O9"/>
    <mergeCell ref="P8:P21"/>
    <mergeCell ref="C8:F8"/>
    <mergeCell ref="G10:O10"/>
    <mergeCell ref="G12:O12"/>
    <mergeCell ref="G13:H13"/>
    <mergeCell ref="E20:F20"/>
    <mergeCell ref="I19:J19"/>
    <mergeCell ref="V8:W8"/>
    <mergeCell ref="C10:D10"/>
    <mergeCell ref="T8:U8"/>
    <mergeCell ref="I9:J9"/>
    <mergeCell ref="K8:O8"/>
    <mergeCell ref="K13:O13"/>
    <mergeCell ref="E9:F9"/>
    <mergeCell ref="E13:F13"/>
    <mergeCell ref="G17:H17"/>
    <mergeCell ref="E12:F12"/>
    <mergeCell ref="I17:J17"/>
    <mergeCell ref="K17:O17"/>
    <mergeCell ref="E16:F16"/>
    <mergeCell ref="C16:D16"/>
    <mergeCell ref="E14:F14"/>
    <mergeCell ref="E15:F15"/>
    <mergeCell ref="C11:D11"/>
    <mergeCell ref="G11:H11"/>
    <mergeCell ref="K11:O11"/>
    <mergeCell ref="K15:O15"/>
    <mergeCell ref="B22:O22"/>
    <mergeCell ref="C19:D19"/>
    <mergeCell ref="C17:D17"/>
    <mergeCell ref="C18:D18"/>
    <mergeCell ref="G19:H19"/>
    <mergeCell ref="C20:D20"/>
    <mergeCell ref="G18:O18"/>
    <mergeCell ref="B21:O21"/>
    <mergeCell ref="C12:D12"/>
    <mergeCell ref="C15:D15"/>
    <mergeCell ref="G15:H15"/>
    <mergeCell ref="K19:O19"/>
    <mergeCell ref="E19:F19"/>
    <mergeCell ref="E18:F18"/>
    <mergeCell ref="B25:D25"/>
    <mergeCell ref="B33:C33"/>
    <mergeCell ref="P28:P29"/>
    <mergeCell ref="D34:E34"/>
    <mergeCell ref="K24:O24"/>
    <mergeCell ref="K25:O25"/>
    <mergeCell ref="B26:O26"/>
    <mergeCell ref="B24:D24"/>
    <mergeCell ref="B29:J29"/>
    <mergeCell ref="B31:O31"/>
    <mergeCell ref="B30:O30"/>
    <mergeCell ref="C39:H39"/>
    <mergeCell ref="I39:N39"/>
    <mergeCell ref="B36:C36"/>
    <mergeCell ref="B38:P38"/>
    <mergeCell ref="F36:G36"/>
    <mergeCell ref="P32:P37"/>
    <mergeCell ref="F35:G35"/>
    <mergeCell ref="F33:G33"/>
    <mergeCell ref="D33:E33"/>
    <mergeCell ref="D35:E35"/>
    <mergeCell ref="B32:E32"/>
    <mergeCell ref="F32:I32"/>
    <mergeCell ref="D36:E36"/>
    <mergeCell ref="H33:I33"/>
    <mergeCell ref="J34:O35"/>
    <mergeCell ref="J37:O37"/>
    <mergeCell ref="B34:C34"/>
    <mergeCell ref="F34:G34"/>
    <mergeCell ref="H34:I34"/>
    <mergeCell ref="J32:O33"/>
    <mergeCell ref="B42:C44"/>
    <mergeCell ref="Y9:Z9"/>
    <mergeCell ref="Y11:Z11"/>
    <mergeCell ref="C1:J1"/>
    <mergeCell ref="L1:P1"/>
    <mergeCell ref="H35:I35"/>
    <mergeCell ref="H36:I36"/>
    <mergeCell ref="B35:C35"/>
    <mergeCell ref="E25:J25"/>
    <mergeCell ref="E24:J24"/>
    <mergeCell ref="B23:O23"/>
    <mergeCell ref="B27:O27"/>
    <mergeCell ref="B28:O28"/>
    <mergeCell ref="K29:O29"/>
    <mergeCell ref="B5:P5"/>
    <mergeCell ref="I11:J11"/>
    <mergeCell ref="C13:D13"/>
    <mergeCell ref="E17:F17"/>
    <mergeCell ref="I13:J13"/>
    <mergeCell ref="I15:J15"/>
    <mergeCell ref="G9:H9"/>
    <mergeCell ref="G14:O14"/>
    <mergeCell ref="G16:O16"/>
    <mergeCell ref="G20:O20"/>
  </mergeCells>
  <phoneticPr fontId="0" type="noConversion"/>
  <conditionalFormatting sqref="G10:O10">
    <cfRule type="cellIs" dxfId="11" priority="6" operator="equal">
      <formula>$AB$11</formula>
    </cfRule>
  </conditionalFormatting>
  <conditionalFormatting sqref="G12:O12">
    <cfRule type="cellIs" dxfId="10" priority="5" operator="equal">
      <formula>$AB$11</formula>
    </cfRule>
  </conditionalFormatting>
  <conditionalFormatting sqref="G14:O14">
    <cfRule type="cellIs" dxfId="9" priority="4" operator="equal">
      <formula>$AB$11</formula>
    </cfRule>
  </conditionalFormatting>
  <conditionalFormatting sqref="G16:O16">
    <cfRule type="cellIs" dxfId="8" priority="3" operator="equal">
      <formula>$AB$11</formula>
    </cfRule>
  </conditionalFormatting>
  <conditionalFormatting sqref="G18:O18">
    <cfRule type="cellIs" dxfId="7" priority="2" operator="equal">
      <formula>$AB$11</formula>
    </cfRule>
  </conditionalFormatting>
  <conditionalFormatting sqref="G20:O20">
    <cfRule type="cellIs" dxfId="6" priority="1" operator="equal">
      <formula>$AB$11</formula>
    </cfRule>
  </conditionalFormatting>
  <dataValidations xWindow="1062" yWindow="358" count="21">
    <dataValidation type="list" showInputMessage="1" showErrorMessage="1" promptTitle="Hip ROM" prompt="Enter retained degrees of motion, internal rotation.  If joint was not affected by the injury, select &quot;NA&quot; or leave blank." sqref="C17:D17" xr:uid="{00000000-0002-0000-0C00-000000000000}">
      <formula1>$B$47:$B$88</formula1>
    </dataValidation>
    <dataValidation type="list" showInputMessage="1" showErrorMessage="1" promptTitle="Hip ROM" prompt="Enter retained degrees of motion, forward flexion. If joint was not affected by the injury, select &quot;NA&quot; or leave blank." sqref="C9:D9" xr:uid="{00000000-0002-0000-0C00-000001000000}">
      <formula1>$B$47:$B$148</formula1>
    </dataValidation>
    <dataValidation type="list" showInputMessage="1" showErrorMessage="1" promptTitle="Hip" prompt="Enter degrees of forward flexion ankylosis. If joint was not affected by the injury, select &quot;NA&quot; or leave blank." sqref="C10:D10" xr:uid="{00000000-0002-0000-0C00-000002000000}">
      <formula1>$B$47:$B$148</formula1>
    </dataValidation>
    <dataValidation type="list" showInputMessage="1" showErrorMessage="1" promptTitle="Hip ROM" prompt="Enter retained degrees of motion, backward extension. If joint was not affected by the injury, select &quot;NA&quot; or leave blank." sqref="C11:D11" xr:uid="{00000000-0002-0000-0C00-000003000000}">
      <formula1>$B$47:$B$78</formula1>
    </dataValidation>
    <dataValidation type="list" showInputMessage="1" showErrorMessage="1" promptTitle="Hip" prompt="Enter degrees of backward extension ankylosis.  If joint was not affected by the injury, select &quot;NA&quot; or leave blank." sqref="C12:D12" xr:uid="{00000000-0002-0000-0C00-000004000000}">
      <formula1>$B$47:$B$78</formula1>
    </dataValidation>
    <dataValidation type="list" showInputMessage="1" showErrorMessage="1" promptTitle="Hip ROM" prompt="Enter retained degrees of motion,abduction. If joint was not affected by the injury, select &quot;NA&quot; or leave blank." sqref="C13:D13" xr:uid="{00000000-0002-0000-0C00-000005000000}">
      <formula1>$B$47:$B$88</formula1>
    </dataValidation>
    <dataValidation type="list" showInputMessage="1" showErrorMessage="1" promptTitle="Hip" prompt="Enter degrees of abduction ankylosis. If joint was not affected by the injury, select &quot;NA&quot; or leave blank." sqref="C14:D14" xr:uid="{00000000-0002-0000-0C00-000006000000}">
      <formula1>$B$47:$B$88</formula1>
    </dataValidation>
    <dataValidation type="list" showInputMessage="1" showErrorMessage="1" promptTitle="Hip ROM" prompt="Enter retained degrees of motion, adduction. If joint was not affected by the injury, select &quot;NA&quot; or leave blank." sqref="C15:D15" xr:uid="{00000000-0002-0000-0C00-000007000000}">
      <formula1>$B$47:$B$68</formula1>
    </dataValidation>
    <dataValidation type="list" showInputMessage="1" showErrorMessage="1" promptTitle="HIp" prompt="Enter degrees of adduction ankylosis.  If joint was not affected by the injury, select &quot;NA&quot; or leave blank." sqref="C16:D16" xr:uid="{00000000-0002-0000-0C00-000008000000}">
      <formula1>$B$47:$B$68</formula1>
    </dataValidation>
    <dataValidation type="list" showInputMessage="1" showErrorMessage="1" promptTitle="Hip" prompt="Enter degrees of internal rotation ankylosis.  If joint was not affected by the injury, select &quot;NA&quot; or leave blank." sqref="C18:D18" xr:uid="{00000000-0002-0000-0C00-000009000000}">
      <formula1>$B$47:$B$88</formula1>
    </dataValidation>
    <dataValidation type="list" showInputMessage="1" showErrorMessage="1" promptTitle="Hip ROM" prompt="Enter retained degrees of motion, external rotation.  If joint was not affected by the injury, select &quot;NA&quot; or leave blank." sqref="C19:D19" xr:uid="{00000000-0002-0000-0C00-00000A000000}">
      <formula1>$B$47:$B$98</formula1>
    </dataValidation>
    <dataValidation type="list" showInputMessage="1" showErrorMessage="1" promptTitle="Hip" prompt="Enter degrees of external rotation ankylosis.  If joint was not affected by the injury, select &quot;NA&quot; or leave blank." sqref="C20:D20" xr:uid="{00000000-0002-0000-0C00-00000B000000}">
      <formula1>$B$47:$B$98</formula1>
    </dataValidation>
    <dataValidation type="decimal" operator="equal" allowBlank="1" showInputMessage="1" showErrorMessage="1" promptTitle="Hip" prompt="Check &quot;Yes&quot; if the chronic condition criteria have been met." sqref="A29" xr:uid="{00000000-0002-0000-0C00-00000C000000}">
      <formula1>S29</formula1>
    </dataValidation>
    <dataValidation type="decimal" operator="equal" allowBlank="1" showInputMessage="1" showErrorMessage="1" promptTitle="Hip surgery" prompt="Show type of surgery, if any." sqref="A24" xr:uid="{00000000-0002-0000-0C00-00000D000000}">
      <formula1>S24</formula1>
    </dataValidation>
    <dataValidation allowBlank="1" showInputMessage="1" showErrorMessage="1" promptTitle="End of worksheet" prompt="Press TAB to return to top of sheet." sqref="P39" xr:uid="{00000000-0002-0000-0C00-00000E000000}"/>
    <dataValidation type="list" showInputMessage="1" showErrorMessage="1" promptTitle="Contralateral comparison" prompt="Enter retained degrees of motion or &quot;NA&quot; if contralateral joint has a history of injury or disease." sqref="G19:H19" xr:uid="{00000000-0002-0000-0C00-00000F000000}">
      <formula1>$B$47:$B$98</formula1>
    </dataValidation>
    <dataValidation type="decimal" allowBlank="1" showInputMessage="1" showErrorMessage="1" promptTitle="Apportionment (if any)" prompt="Enter percentage of impairment caused by the injury or illness. See OAR 436-035-0013." sqref="F33:G36" xr:uid="{00000000-0002-0000-0C00-000010000000}">
      <formula1>$B$45</formula1>
      <formula2>$C$45</formula2>
    </dataValidation>
    <dataValidation type="list" showInputMessage="1" showErrorMessage="1" promptTitle="Contralateral comparison" prompt="Enter retained degrees of motion or &quot;NA&quot; if contralateral joint has a history of injury or disease." sqref="G9:H9" xr:uid="{370A777D-E085-4C96-9D5C-A499A150EC82}">
      <formula1>$B$47:$B$148</formula1>
    </dataValidation>
    <dataValidation type="list" showInputMessage="1" showErrorMessage="1" promptTitle="Contralateral comparison" prompt="Enter retained degrees of motion or &quot;NA&quot; if contralateral joint has a history of injury or disease." sqref="G11:H11" xr:uid="{BE588458-241C-4060-A66C-E4594E681731}">
      <formula1>$B$47:$B$78</formula1>
    </dataValidation>
    <dataValidation type="list" showInputMessage="1" showErrorMessage="1" promptTitle="Contralateral comparison" prompt="Enter retained degrees of motion or &quot;NA&quot; if contralateral joint has a history of injury or disease." sqref="G13:H13 G17:H17" xr:uid="{00D54D17-ABC1-45A4-B529-0844F3D50D3D}">
      <formula1>$B$47:$B$88</formula1>
    </dataValidation>
    <dataValidation type="list" showInputMessage="1" showErrorMessage="1" promptTitle="Contralateral comparison" prompt="Enter retained degrees of motion or &quot;NA&quot; if contralateral joint has a history of injury or disease." sqref="G15:H15" xr:uid="{77A3604F-1DAB-4D9D-9D6E-83C5548EA875}">
      <formula1>$B$47:$B$68</formula1>
    </dataValidation>
  </dataValidations>
  <hyperlinks>
    <hyperlink ref="B39" location="'Hip-Right'!A1" display="Return to top of sheet" xr:uid="{00000000-0004-0000-0C00-000000000000}"/>
    <hyperlink ref="I39:N39" location="'PPD DOI on or after 2005'!A1" display="'PPD DOI on or after 2005'!A1" xr:uid="{00000000-0004-0000-0C00-000001000000}"/>
    <hyperlink ref="C39:H39" location="'PPD DOI before 2005'!A1" display="'PPD DOI before 2005'!A1" xr:uid="{00000000-0004-0000-0C00-000002000000}"/>
    <hyperlink ref="B4:P4" location="'Lower Extremity-Right'!A1" display="When reduced ranges of motion of the hip do not involve the pelvis and/or acetabulum, determine impairment according to OAR 436-035-0220." xr:uid="{00000000-0004-0000-0C00-000003000000}"/>
  </hyperlinks>
  <pageMargins left="0.67" right="0.63" top="0.47" bottom="0.56000000000000005" header="0.5" footer="0.5"/>
  <pageSetup orientation="portrait" horizontalDpi="300" verticalDpi="300" r:id="rId1"/>
  <headerFooter alignWithMargins="0">
    <oddFooter>&amp;LHip, Right&amp;CPage &amp;P</oddFooter>
  </headerFooter>
  <rowBreaks count="1" manualBreakCount="1">
    <brk id="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8921" r:id="rId4" name="Group Box 9">
              <controlPr defaultSize="0" autoFill="0" autoPict="0">
                <anchor moveWithCells="1" sizeWithCells="1">
                  <from>
                    <xdr:col>3</xdr:col>
                    <xdr:colOff>276225</xdr:colOff>
                    <xdr:row>23</xdr:row>
                    <xdr:rowOff>0</xdr:rowOff>
                  </from>
                  <to>
                    <xdr:col>9</xdr:col>
                    <xdr:colOff>361950</xdr:colOff>
                    <xdr:row>24</xdr:row>
                    <xdr:rowOff>9525</xdr:rowOff>
                  </to>
                </anchor>
              </controlPr>
            </control>
          </mc:Choice>
        </mc:AlternateContent>
        <mc:AlternateContent xmlns:mc="http://schemas.openxmlformats.org/markup-compatibility/2006">
          <mc:Choice Requires="x14">
            <control shapeId="38923" r:id="rId5" name="Option Button 11">
              <controlPr defaultSize="0" autoFill="0" autoLine="0" autoPict="0">
                <anchor moveWithCells="1" sizeWithCells="1">
                  <from>
                    <xdr:col>4</xdr:col>
                    <xdr:colOff>123825</xdr:colOff>
                    <xdr:row>23</xdr:row>
                    <xdr:rowOff>19050</xdr:rowOff>
                  </from>
                  <to>
                    <xdr:col>6</xdr:col>
                    <xdr:colOff>238125</xdr:colOff>
                    <xdr:row>23</xdr:row>
                    <xdr:rowOff>247650</xdr:rowOff>
                  </to>
                </anchor>
              </controlPr>
            </control>
          </mc:Choice>
        </mc:AlternateContent>
        <mc:AlternateContent xmlns:mc="http://schemas.openxmlformats.org/markup-compatibility/2006">
          <mc:Choice Requires="x14">
            <control shapeId="38924" r:id="rId6" name="Option Button 12">
              <controlPr defaultSize="0" autoFill="0" autoLine="0" autoPict="0">
                <anchor moveWithCells="1" sizeWithCells="1">
                  <from>
                    <xdr:col>7</xdr:col>
                    <xdr:colOff>171450</xdr:colOff>
                    <xdr:row>23</xdr:row>
                    <xdr:rowOff>9525</xdr:rowOff>
                  </from>
                  <to>
                    <xdr:col>9</xdr:col>
                    <xdr:colOff>285750</xdr:colOff>
                    <xdr:row>23</xdr:row>
                    <xdr:rowOff>238125</xdr:rowOff>
                  </to>
                </anchor>
              </controlPr>
            </control>
          </mc:Choice>
        </mc:AlternateContent>
        <mc:AlternateContent xmlns:mc="http://schemas.openxmlformats.org/markup-compatibility/2006">
          <mc:Choice Requires="x14">
            <control shapeId="38922" r:id="rId7" name="Group Box 10">
              <controlPr defaultSize="0" autoFill="0" autoPict="0">
                <anchor moveWithCells="1" sizeWithCells="1">
                  <from>
                    <xdr:col>3</xdr:col>
                    <xdr:colOff>276225</xdr:colOff>
                    <xdr:row>24</xdr:row>
                    <xdr:rowOff>9525</xdr:rowOff>
                  </from>
                  <to>
                    <xdr:col>9</xdr:col>
                    <xdr:colOff>361950</xdr:colOff>
                    <xdr:row>25</xdr:row>
                    <xdr:rowOff>9525</xdr:rowOff>
                  </to>
                </anchor>
              </controlPr>
            </control>
          </mc:Choice>
        </mc:AlternateContent>
        <mc:AlternateContent xmlns:mc="http://schemas.openxmlformats.org/markup-compatibility/2006">
          <mc:Choice Requires="x14">
            <control shapeId="38925" r:id="rId8" name="Option Button 13">
              <controlPr defaultSize="0" autoFill="0" autoLine="0" autoPict="0">
                <anchor moveWithCells="1" sizeWithCells="1">
                  <from>
                    <xdr:col>4</xdr:col>
                    <xdr:colOff>123825</xdr:colOff>
                    <xdr:row>24</xdr:row>
                    <xdr:rowOff>28575</xdr:rowOff>
                  </from>
                  <to>
                    <xdr:col>6</xdr:col>
                    <xdr:colOff>152400</xdr:colOff>
                    <xdr:row>25</xdr:row>
                    <xdr:rowOff>0</xdr:rowOff>
                  </to>
                </anchor>
              </controlPr>
            </control>
          </mc:Choice>
        </mc:AlternateContent>
        <mc:AlternateContent xmlns:mc="http://schemas.openxmlformats.org/markup-compatibility/2006">
          <mc:Choice Requires="x14">
            <control shapeId="38926" r:id="rId9" name="Option Button 14">
              <controlPr defaultSize="0" autoFill="0" autoLine="0" autoPict="0">
                <anchor moveWithCells="1" sizeWithCells="1">
                  <from>
                    <xdr:col>7</xdr:col>
                    <xdr:colOff>171450</xdr:colOff>
                    <xdr:row>24</xdr:row>
                    <xdr:rowOff>19050</xdr:rowOff>
                  </from>
                  <to>
                    <xdr:col>9</xdr:col>
                    <xdr:colOff>200025</xdr:colOff>
                    <xdr:row>24</xdr:row>
                    <xdr:rowOff>238125</xdr:rowOff>
                  </to>
                </anchor>
              </controlPr>
            </control>
          </mc:Choice>
        </mc:AlternateContent>
        <mc:AlternateContent xmlns:mc="http://schemas.openxmlformats.org/markup-compatibility/2006">
          <mc:Choice Requires="x14">
            <control shapeId="38916" r:id="rId10" name="Group Box 4">
              <controlPr defaultSize="0" autoFill="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38917" r:id="rId11" name="Option Button 5">
              <controlPr defaultSize="0" autoFill="0" autoLine="0" autoPict="0">
                <anchor moveWithCells="1" sizeWithCells="1">
                  <from>
                    <xdr:col>10</xdr:col>
                    <xdr:colOff>76200</xdr:colOff>
                    <xdr:row>28</xdr:row>
                    <xdr:rowOff>9525</xdr:rowOff>
                  </from>
                  <to>
                    <xdr:col>13</xdr:col>
                    <xdr:colOff>38100</xdr:colOff>
                    <xdr:row>28</xdr:row>
                    <xdr:rowOff>219075</xdr:rowOff>
                  </to>
                </anchor>
              </controlPr>
            </control>
          </mc:Choice>
        </mc:AlternateContent>
        <mc:AlternateContent xmlns:mc="http://schemas.openxmlformats.org/markup-compatibility/2006">
          <mc:Choice Requires="x14">
            <control shapeId="38918" r:id="rId12" name="Option Button 6">
              <controlPr defaultSize="0" autoFill="0" autoLine="0" autoPict="0">
                <anchor moveWithCells="1" sizeWithCells="1">
                  <from>
                    <xdr:col>13</xdr:col>
                    <xdr:colOff>114300</xdr:colOff>
                    <xdr:row>28</xdr:row>
                    <xdr:rowOff>9525</xdr:rowOff>
                  </from>
                  <to>
                    <xdr:col>14</xdr:col>
                    <xdr:colOff>609600</xdr:colOff>
                    <xdr:row>28</xdr:row>
                    <xdr:rowOff>219075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G149"/>
  <sheetViews>
    <sheetView showGridLines="0" zoomScale="120" zoomScaleNormal="120" workbookViewId="0"/>
  </sheetViews>
  <sheetFormatPr defaultColWidth="2.42578125" defaultRowHeight="12.75" x14ac:dyDescent="0.2"/>
  <cols>
    <col min="1" max="1" width="1.42578125" style="2" customWidth="1"/>
    <col min="2" max="2" width="23.28515625" style="2" customWidth="1"/>
    <col min="3" max="3" width="3.7109375" style="1" customWidth="1"/>
    <col min="4" max="4" width="4.140625" style="151" customWidth="1"/>
    <col min="5" max="5" width="2.85546875" style="2" customWidth="1"/>
    <col min="6" max="6" width="4.85546875" style="151" customWidth="1"/>
    <col min="7" max="7" width="4" style="2" customWidth="1"/>
    <col min="8" max="8" width="3.85546875" style="151" customWidth="1"/>
    <col min="9" max="9" width="4" style="2" customWidth="1"/>
    <col min="10" max="10" width="5.5703125" style="151" customWidth="1"/>
    <col min="11" max="11" width="2.85546875" style="2" customWidth="1"/>
    <col min="12" max="12" width="4" style="151" customWidth="1"/>
    <col min="13" max="13" width="4.42578125" style="2" customWidth="1"/>
    <col min="14" max="14" width="4" style="151" customWidth="1"/>
    <col min="15" max="15" width="9.5703125" style="2" customWidth="1"/>
    <col min="16" max="16" width="9.28515625" style="2" customWidth="1"/>
    <col min="17" max="17" width="0.85546875" style="2" customWidth="1"/>
    <col min="18" max="18" width="13.5703125" style="2" hidden="1" customWidth="1"/>
    <col min="19" max="19" width="11.85546875" style="2" hidden="1" customWidth="1"/>
    <col min="20" max="20" width="13.85546875" style="2" hidden="1" customWidth="1"/>
    <col min="21" max="21" width="13.140625" style="2" hidden="1" customWidth="1"/>
    <col min="22" max="22" width="11.42578125" style="2" hidden="1" customWidth="1"/>
    <col min="23" max="23" width="12.42578125" style="2" hidden="1" customWidth="1"/>
    <col min="24" max="24" width="13" style="2" hidden="1" customWidth="1"/>
    <col min="25" max="25" width="14" style="2" hidden="1" customWidth="1"/>
    <col min="26" max="26" width="12.7109375" style="2" hidden="1" customWidth="1"/>
    <col min="27" max="27" width="7.5703125" style="2" hidden="1" customWidth="1"/>
    <col min="28" max="28" width="10" style="2" hidden="1" customWidth="1"/>
    <col min="29" max="29" width="7" style="2" hidden="1" customWidth="1"/>
    <col min="30" max="30" width="5.85546875" style="2" hidden="1" customWidth="1"/>
    <col min="31" max="31" width="4" style="2" hidden="1" customWidth="1"/>
    <col min="32" max="32" width="5.140625" style="2" hidden="1" customWidth="1"/>
    <col min="33" max="130" width="2.42578125" style="2" hidden="1" customWidth="1"/>
    <col min="131" max="255" width="2.42578125" style="2" customWidth="1"/>
    <col min="256" max="16384" width="2.42578125" style="2"/>
  </cols>
  <sheetData>
    <row r="1" spans="2:238" ht="15" customHeight="1" x14ac:dyDescent="0.2">
      <c r="B1" s="10" t="s">
        <v>1697</v>
      </c>
      <c r="C1" s="732" t="str">
        <f>IF('Start here'!A6="","",'Start here'!A6)</f>
        <v/>
      </c>
      <c r="D1" s="736"/>
      <c r="E1" s="736"/>
      <c r="F1" s="736"/>
      <c r="G1" s="736"/>
      <c r="H1" s="736"/>
      <c r="I1" s="736"/>
      <c r="J1" s="737"/>
      <c r="K1" s="1"/>
      <c r="L1" s="732" t="str">
        <f>IF('Start here'!A7="","",'Start here'!A7)</f>
        <v/>
      </c>
      <c r="M1" s="736"/>
      <c r="N1" s="736"/>
      <c r="O1" s="736"/>
      <c r="P1" s="737"/>
      <c r="S1" s="242">
        <v>38353</v>
      </c>
      <c r="T1" s="155">
        <f>'Start here'!A8</f>
        <v>0</v>
      </c>
      <c r="U1" s="50" t="str">
        <f>IF(T1&gt;=S1,"Go to PPD Worksheet","")</f>
        <v/>
      </c>
      <c r="V1" s="50" t="str">
        <f>IF(T1&lt;S1,"Go to PPD Worksheet","")</f>
        <v>Go to PPD Worksheet</v>
      </c>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238" x14ac:dyDescent="0.2">
      <c r="B2" s="777"/>
      <c r="C2" s="777"/>
      <c r="D2" s="777"/>
      <c r="E2" s="777"/>
      <c r="F2" s="777"/>
      <c r="G2" s="777"/>
      <c r="H2" s="777"/>
      <c r="I2" s="777"/>
      <c r="J2" s="777"/>
      <c r="K2" s="777"/>
      <c r="L2" s="777"/>
      <c r="M2" s="777"/>
      <c r="N2" s="777"/>
      <c r="O2" s="777"/>
      <c r="P2" s="777"/>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row>
    <row r="3" spans="2:238" ht="24" customHeight="1" x14ac:dyDescent="0.3">
      <c r="B3" s="1511" t="s">
        <v>153</v>
      </c>
      <c r="C3" s="1512"/>
      <c r="D3" s="1512"/>
      <c r="E3" s="1512"/>
      <c r="F3" s="1512"/>
      <c r="G3" s="1512"/>
      <c r="H3" s="1512"/>
      <c r="I3" s="1512"/>
      <c r="J3" s="1512"/>
      <c r="K3" s="1512"/>
      <c r="L3" s="1512"/>
      <c r="M3" s="1512"/>
      <c r="N3" s="1512"/>
      <c r="O3" s="1512"/>
      <c r="P3" s="1512"/>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row>
    <row r="4" spans="2:238" ht="25.5" customHeight="1" x14ac:dyDescent="0.2">
      <c r="B4" s="1513" t="s">
        <v>2094</v>
      </c>
      <c r="C4" s="1514"/>
      <c r="D4" s="1514"/>
      <c r="E4" s="1514"/>
      <c r="F4" s="1514"/>
      <c r="G4" s="1514"/>
      <c r="H4" s="1514"/>
      <c r="I4" s="1514"/>
      <c r="J4" s="1514"/>
      <c r="K4" s="1514"/>
      <c r="L4" s="1514"/>
      <c r="M4" s="1514"/>
      <c r="N4" s="1514"/>
      <c r="O4" s="1514"/>
      <c r="P4" s="1515"/>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row>
    <row r="5" spans="2:238" ht="25.5" customHeight="1" x14ac:dyDescent="0.2">
      <c r="B5" s="752" t="s">
        <v>2095</v>
      </c>
      <c r="C5" s="753"/>
      <c r="D5" s="753"/>
      <c r="E5" s="753"/>
      <c r="F5" s="753"/>
      <c r="G5" s="753"/>
      <c r="H5" s="753"/>
      <c r="I5" s="753"/>
      <c r="J5" s="753"/>
      <c r="K5" s="753"/>
      <c r="L5" s="753"/>
      <c r="M5" s="753"/>
      <c r="N5" s="753"/>
      <c r="O5" s="753"/>
      <c r="P5" s="754"/>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row>
    <row r="6" spans="2:238" x14ac:dyDescent="0.2">
      <c r="B6" s="777"/>
      <c r="C6" s="777"/>
      <c r="D6" s="777"/>
      <c r="E6" s="777"/>
      <c r="F6" s="777"/>
      <c r="G6" s="777"/>
      <c r="H6" s="777"/>
      <c r="I6" s="777"/>
      <c r="J6" s="777"/>
      <c r="K6" s="777"/>
      <c r="L6" s="777"/>
      <c r="M6" s="777"/>
      <c r="N6" s="777"/>
      <c r="O6" s="777"/>
      <c r="P6" s="777"/>
      <c r="R6" s="6"/>
      <c r="S6" s="6"/>
      <c r="T6" s="6"/>
      <c r="U6" s="6"/>
      <c r="V6" s="6"/>
      <c r="W6" s="6"/>
      <c r="X6" s="6"/>
      <c r="Y6" s="6"/>
      <c r="Z6" s="6"/>
      <c r="AA6" s="6"/>
      <c r="AB6" s="6"/>
      <c r="AC6" s="6"/>
      <c r="AD6" s="6"/>
      <c r="AE6" s="6"/>
      <c r="AF6" s="6"/>
      <c r="AG6" s="6"/>
      <c r="AH6" s="6"/>
      <c r="AI6" s="10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row>
    <row r="7" spans="2:238" ht="18" customHeight="1" x14ac:dyDescent="0.2">
      <c r="B7" s="910" t="s">
        <v>1563</v>
      </c>
      <c r="C7" s="910"/>
      <c r="D7" s="910"/>
      <c r="E7" s="910"/>
      <c r="F7" s="910"/>
      <c r="G7" s="910"/>
      <c r="H7" s="910"/>
      <c r="I7" s="910"/>
      <c r="J7" s="910"/>
      <c r="K7" s="910"/>
      <c r="L7" s="910"/>
      <c r="M7" s="910"/>
      <c r="N7" s="910"/>
      <c r="O7" s="910"/>
      <c r="P7" s="18"/>
      <c r="R7" s="6"/>
      <c r="S7" s="6"/>
      <c r="T7" s="102"/>
      <c r="U7" s="102"/>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row>
    <row r="8" spans="2:238" ht="18" customHeight="1" x14ac:dyDescent="0.25">
      <c r="B8" s="273"/>
      <c r="C8" s="910" t="s">
        <v>1564</v>
      </c>
      <c r="D8" s="910"/>
      <c r="E8" s="910"/>
      <c r="F8" s="910"/>
      <c r="G8" s="910" t="s">
        <v>1565</v>
      </c>
      <c r="H8" s="910"/>
      <c r="I8" s="910"/>
      <c r="J8" s="910"/>
      <c r="K8" s="1516"/>
      <c r="L8" s="1516"/>
      <c r="M8" s="1516"/>
      <c r="N8" s="1516"/>
      <c r="O8" s="1516"/>
      <c r="P8" s="1516"/>
      <c r="R8" s="6"/>
      <c r="S8" s="13" t="s">
        <v>1566</v>
      </c>
      <c r="T8" s="1248" t="s">
        <v>202</v>
      </c>
      <c r="U8" s="1250"/>
      <c r="V8" s="1248" t="s">
        <v>187</v>
      </c>
      <c r="W8" s="1250"/>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row>
    <row r="9" spans="2:238" ht="30" customHeight="1" x14ac:dyDescent="0.2">
      <c r="B9" s="272" t="s">
        <v>188</v>
      </c>
      <c r="C9" s="694"/>
      <c r="D9" s="694"/>
      <c r="E9" s="921">
        <f>'H-Table'!AB3</f>
        <v>0</v>
      </c>
      <c r="F9" s="921"/>
      <c r="G9" s="694"/>
      <c r="H9" s="694"/>
      <c r="I9" s="936">
        <f>IF(C9="",0,IF(OR(C9&lt;=0,G9&lt;=0),E9,IF(G9&lt;C9,0,'H-Table'!AG3)))</f>
        <v>0</v>
      </c>
      <c r="J9" s="936"/>
      <c r="K9" s="1232" t="str">
        <f>IF(OR(C9="NA",G9="NA"),"",IF(AND(C9&lt;&gt;"",G9=""),"Enter contralateral or NA.",IF(AND(C9="",G9&lt;&gt;""),"Need data","")))</f>
        <v/>
      </c>
      <c r="L9" s="1232"/>
      <c r="M9" s="1232"/>
      <c r="N9" s="1232"/>
      <c r="O9" s="1232"/>
      <c r="P9" s="1516"/>
      <c r="R9" s="6"/>
      <c r="S9" s="13">
        <v>100</v>
      </c>
      <c r="T9" s="13" t="str">
        <f t="shared" ref="T9:T20" si="0">IF(OR(C9="",C9="NA"),"",IF(C9&gt;S9,S9,IF(C9&lt;0,0,C9)))</f>
        <v/>
      </c>
      <c r="U9" s="13" t="str">
        <f>IF(OR(G9="",G9="NA"),"",IF(G9&gt;S9,S9,IF(G9&lt;0,0,G9)))</f>
        <v/>
      </c>
      <c r="V9" s="56" t="str">
        <f>IF(W9="","",ROUND(W9,0))</f>
        <v/>
      </c>
      <c r="W9" s="112" t="str">
        <f>IF(T9="","",IF(OR(U9="",U9=0,U9&lt;T9),T9,(T9*S9)/U9))</f>
        <v/>
      </c>
      <c r="X9" s="53">
        <f>IF(AND(Y20=1,Z20=1),"ERROR",SUM(I9,I11,I13,I15,I17,I19,X11))</f>
        <v>0</v>
      </c>
      <c r="Y9" s="756" t="s">
        <v>2217</v>
      </c>
      <c r="Z9" s="758"/>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row>
    <row r="10" spans="2:238" ht="30" customHeight="1" x14ac:dyDescent="0.2">
      <c r="B10" s="272" t="s">
        <v>1899</v>
      </c>
      <c r="C10" s="694"/>
      <c r="D10" s="694"/>
      <c r="E10" s="921">
        <f>IF(AND($Y$20=1,$Z$20=1),"ERROR",'H-Table'!AB4)</f>
        <v>0</v>
      </c>
      <c r="F10" s="921"/>
      <c r="G10" s="930" t="str">
        <f>IF(AND($Z$20=1,$Y$20=1),"Cannot rate ROM and ankylosis.",IF($Z$21&gt;1,"Multiple ankylosis values. Use highest value only.",""))</f>
        <v/>
      </c>
      <c r="H10" s="930"/>
      <c r="I10" s="930"/>
      <c r="J10" s="930"/>
      <c r="K10" s="930"/>
      <c r="L10" s="930"/>
      <c r="M10" s="930"/>
      <c r="N10" s="930"/>
      <c r="O10" s="930"/>
      <c r="P10" s="1516"/>
      <c r="R10" s="6"/>
      <c r="S10" s="13">
        <v>100</v>
      </c>
      <c r="T10" s="13" t="str">
        <f t="shared" si="0"/>
        <v/>
      </c>
      <c r="U10" s="6"/>
      <c r="V10" s="56"/>
      <c r="W10" s="113"/>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row>
    <row r="11" spans="2:238" ht="30" customHeight="1" x14ac:dyDescent="0.2">
      <c r="B11" s="272" t="s">
        <v>1900</v>
      </c>
      <c r="C11" s="694"/>
      <c r="D11" s="694"/>
      <c r="E11" s="921">
        <f>'H-Table'!AB5</f>
        <v>0</v>
      </c>
      <c r="F11" s="921"/>
      <c r="G11" s="694"/>
      <c r="H11" s="694"/>
      <c r="I11" s="936">
        <f>IF(C11="",0,IF(OR(C11&lt;=0,G11&lt;=0),E11,IF(G11&lt;C11,0,'H-Table'!AG5)))</f>
        <v>0</v>
      </c>
      <c r="J11" s="936"/>
      <c r="K11" s="1232" t="str">
        <f>IF(OR(C11="NA",G11="NA"),"",IF(AND(C11&lt;&gt;"",G11=""),"Enter contralateral or NA.",IF(AND(C11="",G11&lt;&gt;""),"Need data","")))</f>
        <v/>
      </c>
      <c r="L11" s="1232"/>
      <c r="M11" s="1232"/>
      <c r="N11" s="1232"/>
      <c r="O11" s="1232"/>
      <c r="P11" s="1516"/>
      <c r="R11" s="6"/>
      <c r="S11" s="13">
        <v>30</v>
      </c>
      <c r="T11" s="13" t="str">
        <f t="shared" si="0"/>
        <v/>
      </c>
      <c r="U11" s="13" t="str">
        <f>IF(OR(G11="",G11="NA"),"",IF(G11&gt;S11,S11,IF(G11&lt;0,0,G11)))</f>
        <v/>
      </c>
      <c r="V11" s="56" t="str">
        <f>IF(W11="","",ROUND(W11,0))</f>
        <v/>
      </c>
      <c r="W11" s="112" t="str">
        <f>IF(T11="","",IF(OR(U11="",U11=0,U11&lt;T11),T11,(T11*S11)/U11))</f>
        <v/>
      </c>
      <c r="X11" s="114">
        <f>MAX(E10,E12,E14,E16,E18,E20)</f>
        <v>0</v>
      </c>
      <c r="Y11" s="742" t="s">
        <v>2208</v>
      </c>
      <c r="Z11" s="744"/>
      <c r="AA11" s="6"/>
      <c r="AB11" s="742" t="s">
        <v>2294</v>
      </c>
      <c r="AC11" s="743"/>
      <c r="AD11" s="743"/>
      <c r="AE11" s="743"/>
      <c r="AF11" s="743"/>
      <c r="AG11" s="743"/>
      <c r="AH11" s="744"/>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row>
    <row r="12" spans="2:238" ht="30" customHeight="1" x14ac:dyDescent="0.2">
      <c r="B12" s="272" t="s">
        <v>676</v>
      </c>
      <c r="C12" s="694"/>
      <c r="D12" s="694"/>
      <c r="E12" s="921">
        <f>IF(AND($Y$20=1,$Z$20=1),"ERROR",'H-Table'!AB6)</f>
        <v>0</v>
      </c>
      <c r="F12" s="921"/>
      <c r="G12" s="930" t="str">
        <f>IF(AND($Z$20=1,$Y$20=1),"Cannot rate ROM and ankylosis.",IF($Z$21&gt;1,"Multiple ankylosis values. Use highest value only.",""))</f>
        <v/>
      </c>
      <c r="H12" s="930"/>
      <c r="I12" s="930"/>
      <c r="J12" s="930"/>
      <c r="K12" s="930"/>
      <c r="L12" s="930"/>
      <c r="M12" s="930"/>
      <c r="N12" s="930"/>
      <c r="O12" s="930"/>
      <c r="P12" s="1516"/>
      <c r="R12" s="6"/>
      <c r="S12" s="13">
        <v>30</v>
      </c>
      <c r="T12" s="13" t="str">
        <f t="shared" si="0"/>
        <v/>
      </c>
      <c r="U12" s="6"/>
      <c r="V12" s="56"/>
      <c r="W12" s="113"/>
      <c r="X12" s="6"/>
      <c r="Y12" s="6"/>
      <c r="Z12" s="6"/>
      <c r="AA12" s="6"/>
      <c r="AB12" s="5"/>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row>
    <row r="13" spans="2:238" ht="30" customHeight="1" x14ac:dyDescent="0.2">
      <c r="B13" s="146" t="s">
        <v>677</v>
      </c>
      <c r="C13" s="694"/>
      <c r="D13" s="694"/>
      <c r="E13" s="921">
        <f>'H-Table'!AB7</f>
        <v>0</v>
      </c>
      <c r="F13" s="921"/>
      <c r="G13" s="694"/>
      <c r="H13" s="694"/>
      <c r="I13" s="936">
        <f>IF(C13="",0,IF(OR(C13&lt;=0,G13&lt;=0),E13,IF(G13&lt;C13,0,'H-Table'!AG7)))</f>
        <v>0</v>
      </c>
      <c r="J13" s="936"/>
      <c r="K13" s="1232" t="str">
        <f>IF(OR(C13="NA",G13="NA"),"",IF(AND(C13&lt;&gt;"",G13=""),"Enter contralateral or NA.",IF(AND(C13="",G13&lt;&gt;""),"Need data","")))</f>
        <v/>
      </c>
      <c r="L13" s="1232"/>
      <c r="M13" s="1232"/>
      <c r="N13" s="1232"/>
      <c r="O13" s="1232"/>
      <c r="P13" s="1516"/>
      <c r="R13" s="6"/>
      <c r="S13" s="13">
        <v>40</v>
      </c>
      <c r="T13" s="13" t="str">
        <f t="shared" si="0"/>
        <v/>
      </c>
      <c r="U13" s="13" t="str">
        <f>IF(OR(G13="",G13="NA"),"",IF(G13&gt;S13,S13,IF(G13&lt;0,0,G13)))</f>
        <v/>
      </c>
      <c r="V13" s="56" t="str">
        <f>IF(W13="","",ROUND(W13,0))</f>
        <v/>
      </c>
      <c r="W13" s="113" t="str">
        <f>IF(T13="","",IF(OR(U13="",U13=0,U13&lt;T13),T13,(T13*S13)/U13))</f>
        <v/>
      </c>
      <c r="Y13" s="127" t="s">
        <v>2209</v>
      </c>
      <c r="Z13" s="127" t="s">
        <v>2210</v>
      </c>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row>
    <row r="14" spans="2:238" ht="30" customHeight="1" x14ac:dyDescent="0.2">
      <c r="B14" s="146" t="s">
        <v>680</v>
      </c>
      <c r="C14" s="694"/>
      <c r="D14" s="694"/>
      <c r="E14" s="921">
        <f>IF(AND($Y$20=1,$Z$20=1),"ERROR",'H-Table'!AB8)</f>
        <v>0</v>
      </c>
      <c r="F14" s="921"/>
      <c r="G14" s="930" t="str">
        <f>IF(AND($Z$20=1,$Y$20=1),"Cannot rate ROM and ankylosis.",IF($Z$21&gt;1,"Multiple ankylosis values. Use highest value only.",""))</f>
        <v/>
      </c>
      <c r="H14" s="930"/>
      <c r="I14" s="930"/>
      <c r="J14" s="930"/>
      <c r="K14" s="930"/>
      <c r="L14" s="930"/>
      <c r="M14" s="930"/>
      <c r="N14" s="930"/>
      <c r="O14" s="930"/>
      <c r="P14" s="1516"/>
      <c r="R14" s="6"/>
      <c r="S14" s="13">
        <v>40</v>
      </c>
      <c r="T14" s="13" t="str">
        <f t="shared" si="0"/>
        <v/>
      </c>
      <c r="U14" s="6"/>
      <c r="V14" s="13"/>
      <c r="W14" s="13"/>
      <c r="Y14" s="13">
        <f>IF(AND(C9&lt;&gt;"",C9&lt;&gt;"NA"),1,0)</f>
        <v>0</v>
      </c>
      <c r="Z14" s="13">
        <f>IF(AND(C10&lt;&gt;"",C10&lt;&gt;"NA"),1,0)</f>
        <v>0</v>
      </c>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row>
    <row r="15" spans="2:238" ht="30" customHeight="1" x14ac:dyDescent="0.2">
      <c r="B15" s="146" t="s">
        <v>681</v>
      </c>
      <c r="C15" s="694"/>
      <c r="D15" s="694"/>
      <c r="E15" s="921">
        <f>'H-Table'!AB9</f>
        <v>0</v>
      </c>
      <c r="F15" s="921"/>
      <c r="G15" s="694"/>
      <c r="H15" s="694"/>
      <c r="I15" s="936">
        <f>IF(C15="",0,IF(OR(C15&lt;=0,G15&lt;=0),E15,IF(G15&lt;C15,0,'H-Table'!AG9)))</f>
        <v>0</v>
      </c>
      <c r="J15" s="936"/>
      <c r="K15" s="1232" t="str">
        <f>IF(OR(C15="NA",G15="NA"),"",IF(AND(C15&lt;&gt;"",G15=""),"Enter contralateral or NA.",IF(AND(C15="",G15&lt;&gt;""),"Need data","")))</f>
        <v/>
      </c>
      <c r="L15" s="1232"/>
      <c r="M15" s="1232"/>
      <c r="N15" s="1232"/>
      <c r="O15" s="1232"/>
      <c r="P15" s="1516"/>
      <c r="R15" s="115" t="s">
        <v>682</v>
      </c>
      <c r="S15" s="13">
        <v>20</v>
      </c>
      <c r="T15" s="13" t="str">
        <f t="shared" si="0"/>
        <v/>
      </c>
      <c r="U15" s="13" t="str">
        <f>IF(OR(G15="",G15="NA"),"",IF(G15&gt;S15,S15,IF(G15&lt;0,0,G15)))</f>
        <v/>
      </c>
      <c r="V15" s="56" t="str">
        <f>IF(W15="","",ROUND(W15,0))</f>
        <v/>
      </c>
      <c r="W15" s="113" t="str">
        <f>IF(T15="","",IF(OR(U15="",U15=0,U15&lt;T15),T15,(T15*S15)/U15))</f>
        <v/>
      </c>
      <c r="Y15" s="13">
        <f>IF(AND(C11&lt;&gt;"",C11&lt;&gt;"NA"),1,0)</f>
        <v>0</v>
      </c>
      <c r="Z15" s="13">
        <f>IF(AND(C12&lt;&gt;"",C12&lt;&gt;"NA"),1,0)</f>
        <v>0</v>
      </c>
      <c r="AA15" s="6"/>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row>
    <row r="16" spans="2:238" ht="30" customHeight="1" x14ac:dyDescent="0.2">
      <c r="B16" s="146" t="s">
        <v>683</v>
      </c>
      <c r="C16" s="694"/>
      <c r="D16" s="694"/>
      <c r="E16" s="921">
        <f>IF(AND($Y$20=1,$Z$20=1),"ERROR",'H-Table'!AB10)</f>
        <v>0</v>
      </c>
      <c r="F16" s="921"/>
      <c r="G16" s="930" t="str">
        <f>IF(AND($Z$20=1,$Y$20=1),"Cannot rate ROM and ankylosis.",IF($Z$21&gt;1,"Multiple ankylosis values. Use highest value only.",""))</f>
        <v/>
      </c>
      <c r="H16" s="930"/>
      <c r="I16" s="930"/>
      <c r="J16" s="930"/>
      <c r="K16" s="930"/>
      <c r="L16" s="930"/>
      <c r="M16" s="930"/>
      <c r="N16" s="930"/>
      <c r="O16" s="930"/>
      <c r="P16" s="1516"/>
      <c r="R16" s="88" t="s">
        <v>684</v>
      </c>
      <c r="S16" s="13">
        <v>20</v>
      </c>
      <c r="T16" s="13" t="str">
        <f t="shared" si="0"/>
        <v/>
      </c>
      <c r="U16" s="6"/>
      <c r="V16" s="13"/>
      <c r="W16" s="13"/>
      <c r="Y16" s="13">
        <f>IF(AND(C13&lt;&gt;"",C13&lt;&gt;"NA"),1,0)</f>
        <v>0</v>
      </c>
      <c r="Z16" s="13">
        <f>IF(AND(C14&lt;&gt;"",C14&lt;&gt;"NA"),1,0)</f>
        <v>0</v>
      </c>
      <c r="AA16" s="6"/>
      <c r="AB16" s="6"/>
      <c r="AC16" s="6"/>
      <c r="AD16" s="6"/>
      <c r="AE16" s="6"/>
      <c r="AF16" s="6"/>
      <c r="AG16" s="6"/>
      <c r="AH16" s="102"/>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row>
    <row r="17" spans="1:238" ht="30" customHeight="1" x14ac:dyDescent="0.2">
      <c r="B17" s="146" t="s">
        <v>685</v>
      </c>
      <c r="C17" s="694"/>
      <c r="D17" s="694"/>
      <c r="E17" s="921">
        <f>'H-Table'!AB11</f>
        <v>0</v>
      </c>
      <c r="F17" s="921"/>
      <c r="G17" s="694"/>
      <c r="H17" s="694"/>
      <c r="I17" s="936">
        <f>IF(C17="",0,IF(OR(C17&lt;=0,G17&lt;=0),E17,IF(G17&lt;C17,0,'H-Table'!AG11)))</f>
        <v>0</v>
      </c>
      <c r="J17" s="936"/>
      <c r="K17" s="1232" t="str">
        <f>IF(OR(C17="NA",G17="NA"),"",IF(AND(C17&lt;&gt;"",G17=""),"Enter contralateral or NA.",IF(AND(C17="",G17&lt;&gt;""),"Need data","")))</f>
        <v/>
      </c>
      <c r="L17" s="1232"/>
      <c r="M17" s="1232"/>
      <c r="N17" s="1232"/>
      <c r="O17" s="1232"/>
      <c r="P17" s="1516"/>
      <c r="R17" s="110">
        <f>IF(R21="ERROR",1,0)</f>
        <v>0</v>
      </c>
      <c r="S17" s="13">
        <v>40</v>
      </c>
      <c r="T17" s="13" t="str">
        <f t="shared" si="0"/>
        <v/>
      </c>
      <c r="U17" s="13" t="str">
        <f>IF(OR(G17="",G17="NA"),"",IF(G17&gt;S17,S17,IF(G17&lt;0,0,G17)))</f>
        <v/>
      </c>
      <c r="V17" s="56" t="str">
        <f>IF(W17="","",ROUND(W17,0))</f>
        <v/>
      </c>
      <c r="W17" s="113" t="str">
        <f>IF(T17="","",IF(OR(U17="",U17=0,U17&lt;T17),T17,(T17*S17)/U17))</f>
        <v/>
      </c>
      <c r="Y17" s="13">
        <f>IF(AND(C15&lt;&gt;"",C15&lt;&gt;"NA"),1,0)</f>
        <v>0</v>
      </c>
      <c r="Z17" s="13">
        <f>IF(AND(C16&lt;&gt;"",C16&lt;&gt;"NA"),1,0)</f>
        <v>0</v>
      </c>
      <c r="AA17" s="6"/>
      <c r="AB17" s="6"/>
      <c r="AC17" s="6"/>
      <c r="AD17" s="6"/>
      <c r="AE17" s="6"/>
      <c r="AF17" s="6"/>
      <c r="AG17" s="6"/>
      <c r="AH17" s="102"/>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row>
    <row r="18" spans="1:238" ht="30" customHeight="1" x14ac:dyDescent="0.2">
      <c r="B18" s="127" t="s">
        <v>578</v>
      </c>
      <c r="C18" s="694"/>
      <c r="D18" s="694"/>
      <c r="E18" s="921">
        <f>IF(AND($Y$20=1,$Z$20=1),"ERROR",'H-Table'!AB12)</f>
        <v>0</v>
      </c>
      <c r="F18" s="921"/>
      <c r="G18" s="930" t="str">
        <f>IF(AND($Z$20=1,$Y$20=1),"Cannot rate ROM and ankylosis.",IF($Z$21&gt;1,"Multiple ankylosis values. Use highest value only.",""))</f>
        <v/>
      </c>
      <c r="H18" s="930"/>
      <c r="I18" s="930"/>
      <c r="J18" s="930"/>
      <c r="K18" s="930"/>
      <c r="L18" s="930"/>
      <c r="M18" s="930"/>
      <c r="N18" s="930"/>
      <c r="O18" s="930"/>
      <c r="P18" s="1516"/>
      <c r="R18" s="6"/>
      <c r="S18" s="13">
        <v>40</v>
      </c>
      <c r="T18" s="13" t="str">
        <f t="shared" si="0"/>
        <v/>
      </c>
      <c r="U18" s="13"/>
      <c r="V18" s="13"/>
      <c r="W18" s="13"/>
      <c r="X18" s="6"/>
      <c r="Y18" s="13">
        <f>IF(AND(C17&lt;&gt;"",C17&lt;&gt;"NA"),1,0)</f>
        <v>0</v>
      </c>
      <c r="Z18" s="13">
        <f>IF(AND(C18&lt;&gt;"",C18&lt;&gt;"NA"),1,0)</f>
        <v>0</v>
      </c>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row>
    <row r="19" spans="1:238" ht="30" customHeight="1" x14ac:dyDescent="0.2">
      <c r="B19" s="272" t="s">
        <v>579</v>
      </c>
      <c r="C19" s="694"/>
      <c r="D19" s="694"/>
      <c r="E19" s="921">
        <f>'H-Table'!AB13</f>
        <v>0</v>
      </c>
      <c r="F19" s="921"/>
      <c r="G19" s="694"/>
      <c r="H19" s="694"/>
      <c r="I19" s="936">
        <f>IF(C19="",0,IF(OR(C19&lt;=0,G19&lt;=0),E19,IF(G19&lt;C19,0,'H-Table'!AG13)))</f>
        <v>0</v>
      </c>
      <c r="J19" s="936"/>
      <c r="K19" s="1232" t="str">
        <f>IF(OR(C19="NA",G19="NA"),"",IF(AND(C19&lt;&gt;"",G19=""),"Enter contralateral or NA.",IF(AND(C19="",G19&lt;&gt;""),"Need data","")))</f>
        <v/>
      </c>
      <c r="L19" s="1232"/>
      <c r="M19" s="1232"/>
      <c r="N19" s="1232"/>
      <c r="O19" s="1232"/>
      <c r="P19" s="1516"/>
      <c r="R19" s="6"/>
      <c r="S19" s="13">
        <v>50</v>
      </c>
      <c r="T19" s="13" t="str">
        <f t="shared" si="0"/>
        <v/>
      </c>
      <c r="U19" s="13" t="str">
        <f>IF(OR(G19="",G19="NA"),"",IF(G19&gt;S19,S19,IF(G19&lt;0,0,G19)))</f>
        <v/>
      </c>
      <c r="V19" s="56" t="str">
        <f>IF(W19="","",ROUND(W19,0))</f>
        <v/>
      </c>
      <c r="W19" s="113" t="str">
        <f>IF(T19="","",IF(OR(U19="",U19=0,U19&lt;T19),T19,(T19*S19)/U19))</f>
        <v/>
      </c>
      <c r="X19" s="6"/>
      <c r="Y19" s="13">
        <f>IF(AND(C19&lt;&gt;"",C19&lt;&gt;"NA"),1,0)</f>
        <v>0</v>
      </c>
      <c r="Z19" s="13">
        <f>IF(AND(C20&lt;&gt;"",C20&lt;&gt;"NA"),1,0)</f>
        <v>0</v>
      </c>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row>
    <row r="20" spans="1:238" ht="30" customHeight="1" x14ac:dyDescent="0.2">
      <c r="B20" s="272" t="s">
        <v>580</v>
      </c>
      <c r="C20" s="694"/>
      <c r="D20" s="694"/>
      <c r="E20" s="921">
        <f>IF(AND($Y$20=1,$Z$20=1),"ERROR",'H-Table'!AB14)</f>
        <v>0</v>
      </c>
      <c r="F20" s="921"/>
      <c r="G20" s="930" t="str">
        <f>IF(AND($Z$20=1,$Y$20=1),"Cannot rate ROM and ankylosis.",IF($Z$21&gt;1,"Multiple ankylosis values. Use highest value only.",""))</f>
        <v/>
      </c>
      <c r="H20" s="930"/>
      <c r="I20" s="930"/>
      <c r="J20" s="930"/>
      <c r="K20" s="930"/>
      <c r="L20" s="930"/>
      <c r="M20" s="930"/>
      <c r="N20" s="930"/>
      <c r="O20" s="930"/>
      <c r="P20" s="1516"/>
      <c r="R20" s="6"/>
      <c r="S20" s="92">
        <v>50</v>
      </c>
      <c r="T20" s="13" t="str">
        <f t="shared" si="0"/>
        <v/>
      </c>
      <c r="U20" s="6"/>
      <c r="V20" s="5"/>
      <c r="W20" s="6"/>
      <c r="X20" s="6"/>
      <c r="Y20" s="13">
        <f>IF(OR(Y14=1,Y15=1,Y16=1,Y17=1,Y18=1,Y19=1),1,0)</f>
        <v>0</v>
      </c>
      <c r="Z20" s="13">
        <f>IF(OR(Z14=1,Z15=1,Z16=1,Z17=1,Z18=1,Z19=1),1,0)</f>
        <v>0</v>
      </c>
      <c r="AA20" s="6"/>
      <c r="AB20" s="5"/>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row>
    <row r="21" spans="1:238" ht="26.25" customHeight="1" x14ac:dyDescent="0.2">
      <c r="B21" s="1006" t="s">
        <v>154</v>
      </c>
      <c r="C21" s="1155"/>
      <c r="D21" s="1155"/>
      <c r="E21" s="1155"/>
      <c r="F21" s="1155"/>
      <c r="G21" s="1155"/>
      <c r="H21" s="1155"/>
      <c r="I21" s="1155"/>
      <c r="J21" s="1155"/>
      <c r="K21" s="1155"/>
      <c r="L21" s="1155"/>
      <c r="M21" s="1155"/>
      <c r="N21" s="1155"/>
      <c r="O21" s="1156"/>
      <c r="P21" s="245">
        <f>IF(R17=1,"ERROR",S21)</f>
        <v>0</v>
      </c>
      <c r="R21" s="116">
        <f>IF(AND(X9&gt;0,X9&lt;0.01),0.01,X9)</f>
        <v>0</v>
      </c>
      <c r="S21" s="52">
        <f>IF(R21&lt;&gt;"ERROR",ROUND(R21,2),0)</f>
        <v>0</v>
      </c>
      <c r="T21" s="6"/>
      <c r="U21" s="6"/>
      <c r="W21" s="6"/>
      <c r="X21" s="6"/>
      <c r="Y21" s="6"/>
      <c r="Z21" s="13">
        <f>SUM(Z14:Z19)</f>
        <v>0</v>
      </c>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row>
    <row r="22" spans="1:238" ht="15" x14ac:dyDescent="0.25">
      <c r="B22" s="1183"/>
      <c r="C22" s="1183"/>
      <c r="D22" s="1183"/>
      <c r="E22" s="1183"/>
      <c r="F22" s="1183"/>
      <c r="G22" s="1183"/>
      <c r="H22" s="1183"/>
      <c r="I22" s="1183"/>
      <c r="J22" s="1183"/>
      <c r="K22" s="1183"/>
      <c r="L22" s="1183"/>
      <c r="M22" s="1183"/>
      <c r="N22" s="1183"/>
      <c r="O22" s="1183"/>
      <c r="P22" s="379"/>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row>
    <row r="23" spans="1:238" ht="24" customHeight="1" x14ac:dyDescent="0.2">
      <c r="B23" s="910" t="s">
        <v>155</v>
      </c>
      <c r="C23" s="910"/>
      <c r="D23" s="910"/>
      <c r="E23" s="910"/>
      <c r="F23" s="910"/>
      <c r="G23" s="910"/>
      <c r="H23" s="910"/>
      <c r="I23" s="910"/>
      <c r="J23" s="910"/>
      <c r="K23" s="910"/>
      <c r="L23" s="910"/>
      <c r="M23" s="910"/>
      <c r="N23" s="910"/>
      <c r="O23" s="910"/>
      <c r="P23" s="18"/>
      <c r="R23" s="661" t="s">
        <v>2241</v>
      </c>
      <c r="S23" s="109"/>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row>
    <row r="24" spans="1:238" ht="20.25" customHeight="1" x14ac:dyDescent="0.2">
      <c r="A24" s="15">
        <v>1E-4</v>
      </c>
      <c r="B24" s="924" t="s">
        <v>581</v>
      </c>
      <c r="C24" s="924"/>
      <c r="D24" s="924"/>
      <c r="E24" s="1475"/>
      <c r="F24" s="1475"/>
      <c r="G24" s="1475"/>
      <c r="H24" s="1475"/>
      <c r="I24" s="1475"/>
      <c r="J24" s="1475"/>
      <c r="K24" s="1510"/>
      <c r="L24" s="1510"/>
      <c r="M24" s="1510"/>
      <c r="N24" s="1510"/>
      <c r="O24" s="1510"/>
      <c r="P24" s="278">
        <f>IF(R24=1,0.13,0)</f>
        <v>0</v>
      </c>
      <c r="R24" s="613">
        <v>2</v>
      </c>
      <c r="S24" s="6">
        <v>1E-4</v>
      </c>
      <c r="T24" s="109"/>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row>
    <row r="25" spans="1:238" ht="19.5" customHeight="1" x14ac:dyDescent="0.2">
      <c r="B25" s="924" t="s">
        <v>582</v>
      </c>
      <c r="C25" s="924"/>
      <c r="D25" s="924"/>
      <c r="E25" s="1475"/>
      <c r="F25" s="1475"/>
      <c r="G25" s="1475"/>
      <c r="H25" s="1475"/>
      <c r="I25" s="1475"/>
      <c r="J25" s="1475"/>
      <c r="K25" s="1510"/>
      <c r="L25" s="1510"/>
      <c r="M25" s="1510"/>
      <c r="N25" s="1510"/>
      <c r="O25" s="1510"/>
      <c r="P25" s="278">
        <f>IF(R25=1,0.05,0)</f>
        <v>0</v>
      </c>
      <c r="R25" s="657">
        <v>2</v>
      </c>
      <c r="S25" s="109"/>
      <c r="T25" s="109"/>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row>
    <row r="26" spans="1:238" ht="13.5" customHeight="1" x14ac:dyDescent="0.2">
      <c r="B26" s="1163"/>
      <c r="C26" s="1163"/>
      <c r="D26" s="1163"/>
      <c r="E26" s="1163"/>
      <c r="F26" s="1163"/>
      <c r="G26" s="1163"/>
      <c r="H26" s="1163"/>
      <c r="I26" s="1163"/>
      <c r="J26" s="1163"/>
      <c r="K26" s="1163"/>
      <c r="L26" s="1163"/>
      <c r="M26" s="1163"/>
      <c r="N26" s="1163"/>
      <c r="O26" s="1163"/>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row>
    <row r="27" spans="1:238" ht="20.25" customHeight="1" x14ac:dyDescent="0.2">
      <c r="B27" s="912" t="s">
        <v>583</v>
      </c>
      <c r="C27" s="910"/>
      <c r="D27" s="910"/>
      <c r="E27" s="910"/>
      <c r="F27" s="910"/>
      <c r="G27" s="910"/>
      <c r="H27" s="910"/>
      <c r="I27" s="910"/>
      <c r="J27" s="910"/>
      <c r="K27" s="910"/>
      <c r="L27" s="910"/>
      <c r="M27" s="910"/>
      <c r="N27" s="910"/>
      <c r="O27" s="910"/>
      <c r="P27" s="14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row>
    <row r="28" spans="1:238" ht="42" customHeight="1" x14ac:dyDescent="0.2">
      <c r="B28" s="761" t="s">
        <v>603</v>
      </c>
      <c r="C28" s="761"/>
      <c r="D28" s="761"/>
      <c r="E28" s="761"/>
      <c r="F28" s="761"/>
      <c r="G28" s="761"/>
      <c r="H28" s="761"/>
      <c r="I28" s="761"/>
      <c r="J28" s="761"/>
      <c r="K28" s="761"/>
      <c r="L28" s="761"/>
      <c r="M28" s="761"/>
      <c r="N28" s="761"/>
      <c r="O28" s="761"/>
      <c r="P28" s="929">
        <f>IF(R29=1,0.05,0)</f>
        <v>0</v>
      </c>
      <c r="R28" s="661" t="s">
        <v>2241</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row>
    <row r="29" spans="1:238" ht="20.25" customHeight="1" x14ac:dyDescent="0.2">
      <c r="A29" s="15"/>
      <c r="B29" s="791" t="s">
        <v>932</v>
      </c>
      <c r="C29" s="791"/>
      <c r="D29" s="791"/>
      <c r="E29" s="791"/>
      <c r="F29" s="791"/>
      <c r="G29" s="791"/>
      <c r="H29" s="791"/>
      <c r="I29" s="791"/>
      <c r="J29" s="791"/>
      <c r="K29" s="1473"/>
      <c r="L29" s="1473"/>
      <c r="M29" s="1473"/>
      <c r="N29" s="1473"/>
      <c r="O29" s="1473"/>
      <c r="P29" s="1072"/>
      <c r="R29" s="613">
        <v>2</v>
      </c>
      <c r="S29" s="6">
        <v>1E-4</v>
      </c>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row>
    <row r="30" spans="1:238" ht="15" x14ac:dyDescent="0.25">
      <c r="B30" s="1221"/>
      <c r="C30" s="1221"/>
      <c r="D30" s="1221"/>
      <c r="E30" s="1221"/>
      <c r="F30" s="1221"/>
      <c r="G30" s="1221"/>
      <c r="H30" s="1221"/>
      <c r="I30" s="1221"/>
      <c r="J30" s="1221"/>
      <c r="K30" s="1221"/>
      <c r="L30" s="1221"/>
      <c r="M30" s="1221"/>
      <c r="N30" s="1221"/>
      <c r="O30" s="1221"/>
      <c r="P30" s="74"/>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row>
    <row r="31" spans="1:238" ht="13.5" customHeight="1" x14ac:dyDescent="0.2">
      <c r="B31" s="1163"/>
      <c r="C31" s="1163"/>
      <c r="D31" s="1163"/>
      <c r="E31" s="1163"/>
      <c r="F31" s="1163"/>
      <c r="G31" s="1163"/>
      <c r="H31" s="1163"/>
      <c r="I31" s="1163"/>
      <c r="J31" s="1163"/>
      <c r="K31" s="1163"/>
      <c r="L31" s="1163"/>
      <c r="M31" s="1163"/>
      <c r="N31" s="1163"/>
      <c r="O31" s="1163"/>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row>
    <row r="32" spans="1:238" ht="27" customHeight="1" x14ac:dyDescent="0.2">
      <c r="B32" s="864" t="s">
        <v>1327</v>
      </c>
      <c r="C32" s="865"/>
      <c r="D32" s="865"/>
      <c r="E32" s="866"/>
      <c r="F32" s="907" t="s">
        <v>1495</v>
      </c>
      <c r="G32" s="911"/>
      <c r="H32" s="911"/>
      <c r="I32" s="911"/>
      <c r="J32" s="1467"/>
      <c r="K32" s="1468"/>
      <c r="L32" s="1468"/>
      <c r="M32" s="1468"/>
      <c r="N32" s="1468"/>
      <c r="O32" s="1469"/>
      <c r="P32" s="1506">
        <f>V35</f>
        <v>0</v>
      </c>
      <c r="S32" s="13" t="s">
        <v>1826</v>
      </c>
      <c r="T32" s="13" t="s">
        <v>1285</v>
      </c>
      <c r="U32" s="13" t="s">
        <v>1286</v>
      </c>
      <c r="V32" s="13" t="s">
        <v>1287</v>
      </c>
      <c r="W32" s="149" t="s">
        <v>498</v>
      </c>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row>
    <row r="33" spans="2:241" ht="21" customHeight="1" x14ac:dyDescent="0.2">
      <c r="B33" s="742" t="s">
        <v>1918</v>
      </c>
      <c r="C33" s="744"/>
      <c r="D33" s="755">
        <f>P21</f>
        <v>0</v>
      </c>
      <c r="E33" s="755"/>
      <c r="F33" s="859"/>
      <c r="G33" s="861"/>
      <c r="H33" s="1483">
        <f>IF(AND(W33&lt;0.01,W33&gt;0),0.01,ROUND(W33,2))</f>
        <v>0</v>
      </c>
      <c r="I33" s="1484"/>
      <c r="J33" s="1470"/>
      <c r="K33" s="1471"/>
      <c r="L33" s="1471"/>
      <c r="M33" s="1471"/>
      <c r="N33" s="1471"/>
      <c r="O33" s="1472"/>
      <c r="P33" s="1507"/>
      <c r="S33" s="365">
        <f>IF(H33&gt;0,H33,D33)</f>
        <v>0</v>
      </c>
      <c r="T33" s="84">
        <f>LARGE($S$33:$S$36,1)</f>
        <v>0</v>
      </c>
      <c r="U33" s="12">
        <f>T33+T34*(1-T33)</f>
        <v>0</v>
      </c>
      <c r="V33" s="52">
        <f>ROUND(U33,2)</f>
        <v>0</v>
      </c>
      <c r="W33" s="204">
        <f>IF(F33&gt;0,D33*F33,0)</f>
        <v>0</v>
      </c>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row>
    <row r="34" spans="2:241" ht="21" customHeight="1" x14ac:dyDescent="0.2">
      <c r="B34" s="756" t="s">
        <v>1919</v>
      </c>
      <c r="C34" s="758"/>
      <c r="D34" s="755">
        <f>P24</f>
        <v>0</v>
      </c>
      <c r="E34" s="755"/>
      <c r="F34" s="859"/>
      <c r="G34" s="861"/>
      <c r="H34" s="1483">
        <f>IF(AND(W34&lt;0.01,W34&gt;0),0.01,ROUND(W34,2))</f>
        <v>0</v>
      </c>
      <c r="I34" s="1484"/>
      <c r="J34" s="1470"/>
      <c r="K34" s="1471"/>
      <c r="L34" s="1471"/>
      <c r="M34" s="1471"/>
      <c r="N34" s="1471"/>
      <c r="O34" s="1472"/>
      <c r="P34" s="1507"/>
      <c r="S34" s="365">
        <f>IF(H34&gt;0,H34,D34)</f>
        <v>0</v>
      </c>
      <c r="T34" s="84">
        <f>LARGE($S$33:$S$36,2)</f>
        <v>0</v>
      </c>
      <c r="U34" s="12">
        <f>V33+T35*(1-V33)</f>
        <v>0</v>
      </c>
      <c r="V34" s="52">
        <f>ROUND(U34,2)</f>
        <v>0</v>
      </c>
      <c r="W34" s="204">
        <f>IF(F34&gt;0,D34*F34,0)</f>
        <v>0</v>
      </c>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row>
    <row r="35" spans="2:241" ht="21" customHeight="1" x14ac:dyDescent="0.2">
      <c r="B35" s="742" t="s">
        <v>1920</v>
      </c>
      <c r="C35" s="744"/>
      <c r="D35" s="755">
        <f>P25</f>
        <v>0</v>
      </c>
      <c r="E35" s="755"/>
      <c r="F35" s="859"/>
      <c r="G35" s="861"/>
      <c r="H35" s="1483">
        <f>IF(AND(W35&lt;0.01,W35&gt;0),0.01,ROUND(W35,2))</f>
        <v>0</v>
      </c>
      <c r="I35" s="1484"/>
      <c r="J35" s="1470"/>
      <c r="K35" s="1471"/>
      <c r="L35" s="1471"/>
      <c r="M35" s="1471"/>
      <c r="N35" s="1471"/>
      <c r="O35" s="1472"/>
      <c r="P35" s="1507"/>
      <c r="S35" s="365">
        <f>IF(H35&gt;0,H35,D35)</f>
        <v>0</v>
      </c>
      <c r="T35" s="84">
        <f>LARGE($S$33:$S$36,3)</f>
        <v>0</v>
      </c>
      <c r="U35" s="12">
        <f>V34+T36*(1-V34)</f>
        <v>0</v>
      </c>
      <c r="V35" s="52">
        <f>ROUND(U35,2)</f>
        <v>0</v>
      </c>
      <c r="W35" s="204">
        <f>IF(F35&gt;0,D35*F35,0)</f>
        <v>0</v>
      </c>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row>
    <row r="36" spans="2:241" ht="21" customHeight="1" x14ac:dyDescent="0.2">
      <c r="B36" s="742" t="s">
        <v>583</v>
      </c>
      <c r="C36" s="744"/>
      <c r="D36" s="755">
        <f>P28</f>
        <v>0</v>
      </c>
      <c r="E36" s="755"/>
      <c r="F36" s="859"/>
      <c r="G36" s="861"/>
      <c r="H36" s="1483">
        <f>IF(AND(W36&lt;0.01,W36&gt;0),0.01,ROUND(W36,2))</f>
        <v>0</v>
      </c>
      <c r="I36" s="1484"/>
      <c r="J36" s="615"/>
      <c r="K36" s="616"/>
      <c r="L36" s="616"/>
      <c r="M36" s="616"/>
      <c r="N36" s="616"/>
      <c r="O36" s="617"/>
      <c r="P36" s="1507"/>
      <c r="S36" s="365">
        <f>IF(H36&gt;0,H36,D36)</f>
        <v>0</v>
      </c>
      <c r="T36" s="84">
        <f>LARGE($S$33:$S$36,4)</f>
        <v>0</v>
      </c>
      <c r="U36" s="77"/>
      <c r="V36" s="108"/>
      <c r="W36" s="204">
        <f>IF(F36&gt;0,D36*F36,0)</f>
        <v>0</v>
      </c>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row>
    <row r="37" spans="2:241" ht="21" customHeight="1" x14ac:dyDescent="0.2">
      <c r="B37" s="1520"/>
      <c r="C37" s="1520"/>
      <c r="D37" s="1520"/>
      <c r="E37" s="1520"/>
      <c r="F37" s="1520"/>
      <c r="G37" s="1520"/>
      <c r="H37" s="1520"/>
      <c r="I37" s="1521"/>
      <c r="J37" s="1517" t="s">
        <v>2194</v>
      </c>
      <c r="K37" s="1518"/>
      <c r="L37" s="1518"/>
      <c r="M37" s="1518"/>
      <c r="N37" s="1518"/>
      <c r="O37" s="1519"/>
      <c r="P37" s="1499"/>
      <c r="S37" s="6"/>
      <c r="T37" s="151"/>
      <c r="U37" s="34"/>
      <c r="V37" s="77"/>
      <c r="W37" s="108"/>
      <c r="X37" s="6"/>
      <c r="Y37" s="10"/>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row>
    <row r="38" spans="2:241" ht="36.75" customHeight="1" x14ac:dyDescent="0.25">
      <c r="B38" s="1037" t="s">
        <v>931</v>
      </c>
      <c r="C38" s="1037"/>
      <c r="D38" s="1037"/>
      <c r="E38" s="1037"/>
      <c r="F38" s="1037"/>
      <c r="G38" s="1037"/>
      <c r="H38" s="1037"/>
      <c r="I38" s="1037"/>
      <c r="J38" s="1037"/>
      <c r="K38" s="1037"/>
      <c r="L38" s="1037"/>
      <c r="M38" s="1037"/>
      <c r="N38" s="1037"/>
      <c r="O38" s="1037"/>
      <c r="P38" s="1037"/>
      <c r="R38" s="6"/>
      <c r="S38" s="6"/>
      <c r="T38" s="6"/>
      <c r="U38" s="6"/>
      <c r="V38" s="6"/>
      <c r="W38" s="6"/>
      <c r="X38" s="6"/>
      <c r="Y38" s="10"/>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row>
    <row r="39" spans="2:241" ht="15.75" customHeight="1" x14ac:dyDescent="0.25">
      <c r="B39" s="244" t="s">
        <v>775</v>
      </c>
      <c r="C39" s="1294" t="str">
        <f>IF(V1&lt;&gt;"",V1,"")</f>
        <v>Go to PPD Worksheet</v>
      </c>
      <c r="D39" s="1294"/>
      <c r="E39" s="1294"/>
      <c r="F39" s="1294"/>
      <c r="G39" s="1294"/>
      <c r="H39" s="1294"/>
      <c r="I39" s="1464" t="str">
        <f>IF(U1&lt;&gt;"",U1,"")</f>
        <v/>
      </c>
      <c r="J39" s="1464"/>
      <c r="K39" s="1464"/>
      <c r="L39" s="1464"/>
      <c r="M39" s="1464"/>
      <c r="N39" s="1464"/>
      <c r="P39" s="162"/>
      <c r="R39" s="17"/>
      <c r="S39" s="234"/>
      <c r="T39" s="7"/>
    </row>
    <row r="40" spans="2:241" ht="15.75" customHeight="1" x14ac:dyDescent="0.25">
      <c r="B40" s="145"/>
      <c r="C40" s="145"/>
      <c r="D40" s="145"/>
      <c r="E40" s="8"/>
      <c r="F40" s="1"/>
      <c r="G40" s="1"/>
      <c r="H40" s="164"/>
      <c r="I40" s="164"/>
      <c r="J40" s="164"/>
      <c r="K40" s="164"/>
      <c r="L40" s="164"/>
      <c r="M40" s="164"/>
      <c r="N40" s="164"/>
      <c r="O40" s="164"/>
      <c r="P40" s="81"/>
      <c r="R40" s="151"/>
      <c r="S40" s="234"/>
      <c r="T40" s="7"/>
    </row>
    <row r="41" spans="2:241" s="171" customFormat="1" ht="12.75" hidden="1" customHeight="1" x14ac:dyDescent="0.2">
      <c r="C41" s="9"/>
      <c r="D41" s="373"/>
      <c r="F41" s="9"/>
      <c r="G41" s="373"/>
      <c r="I41" s="9"/>
      <c r="J41" s="373"/>
      <c r="L41" s="9"/>
      <c r="M41" s="373"/>
      <c r="O41" s="9"/>
      <c r="P41" s="373"/>
      <c r="R41" s="9"/>
      <c r="S41" s="373"/>
      <c r="U41" s="9"/>
      <c r="V41" s="373"/>
      <c r="X41" s="9"/>
      <c r="Y41" s="373"/>
      <c r="AA41" s="9"/>
      <c r="AB41" s="373"/>
      <c r="AD41" s="9"/>
      <c r="AE41" s="373"/>
      <c r="AG41" s="9"/>
      <c r="AH41" s="373"/>
      <c r="AJ41" s="9"/>
      <c r="AK41" s="373"/>
      <c r="AM41" s="9"/>
      <c r="AN41" s="373"/>
      <c r="AP41" s="9"/>
      <c r="AQ41" s="373"/>
      <c r="AS41" s="9"/>
      <c r="AT41" s="373"/>
      <c r="AV41" s="9"/>
      <c r="AW41" s="373"/>
      <c r="AY41" s="9"/>
      <c r="AZ41" s="373"/>
      <c r="BB41" s="9"/>
      <c r="BC41" s="373"/>
      <c r="BE41" s="9"/>
      <c r="BF41" s="373"/>
      <c r="BH41" s="9"/>
      <c r="BI41" s="373"/>
      <c r="BK41" s="9"/>
      <c r="BL41" s="373"/>
      <c r="BN41" s="9"/>
      <c r="BO41" s="373"/>
      <c r="BQ41" s="9"/>
      <c r="BR41" s="373"/>
      <c r="BT41" s="9"/>
      <c r="BU41" s="373"/>
      <c r="BW41" s="9"/>
      <c r="BX41" s="373"/>
      <c r="BZ41" s="9"/>
      <c r="CA41" s="373"/>
      <c r="CC41" s="9"/>
      <c r="CD41" s="373"/>
      <c r="CF41" s="9"/>
      <c r="CG41" s="373"/>
      <c r="CI41" s="9"/>
      <c r="CJ41" s="373"/>
      <c r="CL41" s="9"/>
      <c r="CM41" s="373"/>
      <c r="CO41" s="9"/>
      <c r="CP41" s="373"/>
      <c r="CR41" s="9"/>
      <c r="CS41" s="373"/>
      <c r="CU41" s="9"/>
      <c r="CV41" s="373"/>
      <c r="CX41" s="9"/>
      <c r="CY41" s="373"/>
      <c r="DA41" s="9"/>
      <c r="DB41" s="373"/>
      <c r="DD41" s="9"/>
      <c r="DE41" s="373"/>
      <c r="DG41" s="9"/>
      <c r="DH41" s="373"/>
      <c r="DJ41" s="9"/>
      <c r="DK41" s="373"/>
      <c r="DM41" s="9"/>
      <c r="DN41" s="373"/>
      <c r="DP41" s="9"/>
      <c r="DQ41" s="373"/>
      <c r="DS41" s="9"/>
      <c r="DT41" s="373"/>
      <c r="DV41" s="9"/>
      <c r="DW41" s="373"/>
      <c r="DY41" s="9"/>
      <c r="DZ41" s="373"/>
      <c r="EB41" s="9"/>
      <c r="EC41" s="373"/>
      <c r="EE41" s="9"/>
      <c r="EF41" s="373"/>
      <c r="EH41" s="9"/>
      <c r="EI41" s="373"/>
      <c r="EK41" s="9"/>
      <c r="EL41" s="373"/>
      <c r="EN41" s="9"/>
      <c r="EO41" s="373"/>
      <c r="EQ41" s="9"/>
      <c r="ER41" s="373"/>
      <c r="ET41" s="9"/>
      <c r="EU41" s="373"/>
      <c r="EW41" s="9"/>
      <c r="EX41" s="373"/>
      <c r="EZ41" s="9"/>
      <c r="FA41" s="373"/>
      <c r="FC41" s="9"/>
      <c r="FD41" s="373"/>
      <c r="FF41" s="9"/>
      <c r="FG41" s="373"/>
      <c r="FI41" s="9"/>
      <c r="FJ41" s="373"/>
      <c r="FL41" s="9"/>
      <c r="FM41" s="373"/>
      <c r="FO41" s="9"/>
      <c r="FP41" s="373"/>
      <c r="FR41" s="9"/>
      <c r="FS41" s="373"/>
      <c r="FU41" s="9"/>
      <c r="FV41" s="373"/>
      <c r="FX41" s="9"/>
      <c r="FY41" s="373"/>
      <c r="GA41" s="9"/>
      <c r="GB41" s="373"/>
      <c r="GD41" s="9"/>
      <c r="GE41" s="373"/>
      <c r="GG41" s="9"/>
      <c r="GH41" s="373"/>
      <c r="GJ41" s="9"/>
      <c r="GK41" s="373"/>
      <c r="GM41" s="9"/>
      <c r="GN41" s="373"/>
      <c r="GP41" s="9"/>
      <c r="GQ41" s="373"/>
      <c r="GS41" s="9"/>
      <c r="GT41" s="373"/>
      <c r="GV41" s="9"/>
      <c r="GW41" s="373"/>
      <c r="GY41" s="9"/>
      <c r="GZ41" s="373"/>
      <c r="HB41" s="9"/>
      <c r="HC41" s="373"/>
      <c r="HE41" s="9"/>
      <c r="HF41" s="373"/>
      <c r="HH41" s="9"/>
      <c r="HI41" s="373"/>
      <c r="HK41" s="9"/>
      <c r="HL41" s="373"/>
      <c r="HN41" s="9"/>
      <c r="HO41" s="373"/>
      <c r="HQ41" s="9"/>
      <c r="HR41" s="373"/>
      <c r="HT41" s="9"/>
      <c r="HU41" s="373"/>
      <c r="HW41" s="9"/>
      <c r="HX41" s="373"/>
      <c r="HZ41" s="9"/>
      <c r="IA41" s="373"/>
      <c r="IC41" s="9"/>
      <c r="ID41" s="373"/>
      <c r="IF41" s="9"/>
      <c r="IG41" s="373"/>
    </row>
    <row r="42" spans="2:241" s="171" customFormat="1" hidden="1" x14ac:dyDescent="0.2">
      <c r="B42" s="912" t="s">
        <v>2207</v>
      </c>
      <c r="C42" s="912"/>
      <c r="F42" s="9"/>
      <c r="G42" s="373"/>
      <c r="I42" s="9"/>
      <c r="J42" s="373"/>
      <c r="L42" s="9"/>
      <c r="M42" s="373"/>
      <c r="O42" s="9"/>
      <c r="P42" s="373"/>
      <c r="R42" s="9"/>
      <c r="S42" s="373"/>
      <c r="U42" s="9"/>
      <c r="V42" s="373"/>
      <c r="X42" s="9"/>
      <c r="Y42" s="373"/>
      <c r="AA42" s="9"/>
      <c r="AB42" s="373"/>
      <c r="AD42" s="9"/>
      <c r="AE42" s="373"/>
      <c r="AG42" s="9"/>
      <c r="AH42" s="373"/>
      <c r="AJ42" s="9"/>
      <c r="AK42" s="373"/>
      <c r="AM42" s="9"/>
      <c r="AN42" s="373"/>
      <c r="AP42" s="9"/>
      <c r="AQ42" s="373"/>
      <c r="AS42" s="9"/>
      <c r="AT42" s="373"/>
      <c r="AV42" s="9"/>
      <c r="AW42" s="373"/>
      <c r="AY42" s="9"/>
      <c r="AZ42" s="373"/>
      <c r="BB42" s="9"/>
      <c r="BC42" s="373"/>
      <c r="BE42" s="9"/>
      <c r="BF42" s="373"/>
      <c r="BH42" s="9"/>
      <c r="BI42" s="373"/>
      <c r="BK42" s="9"/>
      <c r="BL42" s="373"/>
      <c r="BN42" s="9"/>
      <c r="BO42" s="373"/>
      <c r="BQ42" s="9"/>
      <c r="BR42" s="373"/>
      <c r="BT42" s="9"/>
      <c r="BU42" s="373"/>
      <c r="BW42" s="9"/>
      <c r="BX42" s="373"/>
      <c r="BZ42" s="9"/>
      <c r="CA42" s="373"/>
      <c r="CC42" s="9"/>
      <c r="CD42" s="373"/>
      <c r="CF42" s="9"/>
      <c r="CG42" s="373"/>
      <c r="CI42" s="9"/>
      <c r="CJ42" s="373"/>
      <c r="CL42" s="9"/>
      <c r="CM42" s="373"/>
      <c r="CO42" s="9"/>
      <c r="CP42" s="373"/>
      <c r="CR42" s="9"/>
      <c r="CS42" s="373"/>
      <c r="CU42" s="9"/>
      <c r="CV42" s="373"/>
      <c r="CX42" s="9"/>
      <c r="CY42" s="373"/>
      <c r="DA42" s="9"/>
      <c r="DB42" s="373"/>
      <c r="DD42" s="9"/>
      <c r="DE42" s="373"/>
      <c r="DG42" s="9"/>
      <c r="DH42" s="373"/>
      <c r="DJ42" s="9"/>
      <c r="DK42" s="373"/>
      <c r="DM42" s="9"/>
      <c r="DN42" s="373"/>
      <c r="DP42" s="9"/>
      <c r="DQ42" s="373"/>
      <c r="DS42" s="9"/>
      <c r="DT42" s="373"/>
      <c r="DV42" s="9"/>
      <c r="DW42" s="373"/>
      <c r="DY42" s="9"/>
      <c r="DZ42" s="373"/>
      <c r="EB42" s="9"/>
      <c r="EC42" s="373"/>
      <c r="EE42" s="9"/>
      <c r="EF42" s="373"/>
      <c r="EH42" s="9"/>
      <c r="EI42" s="373"/>
      <c r="EK42" s="9"/>
      <c r="EL42" s="373"/>
      <c r="EN42" s="9"/>
      <c r="EO42" s="373"/>
      <c r="EQ42" s="9"/>
      <c r="ER42" s="373"/>
      <c r="ET42" s="9"/>
      <c r="EU42" s="373"/>
      <c r="EW42" s="9"/>
      <c r="EX42" s="373"/>
      <c r="EZ42" s="9"/>
      <c r="FA42" s="373"/>
      <c r="FC42" s="9"/>
      <c r="FD42" s="373"/>
      <c r="FF42" s="9"/>
      <c r="FG42" s="373"/>
      <c r="FI42" s="9"/>
      <c r="FJ42" s="373"/>
      <c r="FL42" s="9"/>
      <c r="FM42" s="373"/>
      <c r="FO42" s="9"/>
      <c r="FP42" s="373"/>
      <c r="FR42" s="9"/>
      <c r="FS42" s="373"/>
      <c r="FU42" s="9"/>
      <c r="FV42" s="373"/>
      <c r="FX42" s="9"/>
      <c r="FY42" s="373"/>
      <c r="GA42" s="9"/>
      <c r="GB42" s="373"/>
      <c r="GD42" s="9"/>
      <c r="GE42" s="373"/>
      <c r="GG42" s="9"/>
      <c r="GH42" s="373"/>
      <c r="GJ42" s="9"/>
      <c r="GK42" s="373"/>
      <c r="GM42" s="9"/>
      <c r="GN42" s="373"/>
      <c r="GP42" s="9"/>
      <c r="GQ42" s="373"/>
      <c r="GS42" s="9"/>
      <c r="GT42" s="373"/>
      <c r="GV42" s="9"/>
      <c r="GW42" s="373"/>
      <c r="GY42" s="9"/>
      <c r="GZ42" s="373"/>
      <c r="HB42" s="9"/>
      <c r="HC42" s="373"/>
      <c r="HE42" s="9"/>
      <c r="HF42" s="373"/>
      <c r="HH42" s="9"/>
      <c r="HI42" s="373"/>
      <c r="HK42" s="9"/>
      <c r="HL42" s="373"/>
      <c r="HN42" s="9"/>
      <c r="HO42" s="373"/>
      <c r="HQ42" s="9"/>
      <c r="HR42" s="373"/>
      <c r="HT42" s="9"/>
      <c r="HU42" s="373"/>
      <c r="HW42" s="9"/>
      <c r="HX42" s="373"/>
      <c r="HZ42" s="9"/>
      <c r="IA42" s="373"/>
      <c r="IC42" s="9"/>
      <c r="ID42" s="373"/>
      <c r="IF42" s="9"/>
      <c r="IG42" s="373"/>
    </row>
    <row r="43" spans="2:241" hidden="1" x14ac:dyDescent="0.2">
      <c r="B43" s="912"/>
      <c r="C43" s="912"/>
      <c r="D43" s="2"/>
      <c r="E43" s="10"/>
      <c r="F43" s="11"/>
      <c r="G43" s="11"/>
      <c r="H43" s="10"/>
      <c r="I43" s="10"/>
      <c r="J43" s="11"/>
      <c r="K43" s="10"/>
      <c r="L43" s="11"/>
      <c r="M43" s="10"/>
      <c r="N43" s="11"/>
      <c r="O43" s="10"/>
    </row>
    <row r="44" spans="2:241" hidden="1" x14ac:dyDescent="0.2">
      <c r="B44" s="912"/>
      <c r="C44" s="912"/>
      <c r="D44" s="2"/>
    </row>
    <row r="45" spans="2:241" hidden="1" x14ac:dyDescent="0.2">
      <c r="B45" s="146">
        <v>0.01</v>
      </c>
      <c r="C45" s="146">
        <v>0.99</v>
      </c>
      <c r="D45" s="2"/>
    </row>
    <row r="46" spans="2:241" hidden="1" x14ac:dyDescent="0.2"/>
    <row r="47" spans="2:241" hidden="1" x14ac:dyDescent="0.2">
      <c r="B47" s="146" t="s">
        <v>1901</v>
      </c>
    </row>
    <row r="48" spans="2:241" hidden="1" x14ac:dyDescent="0.2">
      <c r="B48" s="146">
        <v>0</v>
      </c>
      <c r="C48" s="2"/>
      <c r="D48" s="2"/>
      <c r="F48" s="2"/>
      <c r="H48" s="11"/>
      <c r="I48" s="10"/>
      <c r="J48" s="11"/>
      <c r="K48" s="10"/>
      <c r="L48" s="11"/>
      <c r="M48" s="10"/>
      <c r="N48" s="11"/>
    </row>
    <row r="49" spans="2:14" hidden="1" x14ac:dyDescent="0.2">
      <c r="B49" s="146">
        <v>1</v>
      </c>
      <c r="C49" s="2"/>
      <c r="D49" s="2"/>
      <c r="F49" s="2"/>
      <c r="H49" s="11"/>
      <c r="I49" s="10"/>
      <c r="J49" s="11"/>
      <c r="K49" s="10"/>
      <c r="L49" s="11"/>
      <c r="M49" s="10"/>
      <c r="N49" s="11"/>
    </row>
    <row r="50" spans="2:14" hidden="1" x14ac:dyDescent="0.2">
      <c r="B50" s="146">
        <v>2</v>
      </c>
      <c r="C50" s="2"/>
      <c r="D50" s="2"/>
      <c r="F50" s="2"/>
      <c r="H50" s="2"/>
      <c r="J50" s="11"/>
      <c r="K50" s="10"/>
    </row>
    <row r="51" spans="2:14" hidden="1" x14ac:dyDescent="0.2">
      <c r="B51" s="146">
        <v>3</v>
      </c>
      <c r="C51" s="2"/>
      <c r="D51" s="2"/>
      <c r="F51" s="2"/>
      <c r="H51" s="2"/>
      <c r="J51" s="11"/>
      <c r="K51" s="10"/>
    </row>
    <row r="52" spans="2:14" hidden="1" x14ac:dyDescent="0.2">
      <c r="B52" s="146">
        <v>4</v>
      </c>
      <c r="C52" s="2"/>
      <c r="D52" s="2"/>
      <c r="F52" s="2"/>
      <c r="H52" s="2"/>
      <c r="J52" s="11"/>
      <c r="K52" s="10"/>
    </row>
    <row r="53" spans="2:14" hidden="1" x14ac:dyDescent="0.2">
      <c r="B53" s="146">
        <v>5</v>
      </c>
      <c r="C53" s="2"/>
      <c r="D53" s="2"/>
      <c r="F53" s="2"/>
      <c r="H53" s="2"/>
      <c r="J53" s="11"/>
      <c r="K53" s="10"/>
    </row>
    <row r="54" spans="2:14" hidden="1" x14ac:dyDescent="0.2">
      <c r="B54" s="146">
        <v>6</v>
      </c>
      <c r="C54" s="2"/>
    </row>
    <row r="55" spans="2:14" hidden="1" x14ac:dyDescent="0.2">
      <c r="B55" s="146">
        <v>7</v>
      </c>
      <c r="C55" s="2"/>
    </row>
    <row r="56" spans="2:14" hidden="1" x14ac:dyDescent="0.2">
      <c r="B56" s="146">
        <v>8</v>
      </c>
    </row>
    <row r="57" spans="2:14" hidden="1" x14ac:dyDescent="0.2">
      <c r="B57" s="146">
        <v>9</v>
      </c>
    </row>
    <row r="58" spans="2:14" hidden="1" x14ac:dyDescent="0.2">
      <c r="B58" s="146">
        <v>10</v>
      </c>
    </row>
    <row r="59" spans="2:14" hidden="1" x14ac:dyDescent="0.2">
      <c r="B59" s="146">
        <v>11</v>
      </c>
    </row>
    <row r="60" spans="2:14" hidden="1" x14ac:dyDescent="0.2">
      <c r="B60" s="146">
        <v>12</v>
      </c>
    </row>
    <row r="61" spans="2:14" hidden="1" x14ac:dyDescent="0.2">
      <c r="B61" s="146">
        <v>13</v>
      </c>
    </row>
    <row r="62" spans="2:14" hidden="1" x14ac:dyDescent="0.2">
      <c r="B62" s="146">
        <v>14</v>
      </c>
    </row>
    <row r="63" spans="2:14" hidden="1" x14ac:dyDescent="0.2">
      <c r="B63" s="146">
        <v>15</v>
      </c>
    </row>
    <row r="64" spans="2:14" hidden="1" x14ac:dyDescent="0.2">
      <c r="B64" s="146">
        <v>16</v>
      </c>
    </row>
    <row r="65" spans="2:2" hidden="1" x14ac:dyDescent="0.2">
      <c r="B65" s="146">
        <v>17</v>
      </c>
    </row>
    <row r="66" spans="2:2" hidden="1" x14ac:dyDescent="0.2">
      <c r="B66" s="146">
        <v>18</v>
      </c>
    </row>
    <row r="67" spans="2:2" hidden="1" x14ac:dyDescent="0.2">
      <c r="B67" s="146">
        <v>19</v>
      </c>
    </row>
    <row r="68" spans="2:2" hidden="1" x14ac:dyDescent="0.2">
      <c r="B68" s="146">
        <v>20</v>
      </c>
    </row>
    <row r="69" spans="2:2" hidden="1" x14ac:dyDescent="0.2">
      <c r="B69" s="146">
        <v>21</v>
      </c>
    </row>
    <row r="70" spans="2:2" hidden="1" x14ac:dyDescent="0.2">
      <c r="B70" s="146">
        <v>22</v>
      </c>
    </row>
    <row r="71" spans="2:2" hidden="1" x14ac:dyDescent="0.2">
      <c r="B71" s="146">
        <v>23</v>
      </c>
    </row>
    <row r="72" spans="2:2" hidden="1" x14ac:dyDescent="0.2">
      <c r="B72" s="146">
        <v>24</v>
      </c>
    </row>
    <row r="73" spans="2:2" hidden="1" x14ac:dyDescent="0.2">
      <c r="B73" s="146">
        <v>25</v>
      </c>
    </row>
    <row r="74" spans="2:2" hidden="1" x14ac:dyDescent="0.2">
      <c r="B74" s="146">
        <v>26</v>
      </c>
    </row>
    <row r="75" spans="2:2" hidden="1" x14ac:dyDescent="0.2">
      <c r="B75" s="146">
        <v>27</v>
      </c>
    </row>
    <row r="76" spans="2:2" hidden="1" x14ac:dyDescent="0.2">
      <c r="B76" s="146">
        <v>28</v>
      </c>
    </row>
    <row r="77" spans="2:2" hidden="1" x14ac:dyDescent="0.2">
      <c r="B77" s="146">
        <v>29</v>
      </c>
    </row>
    <row r="78" spans="2:2" hidden="1" x14ac:dyDescent="0.2">
      <c r="B78" s="146">
        <v>30</v>
      </c>
    </row>
    <row r="79" spans="2:2" hidden="1" x14ac:dyDescent="0.2">
      <c r="B79" s="146">
        <v>31</v>
      </c>
    </row>
    <row r="80" spans="2:2" hidden="1" x14ac:dyDescent="0.2">
      <c r="B80" s="146">
        <v>32</v>
      </c>
    </row>
    <row r="81" spans="2:2" hidden="1" x14ac:dyDescent="0.2">
      <c r="B81" s="146">
        <v>33</v>
      </c>
    </row>
    <row r="82" spans="2:2" hidden="1" x14ac:dyDescent="0.2">
      <c r="B82" s="146">
        <v>34</v>
      </c>
    </row>
    <row r="83" spans="2:2" hidden="1" x14ac:dyDescent="0.2">
      <c r="B83" s="146">
        <v>35</v>
      </c>
    </row>
    <row r="84" spans="2:2" hidden="1" x14ac:dyDescent="0.2">
      <c r="B84" s="146">
        <v>36</v>
      </c>
    </row>
    <row r="85" spans="2:2" hidden="1" x14ac:dyDescent="0.2">
      <c r="B85" s="146">
        <v>37</v>
      </c>
    </row>
    <row r="86" spans="2:2" hidden="1" x14ac:dyDescent="0.2">
      <c r="B86" s="146">
        <v>38</v>
      </c>
    </row>
    <row r="87" spans="2:2" hidden="1" x14ac:dyDescent="0.2">
      <c r="B87" s="146">
        <v>39</v>
      </c>
    </row>
    <row r="88" spans="2:2" hidden="1" x14ac:dyDescent="0.2">
      <c r="B88" s="146">
        <v>40</v>
      </c>
    </row>
    <row r="89" spans="2:2" hidden="1" x14ac:dyDescent="0.2">
      <c r="B89" s="146">
        <v>41</v>
      </c>
    </row>
    <row r="90" spans="2:2" hidden="1" x14ac:dyDescent="0.2">
      <c r="B90" s="146">
        <v>42</v>
      </c>
    </row>
    <row r="91" spans="2:2" hidden="1" x14ac:dyDescent="0.2">
      <c r="B91" s="146">
        <v>43</v>
      </c>
    </row>
    <row r="92" spans="2:2" hidden="1" x14ac:dyDescent="0.2">
      <c r="B92" s="146">
        <v>44</v>
      </c>
    </row>
    <row r="93" spans="2:2" hidden="1" x14ac:dyDescent="0.2">
      <c r="B93" s="146">
        <v>45</v>
      </c>
    </row>
    <row r="94" spans="2:2" hidden="1" x14ac:dyDescent="0.2">
      <c r="B94" s="146">
        <v>46</v>
      </c>
    </row>
    <row r="95" spans="2:2" hidden="1" x14ac:dyDescent="0.2">
      <c r="B95" s="146">
        <v>47</v>
      </c>
    </row>
    <row r="96" spans="2:2" hidden="1" x14ac:dyDescent="0.2">
      <c r="B96" s="146">
        <v>48</v>
      </c>
    </row>
    <row r="97" spans="2:2" hidden="1" x14ac:dyDescent="0.2">
      <c r="B97" s="146">
        <v>49</v>
      </c>
    </row>
    <row r="98" spans="2:2" hidden="1" x14ac:dyDescent="0.2">
      <c r="B98" s="146">
        <v>50</v>
      </c>
    </row>
    <row r="99" spans="2:2" hidden="1" x14ac:dyDescent="0.2">
      <c r="B99" s="146">
        <v>51</v>
      </c>
    </row>
    <row r="100" spans="2:2" hidden="1" x14ac:dyDescent="0.2">
      <c r="B100" s="146">
        <v>52</v>
      </c>
    </row>
    <row r="101" spans="2:2" hidden="1" x14ac:dyDescent="0.2">
      <c r="B101" s="146">
        <v>53</v>
      </c>
    </row>
    <row r="102" spans="2:2" hidden="1" x14ac:dyDescent="0.2">
      <c r="B102" s="146">
        <v>54</v>
      </c>
    </row>
    <row r="103" spans="2:2" hidden="1" x14ac:dyDescent="0.2">
      <c r="B103" s="146">
        <v>55</v>
      </c>
    </row>
    <row r="104" spans="2:2" hidden="1" x14ac:dyDescent="0.2">
      <c r="B104" s="146">
        <v>56</v>
      </c>
    </row>
    <row r="105" spans="2:2" hidden="1" x14ac:dyDescent="0.2">
      <c r="B105" s="146">
        <v>57</v>
      </c>
    </row>
    <row r="106" spans="2:2" hidden="1" x14ac:dyDescent="0.2">
      <c r="B106" s="146">
        <v>58</v>
      </c>
    </row>
    <row r="107" spans="2:2" hidden="1" x14ac:dyDescent="0.2">
      <c r="B107" s="146">
        <v>59</v>
      </c>
    </row>
    <row r="108" spans="2:2" hidden="1" x14ac:dyDescent="0.2">
      <c r="B108" s="146">
        <v>60</v>
      </c>
    </row>
    <row r="109" spans="2:2" hidden="1" x14ac:dyDescent="0.2">
      <c r="B109" s="146">
        <v>61</v>
      </c>
    </row>
    <row r="110" spans="2:2" hidden="1" x14ac:dyDescent="0.2">
      <c r="B110" s="146">
        <v>62</v>
      </c>
    </row>
    <row r="111" spans="2:2" hidden="1" x14ac:dyDescent="0.2">
      <c r="B111" s="146">
        <v>63</v>
      </c>
    </row>
    <row r="112" spans="2:2" hidden="1" x14ac:dyDescent="0.2">
      <c r="B112" s="146">
        <v>64</v>
      </c>
    </row>
    <row r="113" spans="2:2" hidden="1" x14ac:dyDescent="0.2">
      <c r="B113" s="146">
        <v>65</v>
      </c>
    </row>
    <row r="114" spans="2:2" hidden="1" x14ac:dyDescent="0.2">
      <c r="B114" s="146">
        <v>66</v>
      </c>
    </row>
    <row r="115" spans="2:2" hidden="1" x14ac:dyDescent="0.2">
      <c r="B115" s="146">
        <v>67</v>
      </c>
    </row>
    <row r="116" spans="2:2" hidden="1" x14ac:dyDescent="0.2">
      <c r="B116" s="146">
        <v>68</v>
      </c>
    </row>
    <row r="117" spans="2:2" hidden="1" x14ac:dyDescent="0.2">
      <c r="B117" s="146">
        <v>69</v>
      </c>
    </row>
    <row r="118" spans="2:2" hidden="1" x14ac:dyDescent="0.2">
      <c r="B118" s="146">
        <v>70</v>
      </c>
    </row>
    <row r="119" spans="2:2" hidden="1" x14ac:dyDescent="0.2">
      <c r="B119" s="146">
        <v>71</v>
      </c>
    </row>
    <row r="120" spans="2:2" hidden="1" x14ac:dyDescent="0.2">
      <c r="B120" s="146">
        <v>72</v>
      </c>
    </row>
    <row r="121" spans="2:2" hidden="1" x14ac:dyDescent="0.2">
      <c r="B121" s="146">
        <v>73</v>
      </c>
    </row>
    <row r="122" spans="2:2" hidden="1" x14ac:dyDescent="0.2">
      <c r="B122" s="146">
        <v>74</v>
      </c>
    </row>
    <row r="123" spans="2:2" hidden="1" x14ac:dyDescent="0.2">
      <c r="B123" s="146">
        <v>75</v>
      </c>
    </row>
    <row r="124" spans="2:2" hidden="1" x14ac:dyDescent="0.2">
      <c r="B124" s="146">
        <v>76</v>
      </c>
    </row>
    <row r="125" spans="2:2" hidden="1" x14ac:dyDescent="0.2">
      <c r="B125" s="146">
        <v>77</v>
      </c>
    </row>
    <row r="126" spans="2:2" hidden="1" x14ac:dyDescent="0.2">
      <c r="B126" s="146">
        <v>78</v>
      </c>
    </row>
    <row r="127" spans="2:2" hidden="1" x14ac:dyDescent="0.2">
      <c r="B127" s="146">
        <v>79</v>
      </c>
    </row>
    <row r="128" spans="2:2" hidden="1" x14ac:dyDescent="0.2">
      <c r="B128" s="146">
        <v>80</v>
      </c>
    </row>
    <row r="129" spans="2:2" hidden="1" x14ac:dyDescent="0.2">
      <c r="B129" s="146">
        <v>81</v>
      </c>
    </row>
    <row r="130" spans="2:2" hidden="1" x14ac:dyDescent="0.2">
      <c r="B130" s="146">
        <v>82</v>
      </c>
    </row>
    <row r="131" spans="2:2" hidden="1" x14ac:dyDescent="0.2">
      <c r="B131" s="146">
        <v>83</v>
      </c>
    </row>
    <row r="132" spans="2:2" hidden="1" x14ac:dyDescent="0.2">
      <c r="B132" s="146">
        <v>84</v>
      </c>
    </row>
    <row r="133" spans="2:2" hidden="1" x14ac:dyDescent="0.2">
      <c r="B133" s="146">
        <v>85</v>
      </c>
    </row>
    <row r="134" spans="2:2" hidden="1" x14ac:dyDescent="0.2">
      <c r="B134" s="146">
        <v>86</v>
      </c>
    </row>
    <row r="135" spans="2:2" hidden="1" x14ac:dyDescent="0.2">
      <c r="B135" s="146">
        <v>87</v>
      </c>
    </row>
    <row r="136" spans="2:2" hidden="1" x14ac:dyDescent="0.2">
      <c r="B136" s="146">
        <v>88</v>
      </c>
    </row>
    <row r="137" spans="2:2" hidden="1" x14ac:dyDescent="0.2">
      <c r="B137" s="146">
        <v>89</v>
      </c>
    </row>
    <row r="138" spans="2:2" hidden="1" x14ac:dyDescent="0.2">
      <c r="B138" s="146">
        <v>90</v>
      </c>
    </row>
    <row r="139" spans="2:2" hidden="1" x14ac:dyDescent="0.2">
      <c r="B139" s="146">
        <v>91</v>
      </c>
    </row>
    <row r="140" spans="2:2" hidden="1" x14ac:dyDescent="0.2">
      <c r="B140" s="146">
        <v>92</v>
      </c>
    </row>
    <row r="141" spans="2:2" hidden="1" x14ac:dyDescent="0.2">
      <c r="B141" s="146">
        <v>93</v>
      </c>
    </row>
    <row r="142" spans="2:2" hidden="1" x14ac:dyDescent="0.2">
      <c r="B142" s="146">
        <v>94</v>
      </c>
    </row>
    <row r="143" spans="2:2" hidden="1" x14ac:dyDescent="0.2">
      <c r="B143" s="146">
        <v>95</v>
      </c>
    </row>
    <row r="144" spans="2:2" hidden="1" x14ac:dyDescent="0.2">
      <c r="B144" s="146">
        <v>96</v>
      </c>
    </row>
    <row r="145" spans="2:2" hidden="1" x14ac:dyDescent="0.2">
      <c r="B145" s="146">
        <v>97</v>
      </c>
    </row>
    <row r="146" spans="2:2" hidden="1" x14ac:dyDescent="0.2">
      <c r="B146" s="146">
        <v>98</v>
      </c>
    </row>
    <row r="147" spans="2:2" hidden="1" x14ac:dyDescent="0.2">
      <c r="B147" s="146">
        <v>99</v>
      </c>
    </row>
    <row r="148" spans="2:2" hidden="1" x14ac:dyDescent="0.2">
      <c r="B148" s="146">
        <v>100</v>
      </c>
    </row>
    <row r="149" spans="2:2" hidden="1" x14ac:dyDescent="0.2"/>
  </sheetData>
  <sheetProtection sheet="1" objects="1" scenarios="1"/>
  <mergeCells count="109">
    <mergeCell ref="AB11:AH11"/>
    <mergeCell ref="P28:P29"/>
    <mergeCell ref="Y9:Z9"/>
    <mergeCell ref="Y11:Z11"/>
    <mergeCell ref="B38:P38"/>
    <mergeCell ref="V8:W8"/>
    <mergeCell ref="B22:O22"/>
    <mergeCell ref="C19:D19"/>
    <mergeCell ref="C17:D17"/>
    <mergeCell ref="C18:D18"/>
    <mergeCell ref="C10:D10"/>
    <mergeCell ref="K13:O13"/>
    <mergeCell ref="C13:D13"/>
    <mergeCell ref="I13:J13"/>
    <mergeCell ref="E13:F13"/>
    <mergeCell ref="I11:J11"/>
    <mergeCell ref="K11:O11"/>
    <mergeCell ref="E11:F11"/>
    <mergeCell ref="C9:D9"/>
    <mergeCell ref="E9:F9"/>
    <mergeCell ref="C8:F8"/>
    <mergeCell ref="G8:J8"/>
    <mergeCell ref="C11:D11"/>
    <mergeCell ref="G12:O12"/>
    <mergeCell ref="T8:U8"/>
    <mergeCell ref="K17:O17"/>
    <mergeCell ref="G14:O14"/>
    <mergeCell ref="I15:J15"/>
    <mergeCell ref="G11:H11"/>
    <mergeCell ref="G17:H17"/>
    <mergeCell ref="C12:D12"/>
    <mergeCell ref="C15:D15"/>
    <mergeCell ref="C16:D16"/>
    <mergeCell ref="E14:F14"/>
    <mergeCell ref="C14:D14"/>
    <mergeCell ref="K15:O15"/>
    <mergeCell ref="E17:F17"/>
    <mergeCell ref="E25:J25"/>
    <mergeCell ref="B28:O28"/>
    <mergeCell ref="B27:O27"/>
    <mergeCell ref="C20:D20"/>
    <mergeCell ref="B2:P2"/>
    <mergeCell ref="B3:P3"/>
    <mergeCell ref="B5:P5"/>
    <mergeCell ref="K8:O8"/>
    <mergeCell ref="B4:P4"/>
    <mergeCell ref="B6:P6"/>
    <mergeCell ref="B7:O7"/>
    <mergeCell ref="E15:F15"/>
    <mergeCell ref="E16:F16"/>
    <mergeCell ref="K9:O9"/>
    <mergeCell ref="G10:O10"/>
    <mergeCell ref="E12:F12"/>
    <mergeCell ref="G9:H9"/>
    <mergeCell ref="E10:F10"/>
    <mergeCell ref="G16:O16"/>
    <mergeCell ref="I9:J9"/>
    <mergeCell ref="P8:P20"/>
    <mergeCell ref="G13:H13"/>
    <mergeCell ref="G15:H15"/>
    <mergeCell ref="I17:J17"/>
    <mergeCell ref="E19:F19"/>
    <mergeCell ref="H36:I36"/>
    <mergeCell ref="F33:G33"/>
    <mergeCell ref="F36:G36"/>
    <mergeCell ref="H33:I33"/>
    <mergeCell ref="H34:I34"/>
    <mergeCell ref="G18:O18"/>
    <mergeCell ref="G19:H19"/>
    <mergeCell ref="K19:O19"/>
    <mergeCell ref="B31:O31"/>
    <mergeCell ref="B30:O30"/>
    <mergeCell ref="B29:J29"/>
    <mergeCell ref="K29:O29"/>
    <mergeCell ref="I19:J19"/>
    <mergeCell ref="B23:O23"/>
    <mergeCell ref="B25:D25"/>
    <mergeCell ref="E20:F20"/>
    <mergeCell ref="B26:O26"/>
    <mergeCell ref="B24:D24"/>
    <mergeCell ref="K25:O25"/>
    <mergeCell ref="G20:O20"/>
    <mergeCell ref="B21:O21"/>
    <mergeCell ref="E24:J24"/>
    <mergeCell ref="K24:O24"/>
    <mergeCell ref="B42:C44"/>
    <mergeCell ref="J37:O37"/>
    <mergeCell ref="B37:I37"/>
    <mergeCell ref="C39:H39"/>
    <mergeCell ref="I39:N39"/>
    <mergeCell ref="C1:J1"/>
    <mergeCell ref="L1:P1"/>
    <mergeCell ref="F34:G34"/>
    <mergeCell ref="F35:G35"/>
    <mergeCell ref="F32:I32"/>
    <mergeCell ref="B32:E32"/>
    <mergeCell ref="H35:I35"/>
    <mergeCell ref="D33:E33"/>
    <mergeCell ref="B33:C33"/>
    <mergeCell ref="B34:C34"/>
    <mergeCell ref="B35:C35"/>
    <mergeCell ref="B36:C36"/>
    <mergeCell ref="D35:E35"/>
    <mergeCell ref="D36:E36"/>
    <mergeCell ref="D34:E34"/>
    <mergeCell ref="P32:P37"/>
    <mergeCell ref="J32:O33"/>
    <mergeCell ref="J34:O35"/>
    <mergeCell ref="E18:F18"/>
  </mergeCells>
  <phoneticPr fontId="0" type="noConversion"/>
  <conditionalFormatting sqref="G10:O10">
    <cfRule type="cellIs" dxfId="5" priority="6" operator="equal">
      <formula>$AB$11</formula>
    </cfRule>
  </conditionalFormatting>
  <conditionalFormatting sqref="G12:O12">
    <cfRule type="cellIs" dxfId="4" priority="5" operator="equal">
      <formula>$AB$11</formula>
    </cfRule>
  </conditionalFormatting>
  <conditionalFormatting sqref="G14:O14">
    <cfRule type="cellIs" dxfId="3" priority="4" operator="equal">
      <formula>$AB$11</formula>
    </cfRule>
  </conditionalFormatting>
  <conditionalFormatting sqref="G16:O16">
    <cfRule type="cellIs" dxfId="2" priority="3" operator="equal">
      <formula>$AB$11</formula>
    </cfRule>
  </conditionalFormatting>
  <conditionalFormatting sqref="G18:O18">
    <cfRule type="cellIs" dxfId="1" priority="2" operator="equal">
      <formula>$AB$11</formula>
    </cfRule>
  </conditionalFormatting>
  <conditionalFormatting sqref="G20:O20">
    <cfRule type="cellIs" dxfId="0" priority="1" operator="equal">
      <formula>$AB$11</formula>
    </cfRule>
  </conditionalFormatting>
  <dataValidations xWindow="841" yWindow="278" count="21">
    <dataValidation type="decimal" operator="equal" allowBlank="1" showInputMessage="1" showErrorMessage="1" promptTitle="Hip" prompt="Check &quot;Yes&quot; if the chronic condition criteria have been met." sqref="A29" xr:uid="{00000000-0002-0000-0D00-00000C000000}">
      <formula1>S29</formula1>
    </dataValidation>
    <dataValidation type="decimal" operator="equal" allowBlank="1" showInputMessage="1" showErrorMessage="1" promptTitle="Hip surgery" prompt="Show type of surgery, if any." sqref="A24" xr:uid="{00000000-0002-0000-0D00-00000D000000}">
      <formula1>S24</formula1>
    </dataValidation>
    <dataValidation allowBlank="1" showInputMessage="1" showErrorMessage="1" promptTitle="End of worksheet" prompt="Press TAB to return to top of sheet." sqref="P39" xr:uid="{00000000-0002-0000-0D00-00000E000000}"/>
    <dataValidation type="decimal" allowBlank="1" showInputMessage="1" showErrorMessage="1" promptTitle="Apportionment (if any)" prompt="Enter percentage of impairment caused by the injury or illness. See OAR 436-035-0013." sqref="F33:G36" xr:uid="{00000000-0002-0000-0D00-000010000000}">
      <formula1>$B$45</formula1>
      <formula2>$C$45</formula2>
    </dataValidation>
    <dataValidation type="list" showInputMessage="1" showErrorMessage="1" promptTitle="Hip" prompt="Enter degrees of external rotation ankylosis.  If joint was not affected by the injury, select &quot;NA&quot; or leave blank." sqref="C20:D20" xr:uid="{CEDF664D-44CD-44E9-B6F8-89E482F24C73}">
      <formula1>$B$47:$B$98</formula1>
    </dataValidation>
    <dataValidation type="list" showInputMessage="1" showErrorMessage="1" promptTitle="Hip ROM" prompt="Enter retained degrees of motion, external rotation.  If joint was not affected by the injury, select &quot;NA&quot; or leave blank." sqref="C19:D19" xr:uid="{69AB8A2A-3B1F-4F18-831A-5E78397A88D8}">
      <formula1>$B$47:$B$98</formula1>
    </dataValidation>
    <dataValidation type="list" showInputMessage="1" showErrorMessage="1" promptTitle="Hip" prompt="Enter degrees of internal rotation ankylosis.  If joint was not affected by the injury, select &quot;NA&quot; or leave blank." sqref="C18:D18" xr:uid="{136293D7-824C-4398-A003-3C5699E95F0F}">
      <formula1>$B$47:$B$88</formula1>
    </dataValidation>
    <dataValidation type="list" showInputMessage="1" showErrorMessage="1" promptTitle="HIp" prompt="Enter degrees of adduction ankylosis.  If joint was not affected by the injury, select &quot;NA&quot; or leave blank." sqref="C16:D16" xr:uid="{7A53B234-6324-4E71-B555-C1655ECF28CD}">
      <formula1>$B$47:$B$68</formula1>
    </dataValidation>
    <dataValidation type="list" showInputMessage="1" showErrorMessage="1" promptTitle="Hip ROM" prompt="Enter retained degrees of motion, adduction. If joint was not affected by the injury, select &quot;NA&quot; or leave blank." sqref="C15:D15" xr:uid="{ED89C8C8-EC84-43E7-88EA-FD54566054CD}">
      <formula1>$B$47:$B$68</formula1>
    </dataValidation>
    <dataValidation type="list" showInputMessage="1" showErrorMessage="1" promptTitle="Hip" prompt="Enter degrees of abduction ankylosis. If joint was not affected by the injury, select &quot;NA&quot; or leave blank." sqref="C14:D14" xr:uid="{D84C72EC-85DC-465D-984F-E2D6A47907DE}">
      <formula1>$B$47:$B$88</formula1>
    </dataValidation>
    <dataValidation type="list" showInputMessage="1" showErrorMessage="1" promptTitle="Hip ROM" prompt="Enter retained degrees of motion,abduction. If joint was not affected by the injury, select &quot;NA&quot; or leave blank." sqref="C13:D13" xr:uid="{40613987-8EAD-46F3-8111-E44B1BE576AC}">
      <formula1>$B$47:$B$88</formula1>
    </dataValidation>
    <dataValidation type="list" showInputMessage="1" showErrorMessage="1" promptTitle="Hip" prompt="Enter degrees of backward extension ankylosis.  If joint was not affected by the injury, select &quot;NA&quot; or leave blank." sqref="C12:D12" xr:uid="{1A87C939-2668-4D82-B9C1-DC7C583E35DA}">
      <formula1>$B$47:$B$78</formula1>
    </dataValidation>
    <dataValidation type="list" showInputMessage="1" showErrorMessage="1" promptTitle="Hip ROM" prompt="Enter retained degrees of motion, backward extension. If joint was not affected by the injury, select &quot;NA&quot; or leave blank." sqref="C11:D11" xr:uid="{3696F6C4-C10B-44CC-A130-41941A4B1DBB}">
      <formula1>$B$47:$B$78</formula1>
    </dataValidation>
    <dataValidation type="list" showInputMessage="1" showErrorMessage="1" promptTitle="Hip" prompt="Enter degrees of forward flexion ankylosis. If joint was not affected by the injury, select &quot;NA&quot; or leave blank." sqref="C10:D10" xr:uid="{FE68D323-D3A8-4ACC-8939-482B913AEB40}">
      <formula1>$B$47:$B$148</formula1>
    </dataValidation>
    <dataValidation type="list" showInputMessage="1" showErrorMessage="1" promptTitle="Hip ROM" prompt="Enter retained degrees of motion, forward flexion. If joint was not affected by the injury, select &quot;NA&quot; or leave blank." sqref="C9:D9" xr:uid="{8A139BA9-AABD-4488-AAD2-ECFA5B072950}">
      <formula1>$B$47:$B$148</formula1>
    </dataValidation>
    <dataValidation type="list" showInputMessage="1" showErrorMessage="1" promptTitle="Hip ROM" prompt="Enter retained degrees of motion, internal rotation.  If joint was not affected by the injury, select &quot;NA&quot; or leave blank." sqref="C17:D17" xr:uid="{DA709E00-99A6-4C59-A78A-3CF5BC2B9E1C}">
      <formula1>$B$47:$B$88</formula1>
    </dataValidation>
    <dataValidation type="list" showInputMessage="1" showErrorMessage="1" promptTitle="Contralateral comparison" prompt="Enter retained degrees of motion or &quot;NA&quot; if contralateral joint has a history of injury or disease." sqref="G9:H9" xr:uid="{1B8AE052-65C2-4EEB-9E22-A3B3EF8C56E0}">
      <formula1>$B$47:$B$148</formula1>
    </dataValidation>
    <dataValidation type="list" showInputMessage="1" showErrorMessage="1" promptTitle="Contralateral comparison" prompt="Enter retained degrees of motion or &quot;NA&quot; if contralateral joint has a history of injury or disease." sqref="G11:H11" xr:uid="{F3933049-F21B-4EEF-BA9F-90CBE21FD232}">
      <formula1>$B$47:$B$78</formula1>
    </dataValidation>
    <dataValidation type="list" showInputMessage="1" showErrorMessage="1" promptTitle="Contralateral comparison" prompt="Enter retained degrees of motion or &quot;NA&quot; if contralateral joint has a history of injury or disease." sqref="G13:H13 G17:H17" xr:uid="{98AEE789-1477-4312-A6BC-BCC1EF60C746}">
      <formula1>$B$47:$B$88</formula1>
    </dataValidation>
    <dataValidation type="list" showInputMessage="1" showErrorMessage="1" promptTitle="Contralateral comparison" prompt="Enter retained degrees of motion or &quot;NA&quot; if contralateral joint has a history of injury or disease." sqref="G15:H15" xr:uid="{760D415D-D17D-49FA-8C0B-41E4DC496CC0}">
      <formula1>$B$47:$B$68</formula1>
    </dataValidation>
    <dataValidation type="list" showInputMessage="1" showErrorMessage="1" promptTitle="Contralateral comparison" prompt="Enter retained degrees of motion or &quot;NA&quot; if contralateral joint has a history of injury or disease." sqref="G19:H19" xr:uid="{D552585D-E48B-42BC-9AF5-3D1D2EEB1C7E}">
      <formula1>$B$47:$B$98</formula1>
    </dataValidation>
  </dataValidations>
  <hyperlinks>
    <hyperlink ref="B39" location="'Hip-Left'!A1" display="Return to top of sheet" xr:uid="{00000000-0004-0000-0D00-000000000000}"/>
    <hyperlink ref="I39:N39" location="'PPD DOI on or after 2005'!A1" display="'PPD DOI on or after 2005'!A1" xr:uid="{00000000-0004-0000-0D00-000001000000}"/>
    <hyperlink ref="C39:H39" location="'PPD DOI before 2005'!A1" display="'PPD DOI before 2005'!A1" xr:uid="{00000000-0004-0000-0D00-000002000000}"/>
    <hyperlink ref="B4:P4" location="'Lower Extremity-Left'!A1" display="When reduced ranges of motion of the hip do not involve the pelvis and/or acetabulum, determine impairment according to OAR 436-035-0220." xr:uid="{00000000-0004-0000-0D00-000003000000}"/>
  </hyperlinks>
  <pageMargins left="0.67" right="0.63" top="0.47" bottom="0.56000000000000005" header="0.5" footer="0.5"/>
  <pageSetup orientation="portrait" horizontalDpi="300" verticalDpi="300" r:id="rId1"/>
  <headerFooter alignWithMargins="0">
    <oddFooter>&amp;LHip, Left&amp;CPage &amp;P</oddFooter>
  </headerFooter>
  <rowBreaks count="1" manualBreakCount="1">
    <brk id="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991" r:id="rId4" name="Group Box 7">
              <controlPr defaultSize="0" autoFill="0" autoPict="0">
                <anchor moveWithCells="1" sizeWithCells="1">
                  <from>
                    <xdr:col>3</xdr:col>
                    <xdr:colOff>276225</xdr:colOff>
                    <xdr:row>23</xdr:row>
                    <xdr:rowOff>0</xdr:rowOff>
                  </from>
                  <to>
                    <xdr:col>9</xdr:col>
                    <xdr:colOff>361950</xdr:colOff>
                    <xdr:row>24</xdr:row>
                    <xdr:rowOff>0</xdr:rowOff>
                  </to>
                </anchor>
              </controlPr>
            </control>
          </mc:Choice>
        </mc:AlternateContent>
        <mc:AlternateContent xmlns:mc="http://schemas.openxmlformats.org/markup-compatibility/2006">
          <mc:Choice Requires="x14">
            <control shapeId="41992" r:id="rId5" name="Option Button 8">
              <controlPr defaultSize="0" autoFill="0" autoLine="0" autoPict="0">
                <anchor moveWithCells="1" sizeWithCells="1">
                  <from>
                    <xdr:col>4</xdr:col>
                    <xdr:colOff>123825</xdr:colOff>
                    <xdr:row>23</xdr:row>
                    <xdr:rowOff>19050</xdr:rowOff>
                  </from>
                  <to>
                    <xdr:col>6</xdr:col>
                    <xdr:colOff>238125</xdr:colOff>
                    <xdr:row>23</xdr:row>
                    <xdr:rowOff>238125</xdr:rowOff>
                  </to>
                </anchor>
              </controlPr>
            </control>
          </mc:Choice>
        </mc:AlternateContent>
        <mc:AlternateContent xmlns:mc="http://schemas.openxmlformats.org/markup-compatibility/2006">
          <mc:Choice Requires="x14">
            <control shapeId="41993" r:id="rId6" name="Option Button 9">
              <controlPr defaultSize="0" autoFill="0" autoLine="0" autoPict="0">
                <anchor moveWithCells="1" sizeWithCells="1">
                  <from>
                    <xdr:col>7</xdr:col>
                    <xdr:colOff>171450</xdr:colOff>
                    <xdr:row>23</xdr:row>
                    <xdr:rowOff>9525</xdr:rowOff>
                  </from>
                  <to>
                    <xdr:col>9</xdr:col>
                    <xdr:colOff>285750</xdr:colOff>
                    <xdr:row>23</xdr:row>
                    <xdr:rowOff>228600</xdr:rowOff>
                  </to>
                </anchor>
              </controlPr>
            </control>
          </mc:Choice>
        </mc:AlternateContent>
        <mc:AlternateContent xmlns:mc="http://schemas.openxmlformats.org/markup-compatibility/2006">
          <mc:Choice Requires="x14">
            <control shapeId="41995" r:id="rId7" name="Group Box 11">
              <controlPr defaultSize="0" autoFill="0" autoPict="0">
                <anchor moveWithCells="1" sizeWithCells="1">
                  <from>
                    <xdr:col>3</xdr:col>
                    <xdr:colOff>276225</xdr:colOff>
                    <xdr:row>24</xdr:row>
                    <xdr:rowOff>0</xdr:rowOff>
                  </from>
                  <to>
                    <xdr:col>9</xdr:col>
                    <xdr:colOff>361950</xdr:colOff>
                    <xdr:row>25</xdr:row>
                    <xdr:rowOff>0</xdr:rowOff>
                  </to>
                </anchor>
              </controlPr>
            </control>
          </mc:Choice>
        </mc:AlternateContent>
        <mc:AlternateContent xmlns:mc="http://schemas.openxmlformats.org/markup-compatibility/2006">
          <mc:Choice Requires="x14">
            <control shapeId="41996" r:id="rId8" name="Option Button 12">
              <controlPr defaultSize="0" autoFill="0" autoLine="0" autoPict="0">
                <anchor moveWithCells="1" sizeWithCells="1">
                  <from>
                    <xdr:col>4</xdr:col>
                    <xdr:colOff>123825</xdr:colOff>
                    <xdr:row>24</xdr:row>
                    <xdr:rowOff>19050</xdr:rowOff>
                  </from>
                  <to>
                    <xdr:col>6</xdr:col>
                    <xdr:colOff>152400</xdr:colOff>
                    <xdr:row>24</xdr:row>
                    <xdr:rowOff>238125</xdr:rowOff>
                  </to>
                </anchor>
              </controlPr>
            </control>
          </mc:Choice>
        </mc:AlternateContent>
        <mc:AlternateContent xmlns:mc="http://schemas.openxmlformats.org/markup-compatibility/2006">
          <mc:Choice Requires="x14">
            <control shapeId="41997" r:id="rId9" name="Option Button 13">
              <controlPr defaultSize="0" autoFill="0" autoLine="0" autoPict="0">
                <anchor moveWithCells="1" sizeWithCells="1">
                  <from>
                    <xdr:col>7</xdr:col>
                    <xdr:colOff>171450</xdr:colOff>
                    <xdr:row>24</xdr:row>
                    <xdr:rowOff>9525</xdr:rowOff>
                  </from>
                  <to>
                    <xdr:col>9</xdr:col>
                    <xdr:colOff>200025</xdr:colOff>
                    <xdr:row>24</xdr:row>
                    <xdr:rowOff>228600</xdr:rowOff>
                  </to>
                </anchor>
              </controlPr>
            </control>
          </mc:Choice>
        </mc:AlternateContent>
        <mc:AlternateContent xmlns:mc="http://schemas.openxmlformats.org/markup-compatibility/2006">
          <mc:Choice Requires="x14">
            <control shapeId="41987" r:id="rId10" name="Group Box 3">
              <controlPr defaultSize="0" autoFill="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41988" r:id="rId11" name="Option Button 4">
              <controlPr defaultSize="0" autoFill="0" autoLine="0" autoPict="0">
                <anchor moveWithCells="1" sizeWithCells="1">
                  <from>
                    <xdr:col>10</xdr:col>
                    <xdr:colOff>76200</xdr:colOff>
                    <xdr:row>28</xdr:row>
                    <xdr:rowOff>9525</xdr:rowOff>
                  </from>
                  <to>
                    <xdr:col>13</xdr:col>
                    <xdr:colOff>38100</xdr:colOff>
                    <xdr:row>28</xdr:row>
                    <xdr:rowOff>219075</xdr:rowOff>
                  </to>
                </anchor>
              </controlPr>
            </control>
          </mc:Choice>
        </mc:AlternateContent>
        <mc:AlternateContent xmlns:mc="http://schemas.openxmlformats.org/markup-compatibility/2006">
          <mc:Choice Requires="x14">
            <control shapeId="41989" r:id="rId12" name="Option Button 5">
              <controlPr defaultSize="0" autoFill="0" autoLine="0" autoPict="0">
                <anchor moveWithCells="1" sizeWithCells="1">
                  <from>
                    <xdr:col>13</xdr:col>
                    <xdr:colOff>114300</xdr:colOff>
                    <xdr:row>28</xdr:row>
                    <xdr:rowOff>9525</xdr:rowOff>
                  </from>
                  <to>
                    <xdr:col>14</xdr:col>
                    <xdr:colOff>609600</xdr:colOff>
                    <xdr:row>28</xdr:row>
                    <xdr:rowOff>219075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U604"/>
  <sheetViews>
    <sheetView showGridLines="0" zoomScale="120" zoomScaleNormal="120" workbookViewId="0"/>
  </sheetViews>
  <sheetFormatPr defaultColWidth="2.28515625" defaultRowHeight="12.75" x14ac:dyDescent="0.2"/>
  <cols>
    <col min="1" max="1" width="1.28515625" style="2" customWidth="1"/>
    <col min="2" max="2" width="5.7109375" style="2" customWidth="1"/>
    <col min="3" max="3" width="5.7109375" style="1" customWidth="1"/>
    <col min="4" max="4" width="5.7109375" style="151" customWidth="1"/>
    <col min="5" max="5" width="5.7109375" style="2" customWidth="1"/>
    <col min="6" max="6" width="5.7109375" style="151" customWidth="1"/>
    <col min="7" max="7" width="5.7109375" style="2" customWidth="1"/>
    <col min="8" max="8" width="5.7109375" style="151" customWidth="1"/>
    <col min="9" max="9" width="5.7109375" style="2" customWidth="1"/>
    <col min="10" max="10" width="5.7109375" style="151" customWidth="1"/>
    <col min="11" max="11" width="5.7109375" style="2" customWidth="1"/>
    <col min="12" max="12" width="5.7109375" style="151" customWidth="1"/>
    <col min="13" max="13" width="5.7109375" style="2" customWidth="1"/>
    <col min="14" max="14" width="5.7109375" style="151" customWidth="1"/>
    <col min="15" max="15" width="5.7109375" style="2" customWidth="1"/>
    <col min="16" max="16" width="11.28515625" style="2" customWidth="1"/>
    <col min="17" max="17" width="1" style="2" customWidth="1"/>
    <col min="18" max="18" width="11.42578125" style="2" hidden="1" customWidth="1"/>
    <col min="19" max="19" width="11.85546875" style="2" hidden="1" customWidth="1"/>
    <col min="20" max="20" width="10.7109375" style="2" hidden="1" customWidth="1"/>
    <col min="21" max="21" width="11.140625" style="2" hidden="1" customWidth="1"/>
    <col min="22" max="22" width="12.85546875" style="2" hidden="1" customWidth="1"/>
    <col min="23" max="23" width="6.5703125" style="2" hidden="1" customWidth="1"/>
    <col min="24" max="24" width="8.5703125" style="2" hidden="1" customWidth="1"/>
    <col min="25" max="25" width="8.85546875" style="2" hidden="1" customWidth="1"/>
    <col min="26" max="26" width="7.140625" style="2" hidden="1" customWidth="1"/>
    <col min="27" max="27" width="7.5703125" style="2" hidden="1" customWidth="1"/>
    <col min="28" max="28" width="8.42578125" style="2" hidden="1" customWidth="1"/>
    <col min="29" max="29" width="7" style="2" hidden="1" customWidth="1"/>
    <col min="30" max="30" width="7.5703125" style="2" hidden="1" customWidth="1"/>
    <col min="31" max="31" width="9.28515625" style="2" hidden="1" customWidth="1"/>
    <col min="32" max="32" width="8.5703125" style="2" hidden="1" customWidth="1"/>
    <col min="33" max="34" width="7.5703125" style="2" hidden="1" customWidth="1"/>
    <col min="35" max="35" width="8.140625" style="2" hidden="1" customWidth="1"/>
    <col min="36" max="83" width="7.28515625" style="2" hidden="1" customWidth="1"/>
    <col min="84" max="130" width="2.28515625" style="2" hidden="1" customWidth="1"/>
    <col min="131" max="255" width="2.28515625" style="2" customWidth="1"/>
    <col min="256" max="16384" width="2.28515625" style="2"/>
  </cols>
  <sheetData>
    <row r="1" spans="2:170" ht="15" customHeight="1" x14ac:dyDescent="0.2">
      <c r="B1" s="10" t="s">
        <v>1697</v>
      </c>
      <c r="C1" s="2"/>
      <c r="D1" s="2"/>
      <c r="F1" s="732" t="str">
        <f>IF('Start here'!A6="","",'Start here'!A6)</f>
        <v/>
      </c>
      <c r="G1" s="736"/>
      <c r="H1" s="736"/>
      <c r="I1" s="736"/>
      <c r="J1" s="737"/>
      <c r="K1" s="1"/>
      <c r="L1" s="732" t="str">
        <f>IF('Start here'!A7="","",'Start here'!A7)</f>
        <v/>
      </c>
      <c r="M1" s="736"/>
      <c r="N1" s="736"/>
      <c r="O1" s="736"/>
      <c r="P1" s="737"/>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1.25" customHeight="1" x14ac:dyDescent="0.2">
      <c r="B2" s="777"/>
      <c r="C2" s="777"/>
      <c r="D2" s="777"/>
      <c r="E2" s="777"/>
      <c r="F2" s="777"/>
      <c r="G2" s="777"/>
      <c r="H2" s="777"/>
      <c r="I2" s="777"/>
      <c r="J2" s="777"/>
      <c r="K2" s="777"/>
      <c r="L2" s="777"/>
      <c r="M2" s="777"/>
      <c r="N2" s="777"/>
      <c r="O2" s="777"/>
      <c r="P2" s="777"/>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row>
    <row r="3" spans="2:170" ht="24" customHeight="1" x14ac:dyDescent="0.3">
      <c r="B3" s="904" t="s">
        <v>1136</v>
      </c>
      <c r="C3" s="1579"/>
      <c r="D3" s="1579"/>
      <c r="E3" s="1579"/>
      <c r="F3" s="1579"/>
      <c r="G3" s="1579"/>
      <c r="H3" s="1579"/>
      <c r="I3" s="1579"/>
      <c r="J3" s="1579"/>
      <c r="K3" s="1579"/>
      <c r="L3" s="1579"/>
      <c r="M3" s="1579"/>
      <c r="N3" s="1579"/>
      <c r="O3" s="1579"/>
      <c r="P3" s="1579"/>
      <c r="R3" s="6"/>
      <c r="S3" s="6"/>
      <c r="T3" s="6"/>
      <c r="U3" s="6"/>
      <c r="V3" s="6"/>
      <c r="W3" s="6"/>
      <c r="X3" s="6"/>
      <c r="Y3" s="6"/>
      <c r="Z3" s="6"/>
      <c r="AA3" s="6"/>
      <c r="AB3" s="6"/>
      <c r="AC3" s="6"/>
      <c r="AD3" s="6"/>
      <c r="AE3" s="6"/>
      <c r="AF3" s="6"/>
      <c r="AG3" s="6"/>
      <c r="AH3" s="6"/>
      <c r="AI3" s="6"/>
      <c r="AJ3" s="6"/>
      <c r="AK3" s="6"/>
      <c r="AL3" s="6"/>
      <c r="AM3" s="6"/>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row>
    <row r="4" spans="2:170" ht="30" customHeight="1" x14ac:dyDescent="0.2">
      <c r="B4" s="895" t="s">
        <v>524</v>
      </c>
      <c r="C4" s="896"/>
      <c r="D4" s="896"/>
      <c r="E4" s="896"/>
      <c r="F4" s="897"/>
      <c r="G4" s="1578" t="s">
        <v>190</v>
      </c>
      <c r="H4" s="1576"/>
      <c r="I4" s="1576"/>
      <c r="J4" s="1576"/>
      <c r="K4" s="1576" t="s">
        <v>1324</v>
      </c>
      <c r="L4" s="1576"/>
      <c r="M4" s="1576"/>
      <c r="N4" s="1576"/>
      <c r="O4" s="1576" t="s">
        <v>1325</v>
      </c>
      <c r="P4" s="1577"/>
      <c r="R4" s="6"/>
      <c r="S4" s="910" t="s">
        <v>1566</v>
      </c>
      <c r="T4" s="912" t="s">
        <v>202</v>
      </c>
      <c r="U4" s="910" t="s">
        <v>1138</v>
      </c>
      <c r="V4" s="6"/>
      <c r="W4" s="6"/>
      <c r="X4" s="6"/>
      <c r="Y4" s="6"/>
      <c r="Z4" s="6"/>
      <c r="AA4" s="6"/>
      <c r="AB4" s="6"/>
      <c r="AC4" s="6"/>
      <c r="AD4" s="6"/>
      <c r="AE4" s="6"/>
      <c r="AF4" s="6"/>
      <c r="AG4" s="6"/>
      <c r="AH4" s="6"/>
      <c r="AI4" s="6"/>
      <c r="AJ4" s="6"/>
      <c r="AK4" s="6"/>
      <c r="AL4" s="6"/>
      <c r="AM4" s="6"/>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row>
    <row r="5" spans="2:170" ht="18" customHeight="1" x14ac:dyDescent="0.2">
      <c r="B5" s="892" t="s">
        <v>1137</v>
      </c>
      <c r="C5" s="893"/>
      <c r="D5" s="893"/>
      <c r="E5" s="893"/>
      <c r="F5" s="893"/>
      <c r="G5" s="893"/>
      <c r="H5" s="893"/>
      <c r="I5" s="893"/>
      <c r="J5" s="893"/>
      <c r="K5" s="893"/>
      <c r="L5" s="893"/>
      <c r="M5" s="893"/>
      <c r="N5" s="893"/>
      <c r="O5" s="894"/>
      <c r="P5" s="857">
        <f>U8</f>
        <v>0</v>
      </c>
      <c r="R5" s="6"/>
      <c r="S5" s="910"/>
      <c r="T5" s="912"/>
      <c r="U5" s="910"/>
      <c r="V5" s="1133"/>
      <c r="W5" s="1133"/>
      <c r="X5" s="6"/>
      <c r="Y5" s="6"/>
      <c r="Z5" s="6"/>
      <c r="AA5" s="6"/>
      <c r="AB5" s="6"/>
      <c r="AC5" s="6"/>
      <c r="AD5" s="6"/>
      <c r="AE5" s="6"/>
      <c r="AF5" s="6"/>
      <c r="AG5" s="6"/>
      <c r="AH5" s="6"/>
      <c r="AI5" s="6"/>
      <c r="AJ5" s="6"/>
      <c r="AK5" s="6"/>
      <c r="AL5" s="6"/>
      <c r="AM5" s="6"/>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row>
    <row r="6" spans="2:170" ht="18" customHeight="1" x14ac:dyDescent="0.2">
      <c r="B6" s="761" t="s">
        <v>1139</v>
      </c>
      <c r="C6" s="761"/>
      <c r="D6" s="761"/>
      <c r="E6" s="761"/>
      <c r="F6" s="761"/>
      <c r="G6" s="761"/>
      <c r="H6" s="761"/>
      <c r="I6" s="761"/>
      <c r="J6" s="694"/>
      <c r="K6" s="694"/>
      <c r="L6" s="146"/>
      <c r="M6" s="747">
        <f>'Sp-Table'!N3</f>
        <v>0</v>
      </c>
      <c r="N6" s="747"/>
      <c r="O6" s="43"/>
      <c r="P6" s="961"/>
      <c r="R6" s="6"/>
      <c r="S6" s="13">
        <v>60</v>
      </c>
      <c r="T6" s="104" t="str">
        <f t="shared" ref="T6:T11" si="0">IF(OR(J6="",J6="NA"),"",IF(J6&gt;S6,S6,IF(J6&lt;0,0,J6)))</f>
        <v/>
      </c>
      <c r="U6" s="12">
        <f>SUM(M6:M11)</f>
        <v>0</v>
      </c>
      <c r="V6" s="5"/>
      <c r="W6" s="105"/>
      <c r="X6" s="106"/>
      <c r="Y6" s="102"/>
      <c r="Z6" s="102"/>
      <c r="AA6" s="102"/>
      <c r="AB6" s="102"/>
      <c r="AC6" s="6"/>
      <c r="AD6" s="6"/>
      <c r="AE6" s="6"/>
      <c r="AF6" s="6"/>
      <c r="AG6" s="6"/>
      <c r="AH6" s="6"/>
      <c r="AI6" s="6"/>
      <c r="AJ6" s="6"/>
      <c r="AK6" s="6"/>
      <c r="AL6" s="6"/>
      <c r="AM6" s="6"/>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row>
    <row r="7" spans="2:170" ht="18" customHeight="1" x14ac:dyDescent="0.2">
      <c r="B7" s="761" t="s">
        <v>1140</v>
      </c>
      <c r="C7" s="761"/>
      <c r="D7" s="761"/>
      <c r="E7" s="761"/>
      <c r="F7" s="761"/>
      <c r="G7" s="761"/>
      <c r="H7" s="761"/>
      <c r="I7" s="761"/>
      <c r="J7" s="694"/>
      <c r="K7" s="694"/>
      <c r="L7" s="146"/>
      <c r="M7" s="747">
        <f>'Sp-Table'!N4</f>
        <v>0</v>
      </c>
      <c r="N7" s="747"/>
      <c r="O7" s="43"/>
      <c r="P7" s="961"/>
      <c r="R7" s="6"/>
      <c r="S7" s="13">
        <v>75</v>
      </c>
      <c r="T7" s="104" t="str">
        <f t="shared" si="0"/>
        <v/>
      </c>
      <c r="U7" s="35">
        <f>IF(AND(U6&gt;0,U6&lt;0.01),0.01,U6)</f>
        <v>0</v>
      </c>
      <c r="V7" s="5"/>
      <c r="W7" s="105"/>
      <c r="X7" s="106"/>
      <c r="Y7" s="102"/>
      <c r="Z7" s="102"/>
      <c r="AA7" s="102"/>
      <c r="AB7" s="102"/>
      <c r="AC7" s="6"/>
      <c r="AD7" s="6"/>
      <c r="AE7" s="6"/>
      <c r="AF7" s="6"/>
      <c r="AG7" s="6"/>
      <c r="AH7" s="6"/>
      <c r="AI7" s="6"/>
      <c r="AJ7" s="6"/>
      <c r="AK7" s="6"/>
      <c r="AL7" s="6"/>
      <c r="AM7" s="6"/>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row>
    <row r="8" spans="2:170" ht="18" customHeight="1" x14ac:dyDescent="0.2">
      <c r="B8" s="761" t="s">
        <v>1141</v>
      </c>
      <c r="C8" s="761"/>
      <c r="D8" s="761"/>
      <c r="E8" s="761"/>
      <c r="F8" s="761"/>
      <c r="G8" s="761"/>
      <c r="H8" s="761"/>
      <c r="I8" s="761"/>
      <c r="J8" s="694"/>
      <c r="K8" s="694"/>
      <c r="L8" s="146"/>
      <c r="M8" s="747">
        <f>'Sp-Table'!N5</f>
        <v>0</v>
      </c>
      <c r="N8" s="747"/>
      <c r="O8" s="43"/>
      <c r="P8" s="961"/>
      <c r="R8" s="6"/>
      <c r="S8" s="13">
        <v>45</v>
      </c>
      <c r="T8" s="104" t="str">
        <f t="shared" si="0"/>
        <v/>
      </c>
      <c r="U8" s="12">
        <f>ROUND(U7,2)</f>
        <v>0</v>
      </c>
      <c r="V8" s="5"/>
      <c r="W8" s="105"/>
      <c r="X8" s="107"/>
      <c r="Y8" s="6"/>
      <c r="Z8" s="6"/>
      <c r="AA8" s="6"/>
      <c r="AB8" s="6"/>
      <c r="AC8" s="6"/>
      <c r="AD8" s="6"/>
      <c r="AE8" s="6"/>
      <c r="AF8" s="6"/>
      <c r="AG8" s="6"/>
      <c r="AH8" s="6"/>
      <c r="AI8" s="6"/>
      <c r="AJ8" s="6"/>
      <c r="AK8" s="6"/>
      <c r="AL8" s="6"/>
      <c r="AM8" s="6"/>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row>
    <row r="9" spans="2:170" ht="18" customHeight="1" x14ac:dyDescent="0.2">
      <c r="B9" s="761" t="s">
        <v>1142</v>
      </c>
      <c r="C9" s="761"/>
      <c r="D9" s="761"/>
      <c r="E9" s="761"/>
      <c r="F9" s="761"/>
      <c r="G9" s="761"/>
      <c r="H9" s="761"/>
      <c r="I9" s="761"/>
      <c r="J9" s="694"/>
      <c r="K9" s="694"/>
      <c r="L9" s="146"/>
      <c r="M9" s="747">
        <f>'Sp-Table'!N6</f>
        <v>0</v>
      </c>
      <c r="N9" s="747"/>
      <c r="O9" s="43"/>
      <c r="P9" s="961"/>
      <c r="R9" s="6"/>
      <c r="S9" s="13">
        <v>45</v>
      </c>
      <c r="T9" s="13" t="str">
        <f t="shared" si="0"/>
        <v/>
      </c>
      <c r="U9" s="6"/>
      <c r="V9" s="5"/>
      <c r="W9" s="105"/>
      <c r="X9" s="106"/>
      <c r="Y9" s="102"/>
      <c r="Z9" s="102"/>
      <c r="AA9" s="102"/>
      <c r="AB9" s="102"/>
      <c r="AC9" s="6"/>
      <c r="AD9" s="6"/>
      <c r="AE9" s="6"/>
      <c r="AF9" s="6"/>
      <c r="AG9" s="6"/>
      <c r="AH9" s="6"/>
      <c r="AI9" s="6"/>
      <c r="AJ9" s="6"/>
      <c r="AK9" s="6"/>
      <c r="AL9" s="6"/>
      <c r="AM9" s="6"/>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row>
    <row r="10" spans="2:170" ht="18" customHeight="1" x14ac:dyDescent="0.2">
      <c r="B10" s="761" t="s">
        <v>1383</v>
      </c>
      <c r="C10" s="761"/>
      <c r="D10" s="761"/>
      <c r="E10" s="761"/>
      <c r="F10" s="761"/>
      <c r="G10" s="761"/>
      <c r="H10" s="761"/>
      <c r="I10" s="761"/>
      <c r="J10" s="694"/>
      <c r="K10" s="694"/>
      <c r="L10" s="146"/>
      <c r="M10" s="747">
        <f>'Sp-Table'!N7</f>
        <v>0</v>
      </c>
      <c r="N10" s="747"/>
      <c r="O10" s="43"/>
      <c r="P10" s="961"/>
      <c r="R10" s="6"/>
      <c r="S10" s="13">
        <v>80</v>
      </c>
      <c r="T10" s="13" t="str">
        <f t="shared" si="0"/>
        <v/>
      </c>
      <c r="U10" s="6"/>
      <c r="V10" s="5"/>
      <c r="W10" s="105"/>
      <c r="X10" s="102"/>
      <c r="Y10" s="102"/>
      <c r="Z10" s="6"/>
      <c r="AA10" s="6"/>
      <c r="AB10" s="6"/>
      <c r="AC10" s="6"/>
      <c r="AD10" s="6"/>
      <c r="AE10" s="6"/>
      <c r="AF10" s="6"/>
      <c r="AG10" s="6"/>
      <c r="AH10" s="6"/>
      <c r="AI10" s="6"/>
      <c r="AJ10" s="6"/>
      <c r="AK10" s="6"/>
      <c r="AL10" s="6"/>
      <c r="AM10" s="6"/>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row>
    <row r="11" spans="2:170" ht="18" customHeight="1" x14ac:dyDescent="0.2">
      <c r="B11" s="761" t="s">
        <v>1384</v>
      </c>
      <c r="C11" s="761"/>
      <c r="D11" s="761"/>
      <c r="E11" s="761"/>
      <c r="F11" s="761"/>
      <c r="G11" s="761"/>
      <c r="H11" s="761"/>
      <c r="I11" s="761"/>
      <c r="J11" s="694"/>
      <c r="K11" s="694"/>
      <c r="L11" s="146"/>
      <c r="M11" s="747">
        <f>'Sp-Table'!N8</f>
        <v>0</v>
      </c>
      <c r="N11" s="747"/>
      <c r="O11" s="43"/>
      <c r="P11" s="961"/>
      <c r="R11" s="6"/>
      <c r="S11" s="13">
        <v>80</v>
      </c>
      <c r="T11" s="13" t="str">
        <f t="shared" si="0"/>
        <v/>
      </c>
      <c r="U11" s="6"/>
      <c r="V11" s="5"/>
      <c r="W11" s="105"/>
      <c r="X11" s="106"/>
      <c r="Y11" s="102"/>
      <c r="Z11" s="102"/>
      <c r="AA11" s="102"/>
      <c r="AB11" s="102"/>
      <c r="AC11" s="6"/>
      <c r="AD11" s="6"/>
      <c r="AE11" s="6"/>
      <c r="AF11" s="6"/>
      <c r="AG11" s="6"/>
      <c r="AH11" s="6"/>
      <c r="AI11" s="6"/>
      <c r="AJ11" s="6"/>
      <c r="AK11" s="6"/>
      <c r="AL11" s="6"/>
      <c r="AM11" s="6"/>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row>
    <row r="12" spans="2:170" ht="18" customHeight="1" x14ac:dyDescent="0.2">
      <c r="B12" s="1429" t="s">
        <v>1385</v>
      </c>
      <c r="C12" s="1430"/>
      <c r="D12" s="1430"/>
      <c r="E12" s="1430"/>
      <c r="F12" s="1430"/>
      <c r="G12" s="1430"/>
      <c r="H12" s="1430"/>
      <c r="I12" s="1430"/>
      <c r="J12" s="1430"/>
      <c r="K12" s="1430"/>
      <c r="L12" s="1430"/>
      <c r="M12" s="1430"/>
      <c r="N12" s="1430"/>
      <c r="O12" s="1431"/>
      <c r="P12" s="962"/>
      <c r="R12" s="6"/>
      <c r="S12" s="6"/>
      <c r="T12" s="6"/>
      <c r="U12" s="6"/>
      <c r="V12" s="5"/>
      <c r="W12" s="105"/>
      <c r="X12" s="106"/>
      <c r="Y12" s="102"/>
      <c r="Z12" s="102"/>
      <c r="AA12" s="102"/>
      <c r="AB12" s="102"/>
      <c r="AC12" s="6"/>
      <c r="AD12" s="6"/>
      <c r="AE12" s="6"/>
      <c r="AF12" s="6"/>
      <c r="AG12" s="6"/>
      <c r="AH12" s="6"/>
      <c r="AI12" s="6"/>
      <c r="AJ12" s="6"/>
      <c r="AK12" s="6"/>
      <c r="AL12" s="6"/>
      <c r="AM12" s="6"/>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row>
    <row r="13" spans="2:170" ht="18" customHeight="1" x14ac:dyDescent="0.2">
      <c r="B13" s="1443"/>
      <c r="C13" s="1443"/>
      <c r="D13" s="1443"/>
      <c r="E13" s="1443"/>
      <c r="F13" s="1443"/>
      <c r="G13" s="1443"/>
      <c r="H13" s="1443"/>
      <c r="I13" s="1443"/>
      <c r="J13" s="1443"/>
      <c r="K13" s="1443"/>
      <c r="L13" s="1443"/>
      <c r="M13" s="1443"/>
      <c r="N13" s="1443"/>
      <c r="O13" s="1443"/>
      <c r="R13" s="6"/>
      <c r="S13" s="6"/>
      <c r="T13" s="6"/>
      <c r="U13" s="6"/>
      <c r="V13" s="5"/>
      <c r="W13" s="105"/>
      <c r="X13" s="106"/>
      <c r="Y13" s="102"/>
      <c r="Z13" s="102"/>
      <c r="AA13" s="102"/>
      <c r="AB13" s="102"/>
      <c r="AC13" s="6"/>
      <c r="AD13" s="6"/>
      <c r="AE13" s="6"/>
      <c r="AF13" s="6"/>
      <c r="AG13" s="6"/>
      <c r="AH13" s="6"/>
      <c r="AI13" s="6"/>
      <c r="AJ13" s="6"/>
      <c r="AK13" s="6"/>
      <c r="AL13" s="6"/>
      <c r="AM13" s="6"/>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row>
    <row r="14" spans="2:170" ht="18" customHeight="1" x14ac:dyDescent="0.2">
      <c r="B14" s="1548" t="s">
        <v>517</v>
      </c>
      <c r="C14" s="1549"/>
      <c r="D14" s="1549"/>
      <c r="E14" s="1550"/>
      <c r="F14" s="18" t="s">
        <v>978</v>
      </c>
      <c r="G14" s="40"/>
      <c r="H14" s="21">
        <f>IF(OR(G14="NA",G14=0,G14=""),0,IF(G14/100&lt;=0.25,0.04,IF(G14/100&lt;=0.5,0.06,IF(G14/100&gt;0.5,0.1,""))))</f>
        <v>0</v>
      </c>
      <c r="I14" s="1548" t="s">
        <v>2224</v>
      </c>
      <c r="J14" s="1549"/>
      <c r="K14" s="1549"/>
      <c r="L14" s="1550"/>
      <c r="M14" s="18" t="s">
        <v>978</v>
      </c>
      <c r="N14" s="40"/>
      <c r="O14" s="21">
        <f t="shared" ref="O14:O20" si="1">IF(N14="X",0.04,0)</f>
        <v>0</v>
      </c>
      <c r="P14" s="231"/>
      <c r="R14" s="6"/>
      <c r="S14" s="6"/>
      <c r="T14" s="6"/>
      <c r="U14" s="6"/>
      <c r="V14" s="5"/>
      <c r="W14" s="105"/>
      <c r="X14" s="106"/>
      <c r="Y14" s="102"/>
      <c r="Z14" s="102"/>
      <c r="AA14" s="102"/>
      <c r="AB14" s="102"/>
      <c r="AC14" s="6"/>
      <c r="AD14" s="6"/>
      <c r="AE14" s="6"/>
      <c r="AF14" s="6"/>
      <c r="AG14" s="6"/>
      <c r="AH14" s="6"/>
      <c r="AI14" s="6"/>
      <c r="AJ14" s="6"/>
      <c r="AK14" s="6"/>
      <c r="AL14" s="6"/>
      <c r="AM14" s="6"/>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row>
    <row r="15" spans="2:170" ht="18" customHeight="1" x14ac:dyDescent="0.2">
      <c r="B15" s="1551"/>
      <c r="C15" s="1552"/>
      <c r="D15" s="1552"/>
      <c r="E15" s="1553"/>
      <c r="F15" s="18" t="s">
        <v>979</v>
      </c>
      <c r="G15" s="40"/>
      <c r="H15" s="21">
        <f t="shared" ref="H15:H20" si="2">IF(OR(G15="NA",G15=0,G15=""),0,IF(G15/100&lt;=0.25,0.04,IF(G15/100&lt;=0.5,0.06,IF(G15/100&gt;0.5,0.1,""))))</f>
        <v>0</v>
      </c>
      <c r="I15" s="1551"/>
      <c r="J15" s="1552"/>
      <c r="K15" s="1552"/>
      <c r="L15" s="1553"/>
      <c r="M15" s="18" t="s">
        <v>979</v>
      </c>
      <c r="N15" s="40"/>
      <c r="O15" s="21">
        <f t="shared" si="1"/>
        <v>0</v>
      </c>
      <c r="P15" s="356"/>
      <c r="R15" s="6"/>
      <c r="S15" s="5"/>
      <c r="T15" s="5"/>
      <c r="U15" s="6"/>
      <c r="V15" s="5"/>
      <c r="W15" s="105"/>
      <c r="X15" s="106"/>
      <c r="Y15" s="102"/>
      <c r="Z15" s="102"/>
      <c r="AA15" s="102"/>
      <c r="AB15" s="102"/>
      <c r="AC15" s="6"/>
      <c r="AD15" s="6"/>
      <c r="AE15" s="6"/>
      <c r="AF15" s="6"/>
      <c r="AG15" s="6"/>
      <c r="AH15" s="6"/>
      <c r="AI15" s="6"/>
      <c r="AJ15" s="6"/>
      <c r="AK15" s="6"/>
      <c r="AL15" s="6"/>
      <c r="AM15" s="6"/>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row>
    <row r="16" spans="2:170" ht="18" customHeight="1" x14ac:dyDescent="0.2">
      <c r="B16" s="1551"/>
      <c r="C16" s="1552"/>
      <c r="D16" s="1552"/>
      <c r="E16" s="1553"/>
      <c r="F16" s="18" t="s">
        <v>980</v>
      </c>
      <c r="G16" s="40"/>
      <c r="H16" s="21">
        <f t="shared" si="2"/>
        <v>0</v>
      </c>
      <c r="I16" s="1551"/>
      <c r="J16" s="1552"/>
      <c r="K16" s="1552"/>
      <c r="L16" s="1553"/>
      <c r="M16" s="18" t="s">
        <v>980</v>
      </c>
      <c r="N16" s="40"/>
      <c r="O16" s="21">
        <f t="shared" si="1"/>
        <v>0</v>
      </c>
      <c r="P16" s="356"/>
      <c r="R16" s="6"/>
      <c r="S16" s="5"/>
      <c r="T16" s="5"/>
      <c r="U16" s="6"/>
      <c r="V16" s="5"/>
      <c r="W16" s="105"/>
      <c r="X16" s="106"/>
      <c r="Y16" s="102"/>
      <c r="Z16" s="102"/>
      <c r="AA16" s="102"/>
      <c r="AB16" s="102"/>
      <c r="AC16" s="6"/>
      <c r="AD16" s="6"/>
      <c r="AE16" s="6"/>
      <c r="AF16" s="6"/>
      <c r="AG16" s="6"/>
      <c r="AH16" s="6"/>
      <c r="AI16" s="6"/>
      <c r="AJ16" s="6"/>
      <c r="AK16" s="6"/>
      <c r="AL16" s="6"/>
      <c r="AM16" s="6"/>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row>
    <row r="17" spans="2:99" ht="18" customHeight="1" x14ac:dyDescent="0.2">
      <c r="B17" s="1551"/>
      <c r="C17" s="1552"/>
      <c r="D17" s="1552"/>
      <c r="E17" s="1553"/>
      <c r="F17" s="3" t="s">
        <v>981</v>
      </c>
      <c r="G17" s="40"/>
      <c r="H17" s="21">
        <f t="shared" si="2"/>
        <v>0</v>
      </c>
      <c r="I17" s="1551"/>
      <c r="J17" s="1552"/>
      <c r="K17" s="1552"/>
      <c r="L17" s="1553"/>
      <c r="M17" s="3" t="s">
        <v>981</v>
      </c>
      <c r="N17" s="40"/>
      <c r="O17" s="21">
        <f t="shared" si="1"/>
        <v>0</v>
      </c>
      <c r="P17" s="356"/>
      <c r="R17" s="6"/>
      <c r="S17" s="5"/>
      <c r="T17" s="5"/>
      <c r="U17" s="6"/>
      <c r="V17" s="5"/>
      <c r="W17" s="105"/>
      <c r="X17" s="106"/>
      <c r="Y17" s="102"/>
      <c r="Z17" s="102"/>
      <c r="AA17" s="102"/>
      <c r="AB17" s="102"/>
      <c r="AC17" s="6"/>
      <c r="AD17" s="6"/>
      <c r="AE17" s="6"/>
      <c r="AF17" s="6"/>
      <c r="AG17" s="6"/>
      <c r="AH17" s="6"/>
      <c r="AI17" s="6"/>
      <c r="AJ17" s="6"/>
      <c r="AK17" s="6"/>
      <c r="AL17" s="6"/>
      <c r="AM17" s="6"/>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row>
    <row r="18" spans="2:99" ht="18" customHeight="1" x14ac:dyDescent="0.2">
      <c r="B18" s="1551"/>
      <c r="C18" s="1552"/>
      <c r="D18" s="1552"/>
      <c r="E18" s="1553"/>
      <c r="F18" s="4" t="s">
        <v>982</v>
      </c>
      <c r="G18" s="40"/>
      <c r="H18" s="21">
        <f t="shared" si="2"/>
        <v>0</v>
      </c>
      <c r="I18" s="1551"/>
      <c r="J18" s="1552"/>
      <c r="K18" s="1552"/>
      <c r="L18" s="1553"/>
      <c r="M18" s="4" t="s">
        <v>982</v>
      </c>
      <c r="N18" s="40"/>
      <c r="O18" s="21">
        <f t="shared" si="1"/>
        <v>0</v>
      </c>
      <c r="P18" s="356"/>
      <c r="R18" s="6"/>
      <c r="U18" s="6"/>
      <c r="V18" s="5"/>
      <c r="W18" s="105"/>
      <c r="X18" s="106"/>
      <c r="Y18" s="102"/>
      <c r="Z18" s="102"/>
      <c r="AA18" s="102"/>
      <c r="AB18" s="102"/>
      <c r="AC18" s="6"/>
      <c r="AD18" s="6"/>
      <c r="AE18" s="6"/>
      <c r="AF18" s="6"/>
      <c r="AG18" s="6"/>
      <c r="AH18" s="6"/>
      <c r="AI18" s="6"/>
      <c r="AJ18" s="6"/>
      <c r="AK18" s="6"/>
      <c r="AL18" s="6"/>
      <c r="AM18" s="6"/>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row>
    <row r="19" spans="2:99" ht="18" customHeight="1" x14ac:dyDescent="0.2">
      <c r="B19" s="1551"/>
      <c r="C19" s="1552"/>
      <c r="D19" s="1552"/>
      <c r="E19" s="1553"/>
      <c r="F19" s="45" t="s">
        <v>983</v>
      </c>
      <c r="G19" s="40"/>
      <c r="H19" s="21">
        <f t="shared" si="2"/>
        <v>0</v>
      </c>
      <c r="I19" s="1551"/>
      <c r="J19" s="1552"/>
      <c r="K19" s="1552"/>
      <c r="L19" s="1553"/>
      <c r="M19" s="45" t="s">
        <v>983</v>
      </c>
      <c r="N19" s="40"/>
      <c r="O19" s="21">
        <f t="shared" si="1"/>
        <v>0</v>
      </c>
      <c r="P19" s="356"/>
      <c r="R19" s="6"/>
      <c r="S19" s="6"/>
      <c r="T19" s="6"/>
      <c r="U19" s="6"/>
      <c r="V19" s="6"/>
      <c r="W19" s="6"/>
      <c r="X19" s="6"/>
      <c r="Y19" s="6"/>
      <c r="Z19" s="102"/>
      <c r="AA19" s="102"/>
      <c r="AB19" s="102"/>
      <c r="AC19" s="6"/>
      <c r="AD19" s="6"/>
      <c r="AE19" s="6"/>
      <c r="AF19" s="6"/>
      <c r="AG19" s="6"/>
      <c r="AH19" s="6"/>
      <c r="AI19" s="6"/>
      <c r="AJ19" s="6"/>
      <c r="AK19" s="6"/>
      <c r="AL19" s="6"/>
      <c r="AM19" s="6"/>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row>
    <row r="20" spans="2:99" ht="18" customHeight="1" x14ac:dyDescent="0.2">
      <c r="B20" s="1554"/>
      <c r="C20" s="1555"/>
      <c r="D20" s="1555"/>
      <c r="E20" s="1556"/>
      <c r="F20" s="19" t="s">
        <v>984</v>
      </c>
      <c r="G20" s="40"/>
      <c r="H20" s="21">
        <f t="shared" si="2"/>
        <v>0</v>
      </c>
      <c r="I20" s="1554"/>
      <c r="J20" s="1555"/>
      <c r="K20" s="1555"/>
      <c r="L20" s="1556"/>
      <c r="M20" s="19" t="s">
        <v>984</v>
      </c>
      <c r="N20" s="40"/>
      <c r="O20" s="21">
        <f t="shared" si="1"/>
        <v>0</v>
      </c>
      <c r="P20" s="230"/>
      <c r="R20" s="6"/>
      <c r="S20" s="6"/>
      <c r="T20" s="6"/>
      <c r="U20" s="6"/>
      <c r="V20" s="5"/>
      <c r="W20" s="105"/>
      <c r="X20" s="106"/>
      <c r="Y20" s="102"/>
      <c r="Z20" s="102"/>
      <c r="AA20" s="102"/>
      <c r="AB20" s="102"/>
      <c r="AC20" s="6"/>
      <c r="AD20" s="6"/>
      <c r="AE20" s="6"/>
      <c r="AF20" s="6"/>
      <c r="AG20" s="6"/>
      <c r="AH20" s="6"/>
      <c r="AI20" s="6"/>
      <c r="AJ20" s="6"/>
      <c r="AK20" s="6"/>
      <c r="AL20" s="6"/>
      <c r="AM20" s="6"/>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row>
    <row r="21" spans="2:99" ht="18" customHeight="1" x14ac:dyDescent="0.2">
      <c r="B21" s="863" t="s">
        <v>759</v>
      </c>
      <c r="C21" s="863"/>
      <c r="D21" s="863"/>
      <c r="E21" s="863"/>
      <c r="F21" s="863"/>
      <c r="G21" s="863"/>
      <c r="H21" s="863"/>
      <c r="I21" s="863"/>
      <c r="J21" s="863"/>
      <c r="K21" s="863"/>
      <c r="L21" s="863"/>
      <c r="M21" s="863"/>
      <c r="N21" s="863"/>
      <c r="O21" s="863"/>
      <c r="R21" s="6"/>
      <c r="S21" s="6"/>
      <c r="T21" s="6"/>
      <c r="U21" s="6"/>
      <c r="V21" s="5"/>
      <c r="W21" s="105"/>
      <c r="X21" s="106"/>
      <c r="Y21" s="102"/>
      <c r="Z21" s="102"/>
      <c r="AA21" s="102"/>
      <c r="AB21" s="102"/>
      <c r="AC21" s="6"/>
      <c r="AD21" s="6"/>
      <c r="AE21" s="6"/>
      <c r="AF21" s="6"/>
      <c r="AG21" s="6"/>
      <c r="AH21" s="6"/>
      <c r="AI21" s="6"/>
      <c r="AJ21" s="6"/>
      <c r="AK21" s="6"/>
      <c r="AL21" s="6"/>
      <c r="AM21" s="6"/>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row>
    <row r="22" spans="2:99" ht="30" customHeight="1" x14ac:dyDescent="0.2">
      <c r="B22" s="756" t="s">
        <v>548</v>
      </c>
      <c r="C22" s="757"/>
      <c r="D22" s="757"/>
      <c r="E22" s="757"/>
      <c r="F22" s="757"/>
      <c r="G22" s="757"/>
      <c r="H22" s="757"/>
      <c r="I22" s="757"/>
      <c r="J22" s="757"/>
      <c r="K22" s="757"/>
      <c r="L22" s="757"/>
      <c r="M22" s="757"/>
      <c r="N22" s="757"/>
      <c r="O22" s="758"/>
      <c r="P22" s="1526" t="s">
        <v>1987</v>
      </c>
      <c r="R22" s="6"/>
      <c r="T22" s="6"/>
      <c r="U22" s="6"/>
      <c r="V22" s="6"/>
      <c r="W22" s="6"/>
      <c r="X22" s="6"/>
      <c r="Y22" s="6"/>
      <c r="Z22" s="6"/>
      <c r="AA22" s="6"/>
      <c r="AB22" s="6"/>
      <c r="AC22" s="6"/>
      <c r="AD22" s="6"/>
      <c r="AE22" s="6"/>
      <c r="AF22" s="912" t="s">
        <v>2218</v>
      </c>
      <c r="AG22" s="912" t="s">
        <v>2219</v>
      </c>
      <c r="AH22" s="912" t="s">
        <v>2220</v>
      </c>
      <c r="AI22" s="912" t="s">
        <v>2221</v>
      </c>
      <c r="AJ22" s="912" t="s">
        <v>2222</v>
      </c>
      <c r="AK22" s="830" t="s">
        <v>1006</v>
      </c>
      <c r="AL22" s="6"/>
      <c r="AM22" s="6"/>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row>
    <row r="23" spans="2:99" ht="17.25" customHeight="1" x14ac:dyDescent="0.2">
      <c r="B23" s="18" t="s">
        <v>978</v>
      </c>
      <c r="C23" s="22" t="s">
        <v>979</v>
      </c>
      <c r="D23" s="22" t="s">
        <v>760</v>
      </c>
      <c r="E23" s="22" t="s">
        <v>980</v>
      </c>
      <c r="F23" s="22" t="s">
        <v>760</v>
      </c>
      <c r="G23" s="22" t="s">
        <v>981</v>
      </c>
      <c r="H23" s="22" t="s">
        <v>760</v>
      </c>
      <c r="I23" s="36" t="s">
        <v>982</v>
      </c>
      <c r="J23" s="36" t="s">
        <v>760</v>
      </c>
      <c r="K23" s="36" t="s">
        <v>983</v>
      </c>
      <c r="L23" s="36" t="s">
        <v>760</v>
      </c>
      <c r="M23" s="36" t="s">
        <v>984</v>
      </c>
      <c r="N23" s="22" t="s">
        <v>760</v>
      </c>
      <c r="O23" s="146"/>
      <c r="P23" s="1527"/>
      <c r="R23" s="6"/>
      <c r="S23" s="742" t="s">
        <v>2229</v>
      </c>
      <c r="T23" s="743"/>
      <c r="U23" s="743"/>
      <c r="V23" s="743"/>
      <c r="W23" s="743"/>
      <c r="X23" s="743"/>
      <c r="Y23" s="743"/>
      <c r="Z23" s="743"/>
      <c r="AA23" s="743"/>
      <c r="AB23" s="743"/>
      <c r="AC23" s="743"/>
      <c r="AD23" s="743"/>
      <c r="AE23" s="744"/>
      <c r="AF23" s="912"/>
      <c r="AG23" s="912"/>
      <c r="AH23" s="912"/>
      <c r="AI23" s="912"/>
      <c r="AJ23" s="912"/>
      <c r="AK23" s="832"/>
      <c r="AL23" s="6"/>
      <c r="AM23" s="6"/>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row>
    <row r="24" spans="2:99" ht="18" customHeight="1" x14ac:dyDescent="0.2">
      <c r="B24" s="40"/>
      <c r="C24" s="40"/>
      <c r="D24" s="40"/>
      <c r="E24" s="40"/>
      <c r="F24" s="40"/>
      <c r="G24" s="40"/>
      <c r="H24" s="40"/>
      <c r="I24" s="40"/>
      <c r="J24" s="40"/>
      <c r="K24" s="40"/>
      <c r="L24" s="40"/>
      <c r="M24" s="40"/>
      <c r="N24" s="40"/>
      <c r="O24" s="44"/>
      <c r="P24" s="1527"/>
      <c r="R24" s="6"/>
      <c r="S24" s="13">
        <f t="shared" ref="S24:AE24" si="3">IF(B24="X",1,0)</f>
        <v>0</v>
      </c>
      <c r="T24" s="104">
        <f t="shared" si="3"/>
        <v>0</v>
      </c>
      <c r="U24" s="104">
        <f t="shared" si="3"/>
        <v>0</v>
      </c>
      <c r="V24" s="104">
        <f t="shared" si="3"/>
        <v>0</v>
      </c>
      <c r="W24" s="104">
        <f t="shared" si="3"/>
        <v>0</v>
      </c>
      <c r="X24" s="104">
        <f t="shared" si="3"/>
        <v>0</v>
      </c>
      <c r="Y24" s="104">
        <f t="shared" si="3"/>
        <v>0</v>
      </c>
      <c r="Z24" s="104">
        <f t="shared" si="3"/>
        <v>0</v>
      </c>
      <c r="AA24" s="104">
        <f t="shared" si="3"/>
        <v>0</v>
      </c>
      <c r="AB24" s="104">
        <f t="shared" si="3"/>
        <v>0</v>
      </c>
      <c r="AC24" s="104">
        <f t="shared" si="3"/>
        <v>0</v>
      </c>
      <c r="AD24" s="104">
        <f t="shared" si="3"/>
        <v>0</v>
      </c>
      <c r="AE24" s="104">
        <f t="shared" si="3"/>
        <v>0</v>
      </c>
      <c r="AF24" s="13">
        <f>SUM(S24,T24, V24, X24, Z24, AB24, AD24)</f>
        <v>0</v>
      </c>
      <c r="AG24" s="13">
        <f>SUM(U24, W24, Y24, AA24, AC24,AE24)</f>
        <v>0</v>
      </c>
      <c r="AH24" s="84">
        <f>IF(AND(AF24=0,AG24=0),0,0.08)</f>
        <v>0</v>
      </c>
      <c r="AI24" s="84" t="str">
        <f>IF(AF24&gt;2,(AF24-2)*0.01,"")</f>
        <v/>
      </c>
      <c r="AJ24" s="84" t="str">
        <f>IF(AG24&gt;1,(AG24-1)*0.01,"")</f>
        <v/>
      </c>
      <c r="AK24" s="52">
        <f>SUM(AH24:AJ24)</f>
        <v>0</v>
      </c>
      <c r="AL24" s="6"/>
      <c r="AM24" s="6"/>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row>
    <row r="25" spans="2:99" ht="18" customHeight="1" x14ac:dyDescent="0.2">
      <c r="B25" s="1248" t="s">
        <v>763</v>
      </c>
      <c r="C25" s="1249"/>
      <c r="D25" s="1249"/>
      <c r="E25" s="1249"/>
      <c r="F25" s="1249"/>
      <c r="G25" s="1249"/>
      <c r="H25" s="1249"/>
      <c r="I25" s="1249"/>
      <c r="J25" s="1249"/>
      <c r="K25" s="1249"/>
      <c r="L25" s="1249"/>
      <c r="M25" s="1250"/>
      <c r="N25" s="755">
        <f>AK24</f>
        <v>0</v>
      </c>
      <c r="O25" s="755"/>
      <c r="P25" s="1527"/>
      <c r="R25" s="6"/>
      <c r="S25" s="6"/>
      <c r="T25" s="6"/>
      <c r="U25" s="6"/>
      <c r="V25" s="6"/>
      <c r="W25" s="6"/>
      <c r="X25" s="6"/>
      <c r="Y25" s="6"/>
      <c r="Z25" s="6"/>
      <c r="AA25" s="6"/>
      <c r="AB25" s="6"/>
      <c r="AC25" s="6"/>
      <c r="AD25" s="6"/>
      <c r="AE25" s="6"/>
      <c r="AF25" s="6"/>
      <c r="AG25" s="6"/>
      <c r="AH25" s="34"/>
      <c r="AI25" s="34"/>
      <c r="AJ25" s="34"/>
      <c r="AK25" s="108"/>
      <c r="AL25" s="6"/>
      <c r="AM25" s="6"/>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row>
    <row r="26" spans="2:99" ht="28.5" customHeight="1" x14ac:dyDescent="0.2">
      <c r="B26" s="756" t="s">
        <v>1315</v>
      </c>
      <c r="C26" s="757"/>
      <c r="D26" s="757"/>
      <c r="E26" s="757"/>
      <c r="F26" s="757"/>
      <c r="G26" s="757"/>
      <c r="H26" s="757"/>
      <c r="I26" s="757"/>
      <c r="J26" s="757"/>
      <c r="K26" s="757"/>
      <c r="L26" s="757"/>
      <c r="M26" s="757"/>
      <c r="N26" s="757"/>
      <c r="O26" s="758"/>
      <c r="P26" s="1527"/>
      <c r="R26" s="6"/>
      <c r="S26" s="6"/>
      <c r="T26" s="6"/>
      <c r="U26" s="6"/>
      <c r="V26" s="6"/>
      <c r="W26" s="6"/>
      <c r="X26" s="6"/>
      <c r="Y26" s="6"/>
      <c r="Z26" s="6"/>
      <c r="AA26" s="6"/>
      <c r="AB26" s="6"/>
      <c r="AC26" s="6"/>
      <c r="AD26" s="6"/>
      <c r="AE26" s="6"/>
      <c r="AF26" s="6"/>
      <c r="AG26" s="6"/>
      <c r="AH26" s="6"/>
      <c r="AI26" s="6"/>
      <c r="AJ26" s="6"/>
      <c r="AK26" s="6"/>
      <c r="AL26" s="6"/>
      <c r="AM26" s="6"/>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row>
    <row r="27" spans="2:99" ht="18" customHeight="1" x14ac:dyDescent="0.2">
      <c r="B27" s="18" t="s">
        <v>978</v>
      </c>
      <c r="C27" s="22" t="s">
        <v>979</v>
      </c>
      <c r="D27" s="22" t="s">
        <v>760</v>
      </c>
      <c r="E27" s="22" t="s">
        <v>980</v>
      </c>
      <c r="F27" s="22" t="s">
        <v>760</v>
      </c>
      <c r="G27" s="22" t="s">
        <v>981</v>
      </c>
      <c r="H27" s="22" t="s">
        <v>760</v>
      </c>
      <c r="I27" s="36" t="s">
        <v>982</v>
      </c>
      <c r="J27" s="36" t="s">
        <v>760</v>
      </c>
      <c r="K27" s="36" t="s">
        <v>983</v>
      </c>
      <c r="L27" s="36" t="s">
        <v>760</v>
      </c>
      <c r="M27" s="36" t="s">
        <v>984</v>
      </c>
      <c r="N27" s="22" t="s">
        <v>760</v>
      </c>
      <c r="O27" s="43"/>
      <c r="P27" s="1527"/>
      <c r="R27" s="6"/>
      <c r="Y27" s="102"/>
      <c r="Z27" s="6"/>
      <c r="AA27" s="6"/>
      <c r="AB27" s="6"/>
      <c r="AC27" s="6"/>
      <c r="AD27" s="6"/>
      <c r="AE27" s="6"/>
      <c r="AF27" s="6"/>
      <c r="AG27" s="34"/>
      <c r="AH27" s="34"/>
      <c r="AI27" s="34"/>
      <c r="AJ27" s="108"/>
      <c r="AK27" s="6"/>
      <c r="AL27" s="6"/>
      <c r="AM27" s="6"/>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row>
    <row r="28" spans="2:99" ht="18" customHeight="1" x14ac:dyDescent="0.2">
      <c r="B28" s="40"/>
      <c r="C28" s="40"/>
      <c r="D28" s="40"/>
      <c r="E28" s="40"/>
      <c r="F28" s="40"/>
      <c r="G28" s="40"/>
      <c r="H28" s="40"/>
      <c r="I28" s="40"/>
      <c r="J28" s="40"/>
      <c r="K28" s="40"/>
      <c r="L28" s="40"/>
      <c r="M28" s="40"/>
      <c r="N28" s="40"/>
      <c r="O28" s="43"/>
      <c r="P28" s="1527"/>
      <c r="R28" s="6"/>
      <c r="Y28" s="102"/>
      <c r="Z28" s="6"/>
      <c r="AA28" s="6"/>
      <c r="AB28" s="6"/>
      <c r="AC28" s="6"/>
      <c r="AD28" s="6"/>
      <c r="AE28" s="6"/>
      <c r="AF28" s="6"/>
      <c r="AG28" s="34"/>
      <c r="AH28" s="34"/>
      <c r="AI28" s="34"/>
      <c r="AJ28" s="108"/>
      <c r="AK28" s="6"/>
      <c r="AL28" s="6"/>
      <c r="AM28" s="6"/>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row>
    <row r="29" spans="2:99" ht="18" customHeight="1" x14ac:dyDescent="0.2">
      <c r="B29" s="21">
        <f t="shared" ref="B29:N29" si="4">IF(OR(B28="",B28="NA"),0,B28*0.01)</f>
        <v>0</v>
      </c>
      <c r="C29" s="21">
        <f t="shared" si="4"/>
        <v>0</v>
      </c>
      <c r="D29" s="21">
        <f t="shared" si="4"/>
        <v>0</v>
      </c>
      <c r="E29" s="21">
        <f t="shared" si="4"/>
        <v>0</v>
      </c>
      <c r="F29" s="21">
        <f t="shared" si="4"/>
        <v>0</v>
      </c>
      <c r="G29" s="21">
        <f t="shared" si="4"/>
        <v>0</v>
      </c>
      <c r="H29" s="21">
        <f t="shared" si="4"/>
        <v>0</v>
      </c>
      <c r="I29" s="21">
        <f t="shared" si="4"/>
        <v>0</v>
      </c>
      <c r="J29" s="21">
        <f t="shared" si="4"/>
        <v>0</v>
      </c>
      <c r="K29" s="21">
        <f t="shared" si="4"/>
        <v>0</v>
      </c>
      <c r="L29" s="21">
        <f t="shared" si="4"/>
        <v>0</v>
      </c>
      <c r="M29" s="21">
        <f t="shared" si="4"/>
        <v>0</v>
      </c>
      <c r="N29" s="21">
        <f t="shared" si="4"/>
        <v>0</v>
      </c>
      <c r="O29" s="43"/>
      <c r="P29" s="1527"/>
      <c r="R29" s="6"/>
      <c r="S29" s="6"/>
      <c r="T29" s="6"/>
      <c r="U29" s="6"/>
      <c r="V29" s="5"/>
      <c r="W29" s="105"/>
      <c r="X29" s="106"/>
      <c r="Y29" s="102"/>
      <c r="Z29" s="102"/>
      <c r="AA29" s="102"/>
      <c r="AB29" s="102"/>
      <c r="AC29" s="6"/>
      <c r="AD29" s="6"/>
      <c r="AE29" s="6"/>
      <c r="AF29" s="6"/>
      <c r="AG29" s="6"/>
      <c r="AH29" s="6"/>
      <c r="AI29" s="6"/>
      <c r="AJ29" s="6"/>
      <c r="AK29" s="6"/>
      <c r="AL29" s="6"/>
      <c r="AM29" s="6"/>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row>
    <row r="30" spans="2:99" ht="18" customHeight="1" x14ac:dyDescent="0.2">
      <c r="B30" s="1248" t="s">
        <v>763</v>
      </c>
      <c r="C30" s="1249"/>
      <c r="D30" s="1249"/>
      <c r="E30" s="1249"/>
      <c r="F30" s="1249"/>
      <c r="G30" s="1249"/>
      <c r="H30" s="1249"/>
      <c r="I30" s="1249"/>
      <c r="J30" s="1249"/>
      <c r="K30" s="1249"/>
      <c r="L30" s="1249"/>
      <c r="M30" s="1250"/>
      <c r="N30" s="755">
        <f>SUM(B29:N29)</f>
        <v>0</v>
      </c>
      <c r="O30" s="755"/>
      <c r="P30" s="525"/>
      <c r="R30" s="6"/>
      <c r="S30" s="6"/>
      <c r="T30" s="6"/>
      <c r="U30" s="6"/>
      <c r="V30" s="5"/>
      <c r="W30" s="105"/>
      <c r="X30" s="106"/>
      <c r="Y30" s="102"/>
      <c r="Z30" s="102"/>
      <c r="AA30" s="102"/>
      <c r="AB30" s="102"/>
      <c r="AC30" s="6"/>
      <c r="AD30" s="6"/>
      <c r="AE30" s="6"/>
      <c r="AF30" s="6"/>
      <c r="AG30" s="6"/>
      <c r="AH30" s="6"/>
      <c r="AI30" s="6"/>
      <c r="AJ30" s="6"/>
      <c r="AK30" s="6"/>
      <c r="AL30" s="6"/>
      <c r="AM30" s="6"/>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row>
    <row r="31" spans="2:99" ht="18" customHeight="1" x14ac:dyDescent="0.2">
      <c r="B31" s="1104" t="s">
        <v>1316</v>
      </c>
      <c r="C31" s="1104"/>
      <c r="D31" s="1104"/>
      <c r="E31" s="1104"/>
      <c r="F31" s="1104"/>
      <c r="G31" s="1104"/>
      <c r="H31" s="1104"/>
      <c r="I31" s="1104"/>
      <c r="J31" s="1104"/>
      <c r="K31" s="1104"/>
      <c r="L31" s="1104"/>
      <c r="M31" s="1104"/>
      <c r="N31" s="1104"/>
      <c r="O31" s="1104"/>
      <c r="P31" s="245">
        <f>N25+N30</f>
        <v>0</v>
      </c>
      <c r="R31" s="6"/>
      <c r="S31" s="6"/>
      <c r="T31" s="6"/>
      <c r="U31" s="6"/>
      <c r="V31" s="5"/>
      <c r="W31" s="105"/>
      <c r="X31" s="106"/>
      <c r="Y31" s="102"/>
      <c r="Z31" s="102"/>
      <c r="AA31" s="102"/>
      <c r="AB31" s="102"/>
      <c r="AC31" s="6"/>
      <c r="AD31" s="6"/>
      <c r="AE31" s="6"/>
      <c r="AF31" s="6"/>
      <c r="AG31" s="6"/>
      <c r="AH31" s="6"/>
      <c r="AI31" s="6"/>
      <c r="AJ31" s="6"/>
      <c r="AK31" s="6"/>
      <c r="AL31" s="6"/>
      <c r="AM31" s="6"/>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row>
    <row r="32" spans="2:99" ht="12" customHeight="1" x14ac:dyDescent="0.2">
      <c r="B32" s="1580"/>
      <c r="C32" s="785"/>
      <c r="D32" s="785"/>
      <c r="E32" s="785"/>
      <c r="F32" s="785"/>
      <c r="G32" s="785"/>
      <c r="H32" s="785"/>
      <c r="I32" s="785"/>
      <c r="J32" s="785"/>
      <c r="K32" s="785"/>
      <c r="L32" s="785"/>
      <c r="M32" s="785"/>
      <c r="N32" s="785"/>
      <c r="O32" s="785"/>
      <c r="P32" s="785"/>
      <c r="R32" s="6"/>
      <c r="S32" s="6"/>
      <c r="T32" s="6"/>
      <c r="U32" s="6"/>
      <c r="V32" s="5"/>
      <c r="W32" s="105"/>
      <c r="X32" s="106"/>
      <c r="Y32" s="102"/>
      <c r="Z32" s="102"/>
      <c r="AA32" s="102"/>
      <c r="AB32" s="102"/>
      <c r="AC32" s="6"/>
      <c r="AD32" s="6"/>
      <c r="AE32" s="6"/>
      <c r="AF32" s="6"/>
      <c r="AG32" s="6"/>
      <c r="AH32" s="6"/>
      <c r="AI32" s="6"/>
      <c r="AJ32" s="6"/>
      <c r="AK32" s="6"/>
      <c r="AL32" s="6"/>
      <c r="AM32" s="6"/>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row>
    <row r="33" spans="1:99" ht="18" customHeight="1" x14ac:dyDescent="0.2">
      <c r="B33" s="947" t="s">
        <v>583</v>
      </c>
      <c r="C33" s="863"/>
      <c r="D33" s="863"/>
      <c r="E33" s="863"/>
      <c r="F33" s="863"/>
      <c r="G33" s="863"/>
      <c r="H33" s="863"/>
      <c r="I33" s="863"/>
      <c r="J33" s="863"/>
      <c r="K33" s="863"/>
      <c r="L33" s="863"/>
      <c r="M33" s="863"/>
      <c r="N33" s="863"/>
      <c r="O33" s="863"/>
      <c r="P33" s="929">
        <f>IF(R35=1,0.05,0)</f>
        <v>0</v>
      </c>
      <c r="R33" s="6"/>
      <c r="S33" s="6"/>
      <c r="T33" s="6"/>
      <c r="U33" s="6"/>
      <c r="V33" s="6"/>
      <c r="W33" s="6"/>
      <c r="X33" s="6"/>
      <c r="Y33" s="6"/>
      <c r="Z33" s="6"/>
      <c r="AA33" s="6"/>
      <c r="AB33" s="6"/>
      <c r="AC33" s="6"/>
      <c r="AD33" s="6"/>
      <c r="AE33" s="6"/>
      <c r="AF33" s="6"/>
      <c r="AG33" s="6"/>
      <c r="AH33" s="6"/>
      <c r="AI33" s="6"/>
      <c r="AJ33" s="6"/>
      <c r="AK33" s="6"/>
      <c r="AL33" s="6"/>
      <c r="AM33" s="6"/>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row>
    <row r="34" spans="1:99" ht="38.25" customHeight="1" x14ac:dyDescent="0.2">
      <c r="B34" s="761" t="s">
        <v>1125</v>
      </c>
      <c r="C34" s="761"/>
      <c r="D34" s="761"/>
      <c r="E34" s="761"/>
      <c r="F34" s="761"/>
      <c r="G34" s="761"/>
      <c r="H34" s="761"/>
      <c r="I34" s="761"/>
      <c r="J34" s="761"/>
      <c r="K34" s="761"/>
      <c r="L34" s="761"/>
      <c r="M34" s="761"/>
      <c r="N34" s="761"/>
      <c r="O34" s="761"/>
      <c r="P34" s="1071"/>
      <c r="R34" s="256" t="s">
        <v>2240</v>
      </c>
      <c r="S34" s="6"/>
      <c r="T34" s="6"/>
      <c r="U34" s="6"/>
      <c r="V34" s="6"/>
      <c r="W34" s="6"/>
      <c r="X34" s="6"/>
      <c r="Y34" s="6"/>
      <c r="Z34" s="6"/>
      <c r="AA34" s="6"/>
      <c r="AB34" s="6"/>
      <c r="AC34" s="6"/>
      <c r="AD34" s="6"/>
      <c r="AE34" s="6"/>
      <c r="AF34" s="6"/>
      <c r="AG34" s="6"/>
      <c r="AH34" s="6"/>
      <c r="AI34" s="6"/>
      <c r="AJ34" s="6"/>
      <c r="AK34" s="6"/>
      <c r="AL34" s="6"/>
      <c r="AM34" s="6"/>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row>
    <row r="35" spans="1:99" ht="21.75" customHeight="1" x14ac:dyDescent="0.2">
      <c r="A35" s="15"/>
      <c r="B35" s="791" t="s">
        <v>932</v>
      </c>
      <c r="C35" s="791"/>
      <c r="D35" s="791"/>
      <c r="E35" s="791"/>
      <c r="F35" s="791"/>
      <c r="G35" s="791"/>
      <c r="H35" s="791"/>
      <c r="I35" s="791"/>
      <c r="J35" s="791"/>
      <c r="K35" s="1002"/>
      <c r="L35" s="1002"/>
      <c r="M35" s="1002"/>
      <c r="N35" s="1002"/>
      <c r="O35" s="1002"/>
      <c r="P35" s="1072"/>
      <c r="R35" s="613">
        <v>2</v>
      </c>
      <c r="S35" s="6"/>
      <c r="T35" s="6"/>
      <c r="U35" s="6"/>
      <c r="V35" s="6"/>
      <c r="W35" s="6"/>
      <c r="X35" s="6"/>
      <c r="Y35" s="6"/>
      <c r="Z35" s="6"/>
      <c r="AA35" s="6"/>
      <c r="AB35" s="6"/>
      <c r="AC35" s="6"/>
      <c r="AD35" s="6"/>
      <c r="AE35" s="6"/>
      <c r="AF35" s="6"/>
      <c r="AG35" s="6"/>
      <c r="AH35" s="6"/>
      <c r="AI35" s="6"/>
      <c r="AJ35" s="6"/>
      <c r="AK35" s="6"/>
      <c r="AL35" s="6"/>
      <c r="AM35" s="6"/>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row>
    <row r="36" spans="1:99" ht="12" customHeight="1" x14ac:dyDescent="0.2">
      <c r="B36" s="777"/>
      <c r="C36" s="777"/>
      <c r="D36" s="777"/>
      <c r="E36" s="777"/>
      <c r="F36" s="777"/>
      <c r="G36" s="777"/>
      <c r="H36" s="777"/>
      <c r="I36" s="777"/>
      <c r="J36" s="777"/>
      <c r="K36" s="777"/>
      <c r="L36" s="777"/>
      <c r="M36" s="777"/>
      <c r="N36" s="777"/>
      <c r="O36" s="777"/>
      <c r="P36" s="777"/>
      <c r="R36" s="6"/>
      <c r="S36" s="6"/>
      <c r="T36" s="6"/>
      <c r="U36" s="6"/>
      <c r="V36" s="6"/>
      <c r="W36" s="6"/>
      <c r="X36" s="6"/>
      <c r="Y36" s="6"/>
      <c r="Z36" s="6"/>
      <c r="AA36" s="6"/>
      <c r="AB36" s="6"/>
      <c r="AC36" s="6"/>
      <c r="AD36" s="6"/>
      <c r="AE36" s="6"/>
      <c r="AF36" s="6"/>
      <c r="AG36" s="6"/>
      <c r="AH36" s="6"/>
      <c r="AI36" s="6"/>
      <c r="AJ36" s="6"/>
      <c r="AK36" s="6"/>
      <c r="AL36" s="6"/>
      <c r="AM36" s="6"/>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row>
    <row r="37" spans="1:99" ht="0.75" customHeight="1" x14ac:dyDescent="0.2">
      <c r="B37" s="777"/>
      <c r="C37" s="777"/>
      <c r="D37" s="777"/>
      <c r="E37" s="777"/>
      <c r="F37" s="777"/>
      <c r="G37" s="777"/>
      <c r="H37" s="777"/>
      <c r="I37" s="777"/>
      <c r="J37" s="777"/>
      <c r="K37" s="777"/>
      <c r="L37" s="777"/>
      <c r="M37" s="777"/>
      <c r="N37" s="777"/>
      <c r="O37" s="777"/>
      <c r="P37" s="777"/>
      <c r="R37" s="6"/>
      <c r="S37" s="6"/>
      <c r="T37" s="6"/>
      <c r="U37" s="6"/>
      <c r="V37" s="6"/>
      <c r="W37" s="6"/>
      <c r="X37" s="6"/>
      <c r="Y37" s="6"/>
      <c r="Z37" s="6"/>
      <c r="AA37" s="6"/>
      <c r="AB37" s="6"/>
      <c r="AC37" s="6"/>
      <c r="AD37" s="6"/>
      <c r="AE37" s="6"/>
      <c r="AF37" s="6"/>
      <c r="AG37" s="6"/>
      <c r="AH37" s="6"/>
      <c r="AI37" s="6"/>
      <c r="AJ37" s="6"/>
      <c r="AK37" s="6"/>
      <c r="AL37" s="6"/>
      <c r="AM37" s="6"/>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row>
    <row r="38" spans="1:99" ht="27" customHeight="1" x14ac:dyDescent="0.2">
      <c r="B38" s="741" t="s">
        <v>1317</v>
      </c>
      <c r="C38" s="741"/>
      <c r="D38" s="741"/>
      <c r="E38" s="741"/>
      <c r="F38" s="741"/>
      <c r="G38" s="741"/>
      <c r="H38" s="741"/>
      <c r="I38" s="912" t="s">
        <v>1495</v>
      </c>
      <c r="J38" s="910"/>
      <c r="K38" s="910"/>
      <c r="L38" s="910"/>
      <c r="M38" s="1571"/>
      <c r="N38" s="1572"/>
      <c r="O38" s="1573"/>
      <c r="P38" s="1524">
        <f>U54</f>
        <v>0</v>
      </c>
      <c r="R38" s="13" t="s">
        <v>1826</v>
      </c>
      <c r="S38" s="13" t="s">
        <v>1285</v>
      </c>
      <c r="T38" s="13" t="s">
        <v>1286</v>
      </c>
      <c r="U38" s="13" t="s">
        <v>1287</v>
      </c>
      <c r="V38" s="6"/>
      <c r="W38" s="6"/>
      <c r="X38" s="6"/>
      <c r="Y38" s="6"/>
      <c r="Z38" s="6"/>
      <c r="AA38" s="6"/>
      <c r="AB38" s="6"/>
      <c r="AC38" s="6"/>
      <c r="AD38" s="6"/>
      <c r="AE38" s="6"/>
      <c r="AF38" s="6"/>
      <c r="AG38" s="6"/>
      <c r="AH38" s="6"/>
      <c r="AI38" s="6"/>
      <c r="AJ38" s="6"/>
      <c r="AK38" s="6"/>
      <c r="AL38" s="6"/>
      <c r="AM38" s="6"/>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row>
    <row r="39" spans="1:99" ht="18" customHeight="1" x14ac:dyDescent="0.2">
      <c r="B39" s="791" t="s">
        <v>1918</v>
      </c>
      <c r="C39" s="791"/>
      <c r="D39" s="791"/>
      <c r="E39" s="791"/>
      <c r="F39" s="791"/>
      <c r="G39" s="755">
        <f>P5</f>
        <v>0</v>
      </c>
      <c r="H39" s="755"/>
      <c r="I39" s="1522"/>
      <c r="J39" s="1523"/>
      <c r="K39" s="1411">
        <f>IF(I39="",0,IF(AND(G39*I39&gt;0,G39*I39&lt;0.01),0.01,ROUND(G39*I39,2)))</f>
        <v>0</v>
      </c>
      <c r="L39" s="1411"/>
      <c r="M39" s="1574"/>
      <c r="N39" s="1443"/>
      <c r="O39" s="1444"/>
      <c r="P39" s="1524"/>
      <c r="R39" s="365">
        <f>IF(K39&gt;0,K39,G39)</f>
        <v>0</v>
      </c>
      <c r="S39" s="84">
        <f>LARGE($R$39:$R$55,1)</f>
        <v>0</v>
      </c>
      <c r="T39" s="12">
        <f>S39+S40*(1-S39)</f>
        <v>0</v>
      </c>
      <c r="U39" s="52">
        <f>ROUND(T39,2)</f>
        <v>0</v>
      </c>
      <c r="V39" s="6"/>
      <c r="W39" s="6"/>
      <c r="X39" s="6"/>
      <c r="Y39" s="6"/>
      <c r="Z39" s="6"/>
      <c r="AA39" s="6"/>
      <c r="AB39" s="6"/>
      <c r="AC39" s="6"/>
      <c r="AD39" s="6"/>
      <c r="AE39" s="6"/>
      <c r="AF39" s="6"/>
      <c r="AG39" s="6"/>
      <c r="AH39" s="6"/>
      <c r="AI39" s="6"/>
      <c r="AJ39" s="6"/>
      <c r="AK39" s="6"/>
      <c r="AL39" s="6"/>
      <c r="AM39" s="6"/>
      <c r="AN39" s="6"/>
      <c r="AO39" s="6"/>
      <c r="AP39" s="6"/>
      <c r="AQ39" s="6"/>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row>
    <row r="40" spans="1:99" ht="18" customHeight="1" x14ac:dyDescent="0.2">
      <c r="B40" s="1566" t="s">
        <v>1318</v>
      </c>
      <c r="C40" s="1566"/>
      <c r="D40" s="1566"/>
      <c r="E40" s="1566"/>
      <c r="F40" s="18" t="s">
        <v>978</v>
      </c>
      <c r="G40" s="1116">
        <f t="shared" ref="G40:G46" si="5">H14</f>
        <v>0</v>
      </c>
      <c r="H40" s="1116"/>
      <c r="I40" s="1522"/>
      <c r="J40" s="1523"/>
      <c r="K40" s="1411">
        <f t="shared" ref="K40:K54" si="6">IF(I40="",0,IF(AND(G40*I40&gt;0,G40*I40&lt;0.01),0.01,ROUND(G40*I40,2)))</f>
        <v>0</v>
      </c>
      <c r="L40" s="1411"/>
      <c r="M40" s="1574"/>
      <c r="N40" s="1443"/>
      <c r="O40" s="1444"/>
      <c r="P40" s="1524"/>
      <c r="R40" s="365">
        <f t="shared" ref="R40:R55" si="7">IF(K40&gt;0,K40,G40)</f>
        <v>0</v>
      </c>
      <c r="S40" s="84">
        <f>LARGE($R$39:$R$55,2)</f>
        <v>0</v>
      </c>
      <c r="T40" s="12">
        <f>U39+S41*(1-U39)</f>
        <v>0</v>
      </c>
      <c r="U40" s="52">
        <f>ROUND(T40,2)</f>
        <v>0</v>
      </c>
      <c r="V40" s="6"/>
      <c r="W40" s="6"/>
      <c r="X40" s="6"/>
      <c r="Y40" s="6"/>
      <c r="Z40" s="6"/>
      <c r="AA40" s="6"/>
      <c r="AB40" s="6"/>
      <c r="AC40" s="6"/>
      <c r="AD40" s="6"/>
      <c r="AE40" s="6"/>
      <c r="AF40" s="6"/>
      <c r="AG40" s="6"/>
      <c r="AH40" s="6"/>
      <c r="AI40" s="6"/>
      <c r="AJ40" s="6"/>
      <c r="AK40" s="6"/>
      <c r="AL40" s="6"/>
      <c r="AM40" s="6"/>
      <c r="AN40" s="6"/>
      <c r="AO40" s="6"/>
      <c r="AP40" s="6"/>
      <c r="AQ40" s="6"/>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row>
    <row r="41" spans="1:99" ht="18" customHeight="1" x14ac:dyDescent="0.2">
      <c r="B41" s="1566"/>
      <c r="C41" s="1566"/>
      <c r="D41" s="1566"/>
      <c r="E41" s="1566"/>
      <c r="F41" s="18" t="s">
        <v>979</v>
      </c>
      <c r="G41" s="1116">
        <f t="shared" si="5"/>
        <v>0</v>
      </c>
      <c r="H41" s="1116"/>
      <c r="I41" s="1522"/>
      <c r="J41" s="1523"/>
      <c r="K41" s="1411">
        <f t="shared" si="6"/>
        <v>0</v>
      </c>
      <c r="L41" s="1411"/>
      <c r="M41" s="1574"/>
      <c r="N41" s="1443"/>
      <c r="O41" s="1444"/>
      <c r="P41" s="1524"/>
      <c r="R41" s="365">
        <f t="shared" si="7"/>
        <v>0</v>
      </c>
      <c r="S41" s="84">
        <f>LARGE($R$39:$R$55,3)</f>
        <v>0</v>
      </c>
      <c r="T41" s="12">
        <f t="shared" ref="T41:T54" si="8">U40+S42*(1-U40)</f>
        <v>0</v>
      </c>
      <c r="U41" s="52">
        <f t="shared" ref="U41:U54" si="9">ROUND(T41,2)</f>
        <v>0</v>
      </c>
      <c r="V41" s="6"/>
      <c r="W41" s="6"/>
      <c r="X41" s="6"/>
      <c r="Y41" s="6"/>
      <c r="Z41" s="6"/>
      <c r="AA41" s="6"/>
      <c r="AB41" s="6"/>
      <c r="AC41" s="6"/>
      <c r="AD41" s="6"/>
      <c r="AE41" s="6"/>
      <c r="AF41" s="6"/>
      <c r="AG41" s="6"/>
      <c r="AH41" s="6"/>
      <c r="AI41" s="6"/>
      <c r="AJ41" s="6"/>
      <c r="AK41" s="6"/>
      <c r="AL41" s="6"/>
      <c r="AM41" s="6"/>
      <c r="AN41" s="6"/>
      <c r="AO41" s="6"/>
      <c r="AP41" s="6"/>
      <c r="AQ41" s="6"/>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row>
    <row r="42" spans="1:99" ht="18" customHeight="1" x14ac:dyDescent="0.2">
      <c r="B42" s="1566"/>
      <c r="C42" s="1566"/>
      <c r="D42" s="1566"/>
      <c r="E42" s="1566"/>
      <c r="F42" s="18" t="s">
        <v>980</v>
      </c>
      <c r="G42" s="1116">
        <f t="shared" si="5"/>
        <v>0</v>
      </c>
      <c r="H42" s="1116"/>
      <c r="I42" s="1522"/>
      <c r="J42" s="1523"/>
      <c r="K42" s="1411">
        <f t="shared" si="6"/>
        <v>0</v>
      </c>
      <c r="L42" s="1411"/>
      <c r="M42" s="1574"/>
      <c r="N42" s="1443"/>
      <c r="O42" s="1444"/>
      <c r="P42" s="1524"/>
      <c r="R42" s="365">
        <f t="shared" si="7"/>
        <v>0</v>
      </c>
      <c r="S42" s="84">
        <f>LARGE($R$39:$R$55,4)</f>
        <v>0</v>
      </c>
      <c r="T42" s="12">
        <f t="shared" si="8"/>
        <v>0</v>
      </c>
      <c r="U42" s="52">
        <f t="shared" si="9"/>
        <v>0</v>
      </c>
      <c r="V42" s="6"/>
      <c r="W42" s="6"/>
      <c r="X42" s="6"/>
      <c r="Y42" s="6"/>
      <c r="Z42" s="6"/>
      <c r="AA42" s="6"/>
      <c r="AB42" s="6"/>
      <c r="AC42" s="6"/>
      <c r="AD42" s="6"/>
      <c r="AE42" s="6"/>
      <c r="AF42" s="6"/>
      <c r="AG42" s="6"/>
      <c r="AH42" s="6"/>
      <c r="AI42" s="6"/>
      <c r="AJ42" s="6"/>
      <c r="AK42" s="6"/>
      <c r="AL42" s="6"/>
      <c r="AM42" s="6"/>
      <c r="AN42" s="6"/>
      <c r="AO42" s="6"/>
      <c r="AP42" s="6"/>
      <c r="AQ42" s="6"/>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row>
    <row r="43" spans="1:99" ht="18" customHeight="1" x14ac:dyDescent="0.2">
      <c r="B43" s="1566"/>
      <c r="C43" s="1566"/>
      <c r="D43" s="1566"/>
      <c r="E43" s="1566"/>
      <c r="F43" s="18" t="s">
        <v>981</v>
      </c>
      <c r="G43" s="1116">
        <f t="shared" si="5"/>
        <v>0</v>
      </c>
      <c r="H43" s="1116"/>
      <c r="I43" s="1522"/>
      <c r="J43" s="1523"/>
      <c r="K43" s="1411">
        <f t="shared" si="6"/>
        <v>0</v>
      </c>
      <c r="L43" s="1411"/>
      <c r="M43" s="1574"/>
      <c r="N43" s="1443"/>
      <c r="O43" s="1444"/>
      <c r="P43" s="1524"/>
      <c r="R43" s="365">
        <f t="shared" si="7"/>
        <v>0</v>
      </c>
      <c r="S43" s="84">
        <f>LARGE($R$39:$R$55,5)</f>
        <v>0</v>
      </c>
      <c r="T43" s="12">
        <f t="shared" si="8"/>
        <v>0</v>
      </c>
      <c r="U43" s="52">
        <f t="shared" si="9"/>
        <v>0</v>
      </c>
      <c r="V43" s="6"/>
      <c r="W43" s="6"/>
      <c r="X43" s="6"/>
      <c r="Y43" s="6"/>
      <c r="Z43" s="6"/>
      <c r="AA43" s="6"/>
      <c r="AB43" s="6"/>
      <c r="AC43" s="6"/>
      <c r="AD43" s="6"/>
      <c r="AE43" s="6"/>
      <c r="AF43" s="6"/>
      <c r="AG43" s="6"/>
      <c r="AH43" s="6"/>
      <c r="AI43" s="6"/>
      <c r="AJ43" s="6"/>
      <c r="AK43" s="6"/>
      <c r="AL43" s="6"/>
      <c r="AM43" s="6"/>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row>
    <row r="44" spans="1:99" ht="18" customHeight="1" x14ac:dyDescent="0.2">
      <c r="B44" s="1566"/>
      <c r="C44" s="1566"/>
      <c r="D44" s="1566"/>
      <c r="E44" s="1566"/>
      <c r="F44" s="18" t="s">
        <v>982</v>
      </c>
      <c r="G44" s="1116">
        <f t="shared" si="5"/>
        <v>0</v>
      </c>
      <c r="H44" s="1116"/>
      <c r="I44" s="1522"/>
      <c r="J44" s="1523"/>
      <c r="K44" s="1411">
        <f t="shared" si="6"/>
        <v>0</v>
      </c>
      <c r="L44" s="1411"/>
      <c r="M44" s="1574"/>
      <c r="N44" s="1443"/>
      <c r="O44" s="1444"/>
      <c r="P44" s="1524"/>
      <c r="R44" s="365">
        <f t="shared" si="7"/>
        <v>0</v>
      </c>
      <c r="S44" s="84">
        <f>LARGE($R$39:$R$55,6)</f>
        <v>0</v>
      </c>
      <c r="T44" s="12">
        <f t="shared" si="8"/>
        <v>0</v>
      </c>
      <c r="U44" s="52">
        <f t="shared" si="9"/>
        <v>0</v>
      </c>
      <c r="V44" s="6"/>
      <c r="W44" s="6"/>
      <c r="X44" s="6"/>
      <c r="Y44" s="6"/>
      <c r="Z44" s="6"/>
      <c r="AA44" s="6"/>
      <c r="AB44" s="6"/>
      <c r="AC44" s="6"/>
      <c r="AD44" s="6"/>
      <c r="AE44" s="6"/>
      <c r="AF44" s="6"/>
      <c r="AG44" s="6"/>
      <c r="AH44" s="6"/>
      <c r="AI44" s="6"/>
      <c r="AJ44" s="6"/>
      <c r="AK44" s="6"/>
      <c r="AL44" s="6"/>
      <c r="AM44" s="6"/>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row>
    <row r="45" spans="1:99" ht="18" customHeight="1" x14ac:dyDescent="0.2">
      <c r="B45" s="1566"/>
      <c r="C45" s="1566"/>
      <c r="D45" s="1566"/>
      <c r="E45" s="1566"/>
      <c r="F45" s="18" t="s">
        <v>983</v>
      </c>
      <c r="G45" s="1116">
        <f t="shared" si="5"/>
        <v>0</v>
      </c>
      <c r="H45" s="1116"/>
      <c r="I45" s="1522"/>
      <c r="J45" s="1523"/>
      <c r="K45" s="1411">
        <f t="shared" si="6"/>
        <v>0</v>
      </c>
      <c r="L45" s="1411"/>
      <c r="M45" s="1574"/>
      <c r="N45" s="1443"/>
      <c r="O45" s="1444"/>
      <c r="P45" s="1524"/>
      <c r="R45" s="365">
        <f t="shared" si="7"/>
        <v>0</v>
      </c>
      <c r="S45" s="84">
        <f>LARGE($R$39:$R$55,7)</f>
        <v>0</v>
      </c>
      <c r="T45" s="12">
        <f t="shared" si="8"/>
        <v>0</v>
      </c>
      <c r="U45" s="52">
        <f t="shared" si="9"/>
        <v>0</v>
      </c>
      <c r="V45" s="6"/>
      <c r="W45" s="6"/>
      <c r="X45" s="6"/>
      <c r="Y45" s="6"/>
      <c r="Z45" s="6"/>
      <c r="AA45" s="6"/>
      <c r="AB45" s="6"/>
      <c r="AC45" s="6"/>
      <c r="AD45" s="6"/>
      <c r="AE45" s="6"/>
      <c r="AF45" s="6"/>
      <c r="AG45" s="6"/>
      <c r="AH45" s="6"/>
      <c r="AI45" s="6"/>
      <c r="AJ45" s="6"/>
      <c r="AK45" s="6"/>
      <c r="AL45" s="6"/>
      <c r="AM45" s="6"/>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row>
    <row r="46" spans="1:99" ht="18" customHeight="1" x14ac:dyDescent="0.2">
      <c r="B46" s="1566"/>
      <c r="C46" s="1566"/>
      <c r="D46" s="1566"/>
      <c r="E46" s="1566"/>
      <c r="F46" s="18" t="s">
        <v>984</v>
      </c>
      <c r="G46" s="1116">
        <f t="shared" si="5"/>
        <v>0</v>
      </c>
      <c r="H46" s="1116"/>
      <c r="I46" s="1522"/>
      <c r="J46" s="1523"/>
      <c r="K46" s="1411">
        <f t="shared" si="6"/>
        <v>0</v>
      </c>
      <c r="L46" s="1411"/>
      <c r="M46" s="1574"/>
      <c r="N46" s="1443"/>
      <c r="O46" s="1444"/>
      <c r="P46" s="1524"/>
      <c r="R46" s="365">
        <f t="shared" si="7"/>
        <v>0</v>
      </c>
      <c r="S46" s="84">
        <f>LARGE($R$39:$R$55,8)</f>
        <v>0</v>
      </c>
      <c r="T46" s="12">
        <f t="shared" si="8"/>
        <v>0</v>
      </c>
      <c r="U46" s="52">
        <f t="shared" si="9"/>
        <v>0</v>
      </c>
      <c r="V46" s="6"/>
      <c r="W46" s="6"/>
      <c r="X46" s="6"/>
      <c r="Y46" s="6"/>
      <c r="Z46" s="6"/>
      <c r="AA46" s="6"/>
      <c r="AB46" s="6"/>
      <c r="AC46" s="6"/>
      <c r="AD46" s="6"/>
      <c r="AE46" s="6"/>
      <c r="AF46" s="6"/>
      <c r="AG46" s="6"/>
      <c r="AH46" s="6"/>
      <c r="AI46" s="6"/>
      <c r="AJ46" s="6"/>
      <c r="AK46" s="6"/>
      <c r="AL46" s="6"/>
      <c r="AM46" s="6"/>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row>
    <row r="47" spans="1:99" ht="18" customHeight="1" x14ac:dyDescent="0.2">
      <c r="B47" s="1566" t="s">
        <v>1319</v>
      </c>
      <c r="C47" s="1566"/>
      <c r="D47" s="1566"/>
      <c r="E47" s="1566"/>
      <c r="F47" s="18" t="s">
        <v>978</v>
      </c>
      <c r="G47" s="1116">
        <f t="shared" ref="G47:G53" si="10">O14</f>
        <v>0</v>
      </c>
      <c r="H47" s="1116"/>
      <c r="I47" s="1522"/>
      <c r="J47" s="1523"/>
      <c r="K47" s="1411">
        <f t="shared" si="6"/>
        <v>0</v>
      </c>
      <c r="L47" s="1411"/>
      <c r="M47" s="1574"/>
      <c r="N47" s="1443"/>
      <c r="O47" s="1444"/>
      <c r="P47" s="1524"/>
      <c r="R47" s="365">
        <f t="shared" si="7"/>
        <v>0</v>
      </c>
      <c r="S47" s="84">
        <f>LARGE($R$39:$R$55,9)</f>
        <v>0</v>
      </c>
      <c r="T47" s="12">
        <f t="shared" si="8"/>
        <v>0</v>
      </c>
      <c r="U47" s="52">
        <f t="shared" si="9"/>
        <v>0</v>
      </c>
      <c r="V47" s="6"/>
      <c r="W47" s="6"/>
      <c r="X47" s="6"/>
      <c r="Y47" s="6"/>
      <c r="Z47" s="6"/>
      <c r="AA47" s="6"/>
      <c r="AB47" s="6"/>
      <c r="AC47" s="6"/>
      <c r="AD47" s="6"/>
      <c r="AE47" s="6"/>
      <c r="AF47" s="6"/>
      <c r="AG47" s="6"/>
      <c r="AH47" s="6"/>
      <c r="AI47" s="6"/>
      <c r="AJ47" s="6"/>
      <c r="AK47" s="6"/>
      <c r="AL47" s="6"/>
      <c r="AM47" s="6"/>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row>
    <row r="48" spans="1:99" ht="18" customHeight="1" x14ac:dyDescent="0.2">
      <c r="B48" s="1566"/>
      <c r="C48" s="1566"/>
      <c r="D48" s="1566"/>
      <c r="E48" s="1566"/>
      <c r="F48" s="18" t="s">
        <v>979</v>
      </c>
      <c r="G48" s="1116">
        <f t="shared" si="10"/>
        <v>0</v>
      </c>
      <c r="H48" s="1116"/>
      <c r="I48" s="1522"/>
      <c r="J48" s="1523"/>
      <c r="K48" s="1411">
        <f t="shared" si="6"/>
        <v>0</v>
      </c>
      <c r="L48" s="1411"/>
      <c r="M48" s="1574"/>
      <c r="N48" s="1443"/>
      <c r="O48" s="1444"/>
      <c r="P48" s="1524"/>
      <c r="R48" s="365">
        <f t="shared" si="7"/>
        <v>0</v>
      </c>
      <c r="S48" s="84">
        <f>LARGE($R$39:$R$55,10)</f>
        <v>0</v>
      </c>
      <c r="T48" s="12">
        <f t="shared" si="8"/>
        <v>0</v>
      </c>
      <c r="U48" s="52">
        <f t="shared" si="9"/>
        <v>0</v>
      </c>
      <c r="V48" s="6"/>
      <c r="W48" s="6"/>
      <c r="X48" s="6"/>
      <c r="Y48" s="6"/>
      <c r="Z48" s="6"/>
      <c r="AA48" s="6"/>
      <c r="AB48" s="6"/>
      <c r="AC48" s="6"/>
      <c r="AD48" s="6"/>
      <c r="AE48" s="6"/>
      <c r="AF48" s="6"/>
      <c r="AG48" s="6"/>
      <c r="AH48" s="6"/>
      <c r="AI48" s="6"/>
      <c r="AJ48" s="6"/>
      <c r="AK48" s="6"/>
      <c r="AL48" s="6"/>
      <c r="AM48" s="6"/>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row>
    <row r="49" spans="2:99" ht="18" customHeight="1" x14ac:dyDescent="0.2">
      <c r="B49" s="1566"/>
      <c r="C49" s="1566"/>
      <c r="D49" s="1566"/>
      <c r="E49" s="1566"/>
      <c r="F49" s="18" t="s">
        <v>980</v>
      </c>
      <c r="G49" s="1116">
        <f t="shared" si="10"/>
        <v>0</v>
      </c>
      <c r="H49" s="1116"/>
      <c r="I49" s="1522"/>
      <c r="J49" s="1523"/>
      <c r="K49" s="1411">
        <f t="shared" si="6"/>
        <v>0</v>
      </c>
      <c r="L49" s="1411"/>
      <c r="M49" s="1574"/>
      <c r="N49" s="1443"/>
      <c r="O49" s="1444"/>
      <c r="P49" s="1524"/>
      <c r="R49" s="365">
        <f t="shared" si="7"/>
        <v>0</v>
      </c>
      <c r="S49" s="84">
        <f>LARGE($R$39:$R$55,11)</f>
        <v>0</v>
      </c>
      <c r="T49" s="12">
        <f t="shared" si="8"/>
        <v>0</v>
      </c>
      <c r="U49" s="52">
        <f t="shared" si="9"/>
        <v>0</v>
      </c>
      <c r="V49" s="6"/>
      <c r="W49" s="6"/>
      <c r="X49" s="6"/>
      <c r="Y49" s="6"/>
      <c r="Z49" s="6"/>
      <c r="AA49" s="6"/>
      <c r="AB49" s="6"/>
      <c r="AC49" s="6"/>
      <c r="AD49" s="6"/>
      <c r="AE49" s="6"/>
      <c r="AF49" s="6"/>
      <c r="AG49" s="6"/>
      <c r="AH49" s="6"/>
      <c r="AI49" s="6"/>
      <c r="AJ49" s="6"/>
      <c r="AK49" s="6"/>
      <c r="AL49" s="6"/>
      <c r="AM49" s="6"/>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row>
    <row r="50" spans="2:99" ht="18" customHeight="1" x14ac:dyDescent="0.2">
      <c r="B50" s="1566"/>
      <c r="C50" s="1566"/>
      <c r="D50" s="1566"/>
      <c r="E50" s="1566"/>
      <c r="F50" s="18" t="s">
        <v>981</v>
      </c>
      <c r="G50" s="1116">
        <f t="shared" si="10"/>
        <v>0</v>
      </c>
      <c r="H50" s="1116"/>
      <c r="I50" s="1522"/>
      <c r="J50" s="1523"/>
      <c r="K50" s="1411">
        <f t="shared" si="6"/>
        <v>0</v>
      </c>
      <c r="L50" s="1411"/>
      <c r="M50" s="1574"/>
      <c r="N50" s="1443"/>
      <c r="O50" s="1444"/>
      <c r="P50" s="1524"/>
      <c r="R50" s="365">
        <f t="shared" si="7"/>
        <v>0</v>
      </c>
      <c r="S50" s="84">
        <f>LARGE($R$39:$R$55,12)</f>
        <v>0</v>
      </c>
      <c r="T50" s="12">
        <f t="shared" si="8"/>
        <v>0</v>
      </c>
      <c r="U50" s="52">
        <f t="shared" si="9"/>
        <v>0</v>
      </c>
      <c r="V50" s="6"/>
      <c r="W50" s="6"/>
      <c r="X50" s="6"/>
      <c r="Y50" s="6"/>
      <c r="Z50" s="6"/>
      <c r="AA50" s="6"/>
      <c r="AB50" s="6"/>
      <c r="AC50" s="6"/>
      <c r="AD50" s="6"/>
      <c r="AE50" s="6"/>
      <c r="AF50" s="6"/>
      <c r="AG50" s="6"/>
      <c r="AH50" s="6"/>
      <c r="AI50" s="6"/>
      <c r="AJ50" s="6"/>
      <c r="AK50" s="6"/>
      <c r="AL50" s="6"/>
      <c r="AM50" s="6"/>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row>
    <row r="51" spans="2:99" ht="18" customHeight="1" x14ac:dyDescent="0.2">
      <c r="B51" s="1566"/>
      <c r="C51" s="1566"/>
      <c r="D51" s="1566"/>
      <c r="E51" s="1566"/>
      <c r="F51" s="18" t="s">
        <v>982</v>
      </c>
      <c r="G51" s="1116">
        <f t="shared" si="10"/>
        <v>0</v>
      </c>
      <c r="H51" s="1116"/>
      <c r="I51" s="1522"/>
      <c r="J51" s="1523"/>
      <c r="K51" s="1411">
        <f t="shared" si="6"/>
        <v>0</v>
      </c>
      <c r="L51" s="1411"/>
      <c r="M51" s="1574"/>
      <c r="N51" s="1443"/>
      <c r="O51" s="1444"/>
      <c r="P51" s="1524"/>
      <c r="R51" s="365">
        <f t="shared" si="7"/>
        <v>0</v>
      </c>
      <c r="S51" s="84">
        <f>LARGE($R$39:$R$55,13)</f>
        <v>0</v>
      </c>
      <c r="T51" s="12">
        <f t="shared" si="8"/>
        <v>0</v>
      </c>
      <c r="U51" s="52">
        <f t="shared" si="9"/>
        <v>0</v>
      </c>
      <c r="V51" s="6"/>
      <c r="W51" s="6"/>
      <c r="X51" s="6"/>
      <c r="Y51" s="6"/>
      <c r="Z51" s="6"/>
      <c r="AA51" s="6"/>
      <c r="AB51" s="6"/>
      <c r="AC51" s="6"/>
      <c r="AD51" s="6"/>
      <c r="AE51" s="6"/>
      <c r="AF51" s="6"/>
      <c r="AG51" s="6"/>
      <c r="AH51" s="6"/>
      <c r="AI51" s="6"/>
      <c r="AJ51" s="6"/>
      <c r="AK51" s="6"/>
      <c r="AL51" s="6"/>
      <c r="AM51" s="6"/>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row>
    <row r="52" spans="2:99" ht="18" customHeight="1" x14ac:dyDescent="0.2">
      <c r="B52" s="1566"/>
      <c r="C52" s="1566"/>
      <c r="D52" s="1566"/>
      <c r="E52" s="1566"/>
      <c r="F52" s="18" t="s">
        <v>983</v>
      </c>
      <c r="G52" s="1116">
        <f t="shared" si="10"/>
        <v>0</v>
      </c>
      <c r="H52" s="1116"/>
      <c r="I52" s="1522"/>
      <c r="J52" s="1523"/>
      <c r="K52" s="1411">
        <f t="shared" si="6"/>
        <v>0</v>
      </c>
      <c r="L52" s="1411"/>
      <c r="M52" s="1574"/>
      <c r="N52" s="1443"/>
      <c r="O52" s="1444"/>
      <c r="P52" s="1524"/>
      <c r="R52" s="365">
        <f t="shared" si="7"/>
        <v>0</v>
      </c>
      <c r="S52" s="84">
        <f>LARGE($R$39:$R$55,14)</f>
        <v>0</v>
      </c>
      <c r="T52" s="12">
        <f t="shared" si="8"/>
        <v>0</v>
      </c>
      <c r="U52" s="52">
        <f t="shared" si="9"/>
        <v>0</v>
      </c>
      <c r="V52" s="6"/>
      <c r="W52" s="6"/>
      <c r="X52" s="6"/>
      <c r="Y52" s="6"/>
      <c r="Z52" s="6"/>
      <c r="AA52" s="6"/>
      <c r="AB52" s="6"/>
      <c r="AC52" s="6"/>
      <c r="AD52" s="6"/>
      <c r="AE52" s="6"/>
      <c r="AF52" s="6"/>
      <c r="AG52" s="6"/>
      <c r="AH52" s="6"/>
      <c r="AI52" s="6"/>
      <c r="AJ52" s="6"/>
      <c r="AK52" s="6"/>
      <c r="AL52" s="6"/>
      <c r="AM52" s="6"/>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row>
    <row r="53" spans="2:99" ht="18" customHeight="1" x14ac:dyDescent="0.2">
      <c r="B53" s="1566"/>
      <c r="C53" s="1566"/>
      <c r="D53" s="1566"/>
      <c r="E53" s="1566"/>
      <c r="F53" s="18" t="s">
        <v>984</v>
      </c>
      <c r="G53" s="1116">
        <f t="shared" si="10"/>
        <v>0</v>
      </c>
      <c r="H53" s="1116"/>
      <c r="I53" s="1522"/>
      <c r="J53" s="1523"/>
      <c r="K53" s="1411">
        <f t="shared" si="6"/>
        <v>0</v>
      </c>
      <c r="L53" s="1411"/>
      <c r="M53" s="1574"/>
      <c r="N53" s="1443"/>
      <c r="O53" s="1444"/>
      <c r="P53" s="1524"/>
      <c r="R53" s="365">
        <f t="shared" si="7"/>
        <v>0</v>
      </c>
      <c r="S53" s="84">
        <f>LARGE($R$39:$R$55,15)</f>
        <v>0</v>
      </c>
      <c r="T53" s="12">
        <f t="shared" si="8"/>
        <v>0</v>
      </c>
      <c r="U53" s="52">
        <f t="shared" si="9"/>
        <v>0</v>
      </c>
      <c r="V53" s="6"/>
      <c r="W53" s="6"/>
      <c r="X53" s="6"/>
      <c r="Y53" s="6"/>
      <c r="Z53" s="6"/>
      <c r="AA53" s="6"/>
      <c r="AB53" s="6"/>
      <c r="AC53" s="6"/>
      <c r="AD53" s="6"/>
      <c r="AE53" s="6"/>
      <c r="AF53" s="6"/>
      <c r="AG53" s="6"/>
      <c r="AH53" s="6"/>
      <c r="AI53" s="6"/>
      <c r="AJ53" s="6"/>
      <c r="AK53" s="6"/>
      <c r="AL53" s="6"/>
      <c r="AM53" s="6"/>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row>
    <row r="54" spans="2:99" ht="18" customHeight="1" x14ac:dyDescent="0.2">
      <c r="B54" s="791" t="s">
        <v>1320</v>
      </c>
      <c r="C54" s="791"/>
      <c r="D54" s="791"/>
      <c r="E54" s="791"/>
      <c r="F54" s="791"/>
      <c r="G54" s="755">
        <f>P31</f>
        <v>0</v>
      </c>
      <c r="H54" s="755"/>
      <c r="I54" s="1522"/>
      <c r="J54" s="1523"/>
      <c r="K54" s="1411">
        <f t="shared" si="6"/>
        <v>0</v>
      </c>
      <c r="L54" s="1411"/>
      <c r="M54" s="1574"/>
      <c r="N54" s="1443"/>
      <c r="O54" s="1444"/>
      <c r="P54" s="1524"/>
      <c r="R54" s="365">
        <f t="shared" si="7"/>
        <v>0</v>
      </c>
      <c r="S54" s="84">
        <f>LARGE($R$39:$R$55,16)</f>
        <v>0</v>
      </c>
      <c r="T54" s="12">
        <f t="shared" si="8"/>
        <v>0</v>
      </c>
      <c r="U54" s="52">
        <f t="shared" si="9"/>
        <v>0</v>
      </c>
      <c r="V54" s="6"/>
      <c r="W54" s="6"/>
      <c r="X54" s="6"/>
      <c r="Y54" s="6"/>
      <c r="Z54" s="6"/>
      <c r="AA54" s="6"/>
      <c r="AB54" s="6"/>
      <c r="AC54" s="6"/>
      <c r="AD54" s="6"/>
      <c r="AE54" s="6"/>
      <c r="AF54" s="6"/>
      <c r="AG54" s="6"/>
      <c r="AH54" s="6"/>
      <c r="AI54" s="6"/>
      <c r="AJ54" s="6"/>
      <c r="AK54" s="6"/>
      <c r="AL54" s="6"/>
      <c r="AM54" s="6"/>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row>
    <row r="55" spans="2:99" ht="18" customHeight="1" x14ac:dyDescent="0.2">
      <c r="B55" s="791" t="s">
        <v>583</v>
      </c>
      <c r="C55" s="791"/>
      <c r="D55" s="791"/>
      <c r="E55" s="791"/>
      <c r="F55" s="791"/>
      <c r="G55" s="914">
        <f>P33</f>
        <v>0</v>
      </c>
      <c r="H55" s="914"/>
      <c r="I55" s="1522"/>
      <c r="J55" s="1523"/>
      <c r="K55" s="1411">
        <f>IF(I55="",0,IF(AND(G55*I55&gt;0,G55*I55&lt;0.01),0.01,ROUND(G55*I55,2)))</f>
        <v>0</v>
      </c>
      <c r="L55" s="1411"/>
      <c r="M55" s="1575"/>
      <c r="N55" s="1445"/>
      <c r="O55" s="1446"/>
      <c r="P55" s="1524"/>
      <c r="R55" s="365">
        <f t="shared" si="7"/>
        <v>0</v>
      </c>
      <c r="S55" s="84">
        <f>LARGE($R$39:$R$55,17)</f>
        <v>0</v>
      </c>
      <c r="T55" s="77"/>
      <c r="U55" s="108"/>
      <c r="V55" s="6"/>
      <c r="W55" s="102"/>
      <c r="X55" s="6"/>
      <c r="Y55" s="6"/>
      <c r="Z55" s="6"/>
      <c r="AA55" s="6"/>
      <c r="AB55" s="6"/>
      <c r="AC55" s="6"/>
      <c r="AD55" s="6"/>
      <c r="AE55" s="6"/>
      <c r="AF55" s="6"/>
      <c r="AG55" s="6"/>
      <c r="AH55" s="6"/>
      <c r="AI55" s="6"/>
      <c r="AJ55" s="6"/>
      <c r="AK55" s="6"/>
      <c r="AL55" s="6"/>
      <c r="AM55" s="6"/>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row>
    <row r="56" spans="2:99" ht="18" customHeight="1" x14ac:dyDescent="0.2">
      <c r="B56" s="910"/>
      <c r="C56" s="910"/>
      <c r="D56" s="910"/>
      <c r="E56" s="910"/>
      <c r="F56" s="910"/>
      <c r="G56" s="910"/>
      <c r="H56" s="910"/>
      <c r="I56" s="910"/>
      <c r="J56" s="910"/>
      <c r="K56" s="1568" t="s">
        <v>1561</v>
      </c>
      <c r="L56" s="1569"/>
      <c r="M56" s="1569"/>
      <c r="N56" s="1569"/>
      <c r="O56" s="1570"/>
      <c r="P56" s="1524"/>
      <c r="R56" s="34"/>
      <c r="S56" s="77"/>
      <c r="T56" s="108"/>
      <c r="U56" s="6"/>
      <c r="V56" s="102"/>
      <c r="W56" s="102"/>
      <c r="X56" s="6"/>
      <c r="Y56" s="6"/>
      <c r="Z56" s="6"/>
      <c r="AA56" s="6"/>
      <c r="AB56" s="6"/>
      <c r="AC56" s="6"/>
      <c r="AD56" s="6"/>
      <c r="AE56" s="6"/>
      <c r="AF56" s="6"/>
      <c r="AG56" s="6"/>
      <c r="AH56" s="6"/>
      <c r="AI56" s="6"/>
      <c r="AJ56" s="6"/>
      <c r="AK56" s="6"/>
      <c r="AL56" s="6"/>
      <c r="AM56" s="6"/>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row>
    <row r="57" spans="2:99" ht="12" customHeight="1" x14ac:dyDescent="0.2">
      <c r="B57" s="777"/>
      <c r="C57" s="777"/>
      <c r="D57" s="777"/>
      <c r="E57" s="777"/>
      <c r="F57" s="777"/>
      <c r="G57" s="777"/>
      <c r="H57" s="777"/>
      <c r="I57" s="777"/>
      <c r="J57" s="777"/>
      <c r="K57" s="777"/>
      <c r="L57" s="777"/>
      <c r="M57" s="777"/>
      <c r="N57" s="777"/>
      <c r="O57" s="777"/>
      <c r="P57" s="777"/>
      <c r="R57" s="6"/>
      <c r="S57" s="6"/>
      <c r="T57" s="1123" t="s">
        <v>202</v>
      </c>
      <c r="U57" s="6"/>
      <c r="V57" s="6"/>
      <c r="W57" s="6"/>
      <c r="X57" s="6"/>
      <c r="Y57" s="6"/>
      <c r="Z57" s="6"/>
      <c r="AA57" s="6"/>
      <c r="AB57" s="6"/>
      <c r="AC57" s="6"/>
      <c r="AD57" s="6"/>
      <c r="AE57" s="6"/>
      <c r="AF57" s="6"/>
      <c r="AG57" s="6"/>
      <c r="AH57" s="6"/>
      <c r="AI57" s="6"/>
      <c r="AJ57" s="6"/>
      <c r="AK57" s="6"/>
      <c r="AL57" s="6"/>
      <c r="AM57" s="6"/>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row>
    <row r="58" spans="2:99" ht="26.25" customHeight="1" x14ac:dyDescent="0.2">
      <c r="B58" s="863" t="s">
        <v>1646</v>
      </c>
      <c r="C58" s="863"/>
      <c r="D58" s="863"/>
      <c r="E58" s="863"/>
      <c r="F58" s="863"/>
      <c r="G58" s="863"/>
      <c r="H58" s="863"/>
      <c r="I58" s="863"/>
      <c r="J58" s="863"/>
      <c r="K58" s="863"/>
      <c r="L58" s="863"/>
      <c r="M58" s="863"/>
      <c r="N58" s="863"/>
      <c r="O58" s="863"/>
      <c r="P58" s="857">
        <f>U61</f>
        <v>0</v>
      </c>
      <c r="R58" s="6"/>
      <c r="S58" s="104" t="s">
        <v>1566</v>
      </c>
      <c r="T58" s="1066"/>
      <c r="U58" s="662" t="s">
        <v>1138</v>
      </c>
      <c r="V58" s="5"/>
      <c r="W58" s="105"/>
      <c r="X58" s="106"/>
      <c r="Y58" s="102"/>
      <c r="Z58" s="102"/>
      <c r="AA58" s="102"/>
      <c r="AB58" s="102"/>
      <c r="AC58" s="6"/>
      <c r="AD58" s="6"/>
      <c r="AE58" s="6"/>
      <c r="AF58" s="6"/>
      <c r="AG58" s="6"/>
      <c r="AH58" s="6"/>
      <c r="AI58" s="6"/>
      <c r="AJ58" s="6"/>
      <c r="AK58" s="6"/>
      <c r="AL58" s="6"/>
      <c r="AM58" s="6"/>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row>
    <row r="59" spans="2:99" ht="18" customHeight="1" x14ac:dyDescent="0.2">
      <c r="B59" s="761" t="s">
        <v>435</v>
      </c>
      <c r="C59" s="761"/>
      <c r="D59" s="761"/>
      <c r="E59" s="761"/>
      <c r="F59" s="761"/>
      <c r="G59" s="761"/>
      <c r="H59" s="761"/>
      <c r="I59" s="761"/>
      <c r="J59" s="694"/>
      <c r="K59" s="694"/>
      <c r="L59" s="146"/>
      <c r="M59" s="747">
        <f>'Sp-Table'!N9</f>
        <v>0</v>
      </c>
      <c r="N59" s="747"/>
      <c r="O59" s="43"/>
      <c r="P59" s="831"/>
      <c r="R59" s="6"/>
      <c r="S59" s="13">
        <v>50</v>
      </c>
      <c r="T59" s="13" t="str">
        <f>IF(OR(J59="",J59="NA"),"",IF(J59&gt;S59,S59,IF(J59&lt;0,0,J59)))</f>
        <v/>
      </c>
      <c r="U59" s="12">
        <f>SUM(M59:M61)</f>
        <v>0</v>
      </c>
      <c r="V59" s="5"/>
      <c r="W59" s="105"/>
      <c r="X59" s="102"/>
      <c r="Y59" s="102"/>
      <c r="Z59" s="6"/>
      <c r="AA59" s="6"/>
      <c r="AB59" s="6"/>
      <c r="AC59" s="6"/>
      <c r="AD59" s="6"/>
      <c r="AE59" s="6"/>
      <c r="AF59" s="6"/>
      <c r="AG59" s="6"/>
      <c r="AH59" s="102"/>
      <c r="AI59" s="6"/>
      <c r="AJ59" s="6"/>
      <c r="AK59" s="6"/>
      <c r="AL59" s="6"/>
      <c r="AM59" s="6"/>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row>
    <row r="60" spans="2:99" ht="18" customHeight="1" x14ac:dyDescent="0.2">
      <c r="B60" s="761" t="s">
        <v>436</v>
      </c>
      <c r="C60" s="761"/>
      <c r="D60" s="761"/>
      <c r="E60" s="761"/>
      <c r="F60" s="761"/>
      <c r="G60" s="761"/>
      <c r="H60" s="761"/>
      <c r="I60" s="761"/>
      <c r="J60" s="694"/>
      <c r="K60" s="694"/>
      <c r="L60" s="146"/>
      <c r="M60" s="747">
        <f>'Sp-Table'!N10</f>
        <v>0</v>
      </c>
      <c r="N60" s="747"/>
      <c r="O60" s="43"/>
      <c r="P60" s="831"/>
      <c r="R60" s="6"/>
      <c r="S60" s="13">
        <v>30</v>
      </c>
      <c r="T60" s="13" t="str">
        <f>IF(OR(J60="",J60="NA"),"",IF(J60&gt;S60,S60,IF(J60&lt;0,0,J60)))</f>
        <v/>
      </c>
      <c r="U60" s="35">
        <f>IF(AND(U59&gt;0,U59&lt;0.01),0.01,U59)</f>
        <v>0</v>
      </c>
      <c r="V60" s="5"/>
      <c r="W60" s="105"/>
      <c r="X60" s="106"/>
      <c r="Y60" s="102"/>
      <c r="Z60" s="102"/>
      <c r="AA60" s="102"/>
      <c r="AB60" s="102"/>
      <c r="AC60" s="6"/>
      <c r="AD60" s="6"/>
      <c r="AE60" s="6"/>
      <c r="AF60" s="6"/>
      <c r="AG60" s="6"/>
      <c r="AH60" s="6"/>
      <c r="AI60" s="6"/>
      <c r="AJ60" s="6"/>
      <c r="AK60" s="6"/>
      <c r="AL60" s="6"/>
      <c r="AM60" s="6"/>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row>
    <row r="61" spans="2:99" ht="18" customHeight="1" x14ac:dyDescent="0.2">
      <c r="B61" s="761" t="s">
        <v>437</v>
      </c>
      <c r="C61" s="761"/>
      <c r="D61" s="761"/>
      <c r="E61" s="761"/>
      <c r="F61" s="761"/>
      <c r="G61" s="761"/>
      <c r="H61" s="761"/>
      <c r="I61" s="761"/>
      <c r="J61" s="694"/>
      <c r="K61" s="694"/>
      <c r="L61" s="146"/>
      <c r="M61" s="747">
        <f>'Sp-Table'!N11</f>
        <v>0</v>
      </c>
      <c r="N61" s="747"/>
      <c r="O61" s="43"/>
      <c r="P61" s="831"/>
      <c r="R61" s="6"/>
      <c r="S61" s="13">
        <v>30</v>
      </c>
      <c r="T61" s="13" t="str">
        <f>IF(OR(J61="",J61="NA"),"",IF(J61&gt;S61,S61,IF(J61&lt;0,0,J61)))</f>
        <v/>
      </c>
      <c r="U61" s="12">
        <f>ROUND(U60,2)</f>
        <v>0</v>
      </c>
      <c r="V61" s="5"/>
      <c r="W61" s="105"/>
      <c r="X61" s="6"/>
      <c r="Y61" s="6"/>
      <c r="Z61" s="6"/>
      <c r="AA61" s="6"/>
      <c r="AB61" s="6"/>
      <c r="AC61" s="6"/>
      <c r="AD61" s="6"/>
      <c r="AE61" s="6"/>
      <c r="AF61" s="6"/>
      <c r="AG61" s="6"/>
      <c r="AH61" s="102"/>
      <c r="AI61" s="6"/>
      <c r="AJ61" s="6"/>
      <c r="AK61" s="6"/>
      <c r="AL61" s="6"/>
      <c r="AM61" s="6"/>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row>
    <row r="62" spans="2:99" ht="18" customHeight="1" x14ac:dyDescent="0.2">
      <c r="B62" s="1104" t="s">
        <v>1893</v>
      </c>
      <c r="C62" s="1104"/>
      <c r="D62" s="1104"/>
      <c r="E62" s="1104"/>
      <c r="F62" s="1104"/>
      <c r="G62" s="1104"/>
      <c r="H62" s="1104"/>
      <c r="I62" s="1104"/>
      <c r="J62" s="1104"/>
      <c r="K62" s="1104"/>
      <c r="L62" s="1104"/>
      <c r="M62" s="1104"/>
      <c r="N62" s="1104"/>
      <c r="O62" s="1104"/>
      <c r="P62" s="832"/>
      <c r="R62" s="6"/>
      <c r="S62" s="6"/>
      <c r="T62" s="6"/>
      <c r="U62" s="6"/>
      <c r="V62" s="5"/>
      <c r="W62" s="105"/>
      <c r="X62" s="6"/>
      <c r="Y62" s="6"/>
      <c r="Z62" s="6"/>
      <c r="AA62" s="6"/>
      <c r="AB62" s="6"/>
      <c r="AC62" s="6"/>
      <c r="AD62" s="6"/>
      <c r="AE62" s="6"/>
      <c r="AF62" s="6"/>
      <c r="AG62" s="6"/>
      <c r="AH62" s="102"/>
      <c r="AI62" s="6"/>
      <c r="AJ62" s="6"/>
      <c r="AK62" s="6"/>
      <c r="AL62" s="6"/>
      <c r="AM62" s="6"/>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row>
    <row r="63" spans="2:99" ht="18" customHeight="1" x14ac:dyDescent="0.2">
      <c r="B63" s="1443"/>
      <c r="C63" s="1443"/>
      <c r="D63" s="1443"/>
      <c r="E63" s="1443"/>
      <c r="F63" s="1443"/>
      <c r="G63" s="1443"/>
      <c r="H63" s="1443"/>
      <c r="I63" s="1443"/>
      <c r="J63" s="1443"/>
      <c r="K63" s="1443"/>
      <c r="L63" s="1443"/>
      <c r="M63" s="1443"/>
      <c r="N63" s="1443"/>
      <c r="O63" s="1443"/>
      <c r="P63" s="174"/>
      <c r="R63" s="6"/>
      <c r="S63" s="6"/>
      <c r="T63" s="6"/>
      <c r="U63" s="6"/>
      <c r="V63" s="5"/>
      <c r="W63" s="105"/>
      <c r="X63" s="6"/>
      <c r="Y63" s="6"/>
      <c r="Z63" s="6"/>
      <c r="AA63" s="6"/>
      <c r="AB63" s="6"/>
      <c r="AC63" s="6"/>
      <c r="AD63" s="6"/>
      <c r="AE63" s="6"/>
      <c r="AF63" s="6"/>
      <c r="AG63" s="6"/>
      <c r="AH63" s="102"/>
      <c r="AI63" s="6"/>
      <c r="AJ63" s="6"/>
      <c r="AK63" s="6"/>
      <c r="AL63" s="6"/>
      <c r="AM63" s="6"/>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row>
    <row r="64" spans="2:99" ht="18" customHeight="1" x14ac:dyDescent="0.2">
      <c r="B64" s="1548" t="s">
        <v>438</v>
      </c>
      <c r="C64" s="1549"/>
      <c r="D64" s="1549"/>
      <c r="E64" s="1550"/>
      <c r="F64" s="4" t="s">
        <v>439</v>
      </c>
      <c r="G64" s="40"/>
      <c r="H64" s="21">
        <f>IF(OR(G64="NA",G64=0,G64=""),0,IF(G64/100&lt;=0.25,0.02,IF(G64/100&lt;=0.5,0.03,IF(G64/100&gt;0.5,0.05,""))))</f>
        <v>0</v>
      </c>
      <c r="I64" s="1548" t="s">
        <v>2223</v>
      </c>
      <c r="J64" s="1549"/>
      <c r="K64" s="1549"/>
      <c r="L64" s="1550"/>
      <c r="M64" s="18" t="s">
        <v>439</v>
      </c>
      <c r="N64" s="40"/>
      <c r="O64" s="49">
        <f t="shared" ref="O64:O75" si="11">IF(N64="X",0.02,0)</f>
        <v>0</v>
      </c>
      <c r="P64" s="955"/>
      <c r="R64" s="6"/>
      <c r="U64" s="6"/>
      <c r="V64" s="5"/>
      <c r="W64" s="105"/>
      <c r="X64" s="6"/>
      <c r="Y64" s="6"/>
      <c r="Z64" s="6"/>
      <c r="AA64" s="6"/>
      <c r="AB64" s="6"/>
      <c r="AC64" s="6"/>
      <c r="AD64" s="6"/>
      <c r="AE64" s="6"/>
      <c r="AF64" s="6"/>
      <c r="AG64" s="6"/>
      <c r="AH64" s="102"/>
      <c r="AI64" s="6"/>
      <c r="AJ64" s="6"/>
      <c r="AK64" s="6"/>
      <c r="AL64" s="6"/>
      <c r="AM64" s="6"/>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row>
    <row r="65" spans="2:99" ht="18" customHeight="1" x14ac:dyDescent="0.2">
      <c r="B65" s="1551"/>
      <c r="C65" s="1552"/>
      <c r="D65" s="1552"/>
      <c r="E65" s="1553"/>
      <c r="F65" s="26" t="s">
        <v>440</v>
      </c>
      <c r="G65" s="40"/>
      <c r="H65" s="21">
        <f t="shared" ref="H65:H75" si="12">IF(OR(G65="NA",G65=0,G65=""),0,IF(G65/100&lt;=0.25,0.02,IF(G65/100&lt;=0.5,0.03,IF(G65/100&gt;0.5,0.05,""))))</f>
        <v>0</v>
      </c>
      <c r="I65" s="1551"/>
      <c r="J65" s="1552"/>
      <c r="K65" s="1552"/>
      <c r="L65" s="1553"/>
      <c r="M65" s="20" t="s">
        <v>440</v>
      </c>
      <c r="N65" s="40"/>
      <c r="O65" s="49">
        <f t="shared" si="11"/>
        <v>0</v>
      </c>
      <c r="P65" s="1567"/>
      <c r="R65" s="6"/>
      <c r="U65" s="6"/>
      <c r="V65" s="5"/>
      <c r="W65" s="105"/>
      <c r="X65" s="6"/>
      <c r="Y65" s="6"/>
      <c r="Z65" s="6"/>
      <c r="AA65" s="6"/>
      <c r="AB65" s="6"/>
      <c r="AC65" s="6"/>
      <c r="AD65" s="6"/>
      <c r="AE65" s="6"/>
      <c r="AF65" s="6"/>
      <c r="AG65" s="6"/>
      <c r="AH65" s="102"/>
      <c r="AI65" s="6"/>
      <c r="AJ65" s="6"/>
      <c r="AK65" s="6"/>
      <c r="AL65" s="6"/>
      <c r="AM65" s="6"/>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row>
    <row r="66" spans="2:99" ht="18" customHeight="1" x14ac:dyDescent="0.2">
      <c r="B66" s="1551"/>
      <c r="C66" s="1552"/>
      <c r="D66" s="1552"/>
      <c r="E66" s="1553"/>
      <c r="F66" s="26" t="s">
        <v>441</v>
      </c>
      <c r="G66" s="40"/>
      <c r="H66" s="21">
        <f t="shared" si="12"/>
        <v>0</v>
      </c>
      <c r="I66" s="1551"/>
      <c r="J66" s="1552"/>
      <c r="K66" s="1552"/>
      <c r="L66" s="1553"/>
      <c r="M66" s="20" t="s">
        <v>441</v>
      </c>
      <c r="N66" s="40"/>
      <c r="O66" s="49">
        <f t="shared" si="11"/>
        <v>0</v>
      </c>
      <c r="P66" s="1567"/>
      <c r="R66" s="6"/>
      <c r="S66" s="6"/>
      <c r="T66" s="6"/>
      <c r="U66" s="6"/>
      <c r="V66" s="5"/>
      <c r="W66" s="105"/>
      <c r="X66" s="6"/>
      <c r="Y66" s="6"/>
      <c r="Z66" s="6"/>
      <c r="AA66" s="6"/>
      <c r="AB66" s="6"/>
      <c r="AC66" s="6"/>
      <c r="AD66" s="6"/>
      <c r="AE66" s="6"/>
      <c r="AF66" s="6"/>
      <c r="AG66" s="6"/>
      <c r="AH66" s="102"/>
      <c r="AI66" s="6"/>
      <c r="AJ66" s="6"/>
      <c r="AK66" s="6"/>
      <c r="AL66" s="6"/>
      <c r="AM66" s="6"/>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row>
    <row r="67" spans="2:99" ht="18" customHeight="1" x14ac:dyDescent="0.2">
      <c r="B67" s="1551"/>
      <c r="C67" s="1552"/>
      <c r="D67" s="1552"/>
      <c r="E67" s="1553"/>
      <c r="F67" s="26" t="s">
        <v>442</v>
      </c>
      <c r="G67" s="40"/>
      <c r="H67" s="21">
        <f t="shared" si="12"/>
        <v>0</v>
      </c>
      <c r="I67" s="1551"/>
      <c r="J67" s="1552"/>
      <c r="K67" s="1552"/>
      <c r="L67" s="1553"/>
      <c r="M67" s="25" t="s">
        <v>442</v>
      </c>
      <c r="N67" s="40"/>
      <c r="O67" s="49">
        <f t="shared" si="11"/>
        <v>0</v>
      </c>
      <c r="P67" s="1567"/>
      <c r="R67" s="6"/>
      <c r="S67" s="6"/>
      <c r="T67" s="6"/>
      <c r="U67" s="6"/>
      <c r="V67" s="5"/>
      <c r="W67" s="105"/>
      <c r="X67" s="6"/>
      <c r="Y67" s="6"/>
      <c r="Z67" s="6"/>
      <c r="AA67" s="6"/>
      <c r="AB67" s="6"/>
      <c r="AC67" s="6"/>
      <c r="AD67" s="6"/>
      <c r="AE67" s="6"/>
      <c r="AF67" s="6"/>
      <c r="AG67" s="6"/>
      <c r="AH67" s="102"/>
      <c r="AI67" s="6"/>
      <c r="AJ67" s="6"/>
      <c r="AK67" s="6"/>
      <c r="AL67" s="6"/>
      <c r="AM67" s="6"/>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row>
    <row r="68" spans="2:99" ht="18" customHeight="1" x14ac:dyDescent="0.2">
      <c r="B68" s="1551"/>
      <c r="C68" s="1552"/>
      <c r="D68" s="1552"/>
      <c r="E68" s="1553"/>
      <c r="F68" s="26" t="s">
        <v>1722</v>
      </c>
      <c r="G68" s="40"/>
      <c r="H68" s="21">
        <f t="shared" si="12"/>
        <v>0</v>
      </c>
      <c r="I68" s="1551"/>
      <c r="J68" s="1552"/>
      <c r="K68" s="1552"/>
      <c r="L68" s="1553"/>
      <c r="M68" s="26" t="s">
        <v>1722</v>
      </c>
      <c r="N68" s="40"/>
      <c r="O68" s="49">
        <f t="shared" si="11"/>
        <v>0</v>
      </c>
      <c r="P68" s="1567"/>
      <c r="R68" s="6"/>
      <c r="U68" s="6"/>
      <c r="V68" s="5"/>
      <c r="W68" s="105"/>
      <c r="X68" s="6"/>
      <c r="Y68" s="6"/>
      <c r="Z68" s="6"/>
      <c r="AA68" s="6"/>
      <c r="AB68" s="6"/>
      <c r="AC68" s="6"/>
      <c r="AD68" s="6"/>
      <c r="AE68" s="6"/>
      <c r="AF68" s="6"/>
      <c r="AG68" s="6"/>
      <c r="AH68" s="102"/>
      <c r="AI68" s="6"/>
      <c r="AJ68" s="6"/>
      <c r="AK68" s="6"/>
      <c r="AL68" s="6"/>
      <c r="AM68" s="6"/>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row>
    <row r="69" spans="2:99" ht="18" customHeight="1" x14ac:dyDescent="0.2">
      <c r="B69" s="1551"/>
      <c r="C69" s="1552"/>
      <c r="D69" s="1552"/>
      <c r="E69" s="1553"/>
      <c r="F69" s="26" t="s">
        <v>1723</v>
      </c>
      <c r="G69" s="40"/>
      <c r="H69" s="21">
        <f t="shared" si="12"/>
        <v>0</v>
      </c>
      <c r="I69" s="1551"/>
      <c r="J69" s="1552"/>
      <c r="K69" s="1552"/>
      <c r="L69" s="1553"/>
      <c r="M69" s="27" t="s">
        <v>1723</v>
      </c>
      <c r="N69" s="40"/>
      <c r="O69" s="49">
        <f t="shared" si="11"/>
        <v>0</v>
      </c>
      <c r="P69" s="1567"/>
      <c r="R69" s="6"/>
      <c r="U69" s="6"/>
      <c r="V69" s="5"/>
      <c r="W69" s="105"/>
      <c r="X69" s="6"/>
      <c r="Y69" s="6"/>
      <c r="Z69" s="6"/>
      <c r="AA69" s="6"/>
      <c r="AB69" s="6"/>
      <c r="AC69" s="6"/>
      <c r="AD69" s="6"/>
      <c r="AE69" s="6"/>
      <c r="AF69" s="6"/>
      <c r="AG69" s="6"/>
      <c r="AH69" s="102"/>
      <c r="AI69" s="6"/>
      <c r="AJ69" s="6"/>
      <c r="AK69" s="6"/>
      <c r="AL69" s="6"/>
      <c r="AM69" s="6"/>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row>
    <row r="70" spans="2:99" ht="18" customHeight="1" x14ac:dyDescent="0.2">
      <c r="B70" s="1551"/>
      <c r="C70" s="1552"/>
      <c r="D70" s="1552"/>
      <c r="E70" s="1553"/>
      <c r="F70" s="26" t="s">
        <v>1724</v>
      </c>
      <c r="G70" s="40"/>
      <c r="H70" s="21">
        <f t="shared" si="12"/>
        <v>0</v>
      </c>
      <c r="I70" s="1551"/>
      <c r="J70" s="1552"/>
      <c r="K70" s="1552"/>
      <c r="L70" s="1553"/>
      <c r="M70" s="28" t="s">
        <v>1724</v>
      </c>
      <c r="N70" s="40"/>
      <c r="O70" s="49">
        <f t="shared" si="11"/>
        <v>0</v>
      </c>
      <c r="P70" s="1567"/>
      <c r="R70" s="6"/>
      <c r="U70" s="6"/>
      <c r="V70" s="5"/>
      <c r="W70" s="105"/>
      <c r="X70" s="6"/>
      <c r="Y70" s="6"/>
      <c r="Z70" s="6"/>
      <c r="AA70" s="6"/>
      <c r="AB70" s="6"/>
      <c r="AC70" s="6"/>
      <c r="AD70" s="6"/>
      <c r="AE70" s="6"/>
      <c r="AF70" s="6"/>
      <c r="AG70" s="6"/>
      <c r="AH70" s="102"/>
      <c r="AI70" s="6"/>
      <c r="AJ70" s="6"/>
      <c r="AK70" s="6"/>
      <c r="AL70" s="6"/>
      <c r="AM70" s="6"/>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row>
    <row r="71" spans="2:99" ht="18" customHeight="1" x14ac:dyDescent="0.2">
      <c r="B71" s="1551"/>
      <c r="C71" s="1552"/>
      <c r="D71" s="1552"/>
      <c r="E71" s="1553"/>
      <c r="F71" s="26" t="s">
        <v>1725</v>
      </c>
      <c r="G71" s="40"/>
      <c r="H71" s="21">
        <f t="shared" si="12"/>
        <v>0</v>
      </c>
      <c r="I71" s="1551"/>
      <c r="J71" s="1552"/>
      <c r="K71" s="1552"/>
      <c r="L71" s="1553"/>
      <c r="M71" s="38" t="s">
        <v>1725</v>
      </c>
      <c r="N71" s="40"/>
      <c r="O71" s="49">
        <f t="shared" si="11"/>
        <v>0</v>
      </c>
      <c r="P71" s="1567"/>
      <c r="R71" s="6"/>
      <c r="U71" s="6"/>
      <c r="V71" s="5"/>
      <c r="W71" s="105"/>
      <c r="X71" s="6"/>
      <c r="Y71" s="6"/>
      <c r="Z71" s="6"/>
      <c r="AA71" s="6"/>
      <c r="AB71" s="6"/>
      <c r="AC71" s="6"/>
      <c r="AD71" s="6"/>
      <c r="AE71" s="6"/>
      <c r="AF71" s="6"/>
      <c r="AG71" s="6"/>
      <c r="AH71" s="102"/>
      <c r="AI71" s="6"/>
      <c r="AJ71" s="6"/>
      <c r="AK71" s="6"/>
      <c r="AL71" s="6"/>
      <c r="AM71" s="6"/>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row>
    <row r="72" spans="2:99" ht="18" customHeight="1" x14ac:dyDescent="0.2">
      <c r="B72" s="1551"/>
      <c r="C72" s="1552"/>
      <c r="D72" s="1552"/>
      <c r="E72" s="1553"/>
      <c r="F72" s="26" t="s">
        <v>1726</v>
      </c>
      <c r="G72" s="40"/>
      <c r="H72" s="21">
        <f t="shared" si="12"/>
        <v>0</v>
      </c>
      <c r="I72" s="1551"/>
      <c r="J72" s="1552"/>
      <c r="K72" s="1552"/>
      <c r="L72" s="1553"/>
      <c r="M72" s="37" t="s">
        <v>1726</v>
      </c>
      <c r="N72" s="40"/>
      <c r="O72" s="49">
        <f t="shared" si="11"/>
        <v>0</v>
      </c>
      <c r="P72" s="1567"/>
      <c r="R72" s="6"/>
      <c r="S72" s="6"/>
      <c r="T72" s="6"/>
      <c r="U72" s="6"/>
      <c r="V72" s="5"/>
      <c r="W72" s="105"/>
      <c r="X72" s="6"/>
      <c r="Y72" s="6"/>
      <c r="Z72" s="6"/>
      <c r="AA72" s="6"/>
      <c r="AB72" s="6"/>
      <c r="AC72" s="6"/>
      <c r="AD72" s="6"/>
      <c r="AE72" s="6"/>
      <c r="AF72" s="6"/>
      <c r="AG72" s="6"/>
      <c r="AH72" s="102"/>
      <c r="AI72" s="6"/>
      <c r="AJ72" s="6"/>
      <c r="AK72" s="6"/>
      <c r="AL72" s="6"/>
      <c r="AM72" s="6"/>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row>
    <row r="73" spans="2:99" ht="18" customHeight="1" x14ac:dyDescent="0.2">
      <c r="B73" s="1551"/>
      <c r="C73" s="1552"/>
      <c r="D73" s="1552"/>
      <c r="E73" s="1553"/>
      <c r="F73" s="26" t="s">
        <v>1727</v>
      </c>
      <c r="G73" s="40"/>
      <c r="H73" s="21">
        <f t="shared" si="12"/>
        <v>0</v>
      </c>
      <c r="I73" s="1551"/>
      <c r="J73" s="1552"/>
      <c r="K73" s="1552"/>
      <c r="L73" s="1553"/>
      <c r="M73" s="37" t="s">
        <v>1727</v>
      </c>
      <c r="N73" s="40"/>
      <c r="O73" s="49">
        <f t="shared" si="11"/>
        <v>0</v>
      </c>
      <c r="P73" s="1567"/>
      <c r="R73" s="6"/>
      <c r="S73" s="6"/>
      <c r="T73" s="6"/>
      <c r="U73" s="6"/>
      <c r="V73" s="5"/>
      <c r="W73" s="105"/>
      <c r="X73" s="6"/>
      <c r="Y73" s="6"/>
      <c r="Z73" s="6"/>
      <c r="AA73" s="6"/>
      <c r="AB73" s="6"/>
      <c r="AC73" s="6"/>
      <c r="AD73" s="6"/>
      <c r="AE73" s="6"/>
      <c r="AF73" s="6"/>
      <c r="AG73" s="6"/>
      <c r="AH73" s="102"/>
      <c r="AI73" s="6"/>
      <c r="AJ73" s="6"/>
      <c r="AK73" s="6"/>
      <c r="AL73" s="6"/>
      <c r="AM73" s="6"/>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row>
    <row r="74" spans="2:99" ht="18" customHeight="1" x14ac:dyDescent="0.2">
      <c r="B74" s="1551"/>
      <c r="C74" s="1552"/>
      <c r="D74" s="1552"/>
      <c r="E74" s="1553"/>
      <c r="F74" s="26" t="s">
        <v>1728</v>
      </c>
      <c r="G74" s="40"/>
      <c r="H74" s="21">
        <f t="shared" si="12"/>
        <v>0</v>
      </c>
      <c r="I74" s="1551"/>
      <c r="J74" s="1552"/>
      <c r="K74" s="1552"/>
      <c r="L74" s="1553"/>
      <c r="M74" s="37" t="s">
        <v>1728</v>
      </c>
      <c r="N74" s="40"/>
      <c r="O74" s="49">
        <f t="shared" si="11"/>
        <v>0</v>
      </c>
      <c r="P74" s="1567"/>
      <c r="R74" s="6"/>
      <c r="S74" s="6"/>
      <c r="T74" s="6"/>
      <c r="U74" s="6"/>
      <c r="V74" s="5"/>
      <c r="W74" s="105"/>
      <c r="X74" s="6"/>
      <c r="Y74" s="6"/>
      <c r="Z74" s="6"/>
      <c r="AA74" s="6"/>
      <c r="AB74" s="6"/>
      <c r="AC74" s="6"/>
      <c r="AD74" s="6"/>
      <c r="AE74" s="6"/>
      <c r="AF74" s="6"/>
      <c r="AG74" s="6"/>
      <c r="AH74" s="102"/>
      <c r="AI74" s="6"/>
      <c r="AJ74" s="6"/>
      <c r="AK74" s="6"/>
      <c r="AL74" s="6"/>
      <c r="AM74" s="6"/>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row>
    <row r="75" spans="2:99" ht="18" customHeight="1" x14ac:dyDescent="0.2">
      <c r="B75" s="1554"/>
      <c r="C75" s="1555"/>
      <c r="D75" s="1555"/>
      <c r="E75" s="1556"/>
      <c r="F75" s="26" t="s">
        <v>1729</v>
      </c>
      <c r="G75" s="40"/>
      <c r="H75" s="21">
        <f t="shared" si="12"/>
        <v>0</v>
      </c>
      <c r="I75" s="1554"/>
      <c r="J75" s="1555"/>
      <c r="K75" s="1555"/>
      <c r="L75" s="1556"/>
      <c r="M75" s="37" t="s">
        <v>1729</v>
      </c>
      <c r="N75" s="40"/>
      <c r="O75" s="21">
        <f t="shared" si="11"/>
        <v>0</v>
      </c>
      <c r="P75" s="900"/>
      <c r="R75" s="6"/>
      <c r="S75" s="6"/>
      <c r="T75" s="6"/>
      <c r="U75" s="6"/>
      <c r="V75" s="5"/>
      <c r="W75" s="105"/>
      <c r="X75" s="6"/>
      <c r="Y75" s="6"/>
      <c r="Z75" s="6"/>
      <c r="AA75" s="6"/>
      <c r="AB75" s="6"/>
      <c r="AC75" s="6"/>
      <c r="AD75" s="6"/>
      <c r="AE75" s="6"/>
      <c r="AF75" s="6"/>
      <c r="AG75" s="6"/>
      <c r="AH75" s="102"/>
      <c r="AI75" s="6"/>
      <c r="AJ75" s="6"/>
      <c r="AK75" s="6"/>
      <c r="AL75" s="6"/>
      <c r="AM75" s="6"/>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row>
    <row r="76" spans="2:99" ht="18" customHeight="1" x14ac:dyDescent="0.2">
      <c r="B76" s="863" t="s">
        <v>1730</v>
      </c>
      <c r="C76" s="863"/>
      <c r="D76" s="863"/>
      <c r="E76" s="863"/>
      <c r="F76" s="863"/>
      <c r="G76" s="863"/>
      <c r="H76" s="863"/>
      <c r="I76" s="863"/>
      <c r="J76" s="863"/>
      <c r="K76" s="863"/>
      <c r="L76" s="863"/>
      <c r="M76" s="863"/>
      <c r="N76" s="863"/>
      <c r="O76" s="863"/>
      <c r="R76" s="6"/>
      <c r="S76" s="6"/>
      <c r="T76" s="6"/>
      <c r="U76" s="6"/>
      <c r="V76" s="5"/>
      <c r="W76" s="105"/>
      <c r="X76" s="106"/>
      <c r="Y76" s="102"/>
      <c r="Z76" s="102"/>
      <c r="AA76" s="102"/>
      <c r="AB76" s="102"/>
      <c r="AC76" s="6"/>
      <c r="AD76" s="6"/>
      <c r="AE76" s="6"/>
      <c r="AF76" s="6"/>
      <c r="AG76" s="6"/>
      <c r="AH76" s="6"/>
      <c r="AI76" s="6"/>
      <c r="AJ76" s="6"/>
      <c r="AK76" s="6"/>
      <c r="AL76" s="6"/>
      <c r="AM76" s="6"/>
    </row>
    <row r="77" spans="2:99" ht="29.25" customHeight="1" thickBot="1" x14ac:dyDescent="0.25">
      <c r="B77" s="756" t="s">
        <v>549</v>
      </c>
      <c r="C77" s="757"/>
      <c r="D77" s="757"/>
      <c r="E77" s="757"/>
      <c r="F77" s="757"/>
      <c r="G77" s="757"/>
      <c r="H77" s="757"/>
      <c r="I77" s="757"/>
      <c r="J77" s="757"/>
      <c r="K77" s="757"/>
      <c r="L77" s="757"/>
      <c r="M77" s="757"/>
      <c r="N77" s="757"/>
      <c r="O77" s="758"/>
      <c r="P77" s="1526" t="s">
        <v>1987</v>
      </c>
      <c r="R77" s="6"/>
      <c r="S77" s="1543" t="s">
        <v>2229</v>
      </c>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46" t="s">
        <v>761</v>
      </c>
      <c r="AS77" s="146" t="s">
        <v>762</v>
      </c>
    </row>
    <row r="78" spans="2:99" ht="15" customHeight="1" thickBot="1" x14ac:dyDescent="0.25">
      <c r="B78" s="18" t="s">
        <v>760</v>
      </c>
      <c r="C78" s="22" t="s">
        <v>439</v>
      </c>
      <c r="D78" s="22" t="s">
        <v>760</v>
      </c>
      <c r="E78" s="22" t="s">
        <v>440</v>
      </c>
      <c r="F78" s="22" t="s">
        <v>760</v>
      </c>
      <c r="G78" s="22" t="s">
        <v>441</v>
      </c>
      <c r="H78" s="22" t="s">
        <v>760</v>
      </c>
      <c r="I78" s="36" t="s">
        <v>442</v>
      </c>
      <c r="J78" s="36" t="s">
        <v>760</v>
      </c>
      <c r="K78" s="36" t="s">
        <v>1722</v>
      </c>
      <c r="L78" s="36" t="s">
        <v>760</v>
      </c>
      <c r="M78" s="36" t="s">
        <v>1723</v>
      </c>
      <c r="N78" s="22" t="s">
        <v>760</v>
      </c>
      <c r="O78" s="146"/>
      <c r="P78" s="1527"/>
      <c r="R78" s="6"/>
      <c r="S78" s="13">
        <f t="shared" ref="S78:AE78" si="13">IF(B79="X",1,0)</f>
        <v>0</v>
      </c>
      <c r="T78" s="13">
        <f t="shared" si="13"/>
        <v>0</v>
      </c>
      <c r="U78" s="13">
        <f t="shared" si="13"/>
        <v>0</v>
      </c>
      <c r="V78" s="13">
        <f t="shared" si="13"/>
        <v>0</v>
      </c>
      <c r="W78" s="13">
        <f t="shared" si="13"/>
        <v>0</v>
      </c>
      <c r="X78" s="13">
        <f t="shared" si="13"/>
        <v>0</v>
      </c>
      <c r="Y78" s="13">
        <f t="shared" si="13"/>
        <v>0</v>
      </c>
      <c r="Z78" s="13">
        <f t="shared" si="13"/>
        <v>0</v>
      </c>
      <c r="AA78" s="13">
        <f t="shared" si="13"/>
        <v>0</v>
      </c>
      <c r="AB78" s="13">
        <f t="shared" si="13"/>
        <v>0</v>
      </c>
      <c r="AC78" s="13">
        <f t="shared" si="13"/>
        <v>0</v>
      </c>
      <c r="AD78" s="13">
        <f t="shared" si="13"/>
        <v>0</v>
      </c>
      <c r="AE78" s="13">
        <f t="shared" si="13"/>
        <v>0</v>
      </c>
      <c r="AF78" s="13">
        <f t="shared" ref="AF78:AQ78" si="14">IF(B81="X",1,0)</f>
        <v>0</v>
      </c>
      <c r="AG78" s="13">
        <f t="shared" si="14"/>
        <v>0</v>
      </c>
      <c r="AH78" s="13">
        <f t="shared" si="14"/>
        <v>0</v>
      </c>
      <c r="AI78" s="13">
        <f t="shared" si="14"/>
        <v>0</v>
      </c>
      <c r="AJ78" s="13">
        <f t="shared" si="14"/>
        <v>0</v>
      </c>
      <c r="AK78" s="13">
        <f t="shared" si="14"/>
        <v>0</v>
      </c>
      <c r="AL78" s="13">
        <f t="shared" si="14"/>
        <v>0</v>
      </c>
      <c r="AM78" s="13">
        <f t="shared" si="14"/>
        <v>0</v>
      </c>
      <c r="AN78" s="146">
        <f t="shared" si="14"/>
        <v>0</v>
      </c>
      <c r="AO78" s="146">
        <f t="shared" si="14"/>
        <v>0</v>
      </c>
      <c r="AP78" s="146">
        <f t="shared" si="14"/>
        <v>0</v>
      </c>
      <c r="AQ78" s="146">
        <f t="shared" si="14"/>
        <v>0</v>
      </c>
      <c r="AR78" s="146">
        <f>SUM(T78,V78,X78,Z78,AB78,AD78,AF78,AH78,AJ78,AL78,AN78,AP78)</f>
        <v>0</v>
      </c>
      <c r="AS78" s="304">
        <f>SUM(S78,U78,W78,Y78,AA78,AC78,AE78,AG78,AI78,AK78,AM78,AO78,AQ78)</f>
        <v>0</v>
      </c>
      <c r="AT78" s="421">
        <f>IF(AND(AR78=0,AS78=0),0,0.04)</f>
        <v>0</v>
      </c>
      <c r="AU78" s="23" t="str">
        <f>IF(AR78&gt;2,(AR78-2)*0.01,"")</f>
        <v/>
      </c>
      <c r="AV78" s="421" t="str">
        <f>IF(AS78&gt;1,(AS78-1)*0.01,"")</f>
        <v/>
      </c>
      <c r="AW78" s="422">
        <f>SUM(AT78:AV78)</f>
        <v>0</v>
      </c>
    </row>
    <row r="79" spans="2:99" ht="15" customHeight="1" x14ac:dyDescent="0.2">
      <c r="B79" s="40"/>
      <c r="C79" s="40"/>
      <c r="D79" s="40"/>
      <c r="E79" s="40"/>
      <c r="F79" s="40"/>
      <c r="G79" s="40"/>
      <c r="H79" s="40"/>
      <c r="I79" s="40"/>
      <c r="J79" s="40"/>
      <c r="K79" s="40"/>
      <c r="L79" s="40"/>
      <c r="M79" s="40"/>
      <c r="N79" s="40"/>
      <c r="O79" s="44"/>
      <c r="P79" s="1527"/>
      <c r="R79" s="6"/>
      <c r="U79" s="6"/>
      <c r="V79" s="5"/>
      <c r="W79" s="105"/>
      <c r="X79" s="106"/>
      <c r="Y79" s="102"/>
      <c r="Z79" s="102"/>
      <c r="AA79" s="102"/>
      <c r="AB79" s="102"/>
      <c r="AC79" s="6"/>
      <c r="AD79" s="6"/>
      <c r="AE79" s="6"/>
      <c r="AF79" s="6"/>
      <c r="AG79" s="6"/>
      <c r="AH79" s="6"/>
      <c r="AI79" s="6"/>
      <c r="AJ79" s="6"/>
      <c r="AK79" s="6"/>
      <c r="AL79" s="6"/>
      <c r="AM79" s="6"/>
    </row>
    <row r="80" spans="2:99" ht="15" customHeight="1" x14ac:dyDescent="0.2">
      <c r="B80" s="18" t="s">
        <v>1724</v>
      </c>
      <c r="C80" s="22" t="s">
        <v>760</v>
      </c>
      <c r="D80" s="22" t="s">
        <v>1725</v>
      </c>
      <c r="E80" s="22" t="s">
        <v>760</v>
      </c>
      <c r="F80" s="22" t="s">
        <v>1726</v>
      </c>
      <c r="G80" s="22" t="s">
        <v>760</v>
      </c>
      <c r="H80" s="22" t="s">
        <v>1727</v>
      </c>
      <c r="I80" s="36" t="s">
        <v>760</v>
      </c>
      <c r="J80" s="36" t="s">
        <v>1728</v>
      </c>
      <c r="K80" s="36" t="s">
        <v>760</v>
      </c>
      <c r="L80" s="36" t="s">
        <v>1729</v>
      </c>
      <c r="M80" s="36" t="s">
        <v>760</v>
      </c>
      <c r="N80" s="910" t="s">
        <v>763</v>
      </c>
      <c r="O80" s="910"/>
      <c r="P80" s="1527"/>
      <c r="R80" s="6"/>
      <c r="S80" s="6"/>
      <c r="T80" s="6"/>
      <c r="U80" s="6"/>
      <c r="V80" s="5"/>
      <c r="W80" s="105"/>
      <c r="X80" s="106"/>
      <c r="Y80" s="102"/>
      <c r="Z80" s="102"/>
      <c r="AA80" s="102"/>
      <c r="AB80" s="102"/>
      <c r="AC80" s="6"/>
      <c r="AD80" s="6"/>
      <c r="AE80" s="6"/>
      <c r="AF80" s="6"/>
      <c r="AG80" s="6"/>
      <c r="AH80" s="6"/>
      <c r="AI80" s="6"/>
      <c r="AJ80" s="6"/>
      <c r="AK80" s="6"/>
      <c r="AL80" s="6"/>
      <c r="AM80" s="6"/>
    </row>
    <row r="81" spans="1:99" ht="15" customHeight="1" x14ac:dyDescent="0.2">
      <c r="B81" s="40"/>
      <c r="C81" s="40"/>
      <c r="D81" s="40"/>
      <c r="E81" s="40"/>
      <c r="F81" s="40"/>
      <c r="G81" s="40"/>
      <c r="H81" s="40"/>
      <c r="I81" s="40"/>
      <c r="J81" s="40"/>
      <c r="K81" s="40"/>
      <c r="L81" s="40"/>
      <c r="M81" s="40"/>
      <c r="N81" s="755">
        <f>AW78</f>
        <v>0</v>
      </c>
      <c r="O81" s="755"/>
      <c r="P81" s="1527"/>
      <c r="R81" s="6"/>
      <c r="U81" s="6"/>
      <c r="V81" s="5"/>
      <c r="W81" s="105"/>
      <c r="X81" s="106"/>
      <c r="Y81" s="102"/>
      <c r="Z81" s="102"/>
      <c r="AA81" s="102"/>
      <c r="AB81" s="102"/>
      <c r="AC81" s="6"/>
      <c r="AD81" s="6"/>
      <c r="AE81" s="6"/>
      <c r="AF81" s="6"/>
      <c r="AG81" s="6"/>
      <c r="AH81" s="6"/>
      <c r="AI81" s="6"/>
      <c r="AJ81" s="6"/>
      <c r="AK81" s="6"/>
      <c r="AL81" s="6"/>
      <c r="AM81" s="6"/>
    </row>
    <row r="82" spans="1:99" ht="29.25" customHeight="1" x14ac:dyDescent="0.2">
      <c r="B82" s="756" t="s">
        <v>343</v>
      </c>
      <c r="C82" s="757"/>
      <c r="D82" s="757"/>
      <c r="E82" s="757"/>
      <c r="F82" s="757"/>
      <c r="G82" s="757"/>
      <c r="H82" s="757"/>
      <c r="I82" s="757"/>
      <c r="J82" s="757"/>
      <c r="K82" s="757"/>
      <c r="L82" s="757"/>
      <c r="M82" s="757"/>
      <c r="N82" s="757"/>
      <c r="O82" s="758"/>
      <c r="P82" s="1527"/>
      <c r="R82" s="6"/>
      <c r="AK82" s="6"/>
      <c r="AL82" s="6"/>
      <c r="AM82" s="6"/>
    </row>
    <row r="83" spans="1:99" ht="18" customHeight="1" x14ac:dyDescent="0.2">
      <c r="B83" s="18" t="s">
        <v>760</v>
      </c>
      <c r="C83" s="22" t="s">
        <v>439</v>
      </c>
      <c r="D83" s="22" t="s">
        <v>760</v>
      </c>
      <c r="E83" s="22" t="s">
        <v>440</v>
      </c>
      <c r="F83" s="22" t="s">
        <v>760</v>
      </c>
      <c r="G83" s="22" t="s">
        <v>441</v>
      </c>
      <c r="H83" s="22" t="s">
        <v>760</v>
      </c>
      <c r="I83" s="36" t="s">
        <v>442</v>
      </c>
      <c r="J83" s="36" t="s">
        <v>760</v>
      </c>
      <c r="K83" s="36" t="s">
        <v>1722</v>
      </c>
      <c r="L83" s="36" t="s">
        <v>760</v>
      </c>
      <c r="M83" s="36" t="s">
        <v>1723</v>
      </c>
      <c r="N83" s="22" t="s">
        <v>760</v>
      </c>
      <c r="O83" s="43"/>
      <c r="P83" s="1527"/>
      <c r="R83" s="6"/>
      <c r="S83" s="6"/>
      <c r="T83" s="6"/>
      <c r="U83" s="6"/>
      <c r="V83" s="6"/>
      <c r="W83" s="6"/>
      <c r="X83" s="6"/>
      <c r="Y83" s="6"/>
      <c r="Z83" s="6"/>
      <c r="AA83" s="6"/>
      <c r="AB83" s="6"/>
      <c r="AC83" s="6"/>
      <c r="AD83" s="6"/>
      <c r="AE83" s="6"/>
      <c r="AF83" s="6"/>
      <c r="AG83" s="34"/>
      <c r="AH83" s="34"/>
      <c r="AI83" s="34"/>
      <c r="AJ83" s="108"/>
      <c r="AK83" s="6"/>
      <c r="AL83" s="6"/>
      <c r="AM83" s="6"/>
    </row>
    <row r="84" spans="1:99" ht="15" customHeight="1" x14ac:dyDescent="0.2">
      <c r="B84" s="40"/>
      <c r="C84" s="40"/>
      <c r="D84" s="40"/>
      <c r="E84" s="40"/>
      <c r="F84" s="40"/>
      <c r="G84" s="40"/>
      <c r="H84" s="40"/>
      <c r="I84" s="40"/>
      <c r="J84" s="40"/>
      <c r="K84" s="40"/>
      <c r="L84" s="40"/>
      <c r="M84" s="40"/>
      <c r="N84" s="40"/>
      <c r="O84" s="43"/>
      <c r="P84" s="1527"/>
      <c r="R84" s="6"/>
      <c r="Z84" s="6"/>
      <c r="AA84" s="6"/>
      <c r="AB84" s="6"/>
      <c r="AC84" s="6"/>
      <c r="AD84" s="6"/>
      <c r="AE84" s="6"/>
      <c r="AF84" s="6"/>
      <c r="AG84" s="34"/>
      <c r="AH84" s="34"/>
      <c r="AI84" s="34"/>
      <c r="AJ84" s="108"/>
      <c r="AK84" s="6"/>
      <c r="AL84" s="6"/>
      <c r="AM84" s="6"/>
    </row>
    <row r="85" spans="1:99" ht="14.25" customHeight="1" x14ac:dyDescent="0.2">
      <c r="B85" s="21">
        <f t="shared" ref="B85:N85" si="15">IF(OR(B84="",B84="NA"),0,B84*0.01)</f>
        <v>0</v>
      </c>
      <c r="C85" s="21">
        <f t="shared" si="15"/>
        <v>0</v>
      </c>
      <c r="D85" s="21">
        <f t="shared" si="15"/>
        <v>0</v>
      </c>
      <c r="E85" s="21">
        <f t="shared" si="15"/>
        <v>0</v>
      </c>
      <c r="F85" s="21">
        <f t="shared" si="15"/>
        <v>0</v>
      </c>
      <c r="G85" s="21">
        <f t="shared" si="15"/>
        <v>0</v>
      </c>
      <c r="H85" s="21">
        <f t="shared" si="15"/>
        <v>0</v>
      </c>
      <c r="I85" s="21">
        <f t="shared" si="15"/>
        <v>0</v>
      </c>
      <c r="J85" s="21">
        <f t="shared" si="15"/>
        <v>0</v>
      </c>
      <c r="K85" s="21">
        <f t="shared" si="15"/>
        <v>0</v>
      </c>
      <c r="L85" s="21">
        <f t="shared" si="15"/>
        <v>0</v>
      </c>
      <c r="M85" s="21">
        <f t="shared" si="15"/>
        <v>0</v>
      </c>
      <c r="N85" s="21">
        <f t="shared" si="15"/>
        <v>0</v>
      </c>
      <c r="O85" s="43"/>
      <c r="P85" s="1527"/>
      <c r="R85" s="6"/>
      <c r="Z85" s="102"/>
      <c r="AA85" s="102"/>
      <c r="AB85" s="102"/>
      <c r="AC85" s="6"/>
      <c r="AD85" s="6"/>
      <c r="AE85" s="6"/>
      <c r="AF85" s="6"/>
      <c r="AG85" s="6"/>
      <c r="AH85" s="6"/>
      <c r="AI85" s="6"/>
      <c r="AJ85" s="6"/>
      <c r="AK85" s="6"/>
      <c r="AL85" s="6"/>
      <c r="AM85" s="6"/>
    </row>
    <row r="86" spans="1:99" ht="18" customHeight="1" x14ac:dyDescent="0.2">
      <c r="B86" s="18" t="s">
        <v>1724</v>
      </c>
      <c r="C86" s="22" t="s">
        <v>760</v>
      </c>
      <c r="D86" s="22" t="s">
        <v>1725</v>
      </c>
      <c r="E86" s="22" t="s">
        <v>760</v>
      </c>
      <c r="F86" s="22" t="s">
        <v>1726</v>
      </c>
      <c r="G86" s="22" t="s">
        <v>760</v>
      </c>
      <c r="H86" s="22" t="s">
        <v>1727</v>
      </c>
      <c r="I86" s="36" t="s">
        <v>760</v>
      </c>
      <c r="J86" s="36" t="s">
        <v>1728</v>
      </c>
      <c r="K86" s="36" t="s">
        <v>760</v>
      </c>
      <c r="L86" s="36" t="s">
        <v>1729</v>
      </c>
      <c r="M86" s="36" t="s">
        <v>760</v>
      </c>
      <c r="N86" s="43"/>
      <c r="O86" s="43"/>
      <c r="P86" s="1527"/>
      <c r="R86" s="6"/>
      <c r="S86" s="6"/>
      <c r="T86" s="6"/>
      <c r="U86" s="6"/>
      <c r="V86" s="6"/>
      <c r="W86" s="6"/>
      <c r="X86" s="6"/>
      <c r="Y86" s="6"/>
      <c r="Z86" s="6"/>
      <c r="AA86" s="6"/>
      <c r="AB86" s="6"/>
      <c r="AC86" s="6"/>
      <c r="AD86" s="6"/>
      <c r="AE86" s="6"/>
      <c r="AF86" s="6"/>
      <c r="AG86" s="6"/>
      <c r="AH86" s="102"/>
      <c r="AI86" s="6"/>
      <c r="AJ86" s="6"/>
      <c r="AK86" s="6"/>
      <c r="AL86" s="6"/>
      <c r="AM86" s="6"/>
    </row>
    <row r="87" spans="1:99" ht="15" customHeight="1" x14ac:dyDescent="0.2">
      <c r="B87" s="40"/>
      <c r="C87" s="40"/>
      <c r="D87" s="40"/>
      <c r="E87" s="40"/>
      <c r="F87" s="40"/>
      <c r="G87" s="40"/>
      <c r="H87" s="40"/>
      <c r="I87" s="40"/>
      <c r="J87" s="40"/>
      <c r="K87" s="40"/>
      <c r="L87" s="40"/>
      <c r="M87" s="40"/>
      <c r="N87" s="910" t="s">
        <v>763</v>
      </c>
      <c r="O87" s="910"/>
      <c r="P87" s="524"/>
      <c r="R87" s="6"/>
      <c r="S87" s="6"/>
      <c r="T87" s="6"/>
      <c r="U87" s="6"/>
      <c r="V87" s="6"/>
      <c r="W87" s="6"/>
      <c r="X87" s="6"/>
      <c r="Y87" s="6"/>
      <c r="Z87" s="6"/>
      <c r="AA87" s="6"/>
      <c r="AB87" s="6"/>
      <c r="AC87" s="6"/>
      <c r="AD87" s="6"/>
      <c r="AE87" s="6"/>
      <c r="AF87" s="6"/>
      <c r="AG87" s="6"/>
      <c r="AH87" s="102"/>
      <c r="AI87" s="6"/>
      <c r="AJ87" s="6"/>
      <c r="AK87" s="6"/>
      <c r="AL87" s="6"/>
      <c r="AM87" s="6"/>
    </row>
    <row r="88" spans="1:99" ht="15" customHeight="1" x14ac:dyDescent="0.2">
      <c r="B88" s="49">
        <f t="shared" ref="B88:M88" si="16">IF(OR(B87="",B87="NA"),0,B87*0.01)</f>
        <v>0</v>
      </c>
      <c r="C88" s="49">
        <f t="shared" si="16"/>
        <v>0</v>
      </c>
      <c r="D88" s="49">
        <f t="shared" si="16"/>
        <v>0</v>
      </c>
      <c r="E88" s="49">
        <f t="shared" si="16"/>
        <v>0</v>
      </c>
      <c r="F88" s="49">
        <f t="shared" si="16"/>
        <v>0</v>
      </c>
      <c r="G88" s="49">
        <f t="shared" si="16"/>
        <v>0</v>
      </c>
      <c r="H88" s="49">
        <f t="shared" si="16"/>
        <v>0</v>
      </c>
      <c r="I88" s="49">
        <f t="shared" si="16"/>
        <v>0</v>
      </c>
      <c r="J88" s="49">
        <f t="shared" si="16"/>
        <v>0</v>
      </c>
      <c r="K88" s="49">
        <f t="shared" si="16"/>
        <v>0</v>
      </c>
      <c r="L88" s="49">
        <f t="shared" si="16"/>
        <v>0</v>
      </c>
      <c r="M88" s="49">
        <f t="shared" si="16"/>
        <v>0</v>
      </c>
      <c r="N88" s="857">
        <f>SUM(B85:N85,B88:M88)</f>
        <v>0</v>
      </c>
      <c r="O88" s="857"/>
      <c r="P88" s="525"/>
      <c r="R88" s="6"/>
      <c r="S88" s="6"/>
      <c r="T88" s="6"/>
      <c r="U88" s="6"/>
      <c r="V88" s="5"/>
      <c r="W88" s="105"/>
      <c r="X88" s="106"/>
      <c r="Y88" s="102"/>
      <c r="Z88" s="6"/>
      <c r="AA88" s="6"/>
      <c r="AB88" s="6"/>
      <c r="AC88" s="6"/>
      <c r="AD88" s="6"/>
      <c r="AE88" s="6"/>
      <c r="AF88" s="6"/>
      <c r="AG88" s="6"/>
      <c r="AH88" s="102"/>
      <c r="AI88" s="6"/>
      <c r="AJ88" s="6"/>
      <c r="AK88" s="6"/>
      <c r="AL88" s="6"/>
      <c r="AM88" s="6"/>
    </row>
    <row r="89" spans="1:99" ht="18" customHeight="1" x14ac:dyDescent="0.2">
      <c r="B89" s="1104" t="s">
        <v>33</v>
      </c>
      <c r="C89" s="1104"/>
      <c r="D89" s="1104"/>
      <c r="E89" s="1104"/>
      <c r="F89" s="1104"/>
      <c r="G89" s="1104"/>
      <c r="H89" s="1104"/>
      <c r="I89" s="1104"/>
      <c r="J89" s="1104"/>
      <c r="K89" s="1104"/>
      <c r="L89" s="1104"/>
      <c r="M89" s="1104"/>
      <c r="N89" s="1104"/>
      <c r="O89" s="1104"/>
      <c r="P89" s="245">
        <f>N81+N88</f>
        <v>0</v>
      </c>
      <c r="R89" s="6"/>
      <c r="S89" s="6"/>
      <c r="T89" s="6"/>
      <c r="U89" s="6"/>
      <c r="V89" s="5"/>
      <c r="W89" s="105"/>
      <c r="X89" s="6"/>
      <c r="Y89" s="6"/>
      <c r="Z89" s="6"/>
      <c r="AA89" s="6"/>
      <c r="AB89" s="6"/>
      <c r="AC89" s="6"/>
      <c r="AD89" s="6"/>
      <c r="AE89" s="6"/>
      <c r="AF89" s="6"/>
      <c r="AG89" s="6"/>
      <c r="AH89" s="102"/>
      <c r="AI89" s="6"/>
      <c r="AJ89" s="6"/>
      <c r="AK89" s="6"/>
      <c r="AL89" s="6"/>
      <c r="AM89" s="6"/>
    </row>
    <row r="90" spans="1:99" ht="12" customHeight="1" x14ac:dyDescent="0.2">
      <c r="B90" s="102"/>
      <c r="C90" s="102"/>
      <c r="D90" s="102"/>
      <c r="E90" s="102"/>
      <c r="F90" s="102"/>
      <c r="G90" s="102"/>
      <c r="H90" s="102"/>
      <c r="I90" s="102"/>
      <c r="J90" s="102"/>
      <c r="K90" s="102"/>
      <c r="L90" s="102"/>
      <c r="M90" s="102"/>
      <c r="N90" s="102"/>
      <c r="O90" s="102"/>
      <c r="P90" s="8"/>
      <c r="R90" s="6"/>
      <c r="S90" s="6"/>
      <c r="T90" s="6"/>
      <c r="U90" s="6"/>
      <c r="V90" s="5"/>
      <c r="W90" s="105"/>
      <c r="X90" s="6"/>
      <c r="Y90" s="6"/>
      <c r="Z90" s="6"/>
      <c r="AA90" s="6"/>
      <c r="AB90" s="6"/>
      <c r="AC90" s="6"/>
      <c r="AD90" s="6"/>
      <c r="AE90" s="6"/>
      <c r="AF90" s="6"/>
      <c r="AG90" s="6"/>
      <c r="AH90" s="102"/>
      <c r="AI90" s="6"/>
      <c r="AJ90" s="6"/>
      <c r="AK90" s="6"/>
      <c r="AL90" s="6"/>
      <c r="AM90" s="6"/>
    </row>
    <row r="91" spans="1:99" ht="18" customHeight="1" x14ac:dyDescent="0.2">
      <c r="B91" s="947" t="s">
        <v>583</v>
      </c>
      <c r="C91" s="863"/>
      <c r="D91" s="863"/>
      <c r="E91" s="863"/>
      <c r="F91" s="863"/>
      <c r="G91" s="863"/>
      <c r="H91" s="863"/>
      <c r="I91" s="863"/>
      <c r="J91" s="863"/>
      <c r="K91" s="863"/>
      <c r="L91" s="863"/>
      <c r="M91" s="863"/>
      <c r="N91" s="863"/>
      <c r="O91" s="863"/>
      <c r="P91" s="929">
        <f>IF(R93=1,0.05,0)</f>
        <v>0</v>
      </c>
      <c r="R91" s="6"/>
      <c r="S91" s="6"/>
      <c r="T91" s="6"/>
      <c r="U91" s="6"/>
      <c r="V91" s="6"/>
      <c r="W91" s="6"/>
      <c r="X91" s="6"/>
      <c r="Y91" s="6"/>
      <c r="Z91" s="6"/>
      <c r="AA91" s="6"/>
      <c r="AB91" s="6"/>
      <c r="AC91" s="6"/>
      <c r="AD91" s="6"/>
      <c r="AE91" s="6"/>
      <c r="AF91" s="6"/>
      <c r="AG91" s="6"/>
      <c r="AH91" s="6"/>
      <c r="AI91" s="6"/>
      <c r="AJ91" s="6"/>
      <c r="AK91" s="6"/>
      <c r="AL91" s="6"/>
      <c r="AM91" s="6"/>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row>
    <row r="92" spans="1:99" ht="42.75" customHeight="1" x14ac:dyDescent="0.2">
      <c r="B92" s="761" t="s">
        <v>1835</v>
      </c>
      <c r="C92" s="761"/>
      <c r="D92" s="761"/>
      <c r="E92" s="761"/>
      <c r="F92" s="761"/>
      <c r="G92" s="761"/>
      <c r="H92" s="761"/>
      <c r="I92" s="761"/>
      <c r="J92" s="761"/>
      <c r="K92" s="761"/>
      <c r="L92" s="761"/>
      <c r="M92" s="761"/>
      <c r="N92" s="761"/>
      <c r="O92" s="761"/>
      <c r="P92" s="1071"/>
      <c r="R92" s="318" t="s">
        <v>2240</v>
      </c>
      <c r="S92" s="6"/>
      <c r="T92" s="6"/>
      <c r="U92" s="6"/>
      <c r="V92" s="6"/>
      <c r="W92" s="6"/>
      <c r="X92" s="6"/>
      <c r="Y92" s="6"/>
      <c r="Z92" s="6"/>
      <c r="AA92" s="6"/>
      <c r="AB92" s="6"/>
      <c r="AC92" s="6"/>
      <c r="AD92" s="6"/>
      <c r="AE92" s="6"/>
      <c r="AF92" s="6"/>
      <c r="AG92" s="6"/>
      <c r="AH92" s="6"/>
      <c r="AI92" s="6"/>
      <c r="AJ92" s="6"/>
      <c r="AK92" s="6"/>
      <c r="AL92" s="6"/>
      <c r="AM92" s="6"/>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row>
    <row r="93" spans="1:99" ht="21.75" customHeight="1" x14ac:dyDescent="0.2">
      <c r="A93" s="15"/>
      <c r="B93" s="791" t="s">
        <v>932</v>
      </c>
      <c r="C93" s="791"/>
      <c r="D93" s="791"/>
      <c r="E93" s="791"/>
      <c r="F93" s="791"/>
      <c r="G93" s="791"/>
      <c r="H93" s="791"/>
      <c r="I93" s="791"/>
      <c r="J93" s="791"/>
      <c r="K93" s="1002"/>
      <c r="L93" s="1002"/>
      <c r="M93" s="1002"/>
      <c r="N93" s="1002"/>
      <c r="O93" s="1002"/>
      <c r="P93" s="1072"/>
      <c r="R93" s="613">
        <v>2</v>
      </c>
      <c r="S93" s="6"/>
      <c r="T93" s="6"/>
      <c r="U93" s="6"/>
      <c r="V93" s="6"/>
      <c r="W93" s="6"/>
      <c r="X93" s="6"/>
      <c r="Y93" s="6"/>
      <c r="Z93" s="6"/>
      <c r="AA93" s="6"/>
      <c r="AB93" s="6"/>
      <c r="AC93" s="6"/>
      <c r="AD93" s="6"/>
      <c r="AE93" s="6"/>
      <c r="AF93" s="6"/>
      <c r="AG93" s="6"/>
      <c r="AH93" s="6"/>
      <c r="AI93" s="6"/>
      <c r="AJ93" s="6"/>
      <c r="AK93" s="6"/>
      <c r="AL93" s="6"/>
      <c r="AM93" s="6"/>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row>
    <row r="94" spans="1:99" ht="12" customHeight="1" x14ac:dyDescent="0.2">
      <c r="B94" s="697"/>
      <c r="C94" s="697"/>
      <c r="D94" s="697"/>
      <c r="E94" s="697"/>
      <c r="F94" s="697"/>
      <c r="G94" s="697"/>
      <c r="H94" s="697"/>
      <c r="I94" s="697"/>
      <c r="J94" s="697"/>
      <c r="K94" s="697"/>
      <c r="L94" s="697"/>
      <c r="M94" s="697"/>
      <c r="N94" s="697"/>
      <c r="O94" s="697"/>
      <c r="P94" s="697"/>
      <c r="R94" s="6"/>
      <c r="S94" s="6"/>
      <c r="T94" s="6"/>
      <c r="U94" s="6"/>
      <c r="V94" s="5"/>
      <c r="W94" s="105"/>
      <c r="X94" s="6"/>
      <c r="Y94" s="6"/>
      <c r="Z94" s="6"/>
      <c r="AA94" s="6"/>
      <c r="AB94" s="6"/>
      <c r="AC94" s="6"/>
      <c r="AD94" s="6"/>
      <c r="AE94" s="6"/>
      <c r="AF94" s="6"/>
      <c r="AG94" s="6"/>
      <c r="AH94" s="102"/>
      <c r="AI94" s="6"/>
      <c r="AJ94" s="6"/>
      <c r="AK94" s="6"/>
      <c r="AL94" s="6"/>
      <c r="AM94" s="6"/>
    </row>
    <row r="95" spans="1:99" ht="27" customHeight="1" x14ac:dyDescent="0.2">
      <c r="B95" s="741" t="s">
        <v>58</v>
      </c>
      <c r="C95" s="741"/>
      <c r="D95" s="741"/>
      <c r="E95" s="741"/>
      <c r="F95" s="741"/>
      <c r="G95" s="741"/>
      <c r="H95" s="741"/>
      <c r="I95" s="912" t="s">
        <v>1495</v>
      </c>
      <c r="J95" s="910"/>
      <c r="K95" s="910"/>
      <c r="L95" s="910"/>
      <c r="M95" s="863"/>
      <c r="N95" s="863"/>
      <c r="O95" s="863"/>
      <c r="P95" s="1524">
        <f>U121</f>
        <v>0</v>
      </c>
      <c r="R95" s="13" t="s">
        <v>1826</v>
      </c>
      <c r="S95" s="13" t="s">
        <v>1285</v>
      </c>
      <c r="T95" s="13" t="s">
        <v>1286</v>
      </c>
      <c r="U95" s="13" t="s">
        <v>1287</v>
      </c>
      <c r="V95" s="105"/>
      <c r="W95" s="34"/>
      <c r="X95" s="34"/>
      <c r="Y95" s="34"/>
      <c r="Z95" s="34"/>
      <c r="AA95" s="34"/>
      <c r="AB95" s="34"/>
      <c r="AC95" s="34"/>
      <c r="AD95" s="34"/>
      <c r="AE95" s="34"/>
      <c r="AF95" s="34"/>
      <c r="AG95" s="34"/>
      <c r="AH95" s="34"/>
      <c r="AI95" s="34"/>
      <c r="AJ95" s="34"/>
      <c r="AK95" s="34"/>
      <c r="AL95" s="34"/>
      <c r="AM95" s="34"/>
      <c r="AN95" s="34"/>
      <c r="AO95" s="34"/>
      <c r="AP95" s="34"/>
      <c r="AQ95" s="34"/>
      <c r="AR95" s="34"/>
      <c r="AS95" s="34"/>
    </row>
    <row r="96" spans="1:99" ht="18" customHeight="1" x14ac:dyDescent="0.2">
      <c r="B96" s="791" t="s">
        <v>1918</v>
      </c>
      <c r="C96" s="791"/>
      <c r="D96" s="791"/>
      <c r="E96" s="791"/>
      <c r="F96" s="791"/>
      <c r="G96" s="755">
        <f>P58</f>
        <v>0</v>
      </c>
      <c r="H96" s="755"/>
      <c r="I96" s="1522"/>
      <c r="J96" s="1523"/>
      <c r="K96" s="1151">
        <f>IF(I96="",0,IF(AND(G96*I96&gt;0,G96*I96&lt;0.01),0.01,ROUND(G96*I96,2)))</f>
        <v>0</v>
      </c>
      <c r="L96" s="1151"/>
      <c r="M96" s="863"/>
      <c r="N96" s="863"/>
      <c r="O96" s="863"/>
      <c r="P96" s="1524"/>
      <c r="R96" s="365">
        <f>IF(K96&gt;0,K96,G96)</f>
        <v>0</v>
      </c>
      <c r="S96" s="84">
        <f>LARGE($R$96:$R$122,1)</f>
        <v>0</v>
      </c>
      <c r="T96" s="12">
        <f>S96+S97*(1-S96)</f>
        <v>0</v>
      </c>
      <c r="U96" s="52">
        <f>ROUND(T96,2)</f>
        <v>0</v>
      </c>
      <c r="V96" s="105"/>
      <c r="W96" s="34"/>
      <c r="X96" s="34"/>
      <c r="Y96" s="34"/>
      <c r="Z96" s="34"/>
      <c r="AA96" s="34"/>
      <c r="AB96" s="34"/>
      <c r="AC96" s="34"/>
      <c r="AD96" s="34"/>
      <c r="AE96" s="34"/>
      <c r="AF96" s="34"/>
      <c r="AG96" s="34"/>
      <c r="AH96" s="34"/>
      <c r="AI96" s="34"/>
      <c r="AJ96" s="34"/>
      <c r="AK96" s="34"/>
      <c r="AL96" s="34"/>
      <c r="AM96" s="34"/>
      <c r="AN96" s="34"/>
      <c r="AO96" s="34"/>
      <c r="AP96" s="34"/>
      <c r="AQ96" s="34"/>
      <c r="AR96" s="34"/>
      <c r="AS96" s="34"/>
    </row>
    <row r="97" spans="2:45" ht="18" customHeight="1" x14ac:dyDescent="0.2">
      <c r="B97" s="1557" t="s">
        <v>1318</v>
      </c>
      <c r="C97" s="1558"/>
      <c r="D97" s="1558"/>
      <c r="E97" s="1559"/>
      <c r="F97" s="18" t="s">
        <v>439</v>
      </c>
      <c r="G97" s="727">
        <f t="shared" ref="G97:G108" si="17">H64</f>
        <v>0</v>
      </c>
      <c r="H97" s="729"/>
      <c r="I97" s="1522"/>
      <c r="J97" s="1523"/>
      <c r="K97" s="1151">
        <f t="shared" ref="K97:K121" si="18">IF(I97="",0,IF(AND(G97*I97&gt;0,G97*I97&lt;0.01),0.01,ROUND(G97*I97,2)))</f>
        <v>0</v>
      </c>
      <c r="L97" s="1151"/>
      <c r="M97" s="863"/>
      <c r="N97" s="863"/>
      <c r="O97" s="863"/>
      <c r="P97" s="1524"/>
      <c r="R97" s="365">
        <f t="shared" ref="R97:R122" si="19">IF(K97&gt;0,K97,G97)</f>
        <v>0</v>
      </c>
      <c r="S97" s="84">
        <f>LARGE($R$96:$R$122,2)</f>
        <v>0</v>
      </c>
      <c r="T97" s="12">
        <f>U96+S98*(1-U96)</f>
        <v>0</v>
      </c>
      <c r="U97" s="52">
        <f>ROUND(T97,2)</f>
        <v>0</v>
      </c>
      <c r="V97" s="105"/>
      <c r="W97" s="34"/>
      <c r="X97" s="34"/>
      <c r="Y97" s="34"/>
      <c r="Z97" s="34"/>
      <c r="AA97" s="34"/>
      <c r="AB97" s="34"/>
      <c r="AC97" s="34"/>
      <c r="AD97" s="34"/>
      <c r="AE97" s="34"/>
      <c r="AF97" s="34"/>
      <c r="AG97" s="34"/>
      <c r="AH97" s="34"/>
      <c r="AI97" s="34"/>
      <c r="AJ97" s="34"/>
      <c r="AK97" s="34"/>
      <c r="AL97" s="34"/>
      <c r="AM97" s="34"/>
      <c r="AN97" s="34"/>
      <c r="AO97" s="34"/>
      <c r="AP97" s="34"/>
      <c r="AQ97" s="34"/>
      <c r="AR97" s="34"/>
      <c r="AS97" s="34"/>
    </row>
    <row r="98" spans="2:45" ht="18" customHeight="1" x14ac:dyDescent="0.2">
      <c r="B98" s="1560"/>
      <c r="C98" s="1561"/>
      <c r="D98" s="1561"/>
      <c r="E98" s="1562"/>
      <c r="F98" s="18" t="s">
        <v>440</v>
      </c>
      <c r="G98" s="727">
        <f t="shared" si="17"/>
        <v>0</v>
      </c>
      <c r="H98" s="729"/>
      <c r="I98" s="1522"/>
      <c r="J98" s="1523"/>
      <c r="K98" s="1151">
        <f t="shared" si="18"/>
        <v>0</v>
      </c>
      <c r="L98" s="1151"/>
      <c r="M98" s="863"/>
      <c r="N98" s="863"/>
      <c r="O98" s="863"/>
      <c r="P98" s="1524"/>
      <c r="R98" s="365">
        <f t="shared" si="19"/>
        <v>0</v>
      </c>
      <c r="S98" s="84">
        <f>LARGE($R$96:$R$122,3)</f>
        <v>0</v>
      </c>
      <c r="T98" s="12">
        <f t="shared" ref="T98:T121" si="20">U97+S99*(1-U97)</f>
        <v>0</v>
      </c>
      <c r="U98" s="52">
        <f t="shared" ref="U98:U121" si="21">ROUND(T98,2)</f>
        <v>0</v>
      </c>
      <c r="V98" s="105"/>
      <c r="W98" s="34"/>
      <c r="X98" s="34"/>
      <c r="Y98" s="34"/>
      <c r="Z98" s="34"/>
      <c r="AA98" s="34"/>
      <c r="AB98" s="34"/>
      <c r="AC98" s="34"/>
      <c r="AD98" s="34"/>
      <c r="AE98" s="34"/>
      <c r="AF98" s="34"/>
      <c r="AG98" s="34"/>
      <c r="AH98" s="34"/>
      <c r="AI98" s="34"/>
      <c r="AJ98" s="34"/>
      <c r="AK98" s="34"/>
      <c r="AL98" s="34"/>
      <c r="AM98" s="34"/>
      <c r="AN98" s="34"/>
      <c r="AO98" s="34"/>
      <c r="AP98" s="34"/>
      <c r="AQ98" s="34"/>
      <c r="AR98" s="34"/>
      <c r="AS98" s="34"/>
    </row>
    <row r="99" spans="2:45" ht="18" customHeight="1" x14ac:dyDescent="0.2">
      <c r="B99" s="1560"/>
      <c r="C99" s="1561"/>
      <c r="D99" s="1561"/>
      <c r="E99" s="1562"/>
      <c r="F99" s="18" t="s">
        <v>441</v>
      </c>
      <c r="G99" s="727">
        <f t="shared" si="17"/>
        <v>0</v>
      </c>
      <c r="H99" s="729"/>
      <c r="I99" s="1522"/>
      <c r="J99" s="1523"/>
      <c r="K99" s="1151">
        <f t="shared" si="18"/>
        <v>0</v>
      </c>
      <c r="L99" s="1151"/>
      <c r="M99" s="863"/>
      <c r="N99" s="863"/>
      <c r="O99" s="863"/>
      <c r="P99" s="1524"/>
      <c r="R99" s="365">
        <f t="shared" si="19"/>
        <v>0</v>
      </c>
      <c r="S99" s="84">
        <f>LARGE($R$96:$R$122,4)</f>
        <v>0</v>
      </c>
      <c r="T99" s="12">
        <f t="shared" si="20"/>
        <v>0</v>
      </c>
      <c r="U99" s="52">
        <f t="shared" si="21"/>
        <v>0</v>
      </c>
      <c r="V99" s="105"/>
      <c r="W99" s="34"/>
      <c r="X99" s="34"/>
      <c r="Y99" s="34"/>
      <c r="Z99" s="34"/>
      <c r="AA99" s="34"/>
      <c r="AB99" s="34"/>
      <c r="AC99" s="34"/>
      <c r="AD99" s="34"/>
      <c r="AE99" s="34"/>
      <c r="AF99" s="34"/>
      <c r="AG99" s="34"/>
      <c r="AH99" s="34"/>
      <c r="AI99" s="34"/>
      <c r="AJ99" s="34"/>
      <c r="AK99" s="34"/>
      <c r="AL99" s="34"/>
      <c r="AM99" s="34"/>
      <c r="AN99" s="34"/>
      <c r="AO99" s="34"/>
      <c r="AP99" s="34"/>
      <c r="AQ99" s="34"/>
      <c r="AR99" s="34"/>
      <c r="AS99" s="34"/>
    </row>
    <row r="100" spans="2:45" ht="18" customHeight="1" x14ac:dyDescent="0.2">
      <c r="B100" s="1560"/>
      <c r="C100" s="1561"/>
      <c r="D100" s="1561"/>
      <c r="E100" s="1562"/>
      <c r="F100" s="18" t="s">
        <v>442</v>
      </c>
      <c r="G100" s="727">
        <f t="shared" si="17"/>
        <v>0</v>
      </c>
      <c r="H100" s="729"/>
      <c r="I100" s="1522"/>
      <c r="J100" s="1523"/>
      <c r="K100" s="1151">
        <f t="shared" si="18"/>
        <v>0</v>
      </c>
      <c r="L100" s="1151"/>
      <c r="M100" s="863"/>
      <c r="N100" s="863"/>
      <c r="O100" s="863"/>
      <c r="P100" s="1524"/>
      <c r="R100" s="365">
        <f t="shared" si="19"/>
        <v>0</v>
      </c>
      <c r="S100" s="84">
        <f>LARGE($R$96:$R$122,5)</f>
        <v>0</v>
      </c>
      <c r="T100" s="12">
        <f t="shared" si="20"/>
        <v>0</v>
      </c>
      <c r="U100" s="52">
        <f t="shared" si="21"/>
        <v>0</v>
      </c>
      <c r="V100" s="105"/>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row>
    <row r="101" spans="2:45" ht="18" customHeight="1" x14ac:dyDescent="0.2">
      <c r="B101" s="1560"/>
      <c r="C101" s="1561"/>
      <c r="D101" s="1561"/>
      <c r="E101" s="1562"/>
      <c r="F101" s="18" t="s">
        <v>1722</v>
      </c>
      <c r="G101" s="727">
        <f t="shared" si="17"/>
        <v>0</v>
      </c>
      <c r="H101" s="729"/>
      <c r="I101" s="1522"/>
      <c r="J101" s="1523"/>
      <c r="K101" s="1151">
        <f t="shared" si="18"/>
        <v>0</v>
      </c>
      <c r="L101" s="1151"/>
      <c r="M101" s="863"/>
      <c r="N101" s="863"/>
      <c r="O101" s="863"/>
      <c r="P101" s="1524"/>
      <c r="R101" s="365">
        <f t="shared" si="19"/>
        <v>0</v>
      </c>
      <c r="S101" s="84">
        <f>LARGE($R$96:$R$122,6)</f>
        <v>0</v>
      </c>
      <c r="T101" s="12">
        <f t="shared" si="20"/>
        <v>0</v>
      </c>
      <c r="U101" s="52">
        <f t="shared" si="21"/>
        <v>0</v>
      </c>
      <c r="V101" s="105"/>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row>
    <row r="102" spans="2:45" ht="18" customHeight="1" x14ac:dyDescent="0.2">
      <c r="B102" s="1560"/>
      <c r="C102" s="1561"/>
      <c r="D102" s="1561"/>
      <c r="E102" s="1562"/>
      <c r="F102" s="18" t="s">
        <v>1723</v>
      </c>
      <c r="G102" s="727">
        <f t="shared" si="17"/>
        <v>0</v>
      </c>
      <c r="H102" s="729"/>
      <c r="I102" s="1522"/>
      <c r="J102" s="1523"/>
      <c r="K102" s="1151">
        <f t="shared" si="18"/>
        <v>0</v>
      </c>
      <c r="L102" s="1151"/>
      <c r="M102" s="863"/>
      <c r="N102" s="863"/>
      <c r="O102" s="863"/>
      <c r="P102" s="1524"/>
      <c r="R102" s="365">
        <f t="shared" si="19"/>
        <v>0</v>
      </c>
      <c r="S102" s="84">
        <f>LARGE($R$96:$R$122,7)</f>
        <v>0</v>
      </c>
      <c r="T102" s="12">
        <f t="shared" si="20"/>
        <v>0</v>
      </c>
      <c r="U102" s="52">
        <f t="shared" si="21"/>
        <v>0</v>
      </c>
      <c r="V102" s="105"/>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row>
    <row r="103" spans="2:45" ht="18" customHeight="1" x14ac:dyDescent="0.2">
      <c r="B103" s="1560"/>
      <c r="C103" s="1561"/>
      <c r="D103" s="1561"/>
      <c r="E103" s="1562"/>
      <c r="F103" s="18" t="s">
        <v>1724</v>
      </c>
      <c r="G103" s="727">
        <f t="shared" si="17"/>
        <v>0</v>
      </c>
      <c r="H103" s="729"/>
      <c r="I103" s="1522"/>
      <c r="J103" s="1523"/>
      <c r="K103" s="1151">
        <f t="shared" si="18"/>
        <v>0</v>
      </c>
      <c r="L103" s="1151"/>
      <c r="M103" s="863"/>
      <c r="N103" s="863"/>
      <c r="O103" s="863"/>
      <c r="P103" s="1524"/>
      <c r="R103" s="365">
        <f t="shared" si="19"/>
        <v>0</v>
      </c>
      <c r="S103" s="84">
        <f>LARGE($R$96:$R$122,8)</f>
        <v>0</v>
      </c>
      <c r="T103" s="12">
        <f t="shared" si="20"/>
        <v>0</v>
      </c>
      <c r="U103" s="52">
        <f t="shared" si="21"/>
        <v>0</v>
      </c>
      <c r="V103" s="105"/>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row>
    <row r="104" spans="2:45" ht="18" customHeight="1" x14ac:dyDescent="0.2">
      <c r="B104" s="1560"/>
      <c r="C104" s="1561"/>
      <c r="D104" s="1561"/>
      <c r="E104" s="1562"/>
      <c r="F104" s="18" t="s">
        <v>1725</v>
      </c>
      <c r="G104" s="727">
        <f t="shared" si="17"/>
        <v>0</v>
      </c>
      <c r="H104" s="729"/>
      <c r="I104" s="1522"/>
      <c r="J104" s="1523"/>
      <c r="K104" s="1151">
        <f t="shared" si="18"/>
        <v>0</v>
      </c>
      <c r="L104" s="1151"/>
      <c r="M104" s="863"/>
      <c r="N104" s="863"/>
      <c r="O104" s="863"/>
      <c r="P104" s="1524"/>
      <c r="R104" s="365">
        <f t="shared" si="19"/>
        <v>0</v>
      </c>
      <c r="S104" s="84">
        <f>LARGE($R$96:$R$122,9)</f>
        <v>0</v>
      </c>
      <c r="T104" s="12">
        <f t="shared" si="20"/>
        <v>0</v>
      </c>
      <c r="U104" s="52">
        <f t="shared" si="21"/>
        <v>0</v>
      </c>
      <c r="V104" s="105"/>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row>
    <row r="105" spans="2:45" ht="18" customHeight="1" x14ac:dyDescent="0.2">
      <c r="B105" s="1560"/>
      <c r="C105" s="1561"/>
      <c r="D105" s="1561"/>
      <c r="E105" s="1562"/>
      <c r="F105" s="18" t="s">
        <v>1726</v>
      </c>
      <c r="G105" s="727">
        <f t="shared" si="17"/>
        <v>0</v>
      </c>
      <c r="H105" s="729"/>
      <c r="I105" s="1522"/>
      <c r="J105" s="1523"/>
      <c r="K105" s="1151">
        <f t="shared" si="18"/>
        <v>0</v>
      </c>
      <c r="L105" s="1151"/>
      <c r="M105" s="863"/>
      <c r="N105" s="863"/>
      <c r="O105" s="863"/>
      <c r="P105" s="1524"/>
      <c r="R105" s="365">
        <f t="shared" si="19"/>
        <v>0</v>
      </c>
      <c r="S105" s="84">
        <f>LARGE($R$96:$R$122,10)</f>
        <v>0</v>
      </c>
      <c r="T105" s="12">
        <f t="shared" si="20"/>
        <v>0</v>
      </c>
      <c r="U105" s="52">
        <f t="shared" si="21"/>
        <v>0</v>
      </c>
      <c r="V105" s="105"/>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row>
    <row r="106" spans="2:45" ht="18" customHeight="1" x14ac:dyDescent="0.2">
      <c r="B106" s="1560"/>
      <c r="C106" s="1561"/>
      <c r="D106" s="1561"/>
      <c r="E106" s="1562"/>
      <c r="F106" s="18" t="s">
        <v>1727</v>
      </c>
      <c r="G106" s="727">
        <f t="shared" si="17"/>
        <v>0</v>
      </c>
      <c r="H106" s="729"/>
      <c r="I106" s="1522"/>
      <c r="J106" s="1523"/>
      <c r="K106" s="1151">
        <f t="shared" si="18"/>
        <v>0</v>
      </c>
      <c r="L106" s="1151"/>
      <c r="M106" s="863"/>
      <c r="N106" s="863"/>
      <c r="O106" s="863"/>
      <c r="P106" s="1524"/>
      <c r="R106" s="365">
        <f t="shared" si="19"/>
        <v>0</v>
      </c>
      <c r="S106" s="84">
        <f>LARGE($R$96:$R$122,11)</f>
        <v>0</v>
      </c>
      <c r="T106" s="12">
        <f t="shared" si="20"/>
        <v>0</v>
      </c>
      <c r="U106" s="52">
        <f t="shared" si="21"/>
        <v>0</v>
      </c>
      <c r="V106" s="105"/>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row>
    <row r="107" spans="2:45" ht="18" customHeight="1" x14ac:dyDescent="0.2">
      <c r="B107" s="1560"/>
      <c r="C107" s="1561"/>
      <c r="D107" s="1561"/>
      <c r="E107" s="1562"/>
      <c r="F107" s="18" t="s">
        <v>1728</v>
      </c>
      <c r="G107" s="727">
        <f t="shared" si="17"/>
        <v>0</v>
      </c>
      <c r="H107" s="729"/>
      <c r="I107" s="1522"/>
      <c r="J107" s="1523"/>
      <c r="K107" s="1151">
        <f t="shared" si="18"/>
        <v>0</v>
      </c>
      <c r="L107" s="1151"/>
      <c r="M107" s="863"/>
      <c r="N107" s="863"/>
      <c r="O107" s="863"/>
      <c r="P107" s="1524"/>
      <c r="R107" s="365">
        <f t="shared" si="19"/>
        <v>0</v>
      </c>
      <c r="S107" s="84">
        <f>LARGE($R$96:$R$122,12)</f>
        <v>0</v>
      </c>
      <c r="T107" s="12">
        <f t="shared" si="20"/>
        <v>0</v>
      </c>
      <c r="U107" s="52">
        <f t="shared" si="21"/>
        <v>0</v>
      </c>
      <c r="V107" s="105"/>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row>
    <row r="108" spans="2:45" ht="18" customHeight="1" x14ac:dyDescent="0.2">
      <c r="B108" s="1563"/>
      <c r="C108" s="1564"/>
      <c r="D108" s="1564"/>
      <c r="E108" s="1565"/>
      <c r="F108" s="18" t="s">
        <v>1729</v>
      </c>
      <c r="G108" s="727">
        <f t="shared" si="17"/>
        <v>0</v>
      </c>
      <c r="H108" s="729"/>
      <c r="I108" s="1522"/>
      <c r="J108" s="1523"/>
      <c r="K108" s="1151">
        <f t="shared" si="18"/>
        <v>0</v>
      </c>
      <c r="L108" s="1151"/>
      <c r="M108" s="863"/>
      <c r="N108" s="863"/>
      <c r="O108" s="863"/>
      <c r="P108" s="1524"/>
      <c r="R108" s="365">
        <f t="shared" si="19"/>
        <v>0</v>
      </c>
      <c r="S108" s="84">
        <f>LARGE($R$96:$R$122,13)</f>
        <v>0</v>
      </c>
      <c r="T108" s="12">
        <f t="shared" si="20"/>
        <v>0</v>
      </c>
      <c r="U108" s="52">
        <f t="shared" si="21"/>
        <v>0</v>
      </c>
      <c r="V108" s="105"/>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row>
    <row r="109" spans="2:45" ht="18" customHeight="1" x14ac:dyDescent="0.2">
      <c r="B109" s="1557" t="s">
        <v>1319</v>
      </c>
      <c r="C109" s="1558"/>
      <c r="D109" s="1558"/>
      <c r="E109" s="1559"/>
      <c r="F109" s="18" t="s">
        <v>439</v>
      </c>
      <c r="G109" s="727">
        <f t="shared" ref="G109:G120" si="22">O64</f>
        <v>0</v>
      </c>
      <c r="H109" s="729"/>
      <c r="I109" s="1522"/>
      <c r="J109" s="1523"/>
      <c r="K109" s="1151">
        <f t="shared" si="18"/>
        <v>0</v>
      </c>
      <c r="L109" s="1151"/>
      <c r="M109" s="863"/>
      <c r="N109" s="863"/>
      <c r="O109" s="863"/>
      <c r="P109" s="1524"/>
      <c r="R109" s="365">
        <f t="shared" si="19"/>
        <v>0</v>
      </c>
      <c r="S109" s="84">
        <f>LARGE($R$96:$R$122,14)</f>
        <v>0</v>
      </c>
      <c r="T109" s="12">
        <f t="shared" si="20"/>
        <v>0</v>
      </c>
      <c r="U109" s="52">
        <f t="shared" si="21"/>
        <v>0</v>
      </c>
      <c r="V109" s="105"/>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row>
    <row r="110" spans="2:45" ht="18" customHeight="1" x14ac:dyDescent="0.2">
      <c r="B110" s="1560"/>
      <c r="C110" s="1561"/>
      <c r="D110" s="1561"/>
      <c r="E110" s="1562"/>
      <c r="F110" s="18" t="s">
        <v>440</v>
      </c>
      <c r="G110" s="727">
        <f t="shared" si="22"/>
        <v>0</v>
      </c>
      <c r="H110" s="729"/>
      <c r="I110" s="1522"/>
      <c r="J110" s="1523"/>
      <c r="K110" s="1151">
        <f t="shared" si="18"/>
        <v>0</v>
      </c>
      <c r="L110" s="1151"/>
      <c r="M110" s="863"/>
      <c r="N110" s="863"/>
      <c r="O110" s="863"/>
      <c r="P110" s="1524"/>
      <c r="R110" s="365">
        <f t="shared" si="19"/>
        <v>0</v>
      </c>
      <c r="S110" s="84">
        <f>LARGE($R$96:$R$122,15)</f>
        <v>0</v>
      </c>
      <c r="T110" s="12">
        <f t="shared" si="20"/>
        <v>0</v>
      </c>
      <c r="U110" s="52">
        <f t="shared" si="21"/>
        <v>0</v>
      </c>
      <c r="V110" s="105"/>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row>
    <row r="111" spans="2:45" ht="18" customHeight="1" x14ac:dyDescent="0.2">
      <c r="B111" s="1560"/>
      <c r="C111" s="1561"/>
      <c r="D111" s="1561"/>
      <c r="E111" s="1562"/>
      <c r="F111" s="18" t="s">
        <v>441</v>
      </c>
      <c r="G111" s="727">
        <f t="shared" si="22"/>
        <v>0</v>
      </c>
      <c r="H111" s="729"/>
      <c r="I111" s="1522"/>
      <c r="J111" s="1523"/>
      <c r="K111" s="1151">
        <f t="shared" si="18"/>
        <v>0</v>
      </c>
      <c r="L111" s="1151"/>
      <c r="M111" s="863"/>
      <c r="N111" s="863"/>
      <c r="O111" s="863"/>
      <c r="P111" s="1524"/>
      <c r="R111" s="365">
        <f t="shared" si="19"/>
        <v>0</v>
      </c>
      <c r="S111" s="84">
        <f>LARGE($R$96:$R$122,16)</f>
        <v>0</v>
      </c>
      <c r="T111" s="12">
        <f t="shared" si="20"/>
        <v>0</v>
      </c>
      <c r="U111" s="52">
        <f t="shared" si="21"/>
        <v>0</v>
      </c>
      <c r="V111" s="105"/>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row>
    <row r="112" spans="2:45" ht="18" customHeight="1" x14ac:dyDescent="0.2">
      <c r="B112" s="1560"/>
      <c r="C112" s="1561"/>
      <c r="D112" s="1561"/>
      <c r="E112" s="1562"/>
      <c r="F112" s="18" t="s">
        <v>442</v>
      </c>
      <c r="G112" s="727">
        <f t="shared" si="22"/>
        <v>0</v>
      </c>
      <c r="H112" s="729"/>
      <c r="I112" s="1522"/>
      <c r="J112" s="1523"/>
      <c r="K112" s="1151">
        <f t="shared" si="18"/>
        <v>0</v>
      </c>
      <c r="L112" s="1151"/>
      <c r="M112" s="863"/>
      <c r="N112" s="863"/>
      <c r="O112" s="863"/>
      <c r="P112" s="1524"/>
      <c r="R112" s="365">
        <f t="shared" si="19"/>
        <v>0</v>
      </c>
      <c r="S112" s="84">
        <f>LARGE($R$96:$R$122,17)</f>
        <v>0</v>
      </c>
      <c r="T112" s="12">
        <f t="shared" si="20"/>
        <v>0</v>
      </c>
      <c r="U112" s="52">
        <f t="shared" si="21"/>
        <v>0</v>
      </c>
      <c r="V112" s="105"/>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row>
    <row r="113" spans="2:45" ht="18" customHeight="1" x14ac:dyDescent="0.2">
      <c r="B113" s="1560"/>
      <c r="C113" s="1561"/>
      <c r="D113" s="1561"/>
      <c r="E113" s="1562"/>
      <c r="F113" s="18" t="s">
        <v>1722</v>
      </c>
      <c r="G113" s="727">
        <f t="shared" si="22"/>
        <v>0</v>
      </c>
      <c r="H113" s="729"/>
      <c r="I113" s="1522"/>
      <c r="J113" s="1523"/>
      <c r="K113" s="1151">
        <f t="shared" si="18"/>
        <v>0</v>
      </c>
      <c r="L113" s="1151"/>
      <c r="M113" s="863"/>
      <c r="N113" s="863"/>
      <c r="O113" s="863"/>
      <c r="P113" s="1524"/>
      <c r="R113" s="365">
        <f t="shared" si="19"/>
        <v>0</v>
      </c>
      <c r="S113" s="84">
        <f>LARGE($R$96:$R$122,18)</f>
        <v>0</v>
      </c>
      <c r="T113" s="12">
        <f t="shared" si="20"/>
        <v>0</v>
      </c>
      <c r="U113" s="52">
        <f t="shared" si="21"/>
        <v>0</v>
      </c>
      <c r="V113" s="105"/>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row>
    <row r="114" spans="2:45" ht="18" customHeight="1" x14ac:dyDescent="0.2">
      <c r="B114" s="1560"/>
      <c r="C114" s="1561"/>
      <c r="D114" s="1561"/>
      <c r="E114" s="1562"/>
      <c r="F114" s="18" t="s">
        <v>1723</v>
      </c>
      <c r="G114" s="727">
        <f t="shared" si="22"/>
        <v>0</v>
      </c>
      <c r="H114" s="729"/>
      <c r="I114" s="1522"/>
      <c r="J114" s="1523"/>
      <c r="K114" s="1151">
        <f t="shared" si="18"/>
        <v>0</v>
      </c>
      <c r="L114" s="1151"/>
      <c r="M114" s="863"/>
      <c r="N114" s="863"/>
      <c r="O114" s="863"/>
      <c r="P114" s="1524"/>
      <c r="R114" s="365">
        <f t="shared" si="19"/>
        <v>0</v>
      </c>
      <c r="S114" s="84">
        <f>LARGE($R$96:$R$122,19)</f>
        <v>0</v>
      </c>
      <c r="T114" s="12">
        <f t="shared" si="20"/>
        <v>0</v>
      </c>
      <c r="U114" s="52">
        <f t="shared" si="21"/>
        <v>0</v>
      </c>
      <c r="V114" s="105"/>
      <c r="W114" s="6"/>
      <c r="X114" s="6"/>
      <c r="Y114" s="6"/>
      <c r="Z114" s="6"/>
      <c r="AA114" s="6"/>
      <c r="AB114" s="6"/>
      <c r="AC114" s="6"/>
      <c r="AD114" s="6"/>
      <c r="AE114" s="6"/>
      <c r="AF114" s="6"/>
      <c r="AG114" s="6"/>
      <c r="AH114" s="6"/>
      <c r="AI114" s="6"/>
      <c r="AJ114" s="6"/>
      <c r="AK114" s="6"/>
      <c r="AL114" s="6"/>
      <c r="AM114" s="6"/>
    </row>
    <row r="115" spans="2:45" ht="18" customHeight="1" x14ac:dyDescent="0.2">
      <c r="B115" s="1560"/>
      <c r="C115" s="1561"/>
      <c r="D115" s="1561"/>
      <c r="E115" s="1562"/>
      <c r="F115" s="18" t="s">
        <v>1724</v>
      </c>
      <c r="G115" s="727">
        <f t="shared" si="22"/>
        <v>0</v>
      </c>
      <c r="H115" s="729"/>
      <c r="I115" s="1522"/>
      <c r="J115" s="1523"/>
      <c r="K115" s="1151">
        <f t="shared" si="18"/>
        <v>0</v>
      </c>
      <c r="L115" s="1151"/>
      <c r="M115" s="863"/>
      <c r="N115" s="863"/>
      <c r="O115" s="863"/>
      <c r="P115" s="1524"/>
      <c r="R115" s="365">
        <f t="shared" si="19"/>
        <v>0</v>
      </c>
      <c r="S115" s="84">
        <f>LARGE($R$96:$R$122,20)</f>
        <v>0</v>
      </c>
      <c r="T115" s="12">
        <f t="shared" si="20"/>
        <v>0</v>
      </c>
      <c r="U115" s="52">
        <f t="shared" si="21"/>
        <v>0</v>
      </c>
      <c r="V115" s="105"/>
      <c r="W115" s="6"/>
      <c r="X115" s="6"/>
      <c r="Y115" s="6"/>
      <c r="Z115" s="6"/>
      <c r="AA115" s="6"/>
      <c r="AB115" s="6"/>
      <c r="AC115" s="6"/>
      <c r="AD115" s="6"/>
      <c r="AE115" s="6"/>
      <c r="AF115" s="6"/>
      <c r="AG115" s="6"/>
      <c r="AH115" s="6"/>
      <c r="AI115" s="6"/>
      <c r="AJ115" s="6"/>
      <c r="AK115" s="6"/>
      <c r="AL115" s="6"/>
      <c r="AM115" s="6"/>
    </row>
    <row r="116" spans="2:45" ht="18" customHeight="1" x14ac:dyDescent="0.2">
      <c r="B116" s="1560"/>
      <c r="C116" s="1561"/>
      <c r="D116" s="1561"/>
      <c r="E116" s="1562"/>
      <c r="F116" s="18" t="s">
        <v>1725</v>
      </c>
      <c r="G116" s="727">
        <f t="shared" si="22"/>
        <v>0</v>
      </c>
      <c r="H116" s="729"/>
      <c r="I116" s="1522"/>
      <c r="J116" s="1523"/>
      <c r="K116" s="1151">
        <f t="shared" si="18"/>
        <v>0</v>
      </c>
      <c r="L116" s="1151"/>
      <c r="M116" s="863"/>
      <c r="N116" s="863"/>
      <c r="O116" s="863"/>
      <c r="P116" s="1524"/>
      <c r="R116" s="365">
        <f t="shared" si="19"/>
        <v>0</v>
      </c>
      <c r="S116" s="84">
        <f>LARGE($R$96:$R$122,21)</f>
        <v>0</v>
      </c>
      <c r="T116" s="12">
        <f t="shared" si="20"/>
        <v>0</v>
      </c>
      <c r="U116" s="52">
        <f t="shared" si="21"/>
        <v>0</v>
      </c>
      <c r="V116" s="105"/>
      <c r="W116" s="6"/>
      <c r="X116" s="6"/>
      <c r="Y116" s="6"/>
      <c r="Z116" s="6"/>
      <c r="AA116" s="6"/>
      <c r="AB116" s="6"/>
      <c r="AC116" s="6"/>
      <c r="AD116" s="6"/>
      <c r="AE116" s="6"/>
      <c r="AF116" s="6"/>
      <c r="AG116" s="6"/>
      <c r="AH116" s="6"/>
      <c r="AI116" s="6"/>
      <c r="AJ116" s="6"/>
      <c r="AK116" s="6"/>
      <c r="AL116" s="6"/>
      <c r="AM116" s="6"/>
    </row>
    <row r="117" spans="2:45" ht="18" customHeight="1" x14ac:dyDescent="0.2">
      <c r="B117" s="1560"/>
      <c r="C117" s="1561"/>
      <c r="D117" s="1561"/>
      <c r="E117" s="1562"/>
      <c r="F117" s="18" t="s">
        <v>1726</v>
      </c>
      <c r="G117" s="1067">
        <f t="shared" si="22"/>
        <v>0</v>
      </c>
      <c r="H117" s="1157"/>
      <c r="I117" s="1522"/>
      <c r="J117" s="1523"/>
      <c r="K117" s="1151">
        <f t="shared" si="18"/>
        <v>0</v>
      </c>
      <c r="L117" s="1151"/>
      <c r="M117" s="863"/>
      <c r="N117" s="863"/>
      <c r="O117" s="863"/>
      <c r="P117" s="1524"/>
      <c r="R117" s="365">
        <f t="shared" si="19"/>
        <v>0</v>
      </c>
      <c r="S117" s="84">
        <f>LARGE($R$96:$R$122,22)</f>
        <v>0</v>
      </c>
      <c r="T117" s="12">
        <f t="shared" si="20"/>
        <v>0</v>
      </c>
      <c r="U117" s="52">
        <f t="shared" si="21"/>
        <v>0</v>
      </c>
      <c r="V117" s="105"/>
      <c r="W117" s="6"/>
      <c r="X117" s="6"/>
      <c r="Y117" s="6"/>
      <c r="Z117" s="6"/>
      <c r="AA117" s="6"/>
      <c r="AB117" s="6"/>
      <c r="AC117" s="6"/>
      <c r="AD117" s="6"/>
      <c r="AE117" s="6"/>
      <c r="AF117" s="6"/>
      <c r="AG117" s="6"/>
      <c r="AH117" s="6"/>
      <c r="AI117" s="6"/>
      <c r="AJ117" s="6"/>
      <c r="AK117" s="6"/>
      <c r="AL117" s="6"/>
      <c r="AM117" s="6"/>
    </row>
    <row r="118" spans="2:45" ht="18" customHeight="1" x14ac:dyDescent="0.2">
      <c r="B118" s="1560"/>
      <c r="C118" s="1561"/>
      <c r="D118" s="1561"/>
      <c r="E118" s="1562"/>
      <c r="F118" s="18" t="s">
        <v>1727</v>
      </c>
      <c r="G118" s="1069">
        <f t="shared" si="22"/>
        <v>0</v>
      </c>
      <c r="H118" s="1091"/>
      <c r="I118" s="1522"/>
      <c r="J118" s="1523"/>
      <c r="K118" s="1151">
        <f t="shared" si="18"/>
        <v>0</v>
      </c>
      <c r="L118" s="1151"/>
      <c r="M118" s="863"/>
      <c r="N118" s="863"/>
      <c r="O118" s="863"/>
      <c r="P118" s="1524"/>
      <c r="R118" s="365">
        <f t="shared" si="19"/>
        <v>0</v>
      </c>
      <c r="S118" s="84">
        <f>LARGE($R$96:$R$122,23)</f>
        <v>0</v>
      </c>
      <c r="T118" s="12">
        <f t="shared" si="20"/>
        <v>0</v>
      </c>
      <c r="U118" s="52">
        <f t="shared" si="21"/>
        <v>0</v>
      </c>
      <c r="V118" s="105"/>
      <c r="W118" s="6"/>
      <c r="X118" s="6"/>
      <c r="Y118" s="6"/>
      <c r="Z118" s="6"/>
      <c r="AA118" s="6"/>
      <c r="AB118" s="6"/>
      <c r="AC118" s="6"/>
      <c r="AD118" s="6"/>
      <c r="AE118" s="6"/>
      <c r="AF118" s="6"/>
      <c r="AG118" s="6"/>
      <c r="AH118" s="6"/>
      <c r="AI118" s="6"/>
      <c r="AJ118" s="6"/>
      <c r="AK118" s="6"/>
      <c r="AL118" s="6"/>
      <c r="AM118" s="6"/>
    </row>
    <row r="119" spans="2:45" ht="18" customHeight="1" x14ac:dyDescent="0.2">
      <c r="B119" s="1560"/>
      <c r="C119" s="1561"/>
      <c r="D119" s="1561"/>
      <c r="E119" s="1562"/>
      <c r="F119" s="18" t="s">
        <v>1728</v>
      </c>
      <c r="G119" s="1069">
        <f t="shared" si="22"/>
        <v>0</v>
      </c>
      <c r="H119" s="1091"/>
      <c r="I119" s="1522"/>
      <c r="J119" s="1523"/>
      <c r="K119" s="1151">
        <f t="shared" si="18"/>
        <v>0</v>
      </c>
      <c r="L119" s="1151"/>
      <c r="M119" s="863"/>
      <c r="N119" s="863"/>
      <c r="O119" s="863"/>
      <c r="P119" s="1524"/>
      <c r="R119" s="365">
        <f t="shared" si="19"/>
        <v>0</v>
      </c>
      <c r="S119" s="84">
        <f>LARGE($R$96:$R$122,24)</f>
        <v>0</v>
      </c>
      <c r="T119" s="12">
        <f t="shared" si="20"/>
        <v>0</v>
      </c>
      <c r="U119" s="52">
        <f t="shared" si="21"/>
        <v>0</v>
      </c>
      <c r="V119" s="105"/>
      <c r="W119" s="6"/>
      <c r="X119" s="6"/>
      <c r="Y119" s="6"/>
      <c r="Z119" s="6"/>
      <c r="AA119" s="6"/>
      <c r="AB119" s="6"/>
      <c r="AC119" s="6"/>
      <c r="AD119" s="6"/>
      <c r="AE119" s="6"/>
      <c r="AF119" s="6"/>
      <c r="AG119" s="6"/>
      <c r="AH119" s="6"/>
      <c r="AI119" s="6"/>
      <c r="AJ119" s="6"/>
      <c r="AK119" s="6"/>
      <c r="AL119" s="6"/>
      <c r="AM119" s="6"/>
    </row>
    <row r="120" spans="2:45" ht="18" customHeight="1" x14ac:dyDescent="0.2">
      <c r="B120" s="1563"/>
      <c r="C120" s="1564"/>
      <c r="D120" s="1564"/>
      <c r="E120" s="1565"/>
      <c r="F120" s="18" t="s">
        <v>1729</v>
      </c>
      <c r="G120" s="765">
        <f t="shared" si="22"/>
        <v>0</v>
      </c>
      <c r="H120" s="1547"/>
      <c r="I120" s="1522"/>
      <c r="J120" s="1523"/>
      <c r="K120" s="1151">
        <f t="shared" si="18"/>
        <v>0</v>
      </c>
      <c r="L120" s="1151"/>
      <c r="M120" s="863"/>
      <c r="N120" s="863"/>
      <c r="O120" s="863"/>
      <c r="P120" s="1524"/>
      <c r="R120" s="365">
        <f t="shared" si="19"/>
        <v>0</v>
      </c>
      <c r="S120" s="84">
        <f>LARGE($R$96:$R$122,25)</f>
        <v>0</v>
      </c>
      <c r="T120" s="12">
        <f t="shared" si="20"/>
        <v>0</v>
      </c>
      <c r="U120" s="52">
        <f t="shared" si="21"/>
        <v>0</v>
      </c>
      <c r="V120" s="105"/>
      <c r="W120" s="6"/>
      <c r="X120" s="6"/>
      <c r="Y120" s="6"/>
      <c r="Z120" s="6"/>
      <c r="AA120" s="6"/>
      <c r="AB120" s="6"/>
      <c r="AC120" s="6"/>
      <c r="AD120" s="6"/>
      <c r="AE120" s="6"/>
      <c r="AF120" s="6"/>
      <c r="AG120" s="6"/>
      <c r="AH120" s="6"/>
      <c r="AI120" s="6"/>
      <c r="AJ120" s="6"/>
      <c r="AK120" s="6"/>
      <c r="AL120" s="6"/>
      <c r="AM120" s="6"/>
    </row>
    <row r="121" spans="2:45" ht="18" customHeight="1" x14ac:dyDescent="0.2">
      <c r="B121" s="791" t="s">
        <v>1320</v>
      </c>
      <c r="C121" s="791"/>
      <c r="D121" s="791"/>
      <c r="E121" s="791"/>
      <c r="F121" s="791"/>
      <c r="G121" s="755">
        <f>P89</f>
        <v>0</v>
      </c>
      <c r="H121" s="755"/>
      <c r="I121" s="1522"/>
      <c r="J121" s="1523"/>
      <c r="K121" s="1151">
        <f t="shared" si="18"/>
        <v>0</v>
      </c>
      <c r="L121" s="1151"/>
      <c r="M121" s="863"/>
      <c r="N121" s="863"/>
      <c r="O121" s="863"/>
      <c r="P121" s="1524"/>
      <c r="R121" s="365">
        <f t="shared" si="19"/>
        <v>0</v>
      </c>
      <c r="S121" s="84">
        <f>LARGE($R$96:$R$122,26)</f>
        <v>0</v>
      </c>
      <c r="T121" s="12">
        <f t="shared" si="20"/>
        <v>0</v>
      </c>
      <c r="U121" s="52">
        <f t="shared" si="21"/>
        <v>0</v>
      </c>
      <c r="V121" s="105"/>
      <c r="W121" s="6"/>
      <c r="X121" s="6"/>
      <c r="Y121" s="6"/>
      <c r="Z121" s="6"/>
      <c r="AA121" s="6"/>
      <c r="AB121" s="6"/>
      <c r="AC121" s="6"/>
      <c r="AD121" s="6"/>
      <c r="AE121" s="6"/>
      <c r="AF121" s="6"/>
      <c r="AG121" s="6"/>
      <c r="AH121" s="6"/>
      <c r="AI121" s="6"/>
      <c r="AJ121" s="6"/>
      <c r="AK121" s="6"/>
      <c r="AL121" s="6"/>
      <c r="AM121" s="6"/>
    </row>
    <row r="122" spans="2:45" ht="18" customHeight="1" x14ac:dyDescent="0.2">
      <c r="B122" s="791" t="s">
        <v>583</v>
      </c>
      <c r="C122" s="791"/>
      <c r="D122" s="791"/>
      <c r="E122" s="791"/>
      <c r="F122" s="791"/>
      <c r="G122" s="755">
        <f>P91</f>
        <v>0</v>
      </c>
      <c r="H122" s="731"/>
      <c r="I122" s="1522"/>
      <c r="J122" s="1523"/>
      <c r="K122" s="1151">
        <f>IF(I122="",0,IF(AND(G122*I122&gt;0,G122*I122&lt;0.01),0.01,ROUND(G122*I122,2)))</f>
        <v>0</v>
      </c>
      <c r="L122" s="1151"/>
      <c r="M122" s="863"/>
      <c r="N122" s="863"/>
      <c r="O122" s="863"/>
      <c r="P122" s="1524"/>
      <c r="R122" s="365">
        <f t="shared" si="19"/>
        <v>0</v>
      </c>
      <c r="S122" s="84">
        <f>LARGE($R$96:$R$122,27)</f>
        <v>0</v>
      </c>
      <c r="T122" s="12"/>
      <c r="U122" s="52"/>
      <c r="V122" s="105"/>
      <c r="W122" s="102"/>
      <c r="X122" s="6"/>
      <c r="Y122" s="6"/>
      <c r="Z122" s="6"/>
      <c r="AA122" s="6"/>
      <c r="AB122" s="6"/>
      <c r="AC122" s="6"/>
      <c r="AD122" s="6"/>
      <c r="AE122" s="6"/>
      <c r="AF122" s="6"/>
      <c r="AG122" s="6"/>
      <c r="AH122" s="6"/>
      <c r="AI122" s="6"/>
      <c r="AJ122" s="6"/>
      <c r="AK122" s="6"/>
      <c r="AL122" s="6"/>
      <c r="AM122" s="6"/>
    </row>
    <row r="123" spans="2:45" ht="18" customHeight="1" x14ac:dyDescent="0.2">
      <c r="B123" s="863"/>
      <c r="C123" s="863"/>
      <c r="D123" s="863"/>
      <c r="E123" s="863"/>
      <c r="F123" s="863"/>
      <c r="G123" s="863"/>
      <c r="H123" s="863"/>
      <c r="I123" s="863"/>
      <c r="J123" s="863"/>
      <c r="K123" s="1525" t="s">
        <v>1528</v>
      </c>
      <c r="L123" s="1525"/>
      <c r="M123" s="1525"/>
      <c r="N123" s="1525"/>
      <c r="O123" s="1525"/>
      <c r="P123" s="1524"/>
      <c r="S123" s="77"/>
      <c r="T123" s="108"/>
      <c r="U123" s="6"/>
      <c r="V123" s="102"/>
      <c r="W123" s="102"/>
      <c r="X123" s="6"/>
      <c r="Y123" s="6"/>
      <c r="Z123" s="6"/>
      <c r="AA123" s="6"/>
      <c r="AB123" s="6"/>
      <c r="AC123" s="6"/>
      <c r="AD123" s="6"/>
      <c r="AE123" s="6"/>
      <c r="AF123" s="6"/>
      <c r="AG123" s="6"/>
      <c r="AH123" s="6"/>
      <c r="AI123" s="6"/>
      <c r="AJ123" s="6"/>
      <c r="AK123" s="6"/>
      <c r="AL123" s="6"/>
      <c r="AM123" s="6"/>
    </row>
    <row r="124" spans="2:45" ht="11.25" customHeight="1" x14ac:dyDescent="0.2">
      <c r="B124" s="697"/>
      <c r="C124" s="697"/>
      <c r="D124" s="697"/>
      <c r="E124" s="697"/>
      <c r="F124" s="697"/>
      <c r="G124" s="697"/>
      <c r="H124" s="697"/>
      <c r="I124" s="697"/>
      <c r="J124" s="697"/>
      <c r="K124" s="697"/>
      <c r="L124" s="697"/>
      <c r="M124" s="697"/>
      <c r="N124" s="697"/>
      <c r="O124" s="697"/>
      <c r="P124" s="697"/>
      <c r="R124" s="6"/>
      <c r="S124" s="6"/>
      <c r="T124" s="6"/>
      <c r="U124" s="6"/>
      <c r="V124" s="5"/>
      <c r="W124" s="105"/>
      <c r="X124" s="6"/>
      <c r="Y124" s="6"/>
      <c r="Z124" s="6"/>
      <c r="AA124" s="6"/>
      <c r="AB124" s="6"/>
      <c r="AC124" s="6"/>
      <c r="AD124" s="6"/>
      <c r="AE124" s="6"/>
      <c r="AF124" s="6"/>
      <c r="AG124" s="6"/>
      <c r="AH124" s="102"/>
      <c r="AI124" s="6"/>
      <c r="AJ124" s="6"/>
      <c r="AK124" s="6"/>
      <c r="AL124" s="6"/>
      <c r="AM124" s="6"/>
    </row>
    <row r="125" spans="2:45" ht="18" customHeight="1" x14ac:dyDescent="0.2">
      <c r="B125" s="892" t="s">
        <v>59</v>
      </c>
      <c r="C125" s="893"/>
      <c r="D125" s="893"/>
      <c r="E125" s="893"/>
      <c r="F125" s="893"/>
      <c r="G125" s="893"/>
      <c r="H125" s="893"/>
      <c r="I125" s="893"/>
      <c r="J125" s="893"/>
      <c r="K125" s="893"/>
      <c r="L125" s="893"/>
      <c r="M125" s="893"/>
      <c r="N125" s="893"/>
      <c r="O125" s="894"/>
      <c r="P125" s="857">
        <f>U128</f>
        <v>0</v>
      </c>
      <c r="R125" s="6"/>
      <c r="S125" s="13" t="s">
        <v>1566</v>
      </c>
      <c r="T125" s="13" t="s">
        <v>202</v>
      </c>
      <c r="U125" s="13" t="s">
        <v>1138</v>
      </c>
      <c r="V125" s="5"/>
      <c r="W125" s="105"/>
      <c r="X125" s="6"/>
      <c r="Y125" s="6"/>
      <c r="Z125" s="6"/>
      <c r="AA125" s="6"/>
      <c r="AB125" s="6"/>
      <c r="AC125" s="6"/>
      <c r="AD125" s="6"/>
      <c r="AE125" s="6"/>
      <c r="AF125" s="6"/>
      <c r="AG125" s="6"/>
      <c r="AH125" s="102"/>
      <c r="AI125" s="6"/>
      <c r="AJ125" s="6"/>
      <c r="AK125" s="6"/>
      <c r="AL125" s="6"/>
      <c r="AM125" s="6"/>
    </row>
    <row r="126" spans="2:45" ht="18" customHeight="1" x14ac:dyDescent="0.2">
      <c r="B126" s="761" t="s">
        <v>1130</v>
      </c>
      <c r="C126" s="761"/>
      <c r="D126" s="761"/>
      <c r="E126" s="761"/>
      <c r="F126" s="761"/>
      <c r="G126" s="761"/>
      <c r="H126" s="761"/>
      <c r="I126" s="761"/>
      <c r="J126" s="694"/>
      <c r="K126" s="694"/>
      <c r="L126" s="146"/>
      <c r="M126" s="747">
        <f>'Sp-Table'!N12</f>
        <v>0</v>
      </c>
      <c r="N126" s="747"/>
      <c r="O126" s="43"/>
      <c r="P126" s="961"/>
      <c r="R126" s="6"/>
      <c r="S126" s="13">
        <v>60</v>
      </c>
      <c r="T126" s="13" t="str">
        <f>IF(OR(J126="",J126="NA"),"",IF(J126&gt;S126,S126,IF(J126&lt;0,0,J126)))</f>
        <v/>
      </c>
      <c r="U126" s="12">
        <f>SUM(M126:M129)</f>
        <v>0</v>
      </c>
      <c r="V126" s="5"/>
      <c r="W126" s="105"/>
      <c r="X126" s="106"/>
      <c r="Y126" s="102"/>
      <c r="Z126" s="102"/>
      <c r="AA126" s="102"/>
      <c r="AB126" s="102"/>
      <c r="AC126" s="6"/>
      <c r="AD126" s="6"/>
      <c r="AE126" s="6"/>
      <c r="AF126" s="6"/>
      <c r="AG126" s="6"/>
      <c r="AH126" s="6"/>
      <c r="AI126" s="6"/>
      <c r="AJ126" s="6"/>
      <c r="AK126" s="6"/>
      <c r="AL126" s="6"/>
      <c r="AM126" s="6"/>
    </row>
    <row r="127" spans="2:45" ht="18" customHeight="1" x14ac:dyDescent="0.2">
      <c r="B127" s="761" t="s">
        <v>1131</v>
      </c>
      <c r="C127" s="761"/>
      <c r="D127" s="761"/>
      <c r="E127" s="761"/>
      <c r="F127" s="761"/>
      <c r="G127" s="761"/>
      <c r="H127" s="761"/>
      <c r="I127" s="761"/>
      <c r="J127" s="694"/>
      <c r="K127" s="694"/>
      <c r="L127" s="146"/>
      <c r="M127" s="747">
        <f>'Sp-Table'!N13</f>
        <v>0</v>
      </c>
      <c r="N127" s="747"/>
      <c r="O127" s="43"/>
      <c r="P127" s="961"/>
      <c r="R127" s="6"/>
      <c r="S127" s="13">
        <v>25</v>
      </c>
      <c r="T127" s="13" t="str">
        <f>IF(OR(J127="",J127="NA"),"",IF(J127&gt;S127,S127,IF(J127&lt;0,0,J127)))</f>
        <v/>
      </c>
      <c r="U127" s="35">
        <f>IF(AND(U126&gt;0,U126&lt;0.01),0.01,U126)</f>
        <v>0</v>
      </c>
      <c r="V127" s="5"/>
      <c r="W127" s="105"/>
      <c r="X127" s="6"/>
      <c r="Y127" s="6"/>
      <c r="Z127" s="6"/>
      <c r="AA127" s="6"/>
      <c r="AB127" s="6"/>
      <c r="AC127" s="6"/>
      <c r="AD127" s="6"/>
      <c r="AE127" s="6"/>
      <c r="AF127" s="6"/>
      <c r="AG127" s="6"/>
      <c r="AH127" s="6"/>
      <c r="AI127" s="6"/>
      <c r="AJ127" s="6"/>
      <c r="AK127" s="6"/>
      <c r="AL127" s="6"/>
      <c r="AM127" s="6"/>
    </row>
    <row r="128" spans="2:45" ht="18" customHeight="1" x14ac:dyDescent="0.2">
      <c r="B128" s="761" t="s">
        <v>1132</v>
      </c>
      <c r="C128" s="761"/>
      <c r="D128" s="761"/>
      <c r="E128" s="761"/>
      <c r="F128" s="761"/>
      <c r="G128" s="761"/>
      <c r="H128" s="761"/>
      <c r="I128" s="761"/>
      <c r="J128" s="694"/>
      <c r="K128" s="694"/>
      <c r="L128" s="146"/>
      <c r="M128" s="747">
        <f>'Sp-Table'!N14</f>
        <v>0</v>
      </c>
      <c r="N128" s="747"/>
      <c r="O128" s="43"/>
      <c r="P128" s="961"/>
      <c r="R128" s="6"/>
      <c r="S128" s="13">
        <v>25</v>
      </c>
      <c r="T128" s="13" t="str">
        <f>IF(OR(J128="",J128="NA"),"",IF(J128&gt;S128,S128,IF(J128&lt;0,0,J128)))</f>
        <v/>
      </c>
      <c r="U128" s="12">
        <f>ROUND(U127,2)</f>
        <v>0</v>
      </c>
      <c r="V128" s="5"/>
      <c r="W128" s="105"/>
      <c r="X128" s="6"/>
      <c r="Y128" s="6"/>
      <c r="Z128" s="6"/>
      <c r="AA128" s="6"/>
      <c r="AB128" s="6"/>
      <c r="AC128" s="6"/>
      <c r="AD128" s="6"/>
      <c r="AE128" s="6"/>
      <c r="AF128" s="6"/>
      <c r="AG128" s="6"/>
      <c r="AH128" s="6"/>
      <c r="AI128" s="6"/>
      <c r="AJ128" s="6"/>
      <c r="AK128" s="6"/>
      <c r="AL128" s="6"/>
      <c r="AM128" s="6"/>
    </row>
    <row r="129" spans="2:39" ht="18" customHeight="1" x14ac:dyDescent="0.2">
      <c r="B129" s="761" t="s">
        <v>1133</v>
      </c>
      <c r="C129" s="761"/>
      <c r="D129" s="761"/>
      <c r="E129" s="761"/>
      <c r="F129" s="761"/>
      <c r="G129" s="761"/>
      <c r="H129" s="761"/>
      <c r="I129" s="761"/>
      <c r="J129" s="694"/>
      <c r="K129" s="694"/>
      <c r="L129" s="146"/>
      <c r="M129" s="747">
        <f>'Sp-Table'!N15</f>
        <v>0</v>
      </c>
      <c r="N129" s="747"/>
      <c r="O129" s="43"/>
      <c r="P129" s="961"/>
      <c r="R129" s="6"/>
      <c r="S129" s="13">
        <v>25</v>
      </c>
      <c r="T129" s="13" t="str">
        <f>IF(OR(J129="",J129="NA"),"",IF(J129&gt;S129,S129,IF(J129&lt;0,0,J129)))</f>
        <v/>
      </c>
      <c r="U129" s="6"/>
      <c r="V129" s="5"/>
      <c r="W129" s="105"/>
      <c r="X129" s="106"/>
      <c r="Y129" s="102"/>
      <c r="Z129" s="102"/>
      <c r="AA129" s="102"/>
      <c r="AB129" s="102"/>
      <c r="AC129" s="6"/>
      <c r="AD129" s="6"/>
      <c r="AE129" s="6"/>
      <c r="AF129" s="6"/>
      <c r="AG129" s="6"/>
      <c r="AH129" s="6"/>
      <c r="AI129" s="6"/>
      <c r="AJ129" s="6"/>
      <c r="AK129" s="6"/>
      <c r="AL129" s="6"/>
      <c r="AM129" s="6"/>
    </row>
    <row r="130" spans="2:39" ht="18" customHeight="1" x14ac:dyDescent="0.2">
      <c r="B130" s="1429" t="s">
        <v>1134</v>
      </c>
      <c r="C130" s="1430"/>
      <c r="D130" s="1430"/>
      <c r="E130" s="1430"/>
      <c r="F130" s="1430"/>
      <c r="G130" s="1430"/>
      <c r="H130" s="1430"/>
      <c r="I130" s="1430"/>
      <c r="J130" s="1430"/>
      <c r="K130" s="1430"/>
      <c r="L130" s="1430"/>
      <c r="M130" s="1430"/>
      <c r="N130" s="1430"/>
      <c r="O130" s="1431"/>
      <c r="P130" s="962"/>
      <c r="R130" s="6"/>
      <c r="S130" s="6"/>
      <c r="T130" s="6"/>
      <c r="U130" s="6"/>
      <c r="V130" s="5"/>
      <c r="W130" s="105"/>
      <c r="X130" s="106"/>
      <c r="Y130" s="102"/>
      <c r="Z130" s="102"/>
      <c r="AA130" s="102"/>
      <c r="AB130" s="102"/>
      <c r="AC130" s="6"/>
      <c r="AD130" s="6"/>
      <c r="AE130" s="6"/>
      <c r="AF130" s="6"/>
      <c r="AG130" s="6"/>
      <c r="AH130" s="6"/>
      <c r="AI130" s="6"/>
      <c r="AJ130" s="6"/>
      <c r="AK130" s="6"/>
      <c r="AL130" s="6"/>
      <c r="AM130" s="6"/>
    </row>
    <row r="131" spans="2:39" ht="18" customHeight="1" x14ac:dyDescent="0.2">
      <c r="B131" s="1443"/>
      <c r="C131" s="1443"/>
      <c r="D131" s="1443"/>
      <c r="E131" s="1443"/>
      <c r="F131" s="1443"/>
      <c r="G131" s="1443"/>
      <c r="H131" s="1443"/>
      <c r="I131" s="1443"/>
      <c r="J131" s="1443"/>
      <c r="K131" s="1443"/>
      <c r="L131" s="1443"/>
      <c r="M131" s="1443"/>
      <c r="N131" s="1443"/>
      <c r="O131" s="1443"/>
      <c r="P131" s="1443"/>
      <c r="R131" s="6"/>
      <c r="S131" s="6"/>
      <c r="T131" s="6"/>
      <c r="U131" s="6"/>
      <c r="V131" s="5"/>
      <c r="W131" s="105"/>
      <c r="X131" s="106"/>
      <c r="Y131" s="102"/>
      <c r="Z131" s="102"/>
      <c r="AA131" s="102"/>
      <c r="AB131" s="102"/>
      <c r="AC131" s="6"/>
      <c r="AD131" s="6"/>
      <c r="AE131" s="6"/>
      <c r="AF131" s="6"/>
      <c r="AG131" s="6"/>
      <c r="AH131" s="6"/>
      <c r="AI131" s="6"/>
      <c r="AJ131" s="6"/>
      <c r="AK131" s="6"/>
      <c r="AL131" s="6"/>
      <c r="AM131" s="6"/>
    </row>
    <row r="132" spans="2:39" ht="18" customHeight="1" x14ac:dyDescent="0.2">
      <c r="B132" s="1548" t="s">
        <v>86</v>
      </c>
      <c r="C132" s="1549"/>
      <c r="D132" s="1549"/>
      <c r="E132" s="1550"/>
      <c r="F132" s="18" t="s">
        <v>87</v>
      </c>
      <c r="G132" s="40"/>
      <c r="H132" s="49">
        <f>IF(OR(G132="NA",G132=0,G132=""),0,IF(G132/100&lt;=0.25,0.05,IF(G132/100&lt;=0.5,0.07,IF(G132/100&gt;0.5,0.12,""))))</f>
        <v>0</v>
      </c>
      <c r="I132" s="1548" t="s">
        <v>2225</v>
      </c>
      <c r="J132" s="1581"/>
      <c r="K132" s="1581"/>
      <c r="L132" s="1582"/>
      <c r="M132" s="18" t="s">
        <v>87</v>
      </c>
      <c r="N132" s="40"/>
      <c r="O132" s="49">
        <f>IF(N132="X",0.05,0)</f>
        <v>0</v>
      </c>
      <c r="P132" s="503"/>
      <c r="R132" s="6"/>
      <c r="S132" s="6"/>
      <c r="T132" s="6"/>
      <c r="U132" s="6"/>
      <c r="V132" s="5"/>
      <c r="W132" s="105"/>
      <c r="X132" s="106"/>
      <c r="Y132" s="102"/>
      <c r="Z132" s="102"/>
      <c r="AA132" s="102"/>
      <c r="AB132" s="102"/>
      <c r="AC132" s="6"/>
      <c r="AD132" s="6"/>
      <c r="AE132" s="6"/>
      <c r="AF132" s="6"/>
      <c r="AG132" s="6"/>
      <c r="AH132" s="6"/>
      <c r="AI132" s="6"/>
      <c r="AJ132" s="6"/>
      <c r="AK132" s="6"/>
      <c r="AL132" s="6"/>
      <c r="AM132" s="6"/>
    </row>
    <row r="133" spans="2:39" ht="18" customHeight="1" x14ac:dyDescent="0.2">
      <c r="B133" s="1551"/>
      <c r="C133" s="1552"/>
      <c r="D133" s="1552"/>
      <c r="E133" s="1553"/>
      <c r="F133" s="18" t="s">
        <v>88</v>
      </c>
      <c r="G133" s="40"/>
      <c r="H133" s="49">
        <f>IF(OR(G133="NA",G133=""),0,IF(G133/100&lt;=0.25,0.05,IF(G133/100&lt;=0.5,0.07,IF(G133/100&gt;0.5,0.12,""))))</f>
        <v>0</v>
      </c>
      <c r="I133" s="1583"/>
      <c r="J133" s="1584"/>
      <c r="K133" s="1584"/>
      <c r="L133" s="1585"/>
      <c r="M133" s="18" t="s">
        <v>88</v>
      </c>
      <c r="N133" s="40"/>
      <c r="O133" s="49">
        <f>IF(N133="X",0.05,0)</f>
        <v>0</v>
      </c>
      <c r="P133" s="504"/>
      <c r="R133" s="6"/>
      <c r="S133" s="6"/>
      <c r="T133" s="6"/>
      <c r="U133" s="6"/>
      <c r="V133" s="5"/>
      <c r="W133" s="105"/>
      <c r="X133" s="106"/>
      <c r="Y133" s="102"/>
      <c r="Z133" s="102"/>
      <c r="AA133" s="102"/>
      <c r="AB133" s="102"/>
      <c r="AC133" s="6"/>
      <c r="AD133" s="6"/>
      <c r="AE133" s="6"/>
      <c r="AF133" s="6"/>
      <c r="AG133" s="6"/>
      <c r="AH133" s="6"/>
      <c r="AI133" s="6"/>
      <c r="AJ133" s="6"/>
      <c r="AK133" s="6"/>
      <c r="AL133" s="6"/>
      <c r="AM133" s="6"/>
    </row>
    <row r="134" spans="2:39" ht="16.5" customHeight="1" x14ac:dyDescent="0.2">
      <c r="B134" s="1551"/>
      <c r="C134" s="1552"/>
      <c r="D134" s="1552"/>
      <c r="E134" s="1553"/>
      <c r="F134" s="18" t="s">
        <v>89</v>
      </c>
      <c r="G134" s="40"/>
      <c r="H134" s="49">
        <f>IF(OR(G134="NA",G134=""),0,IF(G134/100&lt;=0.25,0.05,IF(G134/100&lt;=0.5,0.07,IF(G134/100&gt;0.5,0.12,""))))</f>
        <v>0</v>
      </c>
      <c r="I134" s="1583"/>
      <c r="J134" s="1584"/>
      <c r="K134" s="1584"/>
      <c r="L134" s="1585"/>
      <c r="M134" s="18" t="s">
        <v>89</v>
      </c>
      <c r="N134" s="40"/>
      <c r="O134" s="49">
        <f>IF(N134="X",0.05,0)</f>
        <v>0</v>
      </c>
      <c r="P134" s="504"/>
      <c r="R134" s="6"/>
      <c r="S134" s="6"/>
      <c r="T134" s="6"/>
      <c r="U134" s="6"/>
      <c r="V134" s="5"/>
      <c r="W134" s="105"/>
      <c r="X134" s="106"/>
      <c r="Y134" s="102"/>
      <c r="Z134" s="102"/>
      <c r="AA134" s="102"/>
      <c r="AB134" s="102"/>
      <c r="AC134" s="6"/>
      <c r="AD134" s="6"/>
      <c r="AE134" s="6"/>
      <c r="AF134" s="6"/>
      <c r="AG134" s="6"/>
      <c r="AH134" s="6"/>
      <c r="AI134" s="6"/>
      <c r="AJ134" s="6"/>
      <c r="AK134" s="6"/>
      <c r="AL134" s="6"/>
      <c r="AM134" s="6"/>
    </row>
    <row r="135" spans="2:39" ht="18" customHeight="1" x14ac:dyDescent="0.2">
      <c r="B135" s="1551"/>
      <c r="C135" s="1552"/>
      <c r="D135" s="1552"/>
      <c r="E135" s="1553"/>
      <c r="F135" s="3" t="s">
        <v>90</v>
      </c>
      <c r="G135" s="40"/>
      <c r="H135" s="49">
        <f>IF(OR(G135="NA",G135=""),0,IF(G135/100&lt;=0.25,0.05,IF(G135/100&lt;=0.5,0.07,IF(G135/100&gt;0.5,0.12,""))))</f>
        <v>0</v>
      </c>
      <c r="I135" s="1583"/>
      <c r="J135" s="1584"/>
      <c r="K135" s="1584"/>
      <c r="L135" s="1585"/>
      <c r="M135" s="3" t="s">
        <v>90</v>
      </c>
      <c r="N135" s="40"/>
      <c r="O135" s="49">
        <f>IF(N135="X",0.05,0)</f>
        <v>0</v>
      </c>
      <c r="P135" s="504"/>
      <c r="R135" s="6"/>
      <c r="S135" s="6"/>
      <c r="T135" s="6"/>
      <c r="U135" s="6"/>
      <c r="V135" s="5"/>
      <c r="W135" s="105"/>
      <c r="X135" s="106"/>
      <c r="Y135" s="102"/>
      <c r="Z135" s="102"/>
      <c r="AA135" s="102"/>
      <c r="AB135" s="102"/>
      <c r="AC135" s="6"/>
      <c r="AD135" s="6"/>
      <c r="AE135" s="6"/>
      <c r="AF135" s="6"/>
      <c r="AG135" s="6"/>
      <c r="AH135" s="6"/>
      <c r="AI135" s="6"/>
      <c r="AJ135" s="6"/>
      <c r="AK135" s="6"/>
      <c r="AL135" s="6"/>
      <c r="AM135" s="6"/>
    </row>
    <row r="136" spans="2:39" ht="18" customHeight="1" x14ac:dyDescent="0.2">
      <c r="B136" s="1554"/>
      <c r="C136" s="1555"/>
      <c r="D136" s="1555"/>
      <c r="E136" s="1556"/>
      <c r="F136" s="4" t="s">
        <v>91</v>
      </c>
      <c r="G136" s="40"/>
      <c r="H136" s="21">
        <f>IF(OR(G136="NA",G136=""),0,IF(G136/100&lt;=0.25,0.05,IF(G136/100&lt;=0.5,0.07,IF(G136/100&gt;0.5,0.12,""))))</f>
        <v>0</v>
      </c>
      <c r="I136" s="1586"/>
      <c r="J136" s="1587"/>
      <c r="K136" s="1587"/>
      <c r="L136" s="1588"/>
      <c r="M136" s="4" t="s">
        <v>91</v>
      </c>
      <c r="N136" s="40"/>
      <c r="O136" s="64">
        <f>IF(N136="X",0.05,0)</f>
        <v>0</v>
      </c>
      <c r="P136" s="195"/>
      <c r="R136" s="6"/>
      <c r="S136" s="6"/>
      <c r="T136" s="6"/>
      <c r="U136" s="6"/>
      <c r="V136" s="5"/>
      <c r="W136" s="105"/>
      <c r="X136" s="106"/>
      <c r="Y136" s="102"/>
      <c r="Z136" s="102"/>
      <c r="AA136" s="102"/>
      <c r="AB136" s="102"/>
      <c r="AC136" s="6"/>
      <c r="AD136" s="6"/>
      <c r="AE136" s="6"/>
      <c r="AF136" s="6"/>
      <c r="AG136" s="6"/>
      <c r="AH136" s="6"/>
      <c r="AI136" s="6"/>
      <c r="AJ136" s="6"/>
      <c r="AK136" s="6"/>
      <c r="AL136" s="6"/>
      <c r="AM136" s="6"/>
    </row>
    <row r="137" spans="2:39" ht="18" customHeight="1" x14ac:dyDescent="0.2">
      <c r="B137" s="892" t="s">
        <v>1830</v>
      </c>
      <c r="C137" s="893"/>
      <c r="D137" s="893"/>
      <c r="E137" s="893"/>
      <c r="F137" s="893"/>
      <c r="G137" s="893"/>
      <c r="H137" s="893"/>
      <c r="I137" s="893"/>
      <c r="J137" s="893"/>
      <c r="K137" s="893"/>
      <c r="L137" s="893"/>
      <c r="M137" s="893"/>
      <c r="N137" s="893"/>
      <c r="O137" s="894"/>
      <c r="R137" s="6"/>
      <c r="S137" s="6"/>
      <c r="T137" s="6"/>
      <c r="U137" s="6"/>
      <c r="V137" s="5"/>
      <c r="W137" s="105"/>
      <c r="X137" s="106"/>
      <c r="Y137" s="102"/>
      <c r="Z137" s="102"/>
      <c r="AA137" s="102"/>
      <c r="AB137" s="102"/>
      <c r="AC137" s="6"/>
      <c r="AD137" s="6"/>
      <c r="AE137" s="6"/>
      <c r="AF137" s="6"/>
      <c r="AG137" s="6"/>
      <c r="AH137" s="6"/>
      <c r="AI137" s="6"/>
      <c r="AJ137" s="6"/>
      <c r="AK137" s="6"/>
      <c r="AL137" s="6"/>
      <c r="AM137" s="6"/>
    </row>
    <row r="138" spans="2:39" ht="27" customHeight="1" x14ac:dyDescent="0.2">
      <c r="B138" s="756" t="s">
        <v>550</v>
      </c>
      <c r="C138" s="757"/>
      <c r="D138" s="757"/>
      <c r="E138" s="757"/>
      <c r="F138" s="757"/>
      <c r="G138" s="757"/>
      <c r="H138" s="757"/>
      <c r="I138" s="757"/>
      <c r="J138" s="757"/>
      <c r="K138" s="757"/>
      <c r="L138" s="757"/>
      <c r="M138" s="757"/>
      <c r="N138" s="750"/>
      <c r="O138" s="751"/>
      <c r="P138" s="1526" t="s">
        <v>1987</v>
      </c>
      <c r="R138" s="6"/>
      <c r="S138" s="6"/>
      <c r="T138" s="6"/>
      <c r="U138" s="6"/>
      <c r="V138" s="5"/>
      <c r="W138" s="105"/>
      <c r="X138" s="106"/>
      <c r="Y138" s="102"/>
      <c r="Z138" s="102"/>
      <c r="AA138" s="102"/>
      <c r="AB138" s="102"/>
      <c r="AC138" s="6"/>
      <c r="AD138" s="6"/>
      <c r="AE138" s="6"/>
      <c r="AF138" s="6"/>
      <c r="AG138" s="6"/>
      <c r="AH138" s="6"/>
      <c r="AI138" s="6"/>
      <c r="AJ138" s="6"/>
      <c r="AK138" s="6"/>
      <c r="AL138" s="6"/>
      <c r="AM138" s="6"/>
    </row>
    <row r="139" spans="2:39" ht="17.25" customHeight="1" x14ac:dyDescent="0.2">
      <c r="B139" s="18" t="s">
        <v>760</v>
      </c>
      <c r="C139" s="22" t="s">
        <v>87</v>
      </c>
      <c r="D139" s="22" t="s">
        <v>760</v>
      </c>
      <c r="E139" s="22" t="s">
        <v>88</v>
      </c>
      <c r="F139" s="22" t="s">
        <v>760</v>
      </c>
      <c r="G139" s="22" t="s">
        <v>89</v>
      </c>
      <c r="H139" s="22" t="s">
        <v>760</v>
      </c>
      <c r="I139" s="36" t="s">
        <v>90</v>
      </c>
      <c r="J139" s="36" t="s">
        <v>760</v>
      </c>
      <c r="K139" s="36" t="s">
        <v>91</v>
      </c>
      <c r="L139" s="36" t="s">
        <v>760</v>
      </c>
      <c r="M139" s="183" t="s">
        <v>822</v>
      </c>
      <c r="N139" s="184"/>
      <c r="O139" s="352"/>
      <c r="P139" s="1527"/>
      <c r="R139" s="6"/>
      <c r="S139" s="791" t="s">
        <v>2229</v>
      </c>
      <c r="T139" s="791"/>
      <c r="U139" s="791"/>
      <c r="V139" s="791"/>
      <c r="W139" s="791"/>
      <c r="X139" s="791"/>
      <c r="Y139" s="791"/>
      <c r="Z139" s="791"/>
      <c r="AA139" s="791"/>
      <c r="AB139" s="791"/>
      <c r="AC139" s="791"/>
      <c r="AD139" s="791"/>
      <c r="AE139" s="791"/>
      <c r="AF139" s="6" t="s">
        <v>761</v>
      </c>
      <c r="AG139" s="6" t="s">
        <v>762</v>
      </c>
      <c r="AH139" s="6"/>
      <c r="AI139" s="6"/>
      <c r="AJ139" s="6"/>
      <c r="AK139" s="6"/>
      <c r="AL139" s="6"/>
      <c r="AM139" s="6"/>
    </row>
    <row r="140" spans="2:39" ht="18" customHeight="1" x14ac:dyDescent="0.2">
      <c r="B140" s="40"/>
      <c r="C140" s="40"/>
      <c r="D140" s="40"/>
      <c r="E140" s="40"/>
      <c r="F140" s="40"/>
      <c r="G140" s="40"/>
      <c r="H140" s="40"/>
      <c r="I140" s="40"/>
      <c r="J140" s="40"/>
      <c r="K140" s="40"/>
      <c r="L140" s="40"/>
      <c r="M140" s="40"/>
      <c r="N140" s="185"/>
      <c r="O140" s="186"/>
      <c r="P140" s="1527"/>
      <c r="R140" s="6"/>
      <c r="S140" s="85">
        <f t="shared" ref="S140:AD140" si="23">IF(B140="X",1,0)</f>
        <v>0</v>
      </c>
      <c r="T140" s="110">
        <f t="shared" si="23"/>
        <v>0</v>
      </c>
      <c r="U140" s="110">
        <f t="shared" si="23"/>
        <v>0</v>
      </c>
      <c r="V140" s="110">
        <f t="shared" si="23"/>
        <v>0</v>
      </c>
      <c r="W140" s="110">
        <f t="shared" si="23"/>
        <v>0</v>
      </c>
      <c r="X140" s="110">
        <f t="shared" si="23"/>
        <v>0</v>
      </c>
      <c r="Y140" s="110">
        <f t="shared" si="23"/>
        <v>0</v>
      </c>
      <c r="Z140" s="110">
        <f t="shared" si="23"/>
        <v>0</v>
      </c>
      <c r="AA140" s="110">
        <f t="shared" si="23"/>
        <v>0</v>
      </c>
      <c r="AB140" s="110">
        <f t="shared" si="23"/>
        <v>0</v>
      </c>
      <c r="AC140" s="110">
        <f t="shared" si="23"/>
        <v>0</v>
      </c>
      <c r="AD140" s="110">
        <f t="shared" si="23"/>
        <v>0</v>
      </c>
      <c r="AE140" s="110"/>
      <c r="AF140" s="13">
        <f>SUM(T140, V140, X140, Z140, AB140, AD140)</f>
        <v>0</v>
      </c>
      <c r="AG140" s="13">
        <f>SUM(S140,U140, W140, Y140, AA140, AC140)</f>
        <v>0</v>
      </c>
      <c r="AH140" s="84">
        <f>IF(AND(AF140=0,AG140=0),0,0.09)</f>
        <v>0</v>
      </c>
      <c r="AI140" s="84" t="str">
        <f>IF(AF140&gt;2,(AF140-2)*0.01,"")</f>
        <v/>
      </c>
      <c r="AJ140" s="84" t="str">
        <f>IF(AG140&gt;1,(AG140-1)*0.01,"")</f>
        <v/>
      </c>
      <c r="AK140" s="52">
        <f>SUM(AH140:AJ140)</f>
        <v>0</v>
      </c>
      <c r="AL140" s="6"/>
      <c r="AM140" s="6"/>
    </row>
    <row r="141" spans="2:39" ht="18" customHeight="1" x14ac:dyDescent="0.2">
      <c r="B141" s="910"/>
      <c r="C141" s="910"/>
      <c r="D141" s="910"/>
      <c r="E141" s="910"/>
      <c r="F141" s="910"/>
      <c r="G141" s="910"/>
      <c r="H141" s="910"/>
      <c r="I141" s="910"/>
      <c r="J141" s="910"/>
      <c r="K141" s="910"/>
      <c r="L141" s="910" t="s">
        <v>763</v>
      </c>
      <c r="M141" s="910"/>
      <c r="N141" s="962">
        <f>AK140</f>
        <v>0</v>
      </c>
      <c r="O141" s="962"/>
      <c r="P141" s="1527"/>
      <c r="R141" s="6"/>
      <c r="S141" s="6"/>
      <c r="T141" s="6"/>
      <c r="U141" s="6"/>
      <c r="V141" s="6"/>
      <c r="W141" s="6"/>
      <c r="X141" s="6"/>
      <c r="Y141" s="6"/>
      <c r="Z141" s="6"/>
      <c r="AA141" s="6"/>
      <c r="AB141" s="6"/>
      <c r="AC141" s="6"/>
      <c r="AD141" s="6"/>
      <c r="AE141" s="6"/>
      <c r="AF141" s="6"/>
      <c r="AG141" s="6"/>
      <c r="AH141" s="34"/>
      <c r="AI141" s="34"/>
      <c r="AJ141" s="34"/>
      <c r="AK141" s="108"/>
      <c r="AL141" s="6"/>
      <c r="AM141" s="6"/>
    </row>
    <row r="142" spans="2:39" ht="27" customHeight="1" x14ac:dyDescent="0.2">
      <c r="B142" s="756" t="s">
        <v>752</v>
      </c>
      <c r="C142" s="757"/>
      <c r="D142" s="757"/>
      <c r="E142" s="757"/>
      <c r="F142" s="757"/>
      <c r="G142" s="757"/>
      <c r="H142" s="757"/>
      <c r="I142" s="757"/>
      <c r="J142" s="757"/>
      <c r="K142" s="757"/>
      <c r="L142" s="757"/>
      <c r="M142" s="757"/>
      <c r="N142" s="750"/>
      <c r="O142" s="751"/>
      <c r="P142" s="1527"/>
      <c r="R142" s="6"/>
      <c r="S142" s="6"/>
      <c r="T142" s="6"/>
      <c r="U142" s="6"/>
      <c r="V142" s="6"/>
      <c r="W142" s="6"/>
      <c r="X142" s="6"/>
      <c r="Y142" s="6"/>
      <c r="Z142" s="6"/>
      <c r="AA142" s="6"/>
      <c r="AB142" s="6"/>
      <c r="AC142" s="6"/>
      <c r="AD142" s="6"/>
      <c r="AE142" s="6"/>
      <c r="AF142" s="6"/>
      <c r="AG142" s="6"/>
      <c r="AH142" s="6"/>
      <c r="AI142" s="6"/>
      <c r="AJ142" s="6"/>
      <c r="AK142" s="6"/>
      <c r="AL142" s="6"/>
      <c r="AM142" s="6"/>
    </row>
    <row r="143" spans="2:39" ht="17.25" customHeight="1" x14ac:dyDescent="0.2">
      <c r="B143" s="18" t="s">
        <v>760</v>
      </c>
      <c r="C143" s="22" t="s">
        <v>87</v>
      </c>
      <c r="D143" s="22" t="s">
        <v>760</v>
      </c>
      <c r="E143" s="22" t="s">
        <v>88</v>
      </c>
      <c r="F143" s="22" t="s">
        <v>760</v>
      </c>
      <c r="G143" s="22" t="s">
        <v>89</v>
      </c>
      <c r="H143" s="22" t="s">
        <v>760</v>
      </c>
      <c r="I143" s="36" t="s">
        <v>90</v>
      </c>
      <c r="J143" s="36" t="s">
        <v>760</v>
      </c>
      <c r="K143" s="36" t="s">
        <v>91</v>
      </c>
      <c r="L143" s="36" t="s">
        <v>760</v>
      </c>
      <c r="M143" s="183" t="s">
        <v>822</v>
      </c>
      <c r="N143" s="184"/>
      <c r="O143" s="46"/>
      <c r="P143" s="1527"/>
      <c r="R143" s="6"/>
      <c r="S143" s="6"/>
      <c r="T143" s="6"/>
      <c r="U143" s="6"/>
      <c r="V143" s="6"/>
      <c r="W143" s="6"/>
      <c r="X143" s="6"/>
      <c r="Y143" s="6"/>
      <c r="Z143" s="6"/>
      <c r="AA143" s="6"/>
      <c r="AB143" s="6"/>
      <c r="AC143" s="6"/>
      <c r="AD143" s="6"/>
      <c r="AE143" s="6"/>
      <c r="AF143" s="6"/>
      <c r="AG143" s="34"/>
      <c r="AH143" s="34"/>
      <c r="AI143" s="34"/>
      <c r="AJ143" s="108"/>
      <c r="AK143" s="6"/>
      <c r="AL143" s="6"/>
      <c r="AM143" s="6"/>
    </row>
    <row r="144" spans="2:39" ht="18" customHeight="1" x14ac:dyDescent="0.2">
      <c r="B144" s="40"/>
      <c r="C144" s="40"/>
      <c r="D144" s="40"/>
      <c r="E144" s="40"/>
      <c r="F144" s="40"/>
      <c r="G144" s="40"/>
      <c r="H144" s="40"/>
      <c r="I144" s="40"/>
      <c r="J144" s="40"/>
      <c r="K144" s="40"/>
      <c r="L144" s="40"/>
      <c r="M144" s="181"/>
      <c r="N144" s="187"/>
      <c r="O144" s="47"/>
      <c r="P144" s="1527"/>
      <c r="R144" s="6"/>
      <c r="S144" s="6"/>
      <c r="T144" s="6"/>
      <c r="U144" s="6"/>
      <c r="V144" s="6"/>
      <c r="W144" s="6"/>
      <c r="X144" s="6"/>
      <c r="Y144" s="6"/>
      <c r="Z144" s="6"/>
      <c r="AA144" s="6"/>
      <c r="AB144" s="6"/>
      <c r="AC144" s="6"/>
      <c r="AD144" s="6"/>
      <c r="AE144" s="6"/>
      <c r="AF144" s="6"/>
      <c r="AG144" s="34"/>
      <c r="AH144" s="34"/>
      <c r="AI144" s="34"/>
      <c r="AJ144" s="108"/>
      <c r="AK144" s="6"/>
      <c r="AL144" s="6"/>
      <c r="AM144" s="6"/>
    </row>
    <row r="145" spans="1:39" ht="18" customHeight="1" x14ac:dyDescent="0.2">
      <c r="B145" s="21">
        <f t="shared" ref="B145:M145" si="24">IF(OR(B144="",B144="NA"),0,B144*0.01)</f>
        <v>0</v>
      </c>
      <c r="C145" s="21">
        <f t="shared" si="24"/>
        <v>0</v>
      </c>
      <c r="D145" s="21">
        <f t="shared" si="24"/>
        <v>0</v>
      </c>
      <c r="E145" s="21">
        <f t="shared" si="24"/>
        <v>0</v>
      </c>
      <c r="F145" s="21">
        <f t="shared" si="24"/>
        <v>0</v>
      </c>
      <c r="G145" s="21">
        <f t="shared" si="24"/>
        <v>0</v>
      </c>
      <c r="H145" s="21">
        <f t="shared" si="24"/>
        <v>0</v>
      </c>
      <c r="I145" s="21">
        <f t="shared" si="24"/>
        <v>0</v>
      </c>
      <c r="J145" s="21">
        <f t="shared" si="24"/>
        <v>0</v>
      </c>
      <c r="K145" s="21">
        <f t="shared" si="24"/>
        <v>0</v>
      </c>
      <c r="L145" s="21">
        <f t="shared" si="24"/>
        <v>0</v>
      </c>
      <c r="M145" s="64">
        <f t="shared" si="24"/>
        <v>0</v>
      </c>
      <c r="N145" s="185"/>
      <c r="O145" s="48"/>
      <c r="P145" s="1527"/>
      <c r="R145" s="6"/>
      <c r="S145" s="6"/>
      <c r="T145" s="6"/>
      <c r="U145" s="6"/>
      <c r="V145" s="5"/>
      <c r="W145" s="105"/>
      <c r="X145" s="106"/>
      <c r="Y145" s="102"/>
      <c r="Z145" s="102"/>
      <c r="AA145" s="102"/>
      <c r="AB145" s="102"/>
      <c r="AC145" s="6"/>
      <c r="AD145" s="6"/>
      <c r="AE145" s="6"/>
      <c r="AF145" s="6"/>
      <c r="AG145" s="6"/>
      <c r="AH145" s="6"/>
      <c r="AI145" s="6"/>
      <c r="AJ145" s="6"/>
      <c r="AK145" s="6"/>
      <c r="AL145" s="6"/>
      <c r="AM145" s="6"/>
    </row>
    <row r="146" spans="1:39" ht="18" customHeight="1" x14ac:dyDescent="0.2">
      <c r="B146" s="910"/>
      <c r="C146" s="910"/>
      <c r="D146" s="910"/>
      <c r="E146" s="910"/>
      <c r="F146" s="910"/>
      <c r="G146" s="910"/>
      <c r="H146" s="910"/>
      <c r="I146" s="910"/>
      <c r="J146" s="910"/>
      <c r="K146" s="910"/>
      <c r="L146" s="910" t="s">
        <v>763</v>
      </c>
      <c r="M146" s="910"/>
      <c r="N146" s="962">
        <f>SUM(B145:M145)</f>
        <v>0</v>
      </c>
      <c r="O146" s="962"/>
      <c r="P146" s="504"/>
      <c r="R146" s="6"/>
      <c r="S146" s="6"/>
      <c r="T146" s="6"/>
      <c r="U146" s="6"/>
      <c r="V146" s="5"/>
      <c r="W146" s="105"/>
      <c r="X146" s="106"/>
      <c r="Y146" s="102"/>
      <c r="Z146" s="102"/>
      <c r="AA146" s="102"/>
      <c r="AB146" s="102"/>
      <c r="AC146" s="6"/>
      <c r="AD146" s="6"/>
      <c r="AE146" s="6"/>
      <c r="AF146" s="6"/>
      <c r="AG146" s="6"/>
      <c r="AH146" s="6"/>
      <c r="AI146" s="6"/>
      <c r="AJ146" s="6"/>
      <c r="AK146" s="6"/>
      <c r="AL146" s="6"/>
      <c r="AM146" s="6"/>
    </row>
    <row r="147" spans="1:39" ht="18" customHeight="1" x14ac:dyDescent="0.2">
      <c r="B147" s="1104" t="s">
        <v>753</v>
      </c>
      <c r="C147" s="1104"/>
      <c r="D147" s="1104"/>
      <c r="E147" s="1104"/>
      <c r="F147" s="1104"/>
      <c r="G147" s="1104"/>
      <c r="H147" s="1104"/>
      <c r="I147" s="1104"/>
      <c r="J147" s="1104"/>
      <c r="K147" s="1104"/>
      <c r="L147" s="1104"/>
      <c r="M147" s="1104"/>
      <c r="N147" s="1104"/>
      <c r="O147" s="1104"/>
      <c r="P147" s="245">
        <f>N141+N146</f>
        <v>0</v>
      </c>
      <c r="R147" s="6"/>
      <c r="S147" s="6"/>
      <c r="T147" s="6"/>
      <c r="U147" s="6"/>
      <c r="V147" s="5"/>
      <c r="W147" s="105"/>
      <c r="X147" s="106"/>
      <c r="Y147" s="102"/>
      <c r="Z147" s="102"/>
      <c r="AA147" s="102"/>
      <c r="AB147" s="102"/>
      <c r="AC147" s="6"/>
      <c r="AD147" s="6"/>
      <c r="AE147" s="6"/>
      <c r="AF147" s="6"/>
      <c r="AG147" s="6"/>
      <c r="AH147" s="6"/>
      <c r="AI147" s="6"/>
      <c r="AJ147" s="6"/>
      <c r="AK147" s="6"/>
      <c r="AL147" s="6"/>
      <c r="AM147" s="6"/>
    </row>
    <row r="148" spans="1:39" ht="12" customHeight="1" x14ac:dyDescent="0.2">
      <c r="B148" s="697"/>
      <c r="C148" s="697"/>
      <c r="D148" s="697"/>
      <c r="E148" s="697"/>
      <c r="F148" s="697"/>
      <c r="G148" s="697"/>
      <c r="H148" s="697"/>
      <c r="I148" s="697"/>
      <c r="J148" s="697"/>
      <c r="K148" s="697"/>
      <c r="L148" s="697"/>
      <c r="M148" s="697"/>
      <c r="N148" s="697"/>
      <c r="O148" s="697"/>
      <c r="P148" s="697"/>
      <c r="R148" s="6"/>
      <c r="S148" s="6"/>
      <c r="T148" s="6"/>
      <c r="U148" s="6"/>
      <c r="V148" s="5"/>
      <c r="W148" s="105"/>
      <c r="X148" s="106"/>
      <c r="Y148" s="102"/>
      <c r="Z148" s="102"/>
      <c r="AA148" s="102"/>
      <c r="AB148" s="102"/>
      <c r="AC148" s="6"/>
      <c r="AD148" s="6"/>
      <c r="AE148" s="6"/>
      <c r="AF148" s="6"/>
      <c r="AG148" s="6"/>
      <c r="AH148" s="6"/>
      <c r="AI148" s="6"/>
      <c r="AJ148" s="6"/>
      <c r="AK148" s="6"/>
      <c r="AL148" s="6"/>
      <c r="AM148" s="6"/>
    </row>
    <row r="149" spans="1:39" ht="12" hidden="1" customHeight="1" x14ac:dyDescent="0.2">
      <c r="B149" s="1044"/>
      <c r="C149" s="1044"/>
      <c r="D149" s="1044"/>
      <c r="E149" s="1044"/>
      <c r="F149" s="1044"/>
      <c r="G149" s="1044"/>
      <c r="H149" s="1044"/>
      <c r="I149" s="1044"/>
      <c r="J149" s="1044"/>
      <c r="K149" s="1044"/>
      <c r="L149" s="1044"/>
      <c r="M149" s="1044"/>
      <c r="N149" s="1044"/>
      <c r="O149" s="1044"/>
      <c r="P149" s="1044"/>
      <c r="R149" s="6"/>
      <c r="S149" s="6"/>
      <c r="T149" s="6"/>
      <c r="U149" s="6"/>
      <c r="V149" s="5"/>
      <c r="W149" s="105"/>
      <c r="X149" s="106"/>
      <c r="Y149" s="102"/>
      <c r="Z149" s="102"/>
      <c r="AA149" s="102"/>
      <c r="AB149" s="102"/>
      <c r="AC149" s="6"/>
      <c r="AD149" s="6"/>
      <c r="AE149" s="6"/>
      <c r="AF149" s="6"/>
      <c r="AG149" s="6"/>
      <c r="AH149" s="6"/>
      <c r="AI149" s="6"/>
      <c r="AJ149" s="6"/>
      <c r="AK149" s="6"/>
      <c r="AL149" s="6"/>
      <c r="AM149" s="6"/>
    </row>
    <row r="150" spans="1:39" ht="18" customHeight="1" x14ac:dyDescent="0.2">
      <c r="B150" s="947" t="s">
        <v>583</v>
      </c>
      <c r="C150" s="863"/>
      <c r="D150" s="863"/>
      <c r="E150" s="863"/>
      <c r="F150" s="863"/>
      <c r="G150" s="863"/>
      <c r="H150" s="863"/>
      <c r="I150" s="863"/>
      <c r="J150" s="863"/>
      <c r="K150" s="863"/>
      <c r="L150" s="863"/>
      <c r="M150" s="863"/>
      <c r="N150" s="863"/>
      <c r="O150" s="863"/>
      <c r="P150" s="929">
        <f>IF(R152=1,0.05,0)</f>
        <v>0</v>
      </c>
      <c r="R150" s="6"/>
      <c r="S150" s="6"/>
      <c r="T150" s="6"/>
      <c r="U150" s="6"/>
      <c r="V150" s="6"/>
      <c r="W150" s="6"/>
      <c r="X150" s="6"/>
      <c r="Y150" s="6"/>
      <c r="Z150" s="6"/>
      <c r="AA150" s="6"/>
      <c r="AB150" s="6"/>
      <c r="AC150" s="6"/>
      <c r="AD150" s="6"/>
      <c r="AE150" s="6"/>
      <c r="AF150" s="6"/>
      <c r="AG150" s="6"/>
      <c r="AH150" s="6"/>
      <c r="AI150" s="6"/>
      <c r="AJ150" s="6"/>
      <c r="AK150" s="6"/>
      <c r="AL150" s="6"/>
      <c r="AM150" s="6"/>
    </row>
    <row r="151" spans="1:39" ht="45" customHeight="1" x14ac:dyDescent="0.2">
      <c r="B151" s="761" t="s">
        <v>1836</v>
      </c>
      <c r="C151" s="761"/>
      <c r="D151" s="761"/>
      <c r="E151" s="761"/>
      <c r="F151" s="761"/>
      <c r="G151" s="761"/>
      <c r="H151" s="761"/>
      <c r="I151" s="761"/>
      <c r="J151" s="761"/>
      <c r="K151" s="761"/>
      <c r="L151" s="761"/>
      <c r="M151" s="761"/>
      <c r="N151" s="761"/>
      <c r="O151" s="761"/>
      <c r="P151" s="1071"/>
      <c r="R151" s="318" t="s">
        <v>2240</v>
      </c>
      <c r="S151" s="6"/>
      <c r="T151" s="6"/>
      <c r="U151" s="6"/>
      <c r="V151" s="6"/>
      <c r="W151" s="6"/>
      <c r="X151" s="6"/>
      <c r="Y151" s="6"/>
      <c r="Z151" s="6"/>
      <c r="AA151" s="6"/>
      <c r="AB151" s="6"/>
      <c r="AC151" s="6"/>
      <c r="AD151" s="6"/>
      <c r="AE151" s="6"/>
      <c r="AF151" s="6"/>
      <c r="AG151" s="6"/>
      <c r="AH151" s="6"/>
      <c r="AI151" s="6"/>
      <c r="AJ151" s="6"/>
      <c r="AK151" s="6"/>
      <c r="AL151" s="6"/>
      <c r="AM151" s="6"/>
    </row>
    <row r="152" spans="1:39" ht="21.75" customHeight="1" x14ac:dyDescent="0.2">
      <c r="A152" s="15"/>
      <c r="B152" s="791" t="s">
        <v>932</v>
      </c>
      <c r="C152" s="791"/>
      <c r="D152" s="791"/>
      <c r="E152" s="791"/>
      <c r="F152" s="791"/>
      <c r="G152" s="791"/>
      <c r="H152" s="791"/>
      <c r="I152" s="791"/>
      <c r="J152" s="791"/>
      <c r="K152" s="1002"/>
      <c r="L152" s="1002"/>
      <c r="M152" s="1002"/>
      <c r="N152" s="1002"/>
      <c r="O152" s="1002"/>
      <c r="P152" s="1072"/>
      <c r="R152" s="613">
        <v>2</v>
      </c>
      <c r="S152" s="6"/>
      <c r="T152" s="6"/>
      <c r="U152" s="6"/>
      <c r="V152" s="6"/>
      <c r="W152" s="6"/>
      <c r="X152" s="6"/>
      <c r="Y152" s="6"/>
      <c r="Z152" s="6"/>
      <c r="AA152" s="6"/>
      <c r="AB152" s="6"/>
      <c r="AC152" s="6"/>
      <c r="AD152" s="6"/>
      <c r="AE152" s="6"/>
      <c r="AF152" s="6"/>
      <c r="AG152" s="6"/>
      <c r="AH152" s="6"/>
      <c r="AI152" s="6"/>
      <c r="AJ152" s="6"/>
      <c r="AK152" s="6"/>
      <c r="AL152" s="6"/>
      <c r="AM152" s="6"/>
    </row>
    <row r="153" spans="1:39" ht="15" customHeight="1" x14ac:dyDescent="0.2">
      <c r="B153" s="1129"/>
      <c r="C153" s="1129"/>
      <c r="D153" s="1129"/>
      <c r="E153" s="1129"/>
      <c r="F153" s="1129"/>
      <c r="G153" s="1129"/>
      <c r="H153" s="1129"/>
      <c r="I153" s="1129"/>
      <c r="J153" s="1129"/>
      <c r="K153" s="1129"/>
      <c r="L153" s="1129"/>
      <c r="M153" s="1129"/>
      <c r="N153" s="1129"/>
      <c r="O153" s="1129"/>
      <c r="P153" s="1129"/>
      <c r="R153" s="6"/>
      <c r="S153" s="6"/>
      <c r="T153" s="6"/>
      <c r="U153" s="6"/>
      <c r="V153" s="6"/>
      <c r="W153" s="6"/>
      <c r="X153" s="6"/>
      <c r="Y153" s="6"/>
      <c r="Z153" s="6"/>
      <c r="AA153" s="6"/>
      <c r="AB153" s="6"/>
      <c r="AC153" s="6"/>
      <c r="AD153" s="6"/>
      <c r="AE153" s="6"/>
      <c r="AF153" s="6"/>
      <c r="AG153" s="6"/>
      <c r="AH153" s="6"/>
      <c r="AI153" s="6"/>
      <c r="AJ153" s="6"/>
      <c r="AK153" s="6"/>
      <c r="AL153" s="6"/>
      <c r="AM153" s="6"/>
    </row>
    <row r="154" spans="1:39" ht="27" customHeight="1" x14ac:dyDescent="0.2">
      <c r="B154" s="741" t="s">
        <v>828</v>
      </c>
      <c r="C154" s="741"/>
      <c r="D154" s="741"/>
      <c r="E154" s="741"/>
      <c r="F154" s="741"/>
      <c r="G154" s="741"/>
      <c r="H154" s="741"/>
      <c r="I154" s="912" t="s">
        <v>1495</v>
      </c>
      <c r="J154" s="910"/>
      <c r="K154" s="910"/>
      <c r="L154" s="910"/>
      <c r="M154" s="863"/>
      <c r="N154" s="863"/>
      <c r="O154" s="863"/>
      <c r="P154" s="1524">
        <f>U166</f>
        <v>0</v>
      </c>
      <c r="R154" s="13" t="s">
        <v>1826</v>
      </c>
      <c r="S154" s="13" t="s">
        <v>1285</v>
      </c>
      <c r="T154" s="13" t="s">
        <v>1286</v>
      </c>
      <c r="U154" s="13" t="s">
        <v>1287</v>
      </c>
      <c r="V154" s="77"/>
      <c r="W154" s="77"/>
      <c r="X154" s="77"/>
      <c r="Y154" s="77"/>
      <c r="Z154" s="77"/>
      <c r="AA154" s="77"/>
      <c r="AB154" s="77"/>
      <c r="AC154" s="77"/>
      <c r="AD154" s="77"/>
      <c r="AE154" s="77"/>
      <c r="AF154" s="77"/>
      <c r="AG154" s="6"/>
      <c r="AH154" s="6"/>
      <c r="AI154" s="6"/>
      <c r="AJ154" s="6"/>
      <c r="AK154" s="6"/>
      <c r="AL154" s="6"/>
      <c r="AM154" s="6"/>
    </row>
    <row r="155" spans="1:39" ht="18.75" customHeight="1" x14ac:dyDescent="0.2">
      <c r="B155" s="791" t="s">
        <v>1918</v>
      </c>
      <c r="C155" s="791"/>
      <c r="D155" s="791"/>
      <c r="E155" s="791"/>
      <c r="F155" s="791"/>
      <c r="G155" s="755">
        <f>P125</f>
        <v>0</v>
      </c>
      <c r="H155" s="755"/>
      <c r="I155" s="1522"/>
      <c r="J155" s="1523"/>
      <c r="K155" s="1151">
        <f>IF(I155="",0,IF(AND(G155*I155&gt;0,G155*I155&lt;0.01),0.01,ROUND(G155*I155,2)))</f>
        <v>0</v>
      </c>
      <c r="L155" s="1151"/>
      <c r="M155" s="863"/>
      <c r="N155" s="863"/>
      <c r="O155" s="863"/>
      <c r="P155" s="1524"/>
      <c r="R155" s="365">
        <f>IF(K155&gt;0,K155,G155)</f>
        <v>0</v>
      </c>
      <c r="S155" s="84">
        <f>LARGE($R$155:$R$167,1)</f>
        <v>0</v>
      </c>
      <c r="T155" s="12">
        <f>S155+S156*(1-S155)</f>
        <v>0</v>
      </c>
      <c r="U155" s="52">
        <f>ROUND(T155,2)</f>
        <v>0</v>
      </c>
      <c r="V155" s="77"/>
      <c r="W155" s="77"/>
      <c r="X155" s="77"/>
      <c r="Y155" s="77"/>
      <c r="Z155" s="77"/>
      <c r="AA155" s="77"/>
      <c r="AB155" s="77"/>
      <c r="AC155" s="77"/>
      <c r="AD155" s="77"/>
      <c r="AE155" s="77"/>
      <c r="AF155" s="77"/>
      <c r="AG155" s="6"/>
      <c r="AH155" s="6"/>
      <c r="AI155" s="6"/>
      <c r="AJ155" s="6"/>
      <c r="AK155" s="6"/>
      <c r="AL155" s="6"/>
      <c r="AM155" s="6"/>
    </row>
    <row r="156" spans="1:39" ht="18.75" customHeight="1" x14ac:dyDescent="0.2">
      <c r="B156" s="1534" t="s">
        <v>1318</v>
      </c>
      <c r="C156" s="1535"/>
      <c r="D156" s="1535"/>
      <c r="E156" s="1536"/>
      <c r="F156" s="18" t="s">
        <v>87</v>
      </c>
      <c r="G156" s="1116">
        <f>H132</f>
        <v>0</v>
      </c>
      <c r="H156" s="1116"/>
      <c r="I156" s="1522"/>
      <c r="J156" s="1523"/>
      <c r="K156" s="1151">
        <f t="shared" ref="K156:K166" si="25">IF(I156="",0,IF(AND(G156*I156&gt;0,G156*I156&lt;0.01),0.01,ROUND(G156*I156,2)))</f>
        <v>0</v>
      </c>
      <c r="L156" s="1151"/>
      <c r="M156" s="863"/>
      <c r="N156" s="863"/>
      <c r="O156" s="863"/>
      <c r="P156" s="1524"/>
      <c r="R156" s="365">
        <f t="shared" ref="R156:R167" si="26">IF(K156&gt;0,K156,G156)</f>
        <v>0</v>
      </c>
      <c r="S156" s="84">
        <f>LARGE($R$155:$R$167,2)</f>
        <v>0</v>
      </c>
      <c r="T156" s="12">
        <f>U155+S157*(1-U155)</f>
        <v>0</v>
      </c>
      <c r="U156" s="52">
        <f>ROUND(T156,2)</f>
        <v>0</v>
      </c>
      <c r="V156" s="77"/>
      <c r="W156" s="77"/>
      <c r="X156" s="77"/>
      <c r="Y156" s="77"/>
      <c r="Z156" s="77"/>
      <c r="AA156" s="77"/>
      <c r="AB156" s="77"/>
      <c r="AC156" s="77"/>
      <c r="AD156" s="77"/>
      <c r="AE156" s="77"/>
      <c r="AF156" s="77"/>
      <c r="AG156" s="6"/>
      <c r="AH156" s="6"/>
      <c r="AI156" s="6"/>
      <c r="AJ156" s="6"/>
      <c r="AK156" s="6"/>
      <c r="AL156" s="6"/>
      <c r="AM156" s="6"/>
    </row>
    <row r="157" spans="1:39" ht="18.75" customHeight="1" x14ac:dyDescent="0.2">
      <c r="B157" s="1537"/>
      <c r="C157" s="1538"/>
      <c r="D157" s="1538"/>
      <c r="E157" s="1539"/>
      <c r="F157" s="18" t="s">
        <v>88</v>
      </c>
      <c r="G157" s="1116">
        <f>H133</f>
        <v>0</v>
      </c>
      <c r="H157" s="1116"/>
      <c r="I157" s="1522"/>
      <c r="J157" s="1523"/>
      <c r="K157" s="1151">
        <f t="shared" si="25"/>
        <v>0</v>
      </c>
      <c r="L157" s="1151"/>
      <c r="M157" s="863"/>
      <c r="N157" s="863"/>
      <c r="O157" s="863"/>
      <c r="P157" s="1524"/>
      <c r="R157" s="365">
        <f t="shared" si="26"/>
        <v>0</v>
      </c>
      <c r="S157" s="84">
        <f>LARGE($R$155:$R$167,3)</f>
        <v>0</v>
      </c>
      <c r="T157" s="12">
        <f t="shared" ref="T157:T166" si="27">U156+S158*(1-U156)</f>
        <v>0</v>
      </c>
      <c r="U157" s="52">
        <f t="shared" ref="U157:U166" si="28">ROUND(T157,2)</f>
        <v>0</v>
      </c>
      <c r="V157" s="77"/>
      <c r="W157" s="77"/>
      <c r="X157" s="77"/>
      <c r="Y157" s="77"/>
      <c r="Z157" s="77"/>
      <c r="AA157" s="77"/>
      <c r="AB157" s="77"/>
      <c r="AC157" s="77"/>
      <c r="AD157" s="77"/>
      <c r="AE157" s="77"/>
      <c r="AF157" s="77"/>
      <c r="AG157" s="6"/>
      <c r="AH157" s="6"/>
      <c r="AI157" s="6"/>
      <c r="AJ157" s="6"/>
      <c r="AK157" s="6"/>
      <c r="AL157" s="6"/>
      <c r="AM157" s="6"/>
    </row>
    <row r="158" spans="1:39" ht="18.75" customHeight="1" x14ac:dyDescent="0.2">
      <c r="B158" s="1537"/>
      <c r="C158" s="1538"/>
      <c r="D158" s="1538"/>
      <c r="E158" s="1539"/>
      <c r="F158" s="18" t="s">
        <v>89</v>
      </c>
      <c r="G158" s="1116">
        <f>H134</f>
        <v>0</v>
      </c>
      <c r="H158" s="1116"/>
      <c r="I158" s="1522"/>
      <c r="J158" s="1523"/>
      <c r="K158" s="1151">
        <f t="shared" si="25"/>
        <v>0</v>
      </c>
      <c r="L158" s="1151"/>
      <c r="M158" s="863"/>
      <c r="N158" s="863"/>
      <c r="O158" s="863"/>
      <c r="P158" s="1524"/>
      <c r="R158" s="365">
        <f t="shared" si="26"/>
        <v>0</v>
      </c>
      <c r="S158" s="84">
        <f>LARGE($R$155:$R$167,4)</f>
        <v>0</v>
      </c>
      <c r="T158" s="12">
        <f t="shared" si="27"/>
        <v>0</v>
      </c>
      <c r="U158" s="52">
        <f t="shared" si="28"/>
        <v>0</v>
      </c>
      <c r="V158" s="77"/>
      <c r="W158" s="77"/>
      <c r="X158" s="77"/>
      <c r="Y158" s="77"/>
      <c r="Z158" s="77"/>
      <c r="AA158" s="77"/>
      <c r="AB158" s="77"/>
      <c r="AC158" s="77"/>
      <c r="AD158" s="77"/>
      <c r="AE158" s="77"/>
      <c r="AF158" s="77"/>
      <c r="AG158" s="6"/>
      <c r="AH158" s="6"/>
      <c r="AI158" s="6"/>
      <c r="AJ158" s="6"/>
      <c r="AK158" s="6"/>
      <c r="AL158" s="6"/>
      <c r="AM158" s="6"/>
    </row>
    <row r="159" spans="1:39" ht="18.75" customHeight="1" x14ac:dyDescent="0.2">
      <c r="B159" s="1537"/>
      <c r="C159" s="1538"/>
      <c r="D159" s="1538"/>
      <c r="E159" s="1539"/>
      <c r="F159" s="18" t="s">
        <v>90</v>
      </c>
      <c r="G159" s="1116">
        <f>H135</f>
        <v>0</v>
      </c>
      <c r="H159" s="1116"/>
      <c r="I159" s="1522"/>
      <c r="J159" s="1523"/>
      <c r="K159" s="1151">
        <f t="shared" si="25"/>
        <v>0</v>
      </c>
      <c r="L159" s="1151"/>
      <c r="M159" s="863"/>
      <c r="N159" s="863"/>
      <c r="O159" s="863"/>
      <c r="P159" s="1524"/>
      <c r="R159" s="365">
        <f t="shared" si="26"/>
        <v>0</v>
      </c>
      <c r="S159" s="84">
        <f>LARGE($R$155:$R$167,5)</f>
        <v>0</v>
      </c>
      <c r="T159" s="12">
        <f t="shared" si="27"/>
        <v>0</v>
      </c>
      <c r="U159" s="52">
        <f t="shared" si="28"/>
        <v>0</v>
      </c>
      <c r="V159" s="77"/>
      <c r="W159" s="77"/>
      <c r="X159" s="77"/>
      <c r="Y159" s="77"/>
      <c r="Z159" s="77"/>
      <c r="AA159" s="77"/>
      <c r="AB159" s="77"/>
      <c r="AC159" s="77"/>
      <c r="AD159" s="77"/>
      <c r="AE159" s="77"/>
      <c r="AF159" s="77"/>
      <c r="AG159" s="6"/>
      <c r="AH159" s="6"/>
      <c r="AI159" s="6"/>
      <c r="AJ159" s="6"/>
      <c r="AK159" s="6"/>
      <c r="AL159" s="6"/>
      <c r="AM159" s="6"/>
    </row>
    <row r="160" spans="1:39" ht="18.75" customHeight="1" x14ac:dyDescent="0.2">
      <c r="B160" s="1540"/>
      <c r="C160" s="1541"/>
      <c r="D160" s="1541"/>
      <c r="E160" s="1542"/>
      <c r="F160" s="18" t="s">
        <v>91</v>
      </c>
      <c r="G160" s="1116">
        <f>H136</f>
        <v>0</v>
      </c>
      <c r="H160" s="1116"/>
      <c r="I160" s="1522"/>
      <c r="J160" s="1523"/>
      <c r="K160" s="1151">
        <f t="shared" si="25"/>
        <v>0</v>
      </c>
      <c r="L160" s="1151"/>
      <c r="M160" s="863"/>
      <c r="N160" s="863"/>
      <c r="O160" s="863"/>
      <c r="P160" s="1524"/>
      <c r="R160" s="365">
        <f t="shared" si="26"/>
        <v>0</v>
      </c>
      <c r="S160" s="84">
        <f>LARGE($R$155:$R$167,6)</f>
        <v>0</v>
      </c>
      <c r="T160" s="12">
        <f t="shared" si="27"/>
        <v>0</v>
      </c>
      <c r="U160" s="52">
        <f t="shared" si="28"/>
        <v>0</v>
      </c>
      <c r="V160" s="77"/>
      <c r="W160" s="77"/>
      <c r="X160" s="77"/>
      <c r="Y160" s="77"/>
      <c r="Z160" s="77"/>
      <c r="AA160" s="77"/>
      <c r="AB160" s="77"/>
      <c r="AC160" s="77"/>
      <c r="AD160" s="77"/>
      <c r="AE160" s="77"/>
      <c r="AF160" s="77"/>
      <c r="AG160" s="6"/>
      <c r="AH160" s="6"/>
      <c r="AI160" s="6"/>
      <c r="AJ160" s="6"/>
      <c r="AK160" s="6"/>
      <c r="AL160" s="6"/>
      <c r="AM160" s="6"/>
    </row>
    <row r="161" spans="2:39" ht="18.75" customHeight="1" x14ac:dyDescent="0.2">
      <c r="B161" s="1528" t="s">
        <v>1319</v>
      </c>
      <c r="C161" s="1528"/>
      <c r="D161" s="1528"/>
      <c r="E161" s="1529"/>
      <c r="F161" s="18" t="s">
        <v>87</v>
      </c>
      <c r="G161" s="1116">
        <f>O132</f>
        <v>0</v>
      </c>
      <c r="H161" s="1116"/>
      <c r="I161" s="1522"/>
      <c r="J161" s="1523"/>
      <c r="K161" s="1151">
        <f t="shared" si="25"/>
        <v>0</v>
      </c>
      <c r="L161" s="1151"/>
      <c r="M161" s="863"/>
      <c r="N161" s="863"/>
      <c r="O161" s="863"/>
      <c r="P161" s="1524"/>
      <c r="R161" s="365">
        <f t="shared" si="26"/>
        <v>0</v>
      </c>
      <c r="S161" s="84">
        <f>LARGE($R$155:$R$167,7)</f>
        <v>0</v>
      </c>
      <c r="T161" s="12">
        <f t="shared" si="27"/>
        <v>0</v>
      </c>
      <c r="U161" s="52">
        <f t="shared" si="28"/>
        <v>0</v>
      </c>
      <c r="V161" s="77"/>
      <c r="W161" s="77"/>
      <c r="X161" s="77"/>
      <c r="Y161" s="77"/>
      <c r="Z161" s="77"/>
      <c r="AA161" s="77"/>
      <c r="AB161" s="77"/>
      <c r="AC161" s="77"/>
      <c r="AD161" s="77"/>
      <c r="AE161" s="77"/>
      <c r="AF161" s="77"/>
      <c r="AG161" s="6"/>
      <c r="AH161" s="6"/>
      <c r="AI161" s="6"/>
      <c r="AJ161" s="6"/>
      <c r="AK161" s="6"/>
      <c r="AL161" s="6"/>
      <c r="AM161" s="6"/>
    </row>
    <row r="162" spans="2:39" ht="18.75" customHeight="1" x14ac:dyDescent="0.2">
      <c r="B162" s="1530"/>
      <c r="C162" s="1530"/>
      <c r="D162" s="1530"/>
      <c r="E162" s="1531"/>
      <c r="F162" s="18" t="s">
        <v>88</v>
      </c>
      <c r="G162" s="1116">
        <f>O133</f>
        <v>0</v>
      </c>
      <c r="H162" s="1116"/>
      <c r="I162" s="1522"/>
      <c r="J162" s="1523"/>
      <c r="K162" s="1151">
        <f t="shared" si="25"/>
        <v>0</v>
      </c>
      <c r="L162" s="1151"/>
      <c r="M162" s="863"/>
      <c r="N162" s="863"/>
      <c r="O162" s="863"/>
      <c r="P162" s="1524"/>
      <c r="R162" s="365">
        <f t="shared" si="26"/>
        <v>0</v>
      </c>
      <c r="S162" s="84">
        <f>LARGE($R$155:$R$167,8)</f>
        <v>0</v>
      </c>
      <c r="T162" s="12">
        <f t="shared" si="27"/>
        <v>0</v>
      </c>
      <c r="U162" s="52">
        <f t="shared" si="28"/>
        <v>0</v>
      </c>
      <c r="V162" s="6"/>
      <c r="W162" s="6"/>
      <c r="X162" s="6"/>
      <c r="Y162" s="6"/>
      <c r="Z162" s="6"/>
      <c r="AA162" s="6"/>
      <c r="AB162" s="6"/>
      <c r="AC162" s="6"/>
      <c r="AD162" s="6"/>
      <c r="AE162" s="6"/>
      <c r="AF162" s="6"/>
      <c r="AG162" s="6"/>
      <c r="AH162" s="6"/>
      <c r="AI162" s="6"/>
      <c r="AJ162" s="6"/>
      <c r="AK162" s="6"/>
      <c r="AL162" s="6"/>
      <c r="AM162" s="6"/>
    </row>
    <row r="163" spans="2:39" ht="18.75" customHeight="1" x14ac:dyDescent="0.2">
      <c r="B163" s="1530"/>
      <c r="C163" s="1530"/>
      <c r="D163" s="1530"/>
      <c r="E163" s="1531"/>
      <c r="F163" s="18" t="s">
        <v>89</v>
      </c>
      <c r="G163" s="1116">
        <f>O134</f>
        <v>0</v>
      </c>
      <c r="H163" s="1116"/>
      <c r="I163" s="1522"/>
      <c r="J163" s="1523"/>
      <c r="K163" s="1151">
        <f t="shared" si="25"/>
        <v>0</v>
      </c>
      <c r="L163" s="1151"/>
      <c r="M163" s="863"/>
      <c r="N163" s="863"/>
      <c r="O163" s="863"/>
      <c r="P163" s="1524"/>
      <c r="R163" s="365">
        <f t="shared" si="26"/>
        <v>0</v>
      </c>
      <c r="S163" s="84">
        <f>LARGE($R$155:$R$167,9)</f>
        <v>0</v>
      </c>
      <c r="T163" s="12">
        <f t="shared" si="27"/>
        <v>0</v>
      </c>
      <c r="U163" s="52">
        <f t="shared" si="28"/>
        <v>0</v>
      </c>
      <c r="V163" s="77"/>
      <c r="W163" s="6"/>
      <c r="X163" s="6"/>
      <c r="Y163" s="6"/>
      <c r="Z163" s="6"/>
      <c r="AA163" s="6"/>
      <c r="AB163" s="6"/>
      <c r="AC163" s="6"/>
      <c r="AD163" s="6"/>
      <c r="AE163" s="6"/>
      <c r="AF163" s="6"/>
      <c r="AG163" s="6"/>
      <c r="AH163" s="6"/>
      <c r="AI163" s="6"/>
      <c r="AJ163" s="6"/>
      <c r="AK163" s="6"/>
      <c r="AL163" s="6"/>
      <c r="AM163" s="6"/>
    </row>
    <row r="164" spans="2:39" ht="18.75" customHeight="1" x14ac:dyDescent="0.2">
      <c r="B164" s="1530"/>
      <c r="C164" s="1530"/>
      <c r="D164" s="1530"/>
      <c r="E164" s="1531"/>
      <c r="F164" s="18" t="s">
        <v>90</v>
      </c>
      <c r="G164" s="1116">
        <f>O135</f>
        <v>0</v>
      </c>
      <c r="H164" s="1116"/>
      <c r="I164" s="1522"/>
      <c r="J164" s="1523"/>
      <c r="K164" s="1151">
        <f t="shared" si="25"/>
        <v>0</v>
      </c>
      <c r="L164" s="1151"/>
      <c r="M164" s="863"/>
      <c r="N164" s="863"/>
      <c r="O164" s="863"/>
      <c r="P164" s="1524"/>
      <c r="R164" s="365">
        <f t="shared" si="26"/>
        <v>0</v>
      </c>
      <c r="S164" s="84">
        <f>LARGE($R$155:$R$167,10)</f>
        <v>0</v>
      </c>
      <c r="T164" s="12">
        <f t="shared" si="27"/>
        <v>0</v>
      </c>
      <c r="U164" s="52">
        <f t="shared" si="28"/>
        <v>0</v>
      </c>
      <c r="V164" s="77"/>
      <c r="W164" s="6"/>
      <c r="X164" s="6"/>
      <c r="Y164" s="6"/>
      <c r="Z164" s="6"/>
      <c r="AA164" s="6"/>
      <c r="AB164" s="6"/>
      <c r="AC164" s="6"/>
      <c r="AD164" s="6"/>
      <c r="AE164" s="6"/>
      <c r="AF164" s="6"/>
      <c r="AG164" s="6"/>
      <c r="AH164" s="6"/>
      <c r="AI164" s="6"/>
      <c r="AJ164" s="6"/>
      <c r="AK164" s="6"/>
      <c r="AL164" s="6"/>
      <c r="AM164" s="6"/>
    </row>
    <row r="165" spans="2:39" ht="18.75" customHeight="1" x14ac:dyDescent="0.2">
      <c r="B165" s="1532"/>
      <c r="C165" s="1532"/>
      <c r="D165" s="1532"/>
      <c r="E165" s="1533"/>
      <c r="F165" s="18" t="s">
        <v>91</v>
      </c>
      <c r="G165" s="1116">
        <f>O136</f>
        <v>0</v>
      </c>
      <c r="H165" s="1116"/>
      <c r="I165" s="1522"/>
      <c r="J165" s="1523"/>
      <c r="K165" s="1151">
        <f t="shared" si="25"/>
        <v>0</v>
      </c>
      <c r="L165" s="1151"/>
      <c r="M165" s="863"/>
      <c r="N165" s="863"/>
      <c r="O165" s="863"/>
      <c r="P165" s="1524"/>
      <c r="R165" s="365">
        <f t="shared" si="26"/>
        <v>0</v>
      </c>
      <c r="S165" s="84">
        <f>LARGE($R$155:$R$167,11)</f>
        <v>0</v>
      </c>
      <c r="T165" s="12">
        <f t="shared" si="27"/>
        <v>0</v>
      </c>
      <c r="U165" s="52">
        <f t="shared" si="28"/>
        <v>0</v>
      </c>
      <c r="V165" s="6"/>
      <c r="W165" s="6"/>
      <c r="X165" s="6"/>
      <c r="Y165" s="6"/>
      <c r="Z165" s="6"/>
      <c r="AA165" s="6"/>
      <c r="AB165" s="6"/>
      <c r="AC165" s="6"/>
      <c r="AD165" s="6"/>
      <c r="AE165" s="6"/>
      <c r="AF165" s="6"/>
      <c r="AG165" s="6"/>
      <c r="AH165" s="6"/>
      <c r="AI165" s="6"/>
      <c r="AJ165" s="6"/>
      <c r="AK165" s="6"/>
      <c r="AL165" s="6"/>
      <c r="AM165" s="6"/>
    </row>
    <row r="166" spans="2:39" ht="18.75" customHeight="1" x14ac:dyDescent="0.2">
      <c r="B166" s="791" t="s">
        <v>1320</v>
      </c>
      <c r="C166" s="791"/>
      <c r="D166" s="791"/>
      <c r="E166" s="791"/>
      <c r="F166" s="791"/>
      <c r="G166" s="755">
        <f>P147</f>
        <v>0</v>
      </c>
      <c r="H166" s="755"/>
      <c r="I166" s="1522"/>
      <c r="J166" s="1523"/>
      <c r="K166" s="1151">
        <f t="shared" si="25"/>
        <v>0</v>
      </c>
      <c r="L166" s="1151"/>
      <c r="M166" s="863"/>
      <c r="N166" s="863"/>
      <c r="O166" s="863"/>
      <c r="P166" s="1524"/>
      <c r="R166" s="365">
        <f t="shared" si="26"/>
        <v>0</v>
      </c>
      <c r="S166" s="84">
        <f>LARGE($R$155:$R$167,12)</f>
        <v>0</v>
      </c>
      <c r="T166" s="12">
        <f t="shared" si="27"/>
        <v>0</v>
      </c>
      <c r="U166" s="52">
        <f t="shared" si="28"/>
        <v>0</v>
      </c>
      <c r="V166" s="102"/>
      <c r="W166" s="6"/>
      <c r="X166" s="6"/>
      <c r="Y166" s="6"/>
      <c r="Z166" s="6"/>
      <c r="AA166" s="6"/>
      <c r="AB166" s="6"/>
      <c r="AC166" s="6"/>
      <c r="AD166" s="6"/>
      <c r="AE166" s="6"/>
      <c r="AF166" s="6"/>
      <c r="AG166" s="6"/>
      <c r="AH166" s="6"/>
      <c r="AI166" s="6"/>
      <c r="AJ166" s="6"/>
      <c r="AK166" s="6"/>
      <c r="AL166" s="6"/>
      <c r="AM166" s="6"/>
    </row>
    <row r="167" spans="2:39" ht="18.75" customHeight="1" x14ac:dyDescent="0.2">
      <c r="B167" s="791" t="s">
        <v>583</v>
      </c>
      <c r="C167" s="791"/>
      <c r="D167" s="791"/>
      <c r="E167" s="791"/>
      <c r="F167" s="791"/>
      <c r="G167" s="914">
        <f>P150</f>
        <v>0</v>
      </c>
      <c r="H167" s="914"/>
      <c r="I167" s="1522"/>
      <c r="J167" s="1523"/>
      <c r="K167" s="1151">
        <f>IF(I167="",0,IF(AND(G167*I167&gt;0,G167*I167&lt;0.01),0.01,ROUND(G167*I167,2)))</f>
        <v>0</v>
      </c>
      <c r="L167" s="1151"/>
      <c r="M167" s="863"/>
      <c r="N167" s="863"/>
      <c r="O167" s="863"/>
      <c r="P167" s="1524"/>
      <c r="R167" s="365">
        <f t="shared" si="26"/>
        <v>0</v>
      </c>
      <c r="S167" s="84">
        <f>LARGE($R$155:$R$167,13)</f>
        <v>0</v>
      </c>
      <c r="T167" s="77"/>
      <c r="U167" s="108"/>
      <c r="V167" s="102"/>
      <c r="W167" s="102"/>
      <c r="X167" s="6"/>
      <c r="Y167" s="6"/>
      <c r="Z167" s="6"/>
      <c r="AA167" s="6"/>
      <c r="AB167" s="6"/>
      <c r="AC167" s="6"/>
      <c r="AD167" s="6"/>
      <c r="AE167" s="6"/>
      <c r="AF167" s="6"/>
      <c r="AG167" s="6"/>
      <c r="AH167" s="6"/>
      <c r="AI167" s="6"/>
      <c r="AJ167" s="6"/>
      <c r="AK167" s="6"/>
      <c r="AL167" s="6"/>
      <c r="AM167" s="6"/>
    </row>
    <row r="168" spans="2:39" ht="18.75" customHeight="1" x14ac:dyDescent="0.2">
      <c r="B168" s="863"/>
      <c r="C168" s="863"/>
      <c r="D168" s="863"/>
      <c r="E168" s="863"/>
      <c r="F168" s="863"/>
      <c r="G168" s="863"/>
      <c r="H168" s="863"/>
      <c r="I168" s="863"/>
      <c r="J168" s="863"/>
      <c r="K168" s="1525" t="s">
        <v>1562</v>
      </c>
      <c r="L168" s="1525"/>
      <c r="M168" s="1525"/>
      <c r="N168" s="1525"/>
      <c r="O168" s="1525"/>
      <c r="P168" s="1524"/>
      <c r="S168" s="77"/>
      <c r="T168" s="108"/>
      <c r="U168" s="6"/>
      <c r="V168" s="102"/>
      <c r="W168" s="102"/>
      <c r="X168" s="6"/>
      <c r="Y168" s="6"/>
      <c r="Z168" s="6"/>
      <c r="AA168" s="6"/>
      <c r="AB168" s="6"/>
      <c r="AC168" s="6"/>
      <c r="AD168" s="6"/>
      <c r="AE168" s="6"/>
      <c r="AF168" s="6"/>
      <c r="AG168" s="6"/>
      <c r="AH168" s="6"/>
      <c r="AI168" s="6"/>
      <c r="AJ168" s="6"/>
      <c r="AK168" s="6"/>
      <c r="AL168" s="6"/>
      <c r="AM168" s="6"/>
    </row>
    <row r="169" spans="2:39" ht="12" customHeight="1" x14ac:dyDescent="0.2">
      <c r="B169" s="1041"/>
      <c r="C169" s="1041"/>
      <c r="D169" s="1041"/>
      <c r="E169" s="1041"/>
      <c r="F169" s="1041"/>
      <c r="G169" s="1041"/>
      <c r="H169" s="1041"/>
      <c r="I169" s="1041"/>
      <c r="J169" s="1041"/>
      <c r="K169" s="1041"/>
      <c r="L169" s="1041"/>
      <c r="M169" s="1041"/>
      <c r="N169" s="1041"/>
      <c r="O169" s="1041"/>
      <c r="P169" s="7"/>
      <c r="R169" s="6"/>
      <c r="S169" s="6"/>
      <c r="T169" s="6"/>
      <c r="U169" s="6"/>
      <c r="V169" s="6"/>
      <c r="W169" s="6"/>
      <c r="X169" s="6"/>
      <c r="Y169" s="6"/>
      <c r="Z169" s="6"/>
      <c r="AA169" s="6"/>
      <c r="AB169" s="6"/>
      <c r="AC169" s="6"/>
      <c r="AD169" s="6"/>
      <c r="AE169" s="6"/>
      <c r="AF169" s="6"/>
      <c r="AG169" s="6"/>
      <c r="AH169" s="6"/>
      <c r="AI169" s="6"/>
      <c r="AJ169" s="6"/>
      <c r="AK169" s="6"/>
      <c r="AL169" s="6"/>
      <c r="AM169" s="6"/>
    </row>
    <row r="170" spans="2:39" ht="18" customHeight="1" x14ac:dyDescent="0.2">
      <c r="B170" s="863" t="s">
        <v>829</v>
      </c>
      <c r="C170" s="863"/>
      <c r="D170" s="863"/>
      <c r="E170" s="863"/>
      <c r="F170" s="863"/>
      <c r="G170" s="863"/>
      <c r="H170" s="863"/>
      <c r="I170" s="863"/>
      <c r="J170" s="863"/>
      <c r="K170" s="863"/>
      <c r="L170" s="863"/>
      <c r="M170" s="863"/>
      <c r="N170" s="863"/>
      <c r="O170" s="863"/>
      <c r="P170" s="1488">
        <f>T172</f>
        <v>0</v>
      </c>
      <c r="R170" s="13" t="s">
        <v>1285</v>
      </c>
      <c r="S170" s="13" t="s">
        <v>1286</v>
      </c>
      <c r="T170" s="13" t="s">
        <v>1287</v>
      </c>
      <c r="U170" s="6"/>
      <c r="V170" s="6"/>
      <c r="W170" s="6"/>
      <c r="X170" s="6"/>
      <c r="Y170" s="6"/>
      <c r="Z170" s="6"/>
      <c r="AA170" s="6"/>
      <c r="AB170" s="6"/>
      <c r="AC170" s="6"/>
      <c r="AD170" s="6"/>
      <c r="AE170" s="6"/>
      <c r="AF170" s="6"/>
      <c r="AG170" s="6"/>
      <c r="AH170" s="6"/>
      <c r="AI170" s="6"/>
      <c r="AJ170" s="6"/>
      <c r="AK170" s="6"/>
      <c r="AL170" s="6"/>
      <c r="AM170" s="6"/>
    </row>
    <row r="171" spans="2:39" ht="18" customHeight="1" x14ac:dyDescent="0.2">
      <c r="B171" s="791" t="s">
        <v>830</v>
      </c>
      <c r="C171" s="791"/>
      <c r="D171" s="791"/>
      <c r="E171" s="791"/>
      <c r="F171" s="791"/>
      <c r="G171" s="755">
        <f>P38</f>
        <v>0</v>
      </c>
      <c r="H171" s="755"/>
      <c r="I171" s="1467"/>
      <c r="J171" s="1468"/>
      <c r="K171" s="1468"/>
      <c r="L171" s="1468"/>
      <c r="M171" s="1468"/>
      <c r="N171" s="1468"/>
      <c r="O171" s="1469"/>
      <c r="P171" s="1489"/>
      <c r="R171" s="84">
        <f>LARGE($G$171:$G$173,1)</f>
        <v>0</v>
      </c>
      <c r="S171" s="12">
        <f>R171+R172*(1-R171)</f>
        <v>0</v>
      </c>
      <c r="T171" s="52">
        <f>ROUND(S171,2)</f>
        <v>0</v>
      </c>
      <c r="U171" s="6"/>
      <c r="V171" s="6"/>
      <c r="W171" s="6"/>
      <c r="X171" s="6"/>
      <c r="Y171" s="6"/>
      <c r="Z171" s="6"/>
      <c r="AA171" s="6"/>
      <c r="AB171" s="6"/>
      <c r="AC171" s="6"/>
      <c r="AD171" s="6"/>
      <c r="AE171" s="6"/>
      <c r="AF171" s="6"/>
      <c r="AG171" s="6"/>
      <c r="AH171" s="6"/>
      <c r="AI171" s="6"/>
      <c r="AJ171" s="6"/>
      <c r="AK171" s="6"/>
      <c r="AL171" s="6"/>
      <c r="AM171" s="6"/>
    </row>
    <row r="172" spans="2:39" ht="18" customHeight="1" x14ac:dyDescent="0.2">
      <c r="B172" s="791" t="s">
        <v>831</v>
      </c>
      <c r="C172" s="791"/>
      <c r="D172" s="791"/>
      <c r="E172" s="791"/>
      <c r="F172" s="791"/>
      <c r="G172" s="755">
        <f>P95</f>
        <v>0</v>
      </c>
      <c r="H172" s="755"/>
      <c r="I172" s="1470"/>
      <c r="J172" s="1471"/>
      <c r="K172" s="1471"/>
      <c r="L172" s="1471"/>
      <c r="M172" s="1471"/>
      <c r="N172" s="1471"/>
      <c r="O172" s="1472"/>
      <c r="P172" s="1489"/>
      <c r="R172" s="84">
        <f>LARGE($G$171:$G$173,2)</f>
        <v>0</v>
      </c>
      <c r="S172" s="12">
        <f>T171+R173*(1-T171)</f>
        <v>0</v>
      </c>
      <c r="T172" s="52">
        <f>ROUND(S172,2)</f>
        <v>0</v>
      </c>
      <c r="U172" s="109"/>
      <c r="V172" s="6"/>
      <c r="W172" s="6"/>
      <c r="X172" s="6"/>
      <c r="Y172" s="6"/>
      <c r="Z172" s="6"/>
      <c r="AA172" s="6"/>
      <c r="AB172" s="6"/>
      <c r="AC172" s="6"/>
      <c r="AD172" s="6"/>
      <c r="AE172" s="6"/>
      <c r="AF172" s="6"/>
      <c r="AG172" s="6"/>
      <c r="AH172" s="6"/>
      <c r="AI172" s="6"/>
      <c r="AJ172" s="6"/>
      <c r="AK172" s="6"/>
      <c r="AL172" s="6"/>
      <c r="AM172" s="6"/>
    </row>
    <row r="173" spans="2:39" ht="18" customHeight="1" x14ac:dyDescent="0.2">
      <c r="B173" s="948" t="s">
        <v>832</v>
      </c>
      <c r="C173" s="948"/>
      <c r="D173" s="948"/>
      <c r="E173" s="948"/>
      <c r="F173" s="948"/>
      <c r="G173" s="1022">
        <f>P154</f>
        <v>0</v>
      </c>
      <c r="H173" s="1022"/>
      <c r="I173" s="1470"/>
      <c r="J173" s="1471"/>
      <c r="K173" s="1471"/>
      <c r="L173" s="1471"/>
      <c r="M173" s="1471"/>
      <c r="N173" s="1471"/>
      <c r="O173" s="1472"/>
      <c r="P173" s="1489"/>
      <c r="R173" s="84">
        <f>LARGE($G$171:$G$173,3)</f>
        <v>0</v>
      </c>
      <c r="S173" s="77"/>
      <c r="T173" s="108"/>
      <c r="U173" s="6"/>
      <c r="V173" s="6"/>
      <c r="W173" s="6"/>
      <c r="X173" s="6"/>
      <c r="Y173" s="6"/>
      <c r="Z173" s="6"/>
      <c r="AA173" s="6"/>
      <c r="AB173" s="6"/>
      <c r="AC173" s="6"/>
      <c r="AD173" s="6"/>
      <c r="AE173" s="6"/>
      <c r="AF173" s="6"/>
      <c r="AG173" s="6"/>
      <c r="AH173" s="6"/>
      <c r="AI173" s="6"/>
      <c r="AJ173" s="6"/>
      <c r="AK173" s="6"/>
      <c r="AL173" s="6"/>
      <c r="AM173" s="6"/>
    </row>
    <row r="174" spans="2:39" ht="18" customHeight="1" x14ac:dyDescent="0.2">
      <c r="B174" s="991"/>
      <c r="C174" s="989"/>
      <c r="D174" s="989"/>
      <c r="E174" s="989"/>
      <c r="F174" s="989"/>
      <c r="G174" s="614"/>
      <c r="H174" s="614"/>
      <c r="I174" s="614"/>
      <c r="J174" s="614"/>
      <c r="K174" s="614"/>
      <c r="L174" s="1545" t="s">
        <v>2193</v>
      </c>
      <c r="M174" s="1545"/>
      <c r="N174" s="1545"/>
      <c r="O174" s="1546"/>
      <c r="P174" s="1490"/>
      <c r="R174" s="34"/>
      <c r="S174" s="77"/>
      <c r="T174" s="108"/>
      <c r="U174" s="6"/>
      <c r="V174" s="102"/>
      <c r="W174" s="102"/>
      <c r="X174" s="6"/>
      <c r="Y174" s="6"/>
      <c r="Z174" s="6"/>
      <c r="AA174" s="6"/>
      <c r="AB174" s="6"/>
      <c r="AC174" s="6"/>
      <c r="AD174" s="6"/>
      <c r="AE174" s="6"/>
      <c r="AF174" s="6"/>
      <c r="AG174" s="6"/>
      <c r="AH174" s="6"/>
      <c r="AI174" s="6"/>
      <c r="AJ174" s="6"/>
      <c r="AK174" s="6"/>
      <c r="AL174" s="6"/>
      <c r="AM174" s="6"/>
    </row>
    <row r="175" spans="2:39" ht="33" customHeight="1" x14ac:dyDescent="0.25">
      <c r="B175" s="764" t="s">
        <v>931</v>
      </c>
      <c r="C175" s="764"/>
      <c r="D175" s="764"/>
      <c r="E175" s="764"/>
      <c r="F175" s="764"/>
      <c r="G175" s="764"/>
      <c r="H175" s="764"/>
      <c r="I175" s="764"/>
      <c r="J175" s="764"/>
      <c r="K175" s="764"/>
      <c r="L175" s="764"/>
      <c r="M175" s="764"/>
      <c r="N175" s="764"/>
      <c r="O175" s="764"/>
      <c r="P175" s="1037"/>
      <c r="R175" s="58"/>
      <c r="S175" s="58"/>
      <c r="T175" s="6"/>
      <c r="U175" s="6"/>
      <c r="V175" s="6"/>
      <c r="W175" s="6"/>
      <c r="X175" s="6"/>
      <c r="Y175" s="6"/>
      <c r="Z175" s="6"/>
      <c r="AA175" s="6"/>
      <c r="AB175" s="6"/>
      <c r="AC175" s="6"/>
      <c r="AD175" s="6"/>
      <c r="AE175" s="6"/>
      <c r="AF175" s="6"/>
      <c r="AG175" s="6"/>
      <c r="AH175" s="6"/>
      <c r="AI175" s="6"/>
      <c r="AJ175" s="6"/>
      <c r="AK175" s="6"/>
      <c r="AL175" s="6"/>
      <c r="AM175" s="6"/>
    </row>
    <row r="176" spans="2:39" ht="15.75" customHeight="1" x14ac:dyDescent="0.2">
      <c r="B176" s="1544" t="s">
        <v>775</v>
      </c>
      <c r="C176" s="1544"/>
      <c r="D176" s="1544"/>
      <c r="E176" s="1544"/>
      <c r="F176" s="1294" t="str">
        <f>IF(U1&lt;&gt;"",U1,"")</f>
        <v>Go to PPD Worksheet</v>
      </c>
      <c r="G176" s="1294"/>
      <c r="H176" s="1294"/>
      <c r="I176" s="1294"/>
      <c r="J176" s="1294"/>
      <c r="K176" s="1294" t="str">
        <f>IF(T1&lt;&gt;"",T1,"")</f>
        <v/>
      </c>
      <c r="L176" s="1294"/>
      <c r="M176" s="1294"/>
      <c r="N176" s="1294"/>
      <c r="O176" s="1294"/>
      <c r="P176" s="42"/>
      <c r="R176" s="109"/>
      <c r="S176" s="77"/>
      <c r="T176" s="108"/>
      <c r="U176" s="6"/>
      <c r="V176" s="6"/>
      <c r="W176" s="6"/>
      <c r="X176" s="6"/>
      <c r="Y176" s="6"/>
      <c r="Z176" s="6"/>
      <c r="AA176" s="6"/>
      <c r="AB176" s="6"/>
      <c r="AC176" s="6"/>
      <c r="AD176" s="6"/>
      <c r="AE176" s="6"/>
      <c r="AF176" s="6"/>
      <c r="AG176" s="6"/>
      <c r="AH176" s="6"/>
      <c r="AI176" s="6"/>
      <c r="AJ176" s="6"/>
      <c r="AK176" s="6"/>
      <c r="AL176" s="6"/>
      <c r="AM176" s="6"/>
    </row>
    <row r="177" spans="2:463" ht="15.75" customHeight="1" x14ac:dyDescent="0.2">
      <c r="E177" s="8"/>
      <c r="F177" s="1"/>
      <c r="G177" s="1"/>
      <c r="H177" s="14"/>
      <c r="I177" s="14"/>
      <c r="J177" s="14"/>
      <c r="K177" s="14"/>
      <c r="L177" s="14"/>
      <c r="M177" s="14"/>
      <c r="N177" s="14"/>
      <c r="O177" s="14"/>
      <c r="P177" s="8"/>
      <c r="R177" s="33"/>
      <c r="S177" s="77"/>
      <c r="T177" s="108"/>
      <c r="U177" s="6"/>
      <c r="V177" s="6"/>
      <c r="W177" s="6"/>
      <c r="X177" s="6"/>
      <c r="Y177" s="6"/>
      <c r="Z177" s="6"/>
      <c r="AA177" s="6"/>
      <c r="AB177" s="6"/>
      <c r="AC177" s="6"/>
      <c r="AD177" s="6"/>
      <c r="AE177" s="6"/>
      <c r="AF177" s="6"/>
      <c r="AG177" s="6"/>
      <c r="AH177" s="6"/>
      <c r="AI177" s="6"/>
      <c r="AJ177" s="6"/>
      <c r="AK177" s="6"/>
      <c r="AL177" s="6"/>
      <c r="AM177" s="6"/>
    </row>
    <row r="178" spans="2:463" s="171" customFormat="1" ht="12.75" customHeight="1" x14ac:dyDescent="0.2">
      <c r="B178" s="663"/>
      <c r="C178" s="663"/>
      <c r="D178" s="663"/>
      <c r="E178" s="663"/>
    </row>
    <row r="179" spans="2:463" s="171" customFormat="1" x14ac:dyDescent="0.2">
      <c r="B179" s="663"/>
      <c r="C179" s="663"/>
      <c r="D179" s="663"/>
      <c r="E179" s="663"/>
    </row>
    <row r="180" spans="2:463" x14ac:dyDescent="0.2">
      <c r="B180" s="663"/>
      <c r="C180" s="663"/>
      <c r="D180" s="663"/>
      <c r="E180" s="663"/>
      <c r="F180" s="171"/>
      <c r="G180" s="9"/>
      <c r="H180" s="373"/>
      <c r="I180" s="171"/>
      <c r="J180" s="9"/>
      <c r="K180" s="373"/>
      <c r="L180" s="171"/>
      <c r="M180" s="9"/>
      <c r="N180" s="373"/>
      <c r="O180" s="171"/>
      <c r="P180" s="9"/>
      <c r="Q180" s="373"/>
      <c r="R180" s="171"/>
      <c r="S180" s="9"/>
      <c r="T180" s="373"/>
      <c r="U180" s="171"/>
      <c r="V180" s="5"/>
      <c r="W180" s="111"/>
      <c r="X180" s="5"/>
      <c r="Y180" s="5"/>
      <c r="Z180" s="111"/>
      <c r="AA180" s="5"/>
      <c r="AB180" s="5"/>
      <c r="AC180" s="111"/>
      <c r="AD180" s="5"/>
      <c r="AE180" s="5"/>
      <c r="AF180" s="111"/>
      <c r="AG180" s="5"/>
      <c r="AH180" s="5"/>
      <c r="AI180" s="111"/>
      <c r="AJ180" s="5"/>
      <c r="AK180" s="5"/>
      <c r="AL180" s="111"/>
      <c r="AM180" s="5"/>
      <c r="AN180" s="5"/>
      <c r="AO180" s="111"/>
      <c r="AP180" s="5"/>
      <c r="AQ180" s="5"/>
      <c r="AR180" s="373"/>
      <c r="AS180" s="171"/>
      <c r="AT180" s="9"/>
      <c r="AU180" s="373"/>
      <c r="AV180" s="171"/>
      <c r="AW180" s="9"/>
      <c r="AX180" s="373"/>
      <c r="AY180" s="171"/>
      <c r="AZ180" s="9"/>
      <c r="BA180" s="373"/>
      <c r="BB180" s="171"/>
      <c r="BC180" s="5"/>
      <c r="BD180" s="373"/>
      <c r="BE180" s="171"/>
      <c r="BF180" s="9"/>
      <c r="BG180" s="373"/>
      <c r="BH180" s="171"/>
      <c r="BI180" s="9"/>
      <c r="BJ180" s="373"/>
      <c r="BK180" s="171"/>
      <c r="BL180" s="9"/>
      <c r="BM180" s="373"/>
      <c r="BN180" s="171"/>
      <c r="BO180" s="9"/>
      <c r="BP180" s="373"/>
      <c r="BQ180" s="171"/>
      <c r="BR180" s="9"/>
      <c r="BS180" s="373"/>
      <c r="BT180" s="171"/>
      <c r="BU180" s="9"/>
      <c r="BV180" s="373"/>
      <c r="BW180" s="171"/>
      <c r="BX180" s="9"/>
      <c r="BY180" s="373"/>
      <c r="BZ180" s="171"/>
      <c r="CA180" s="9"/>
      <c r="CB180" s="373"/>
      <c r="CC180" s="171"/>
      <c r="CD180" s="9"/>
      <c r="CE180" s="373"/>
      <c r="CF180" s="171"/>
      <c r="CG180" s="9"/>
      <c r="CH180" s="373"/>
      <c r="CI180" s="171"/>
      <c r="CJ180" s="9"/>
      <c r="CK180" s="373"/>
      <c r="CL180" s="171"/>
      <c r="CM180" s="9"/>
      <c r="CN180" s="373"/>
      <c r="CO180" s="171"/>
      <c r="CP180" s="9"/>
      <c r="CQ180" s="373"/>
      <c r="CR180" s="171"/>
      <c r="CS180" s="9"/>
      <c r="CT180" s="373"/>
      <c r="CU180" s="171"/>
      <c r="CV180" s="9"/>
      <c r="CW180" s="373"/>
      <c r="CX180" s="171"/>
      <c r="CY180" s="9"/>
      <c r="CZ180" s="373"/>
      <c r="DA180" s="171"/>
      <c r="DB180" s="9"/>
      <c r="DC180" s="373"/>
      <c r="DD180" s="171"/>
      <c r="DE180" s="9"/>
      <c r="DF180" s="373"/>
      <c r="DG180" s="171"/>
      <c r="DH180" s="9"/>
      <c r="DI180" s="373"/>
      <c r="DJ180" s="171"/>
      <c r="DK180" s="9"/>
      <c r="DL180" s="373"/>
      <c r="DM180" s="171"/>
      <c r="DN180" s="9"/>
      <c r="DO180" s="373"/>
      <c r="DP180" s="171"/>
      <c r="DQ180" s="9"/>
      <c r="DR180" s="373"/>
      <c r="DS180" s="171"/>
      <c r="DT180" s="9"/>
      <c r="DU180" s="373"/>
      <c r="DV180" s="171"/>
      <c r="DW180" s="9"/>
      <c r="DX180" s="373"/>
      <c r="DY180" s="171"/>
      <c r="DZ180" s="9"/>
      <c r="EA180" s="373"/>
      <c r="EB180" s="171"/>
      <c r="EC180" s="9"/>
      <c r="ED180" s="373"/>
      <c r="EE180" s="171"/>
      <c r="EF180" s="9"/>
      <c r="EG180" s="373"/>
      <c r="EH180" s="171"/>
      <c r="EI180" s="9"/>
      <c r="EJ180" s="373"/>
      <c r="EK180" s="171"/>
      <c r="EL180" s="9"/>
      <c r="EM180" s="373"/>
      <c r="EN180" s="171"/>
      <c r="EO180" s="9"/>
      <c r="EP180" s="373"/>
      <c r="EQ180" s="171"/>
      <c r="ER180" s="9"/>
      <c r="ES180" s="373"/>
      <c r="ET180" s="171"/>
      <c r="EU180" s="9"/>
      <c r="EV180" s="373"/>
      <c r="EW180" s="171"/>
      <c r="EX180" s="9"/>
      <c r="EY180" s="373"/>
      <c r="EZ180" s="171"/>
      <c r="FA180" s="9"/>
      <c r="FB180" s="373"/>
      <c r="FC180" s="171"/>
      <c r="FD180" s="9"/>
      <c r="FE180" s="373"/>
      <c r="FF180" s="171"/>
      <c r="FG180" s="9"/>
      <c r="FH180" s="373"/>
      <c r="FI180" s="171"/>
      <c r="FJ180" s="9"/>
      <c r="FK180" s="373"/>
      <c r="FL180" s="171"/>
      <c r="FM180" s="9"/>
      <c r="FN180" s="373"/>
      <c r="FO180" s="171"/>
      <c r="FP180" s="9"/>
      <c r="FQ180" s="373"/>
      <c r="FR180" s="171"/>
      <c r="FS180" s="9"/>
      <c r="FT180" s="373"/>
      <c r="FU180" s="171"/>
      <c r="FV180" s="9"/>
      <c r="FW180" s="373"/>
      <c r="FX180" s="171"/>
      <c r="FY180" s="9"/>
      <c r="FZ180" s="373"/>
      <c r="GA180" s="171"/>
      <c r="GB180" s="9"/>
      <c r="GC180" s="373"/>
      <c r="GD180" s="171"/>
      <c r="GE180" s="9"/>
      <c r="GF180" s="373"/>
      <c r="GG180" s="171"/>
      <c r="GH180" s="9"/>
      <c r="GI180" s="373"/>
      <c r="GJ180" s="171"/>
      <c r="GK180" s="9"/>
      <c r="GL180" s="373"/>
      <c r="GM180" s="171"/>
      <c r="GN180" s="9"/>
      <c r="GO180" s="373"/>
      <c r="GP180" s="171"/>
      <c r="GQ180" s="9"/>
      <c r="GR180" s="373"/>
      <c r="GS180" s="171"/>
      <c r="GT180" s="9"/>
      <c r="GU180" s="373"/>
      <c r="GV180" s="171"/>
      <c r="GW180" s="9"/>
      <c r="GX180" s="373"/>
      <c r="GY180" s="171"/>
      <c r="GZ180" s="9"/>
      <c r="HA180" s="373"/>
      <c r="HB180" s="171"/>
      <c r="HC180" s="9"/>
      <c r="HD180" s="373"/>
      <c r="HE180" s="171"/>
      <c r="HF180" s="9"/>
      <c r="HG180" s="373"/>
      <c r="HH180" s="171"/>
      <c r="HI180" s="9"/>
      <c r="HJ180" s="373"/>
      <c r="HK180" s="171"/>
      <c r="HL180" s="9"/>
      <c r="HM180" s="373"/>
      <c r="HN180" s="171"/>
      <c r="HO180" s="9"/>
      <c r="HP180" s="373"/>
      <c r="HQ180" s="171"/>
      <c r="HR180" s="9"/>
      <c r="HS180" s="373"/>
      <c r="HT180" s="171"/>
      <c r="HU180" s="9"/>
      <c r="HV180" s="373"/>
      <c r="HW180" s="171"/>
      <c r="HX180" s="9"/>
      <c r="HY180" s="373"/>
      <c r="HZ180" s="171"/>
      <c r="IA180" s="9"/>
      <c r="IB180" s="373"/>
      <c r="IC180" s="171"/>
      <c r="ID180" s="9"/>
      <c r="IE180" s="373"/>
      <c r="IF180" s="171"/>
      <c r="IG180" s="9"/>
      <c r="IH180" s="373"/>
      <c r="II180" s="171"/>
      <c r="IJ180" s="9"/>
      <c r="IK180" s="373"/>
      <c r="IL180" s="171"/>
      <c r="IM180" s="171"/>
      <c r="IN180" s="171"/>
      <c r="IO180" s="171"/>
      <c r="IP180" s="171"/>
      <c r="IQ180" s="171"/>
      <c r="IR180" s="171"/>
      <c r="IS180" s="171"/>
      <c r="IT180" s="171"/>
      <c r="IU180" s="171"/>
      <c r="IV180" s="171"/>
      <c r="IW180" s="171"/>
      <c r="IX180" s="171"/>
      <c r="IY180" s="171"/>
      <c r="IZ180" s="171"/>
      <c r="JA180" s="171"/>
      <c r="JB180" s="171"/>
      <c r="JC180" s="171"/>
      <c r="JD180" s="171"/>
      <c r="JE180" s="171"/>
      <c r="JF180" s="171"/>
      <c r="JG180" s="171"/>
      <c r="JH180" s="171"/>
      <c r="JI180" s="171"/>
      <c r="JJ180" s="171"/>
      <c r="JK180" s="171"/>
      <c r="JL180" s="171"/>
      <c r="JM180" s="171"/>
      <c r="JN180" s="171"/>
      <c r="JO180" s="171"/>
      <c r="JP180" s="171"/>
      <c r="JQ180" s="171"/>
      <c r="JR180" s="171"/>
      <c r="JS180" s="171"/>
      <c r="JT180" s="171"/>
      <c r="JU180" s="171"/>
      <c r="JV180" s="171"/>
      <c r="JW180" s="171"/>
      <c r="JX180" s="171"/>
      <c r="JY180" s="171"/>
      <c r="JZ180" s="171"/>
      <c r="KA180" s="171"/>
      <c r="KB180" s="171"/>
      <c r="KC180" s="171"/>
      <c r="KD180" s="171"/>
      <c r="KE180" s="171"/>
      <c r="KF180" s="171"/>
      <c r="KG180" s="171"/>
      <c r="KH180" s="171"/>
      <c r="KI180" s="171"/>
      <c r="KJ180" s="171"/>
      <c r="KK180" s="171"/>
      <c r="KL180" s="171"/>
      <c r="KM180" s="171"/>
      <c r="KN180" s="171"/>
      <c r="KO180" s="171"/>
      <c r="KP180" s="171"/>
      <c r="KQ180" s="171"/>
      <c r="KR180" s="171"/>
      <c r="KS180" s="171"/>
      <c r="KT180" s="171"/>
      <c r="KU180" s="171"/>
      <c r="KV180" s="171"/>
      <c r="KW180" s="171"/>
      <c r="KX180" s="171"/>
      <c r="KY180" s="171"/>
      <c r="KZ180" s="171"/>
      <c r="LA180" s="171"/>
      <c r="LB180" s="171"/>
      <c r="LC180" s="171"/>
      <c r="LD180" s="171"/>
      <c r="LE180" s="171"/>
      <c r="LF180" s="171"/>
      <c r="LG180" s="171"/>
      <c r="LH180" s="171"/>
      <c r="LI180" s="171"/>
      <c r="LJ180" s="171"/>
      <c r="LK180" s="171"/>
      <c r="LL180" s="171"/>
      <c r="LM180" s="171"/>
      <c r="LN180" s="171"/>
      <c r="LO180" s="171"/>
      <c r="LP180" s="171"/>
      <c r="LQ180" s="171"/>
      <c r="LR180" s="171"/>
      <c r="LS180" s="171"/>
      <c r="LT180" s="171"/>
      <c r="LU180" s="171"/>
      <c r="LV180" s="171"/>
      <c r="LW180" s="171"/>
      <c r="LX180" s="171"/>
      <c r="LY180" s="171"/>
      <c r="LZ180" s="171"/>
      <c r="MA180" s="171"/>
      <c r="MB180" s="171"/>
      <c r="MC180" s="171"/>
      <c r="MD180" s="171"/>
      <c r="ME180" s="171"/>
      <c r="MF180" s="171"/>
      <c r="MG180" s="171"/>
      <c r="MH180" s="171"/>
      <c r="MI180" s="171"/>
      <c r="MJ180" s="171"/>
      <c r="MK180" s="171"/>
      <c r="ML180" s="171"/>
      <c r="MM180" s="171"/>
      <c r="MN180" s="171"/>
      <c r="MO180" s="171"/>
      <c r="MP180" s="171"/>
      <c r="MQ180" s="171"/>
      <c r="MR180" s="171"/>
      <c r="MS180" s="171"/>
      <c r="MT180" s="171"/>
      <c r="MU180" s="171"/>
      <c r="MV180" s="171"/>
      <c r="MW180" s="171"/>
      <c r="MX180" s="171"/>
      <c r="MY180" s="171"/>
      <c r="MZ180" s="171"/>
      <c r="NA180" s="171"/>
      <c r="NB180" s="171"/>
      <c r="NC180" s="171"/>
      <c r="ND180" s="171"/>
      <c r="NE180" s="171"/>
      <c r="NF180" s="171"/>
      <c r="NG180" s="171"/>
      <c r="NH180" s="171"/>
      <c r="NI180" s="171"/>
      <c r="NJ180" s="171"/>
      <c r="NK180" s="171"/>
      <c r="NL180" s="171"/>
      <c r="NM180" s="171"/>
      <c r="NN180" s="171"/>
      <c r="NO180" s="171"/>
      <c r="NP180" s="171"/>
      <c r="NQ180" s="171"/>
      <c r="NR180" s="171"/>
      <c r="NS180" s="171"/>
      <c r="NT180" s="171"/>
      <c r="NU180" s="171"/>
      <c r="NV180" s="171"/>
      <c r="NW180" s="171"/>
      <c r="NX180" s="171"/>
      <c r="NY180" s="171"/>
      <c r="NZ180" s="171"/>
      <c r="OA180" s="171"/>
      <c r="OB180" s="171"/>
      <c r="OC180" s="171"/>
      <c r="OD180" s="171"/>
      <c r="OE180" s="171"/>
      <c r="OF180" s="171"/>
      <c r="OG180" s="171"/>
      <c r="OH180" s="171"/>
      <c r="OI180" s="171"/>
      <c r="OJ180" s="171"/>
      <c r="OK180" s="171"/>
      <c r="OL180" s="171"/>
      <c r="OM180" s="171"/>
      <c r="ON180" s="171"/>
      <c r="OO180" s="171"/>
      <c r="OP180" s="171"/>
      <c r="OQ180" s="171"/>
      <c r="OR180" s="171"/>
      <c r="OS180" s="171"/>
      <c r="OT180" s="171"/>
      <c r="OU180" s="171"/>
      <c r="OV180" s="171"/>
      <c r="OW180" s="171"/>
      <c r="OX180" s="171"/>
      <c r="OY180" s="171"/>
      <c r="OZ180" s="171"/>
      <c r="PA180" s="171"/>
      <c r="PB180" s="171"/>
      <c r="PC180" s="171"/>
      <c r="PD180" s="171"/>
      <c r="PE180" s="171"/>
      <c r="PF180" s="171"/>
      <c r="PG180" s="171"/>
      <c r="PH180" s="171"/>
      <c r="PI180" s="171"/>
      <c r="PJ180" s="171"/>
      <c r="PK180" s="171"/>
      <c r="PL180" s="171"/>
      <c r="PM180" s="171"/>
      <c r="PN180" s="171"/>
      <c r="PO180" s="171"/>
      <c r="PP180" s="171"/>
      <c r="PQ180" s="171"/>
      <c r="PR180" s="171"/>
      <c r="PS180" s="171"/>
      <c r="PT180" s="171"/>
      <c r="PU180" s="171"/>
      <c r="PV180" s="171"/>
      <c r="PW180" s="171"/>
      <c r="PX180" s="171"/>
      <c r="PY180" s="171"/>
      <c r="PZ180" s="171"/>
      <c r="QA180" s="171"/>
      <c r="QB180" s="171"/>
      <c r="QC180" s="171"/>
      <c r="QD180" s="171"/>
      <c r="QE180" s="171"/>
      <c r="QF180" s="171"/>
      <c r="QG180" s="171"/>
      <c r="QH180" s="171"/>
      <c r="QI180" s="171"/>
      <c r="QJ180" s="171"/>
      <c r="QK180" s="171"/>
      <c r="QL180" s="171"/>
      <c r="QM180" s="171"/>
      <c r="QN180" s="171"/>
      <c r="QO180" s="171"/>
      <c r="QP180" s="171"/>
      <c r="QQ180" s="171"/>
      <c r="QR180" s="171"/>
      <c r="QS180" s="171"/>
      <c r="QT180" s="171"/>
      <c r="QU180" s="171"/>
    </row>
    <row r="181" spans="2:463" hidden="1" x14ac:dyDescent="0.2">
      <c r="C181" s="2"/>
      <c r="D181" s="2"/>
      <c r="DB181" s="9"/>
      <c r="DC181" s="373"/>
      <c r="DD181" s="171"/>
      <c r="DE181" s="9"/>
      <c r="DF181" s="373"/>
      <c r="DG181" s="171"/>
      <c r="DH181" s="9"/>
      <c r="DI181" s="373"/>
      <c r="DJ181" s="171"/>
      <c r="DK181" s="9"/>
      <c r="DL181" s="373"/>
      <c r="DM181" s="171"/>
      <c r="DN181" s="9"/>
      <c r="DO181" s="373"/>
      <c r="DP181" s="171"/>
      <c r="DQ181" s="9"/>
      <c r="DR181" s="373"/>
      <c r="DS181" s="171"/>
      <c r="DT181" s="9"/>
      <c r="DU181" s="373"/>
      <c r="DV181" s="171"/>
      <c r="DW181" s="9"/>
      <c r="DX181" s="373"/>
      <c r="DY181" s="171"/>
      <c r="DZ181" s="9"/>
      <c r="EA181" s="373"/>
      <c r="EB181" s="171"/>
      <c r="EC181" s="9"/>
      <c r="ED181" s="373"/>
      <c r="EE181" s="171"/>
      <c r="EF181" s="9"/>
      <c r="EG181" s="373"/>
      <c r="EH181" s="171"/>
      <c r="EI181" s="9"/>
      <c r="EJ181" s="373"/>
      <c r="EK181" s="171"/>
      <c r="EL181" s="9"/>
      <c r="EM181" s="373"/>
      <c r="EN181" s="171"/>
      <c r="EO181" s="9"/>
      <c r="EP181" s="373"/>
      <c r="EQ181" s="171"/>
      <c r="ER181" s="9"/>
      <c r="ES181" s="373"/>
      <c r="ET181" s="171"/>
      <c r="EU181" s="9"/>
      <c r="EV181" s="373"/>
      <c r="EW181" s="171"/>
      <c r="EX181" s="9"/>
      <c r="EY181" s="373"/>
      <c r="EZ181" s="171"/>
      <c r="FA181" s="9"/>
      <c r="FB181" s="373"/>
      <c r="FC181" s="171"/>
      <c r="FD181" s="9"/>
      <c r="FE181" s="373"/>
      <c r="FF181" s="171"/>
      <c r="FG181" s="9"/>
      <c r="FH181" s="373"/>
      <c r="FI181" s="171"/>
      <c r="FJ181" s="9"/>
      <c r="FK181" s="373"/>
      <c r="FL181" s="171"/>
      <c r="FM181" s="9"/>
      <c r="FN181" s="373"/>
      <c r="FO181" s="171"/>
      <c r="FP181" s="9"/>
      <c r="FQ181" s="373"/>
      <c r="FR181" s="171"/>
      <c r="FS181" s="9"/>
      <c r="FT181" s="373"/>
      <c r="FU181" s="171"/>
      <c r="FV181" s="9"/>
      <c r="FW181" s="373"/>
      <c r="FX181" s="171"/>
      <c r="FY181" s="9"/>
      <c r="FZ181" s="373"/>
      <c r="GA181" s="171"/>
      <c r="GB181" s="9"/>
      <c r="GC181" s="373"/>
      <c r="GD181" s="171"/>
      <c r="GE181" s="9"/>
      <c r="GF181" s="373"/>
      <c r="GG181" s="171"/>
      <c r="GH181" s="9"/>
      <c r="GI181" s="373"/>
      <c r="GJ181" s="171"/>
      <c r="GK181" s="9"/>
      <c r="GL181" s="373"/>
      <c r="GM181" s="171"/>
      <c r="GN181" s="9"/>
      <c r="GO181" s="373"/>
      <c r="GP181" s="171"/>
      <c r="GQ181" s="9"/>
      <c r="GR181" s="373"/>
      <c r="GS181" s="171"/>
      <c r="GT181" s="9"/>
      <c r="GU181" s="373"/>
      <c r="GV181" s="171"/>
      <c r="GW181" s="9"/>
      <c r="GX181" s="373"/>
      <c r="GY181" s="171"/>
      <c r="GZ181" s="9"/>
      <c r="HA181" s="373"/>
      <c r="HB181" s="171"/>
      <c r="HC181" s="9"/>
      <c r="HD181" s="373"/>
      <c r="HE181" s="171"/>
      <c r="HF181" s="9"/>
      <c r="HG181" s="373"/>
      <c r="HH181" s="171"/>
      <c r="HI181" s="9"/>
      <c r="HJ181" s="373"/>
      <c r="HK181" s="171"/>
      <c r="HL181" s="9"/>
      <c r="HM181" s="373"/>
      <c r="HN181" s="171"/>
      <c r="HO181" s="9"/>
      <c r="HP181" s="373"/>
      <c r="HQ181" s="171"/>
      <c r="HR181" s="9"/>
      <c r="HS181" s="373"/>
      <c r="HT181" s="171"/>
      <c r="HU181" s="9"/>
      <c r="HV181" s="373"/>
      <c r="HW181" s="171"/>
      <c r="HX181" s="9"/>
      <c r="HY181" s="373"/>
      <c r="HZ181" s="171"/>
      <c r="IA181" s="9"/>
      <c r="IB181" s="373"/>
      <c r="IC181" s="171"/>
      <c r="ID181" s="9"/>
      <c r="IE181" s="373"/>
      <c r="IF181" s="171"/>
      <c r="IG181" s="9"/>
      <c r="IH181" s="373"/>
      <c r="II181" s="171"/>
      <c r="IJ181" s="9"/>
      <c r="IK181" s="373"/>
      <c r="IL181" s="171"/>
      <c r="IM181" s="171"/>
      <c r="IN181" s="171"/>
      <c r="IO181" s="171"/>
      <c r="IP181" s="171"/>
      <c r="IQ181" s="171"/>
      <c r="IR181" s="171"/>
      <c r="IS181" s="171"/>
      <c r="IT181" s="171"/>
      <c r="IU181" s="171"/>
      <c r="IV181" s="171"/>
      <c r="IW181" s="171"/>
      <c r="IX181" s="171"/>
      <c r="IY181" s="171"/>
      <c r="IZ181" s="171"/>
      <c r="JA181" s="171"/>
      <c r="JB181" s="171"/>
      <c r="JC181" s="171"/>
      <c r="JD181" s="171"/>
      <c r="JE181" s="171"/>
      <c r="JF181" s="171"/>
      <c r="JG181" s="171"/>
      <c r="JH181" s="171"/>
      <c r="JI181" s="171"/>
      <c r="JJ181" s="171"/>
      <c r="JK181" s="171"/>
      <c r="JL181" s="171"/>
      <c r="JM181" s="171"/>
      <c r="JN181" s="171"/>
      <c r="JO181" s="171"/>
      <c r="JP181" s="171"/>
      <c r="JQ181" s="171"/>
      <c r="JR181" s="171"/>
      <c r="JS181" s="171"/>
      <c r="JT181" s="171"/>
      <c r="JU181" s="171"/>
      <c r="JV181" s="171"/>
      <c r="JW181" s="171"/>
      <c r="JX181" s="171"/>
      <c r="JY181" s="171"/>
      <c r="JZ181" s="171"/>
      <c r="KA181" s="171"/>
      <c r="KB181" s="171"/>
      <c r="KC181" s="171"/>
      <c r="KD181" s="171"/>
      <c r="KE181" s="171"/>
      <c r="KF181" s="171"/>
      <c r="KG181" s="171"/>
      <c r="KH181" s="171"/>
      <c r="KI181" s="171"/>
      <c r="KJ181" s="171"/>
      <c r="KK181" s="171"/>
      <c r="KL181" s="171"/>
      <c r="KM181" s="171"/>
      <c r="KN181" s="171"/>
      <c r="KO181" s="171"/>
      <c r="KP181" s="171"/>
      <c r="KQ181" s="171"/>
      <c r="KR181" s="171"/>
      <c r="KS181" s="171"/>
      <c r="KT181" s="171"/>
      <c r="KU181" s="171"/>
      <c r="KV181" s="171"/>
      <c r="KW181" s="171"/>
      <c r="KX181" s="171"/>
      <c r="KY181" s="171"/>
      <c r="KZ181" s="171"/>
      <c r="LA181" s="171"/>
      <c r="LB181" s="171"/>
      <c r="LC181" s="171"/>
      <c r="LD181" s="171"/>
      <c r="LE181" s="171"/>
      <c r="LF181" s="171"/>
      <c r="LG181" s="171"/>
      <c r="LH181" s="171"/>
      <c r="LI181" s="171"/>
      <c r="LJ181" s="171"/>
      <c r="LK181" s="171"/>
      <c r="LL181" s="171"/>
      <c r="LM181" s="171"/>
      <c r="LN181" s="171"/>
      <c r="LO181" s="171"/>
      <c r="LP181" s="171"/>
      <c r="LQ181" s="171"/>
      <c r="LR181" s="171"/>
      <c r="LS181" s="171"/>
      <c r="LT181" s="171"/>
      <c r="LU181" s="171"/>
      <c r="LV181" s="171"/>
      <c r="LW181" s="171"/>
      <c r="LX181" s="171"/>
      <c r="LY181" s="171"/>
      <c r="LZ181" s="171"/>
      <c r="MA181" s="171"/>
      <c r="MB181" s="171"/>
      <c r="MC181" s="171"/>
      <c r="MD181" s="171"/>
      <c r="ME181" s="171"/>
      <c r="MF181" s="171"/>
      <c r="MG181" s="171"/>
      <c r="MH181" s="171"/>
      <c r="MI181" s="171"/>
      <c r="MJ181" s="171"/>
      <c r="MK181" s="171"/>
      <c r="ML181" s="171"/>
      <c r="MM181" s="171"/>
      <c r="MN181" s="171"/>
      <c r="MO181" s="171"/>
      <c r="MP181" s="171"/>
      <c r="MQ181" s="171"/>
      <c r="MR181" s="171"/>
      <c r="MS181" s="171"/>
      <c r="MT181" s="171"/>
      <c r="MU181" s="171"/>
      <c r="MV181" s="171"/>
      <c r="MW181" s="171"/>
      <c r="MX181" s="171"/>
      <c r="MY181" s="171"/>
      <c r="MZ181" s="171"/>
      <c r="NA181" s="171"/>
      <c r="NB181" s="171"/>
      <c r="NC181" s="171"/>
      <c r="ND181" s="171"/>
      <c r="NE181" s="171"/>
      <c r="NF181" s="171"/>
      <c r="NG181" s="171"/>
      <c r="NH181" s="171"/>
      <c r="NI181" s="171"/>
      <c r="NJ181" s="171"/>
      <c r="NK181" s="171"/>
      <c r="NL181" s="171"/>
      <c r="NM181" s="171"/>
      <c r="NN181" s="171"/>
      <c r="NO181" s="171"/>
      <c r="NP181" s="171"/>
      <c r="NQ181" s="171"/>
      <c r="NR181" s="171"/>
      <c r="NS181" s="171"/>
      <c r="NT181" s="171"/>
      <c r="NU181" s="171"/>
      <c r="NV181" s="171"/>
      <c r="NW181" s="171"/>
      <c r="NX181" s="171"/>
      <c r="NY181" s="171"/>
      <c r="NZ181" s="171"/>
      <c r="OA181" s="171"/>
      <c r="OB181" s="171"/>
      <c r="OC181" s="171"/>
      <c r="OD181" s="171"/>
      <c r="OE181" s="171"/>
      <c r="OF181" s="171"/>
      <c r="OG181" s="171"/>
      <c r="OH181" s="171"/>
      <c r="OI181" s="171"/>
      <c r="OJ181" s="171"/>
      <c r="OK181" s="171"/>
      <c r="OL181" s="171"/>
      <c r="OM181" s="171"/>
      <c r="ON181" s="171"/>
      <c r="OO181" s="171"/>
      <c r="OP181" s="171"/>
      <c r="OQ181" s="171"/>
      <c r="OR181" s="171"/>
      <c r="OS181" s="171"/>
      <c r="OT181" s="171"/>
      <c r="OU181" s="171"/>
      <c r="OV181" s="171"/>
      <c r="OW181" s="171"/>
      <c r="OX181" s="171"/>
      <c r="OY181" s="171"/>
      <c r="OZ181" s="171"/>
      <c r="PA181" s="171"/>
      <c r="PB181" s="171"/>
      <c r="PC181" s="171"/>
      <c r="PD181" s="171"/>
      <c r="PE181" s="171"/>
      <c r="PF181" s="171"/>
      <c r="PG181" s="171"/>
      <c r="PH181" s="171"/>
      <c r="PI181" s="171"/>
      <c r="PJ181" s="171"/>
      <c r="PK181" s="171"/>
      <c r="PL181" s="171"/>
      <c r="PM181" s="171"/>
      <c r="PN181" s="171"/>
      <c r="PO181" s="171"/>
      <c r="PP181" s="171"/>
      <c r="PQ181" s="171"/>
      <c r="PR181" s="171"/>
      <c r="PS181" s="171"/>
      <c r="PT181" s="171"/>
      <c r="PU181" s="171"/>
      <c r="PV181" s="171"/>
      <c r="PW181" s="171"/>
      <c r="PX181" s="171"/>
      <c r="PY181" s="171"/>
      <c r="PZ181" s="171"/>
      <c r="QA181" s="171"/>
      <c r="QB181" s="171"/>
      <c r="QC181" s="171"/>
      <c r="QD181" s="171"/>
      <c r="QE181" s="171"/>
      <c r="QF181" s="171"/>
      <c r="QG181" s="171"/>
      <c r="QH181" s="171"/>
      <c r="QI181" s="171"/>
      <c r="QJ181" s="171"/>
      <c r="QK181" s="171"/>
      <c r="QL181" s="171"/>
      <c r="QM181" s="171"/>
      <c r="QN181" s="171"/>
      <c r="QO181" s="171"/>
      <c r="QP181" s="171"/>
      <c r="QQ181" s="171"/>
      <c r="QR181" s="171"/>
      <c r="QS181" s="171"/>
      <c r="QT181" s="171"/>
      <c r="QU181" s="171"/>
    </row>
    <row r="182" spans="2:463" hidden="1" x14ac:dyDescent="0.2">
      <c r="B182" s="146" t="s">
        <v>1901</v>
      </c>
      <c r="C182" s="791" t="s">
        <v>2228</v>
      </c>
      <c r="D182" s="791"/>
      <c r="E182" s="791"/>
      <c r="F182" s="791"/>
      <c r="G182" s="791"/>
      <c r="H182" s="791"/>
      <c r="I182" s="791"/>
      <c r="J182" s="791"/>
      <c r="K182" s="791"/>
      <c r="L182" s="791"/>
      <c r="M182" s="791"/>
      <c r="N182" s="791"/>
      <c r="U182" s="6"/>
      <c r="V182" s="6"/>
      <c r="W182" s="6"/>
      <c r="X182" s="6"/>
      <c r="Y182" s="6"/>
      <c r="Z182" s="6"/>
      <c r="AA182" s="6"/>
      <c r="AB182" s="6"/>
      <c r="AC182" s="6"/>
      <c r="AD182" s="6"/>
      <c r="AE182" s="6"/>
      <c r="AF182" s="6"/>
      <c r="AG182" s="6"/>
      <c r="AH182" s="6"/>
      <c r="AI182" s="6"/>
      <c r="AJ182" s="6"/>
      <c r="AK182" s="6"/>
      <c r="AL182" s="6"/>
      <c r="AM182" s="6"/>
    </row>
    <row r="183" spans="2:463" hidden="1" x14ac:dyDescent="0.2">
      <c r="B183" s="146">
        <v>0</v>
      </c>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row>
    <row r="184" spans="2:463" hidden="1" x14ac:dyDescent="0.2">
      <c r="B184" s="146">
        <v>1</v>
      </c>
      <c r="R184" s="6"/>
      <c r="S184" s="6"/>
      <c r="T184" s="6"/>
      <c r="U184" s="6"/>
      <c r="V184" s="6"/>
      <c r="W184" s="6"/>
      <c r="X184" s="6"/>
      <c r="Y184" s="6"/>
      <c r="Z184" s="6"/>
      <c r="AA184" s="6"/>
      <c r="AB184" s="6"/>
      <c r="AC184" s="6"/>
      <c r="AD184" s="6"/>
      <c r="AE184" s="6"/>
      <c r="AF184" s="6"/>
      <c r="AG184" s="6"/>
      <c r="AH184" s="6"/>
      <c r="AI184" s="6"/>
      <c r="AJ184" s="6"/>
      <c r="AK184" s="6"/>
      <c r="AL184" s="6"/>
      <c r="AM184" s="6"/>
    </row>
    <row r="185" spans="2:463" hidden="1" x14ac:dyDescent="0.2">
      <c r="B185" s="146">
        <v>2</v>
      </c>
      <c r="C185" s="2"/>
      <c r="D185" s="2"/>
      <c r="E185" s="912" t="s">
        <v>2227</v>
      </c>
      <c r="F185" s="912"/>
      <c r="G185" s="912"/>
      <c r="H185" s="912"/>
      <c r="I185" s="912"/>
      <c r="J185" s="912"/>
      <c r="K185" s="10"/>
      <c r="L185" s="912" t="s">
        <v>2207</v>
      </c>
      <c r="M185" s="912"/>
      <c r="N185" s="912"/>
      <c r="R185" s="6"/>
      <c r="S185" s="6"/>
      <c r="T185" s="6"/>
      <c r="U185" s="6"/>
      <c r="V185" s="6"/>
      <c r="W185" s="6"/>
      <c r="X185" s="6"/>
      <c r="Y185" s="6"/>
      <c r="Z185" s="6"/>
      <c r="AA185" s="6"/>
      <c r="AB185" s="6"/>
      <c r="AC185" s="6"/>
      <c r="AD185" s="6"/>
      <c r="AE185" s="6"/>
      <c r="AF185" s="6"/>
      <c r="AG185" s="6"/>
      <c r="AH185" s="6"/>
      <c r="AI185" s="6"/>
      <c r="AJ185" s="6"/>
      <c r="AK185" s="6"/>
      <c r="AL185" s="6"/>
      <c r="AM185" s="6"/>
    </row>
    <row r="186" spans="2:463" hidden="1" x14ac:dyDescent="0.2">
      <c r="B186" s="146">
        <v>3</v>
      </c>
      <c r="C186" s="2"/>
      <c r="D186" s="2"/>
      <c r="E186" s="912"/>
      <c r="F186" s="912"/>
      <c r="G186" s="912"/>
      <c r="H186" s="912"/>
      <c r="I186" s="912"/>
      <c r="J186" s="912"/>
      <c r="K186" s="10"/>
      <c r="L186" s="912"/>
      <c r="M186" s="912"/>
      <c r="N186" s="912"/>
      <c r="R186" s="6"/>
      <c r="S186" s="6"/>
      <c r="T186" s="6"/>
      <c r="U186" s="6"/>
      <c r="V186" s="6"/>
      <c r="W186" s="6"/>
      <c r="X186" s="6"/>
      <c r="Y186" s="6"/>
      <c r="Z186" s="6"/>
      <c r="AA186" s="6"/>
      <c r="AB186" s="6"/>
      <c r="AC186" s="6"/>
      <c r="AD186" s="6"/>
      <c r="AE186" s="6"/>
      <c r="AF186" s="6"/>
      <c r="AG186" s="6"/>
      <c r="AH186" s="6"/>
      <c r="AI186" s="6"/>
      <c r="AJ186" s="6"/>
      <c r="AK186" s="6"/>
      <c r="AL186" s="6"/>
      <c r="AM186" s="6"/>
    </row>
    <row r="187" spans="2:463" hidden="1" x14ac:dyDescent="0.2">
      <c r="B187" s="146">
        <v>4</v>
      </c>
      <c r="C187" s="2"/>
      <c r="D187" s="2"/>
      <c r="E187" s="13" t="s">
        <v>1901</v>
      </c>
      <c r="F187" s="13">
        <v>1</v>
      </c>
      <c r="G187" s="13">
        <v>2</v>
      </c>
      <c r="H187" s="13">
        <v>3</v>
      </c>
      <c r="I187" s="13">
        <v>4</v>
      </c>
      <c r="J187" s="13">
        <v>5</v>
      </c>
      <c r="K187" s="10"/>
      <c r="L187" s="912"/>
      <c r="M187" s="912"/>
      <c r="N187" s="912"/>
      <c r="R187" s="6"/>
      <c r="S187" s="6"/>
      <c r="T187" s="6"/>
      <c r="U187" s="6"/>
      <c r="V187" s="6"/>
      <c r="W187" s="6"/>
      <c r="X187" s="6"/>
      <c r="Y187" s="6"/>
      <c r="Z187" s="6"/>
      <c r="AA187" s="6"/>
      <c r="AB187" s="6"/>
      <c r="AC187" s="6"/>
      <c r="AD187" s="6"/>
      <c r="AE187" s="6"/>
      <c r="AF187" s="6"/>
      <c r="AG187" s="6"/>
      <c r="AH187" s="6"/>
      <c r="AI187" s="6"/>
      <c r="AJ187" s="6"/>
      <c r="AK187" s="6"/>
      <c r="AL187" s="6"/>
      <c r="AM187" s="6"/>
    </row>
    <row r="188" spans="2:463" hidden="1" x14ac:dyDescent="0.2">
      <c r="B188" s="146">
        <v>5</v>
      </c>
      <c r="C188" s="2"/>
      <c r="D188" s="2"/>
      <c r="F188" s="2"/>
      <c r="H188" s="2"/>
      <c r="J188" s="11"/>
      <c r="K188" s="10"/>
      <c r="L188" s="146">
        <v>0.01</v>
      </c>
      <c r="M188" s="146">
        <v>0.99</v>
      </c>
      <c r="N188" s="146"/>
      <c r="R188" s="6"/>
      <c r="S188" s="6"/>
      <c r="T188" s="6"/>
      <c r="U188" s="6"/>
      <c r="V188" s="6"/>
      <c r="W188" s="6"/>
      <c r="X188" s="6"/>
      <c r="Y188" s="6"/>
      <c r="Z188" s="6"/>
      <c r="AA188" s="6"/>
      <c r="AB188" s="6"/>
      <c r="AC188" s="6"/>
      <c r="AD188" s="6"/>
      <c r="AE188" s="6"/>
      <c r="AF188" s="6"/>
      <c r="AG188" s="6"/>
      <c r="AH188" s="6"/>
      <c r="AI188" s="6"/>
      <c r="AJ188" s="6"/>
      <c r="AK188" s="6"/>
      <c r="AL188" s="6"/>
      <c r="AM188" s="6"/>
    </row>
    <row r="189" spans="2:463" ht="12.75" hidden="1" customHeight="1" x14ac:dyDescent="0.2">
      <c r="B189" s="146">
        <v>6</v>
      </c>
      <c r="C189" s="2"/>
      <c r="D189" s="2"/>
      <c r="E189" s="912" t="s">
        <v>2226</v>
      </c>
      <c r="F189" s="912"/>
      <c r="G189" s="912"/>
      <c r="H189" s="912"/>
      <c r="I189" s="912"/>
      <c r="J189" s="912"/>
      <c r="K189" s="10"/>
      <c r="R189" s="6"/>
      <c r="S189" s="6"/>
      <c r="T189" s="6"/>
      <c r="U189" s="6"/>
      <c r="V189" s="6"/>
      <c r="W189" s="6"/>
      <c r="X189" s="6"/>
      <c r="Y189" s="6"/>
      <c r="Z189" s="6"/>
      <c r="AA189" s="6"/>
      <c r="AB189" s="6"/>
      <c r="AC189" s="6"/>
      <c r="AD189" s="6"/>
      <c r="AE189" s="6"/>
      <c r="AF189" s="6"/>
      <c r="AG189" s="6"/>
      <c r="AH189" s="6"/>
      <c r="AI189" s="6"/>
      <c r="AJ189" s="6"/>
      <c r="AK189" s="6"/>
      <c r="AL189" s="6"/>
      <c r="AM189" s="6"/>
    </row>
    <row r="190" spans="2:463" hidden="1" x14ac:dyDescent="0.2">
      <c r="B190" s="146">
        <v>7</v>
      </c>
      <c r="C190" s="2"/>
      <c r="D190" s="2"/>
      <c r="E190" s="912"/>
      <c r="F190" s="912"/>
      <c r="G190" s="912"/>
      <c r="H190" s="912"/>
      <c r="I190" s="912"/>
      <c r="J190" s="912"/>
      <c r="K190" s="10"/>
      <c r="R190" s="6"/>
      <c r="S190" s="6"/>
      <c r="T190" s="6"/>
      <c r="U190" s="6"/>
      <c r="V190" s="6"/>
      <c r="W190" s="6"/>
      <c r="X190" s="6"/>
      <c r="Y190" s="6"/>
      <c r="Z190" s="6"/>
      <c r="AA190" s="6"/>
      <c r="AB190" s="6"/>
      <c r="AC190" s="6"/>
      <c r="AD190" s="6"/>
      <c r="AE190" s="6"/>
      <c r="AF190" s="6"/>
      <c r="AG190" s="6"/>
      <c r="AH190" s="6"/>
      <c r="AI190" s="6"/>
      <c r="AJ190" s="6"/>
      <c r="AK190" s="6"/>
      <c r="AL190" s="6"/>
      <c r="AM190" s="6"/>
    </row>
    <row r="191" spans="2:463" hidden="1" x14ac:dyDescent="0.2">
      <c r="B191" s="146">
        <v>8</v>
      </c>
      <c r="C191" s="2"/>
      <c r="E191" s="912"/>
      <c r="F191" s="912"/>
      <c r="G191" s="912"/>
      <c r="H191" s="912"/>
      <c r="I191" s="912"/>
      <c r="J191" s="912"/>
      <c r="R191" s="6"/>
      <c r="S191" s="6"/>
      <c r="T191" s="6"/>
      <c r="U191" s="6"/>
      <c r="V191" s="6"/>
      <c r="W191" s="6"/>
      <c r="X191" s="6"/>
      <c r="Y191" s="6"/>
      <c r="Z191" s="6"/>
      <c r="AA191" s="6"/>
      <c r="AB191" s="6"/>
      <c r="AC191" s="6"/>
      <c r="AD191" s="6"/>
      <c r="AE191" s="6"/>
      <c r="AF191" s="6"/>
      <c r="AG191" s="6"/>
      <c r="AH191" s="6"/>
      <c r="AI191" s="6"/>
      <c r="AJ191" s="6"/>
      <c r="AK191" s="6"/>
      <c r="AL191" s="6"/>
      <c r="AM191" s="6"/>
    </row>
    <row r="192" spans="2:463" hidden="1" x14ac:dyDescent="0.2">
      <c r="B192" s="146">
        <v>9</v>
      </c>
      <c r="C192" s="2"/>
      <c r="E192" s="912"/>
      <c r="F192" s="912"/>
      <c r="G192" s="912"/>
      <c r="H192" s="912"/>
      <c r="I192" s="912"/>
      <c r="J192" s="912"/>
      <c r="R192" s="6"/>
      <c r="S192" s="6"/>
      <c r="T192" s="6"/>
      <c r="U192" s="6"/>
      <c r="V192" s="6"/>
      <c r="W192" s="6"/>
      <c r="X192" s="6"/>
      <c r="Y192" s="6"/>
      <c r="Z192" s="6"/>
      <c r="AA192" s="6"/>
      <c r="AB192" s="6"/>
      <c r="AC192" s="6"/>
      <c r="AD192" s="6"/>
      <c r="AE192" s="6"/>
      <c r="AF192" s="6"/>
      <c r="AG192" s="6"/>
      <c r="AH192" s="6"/>
      <c r="AI192" s="6"/>
      <c r="AJ192" s="6"/>
      <c r="AK192" s="6"/>
      <c r="AL192" s="6"/>
      <c r="AM192" s="6"/>
    </row>
    <row r="193" spans="2:39" hidden="1" x14ac:dyDescent="0.2">
      <c r="B193" s="146">
        <v>10</v>
      </c>
      <c r="E193" s="85" t="s">
        <v>1901</v>
      </c>
      <c r="F193" s="85" t="s">
        <v>1754</v>
      </c>
      <c r="R193" s="6"/>
      <c r="S193" s="6"/>
      <c r="T193" s="6"/>
      <c r="U193" s="6"/>
      <c r="V193" s="6"/>
      <c r="W193" s="6"/>
      <c r="X193" s="6"/>
      <c r="Y193" s="6"/>
      <c r="Z193" s="6"/>
      <c r="AA193" s="6"/>
      <c r="AB193" s="6"/>
      <c r="AC193" s="6"/>
      <c r="AD193" s="6"/>
      <c r="AE193" s="6"/>
      <c r="AF193" s="6"/>
      <c r="AG193" s="6"/>
      <c r="AH193" s="6"/>
      <c r="AI193" s="6"/>
      <c r="AJ193" s="6"/>
      <c r="AK193" s="6"/>
      <c r="AL193" s="6"/>
      <c r="AM193" s="6"/>
    </row>
    <row r="194" spans="2:39" hidden="1" x14ac:dyDescent="0.2">
      <c r="B194" s="146">
        <v>11</v>
      </c>
      <c r="R194" s="6"/>
      <c r="S194" s="6"/>
      <c r="T194" s="6"/>
      <c r="U194" s="6"/>
      <c r="V194" s="6"/>
      <c r="W194" s="6"/>
      <c r="X194" s="6"/>
      <c r="Y194" s="6"/>
      <c r="Z194" s="6"/>
      <c r="AA194" s="6"/>
      <c r="AB194" s="6"/>
      <c r="AC194" s="6"/>
      <c r="AD194" s="6"/>
      <c r="AE194" s="6"/>
      <c r="AF194" s="6"/>
      <c r="AG194" s="6"/>
      <c r="AH194" s="6"/>
      <c r="AI194" s="6"/>
      <c r="AJ194" s="6"/>
      <c r="AK194" s="6"/>
      <c r="AL194" s="6"/>
      <c r="AM194" s="6"/>
    </row>
    <row r="195" spans="2:39" hidden="1" x14ac:dyDescent="0.2">
      <c r="B195" s="146">
        <v>12</v>
      </c>
      <c r="R195" s="6"/>
      <c r="S195" s="6"/>
      <c r="T195" s="6"/>
      <c r="U195" s="6"/>
      <c r="V195" s="6"/>
      <c r="W195" s="6"/>
      <c r="X195" s="6"/>
      <c r="Y195" s="6"/>
      <c r="Z195" s="6"/>
      <c r="AA195" s="6"/>
      <c r="AB195" s="6"/>
      <c r="AC195" s="6"/>
      <c r="AD195" s="6"/>
      <c r="AE195" s="6"/>
      <c r="AF195" s="6"/>
      <c r="AG195" s="6"/>
      <c r="AH195" s="6"/>
      <c r="AI195" s="6"/>
      <c r="AJ195" s="6"/>
      <c r="AK195" s="6"/>
      <c r="AL195" s="6"/>
      <c r="AM195" s="6"/>
    </row>
    <row r="196" spans="2:39" hidden="1" x14ac:dyDescent="0.2">
      <c r="B196" s="146">
        <v>13</v>
      </c>
      <c r="R196" s="6"/>
      <c r="S196" s="6"/>
      <c r="T196" s="6"/>
      <c r="U196" s="6"/>
      <c r="V196" s="6"/>
      <c r="W196" s="6"/>
      <c r="X196" s="6"/>
      <c r="Y196" s="6"/>
      <c r="Z196" s="6"/>
      <c r="AA196" s="6"/>
      <c r="AB196" s="6"/>
      <c r="AC196" s="6"/>
      <c r="AD196" s="6"/>
      <c r="AE196" s="6"/>
      <c r="AF196" s="6"/>
      <c r="AG196" s="6"/>
      <c r="AH196" s="6"/>
      <c r="AI196" s="6"/>
      <c r="AJ196" s="6"/>
      <c r="AK196" s="6"/>
      <c r="AL196" s="6"/>
      <c r="AM196" s="6"/>
    </row>
    <row r="197" spans="2:39" hidden="1" x14ac:dyDescent="0.2">
      <c r="B197" s="146">
        <v>14</v>
      </c>
      <c r="R197" s="6"/>
      <c r="S197" s="6"/>
      <c r="T197" s="6"/>
      <c r="U197" s="6"/>
      <c r="V197" s="6"/>
      <c r="W197" s="6"/>
      <c r="X197" s="6"/>
      <c r="Y197" s="6"/>
      <c r="Z197" s="6"/>
      <c r="AA197" s="6"/>
      <c r="AB197" s="6"/>
      <c r="AC197" s="6"/>
      <c r="AD197" s="6"/>
      <c r="AE197" s="6"/>
      <c r="AF197" s="6"/>
      <c r="AG197" s="6"/>
      <c r="AH197" s="6"/>
      <c r="AI197" s="6"/>
      <c r="AJ197" s="6"/>
      <c r="AK197" s="6"/>
      <c r="AL197" s="6"/>
      <c r="AM197" s="6"/>
    </row>
    <row r="198" spans="2:39" hidden="1" x14ac:dyDescent="0.2">
      <c r="B198" s="146">
        <v>15</v>
      </c>
      <c r="R198" s="6"/>
      <c r="S198" s="6"/>
      <c r="T198" s="6"/>
      <c r="U198" s="6"/>
      <c r="V198" s="6"/>
      <c r="W198" s="6"/>
      <c r="X198" s="6"/>
      <c r="Y198" s="6"/>
      <c r="Z198" s="6"/>
      <c r="AA198" s="6"/>
      <c r="AB198" s="6"/>
      <c r="AC198" s="6"/>
      <c r="AD198" s="6"/>
      <c r="AE198" s="6"/>
      <c r="AF198" s="6"/>
      <c r="AG198" s="6"/>
      <c r="AH198" s="6"/>
      <c r="AI198" s="6"/>
      <c r="AJ198" s="6"/>
      <c r="AK198" s="6"/>
      <c r="AL198" s="6"/>
      <c r="AM198" s="6"/>
    </row>
    <row r="199" spans="2:39" hidden="1" x14ac:dyDescent="0.2">
      <c r="B199" s="146">
        <v>16</v>
      </c>
      <c r="R199" s="6"/>
      <c r="S199" s="6"/>
      <c r="T199" s="6"/>
      <c r="U199" s="6"/>
      <c r="V199" s="6"/>
      <c r="W199" s="6"/>
      <c r="X199" s="6"/>
      <c r="Y199" s="6"/>
      <c r="Z199" s="6"/>
      <c r="AA199" s="6"/>
      <c r="AB199" s="6"/>
      <c r="AC199" s="6"/>
      <c r="AD199" s="6"/>
      <c r="AE199" s="6"/>
      <c r="AF199" s="6"/>
      <c r="AG199" s="6"/>
      <c r="AH199" s="6"/>
      <c r="AI199" s="6"/>
      <c r="AJ199" s="6"/>
      <c r="AK199" s="6"/>
      <c r="AL199" s="6"/>
      <c r="AM199" s="6"/>
    </row>
    <row r="200" spans="2:39" hidden="1" x14ac:dyDescent="0.2">
      <c r="B200" s="146">
        <v>17</v>
      </c>
      <c r="R200" s="6"/>
      <c r="S200" s="6"/>
      <c r="T200" s="6"/>
      <c r="U200" s="6"/>
      <c r="V200" s="6"/>
      <c r="W200" s="6"/>
      <c r="X200" s="6"/>
      <c r="Y200" s="6"/>
      <c r="Z200" s="6"/>
      <c r="AA200" s="6"/>
      <c r="AB200" s="6"/>
      <c r="AC200" s="6"/>
      <c r="AD200" s="6"/>
      <c r="AE200" s="6"/>
      <c r="AF200" s="6"/>
      <c r="AG200" s="6"/>
      <c r="AH200" s="6"/>
      <c r="AI200" s="6"/>
      <c r="AJ200" s="6"/>
      <c r="AK200" s="6"/>
      <c r="AL200" s="6"/>
      <c r="AM200" s="6"/>
    </row>
    <row r="201" spans="2:39" hidden="1" x14ac:dyDescent="0.2">
      <c r="B201" s="146">
        <v>18</v>
      </c>
      <c r="R201" s="6"/>
      <c r="S201" s="6"/>
      <c r="T201" s="6"/>
      <c r="U201" s="6"/>
      <c r="V201" s="6"/>
      <c r="W201" s="6"/>
      <c r="X201" s="6"/>
      <c r="Y201" s="6"/>
      <c r="Z201" s="6"/>
      <c r="AA201" s="6"/>
      <c r="AB201" s="6"/>
      <c r="AC201" s="6"/>
      <c r="AD201" s="6"/>
      <c r="AE201" s="6"/>
      <c r="AF201" s="6"/>
      <c r="AG201" s="6"/>
      <c r="AH201" s="6"/>
      <c r="AI201" s="6"/>
      <c r="AJ201" s="6"/>
      <c r="AK201" s="6"/>
      <c r="AL201" s="6"/>
      <c r="AM201" s="6"/>
    </row>
    <row r="202" spans="2:39" hidden="1" x14ac:dyDescent="0.2">
      <c r="B202" s="146">
        <v>19</v>
      </c>
      <c r="R202" s="6"/>
      <c r="S202" s="6"/>
      <c r="T202" s="6"/>
      <c r="U202" s="6"/>
      <c r="V202" s="6"/>
      <c r="W202" s="6"/>
      <c r="X202" s="6"/>
      <c r="Y202" s="6"/>
      <c r="Z202" s="6"/>
      <c r="AA202" s="6"/>
      <c r="AB202" s="6"/>
      <c r="AC202" s="6"/>
      <c r="AD202" s="6"/>
      <c r="AE202" s="6"/>
      <c r="AF202" s="6"/>
      <c r="AG202" s="6"/>
      <c r="AH202" s="6"/>
      <c r="AI202" s="6"/>
      <c r="AJ202" s="6"/>
      <c r="AK202" s="6"/>
      <c r="AL202" s="6"/>
      <c r="AM202" s="6"/>
    </row>
    <row r="203" spans="2:39" hidden="1" x14ac:dyDescent="0.2">
      <c r="B203" s="146">
        <v>20</v>
      </c>
      <c r="R203" s="6"/>
      <c r="S203" s="6"/>
      <c r="T203" s="6"/>
      <c r="U203" s="6"/>
      <c r="V203" s="6"/>
      <c r="W203" s="6"/>
      <c r="X203" s="6"/>
      <c r="Y203" s="6"/>
      <c r="Z203" s="6"/>
      <c r="AA203" s="6"/>
      <c r="AB203" s="6"/>
      <c r="AC203" s="6"/>
      <c r="AD203" s="6"/>
      <c r="AE203" s="6"/>
      <c r="AF203" s="6"/>
      <c r="AG203" s="6"/>
      <c r="AH203" s="6"/>
      <c r="AI203" s="6"/>
      <c r="AJ203" s="6"/>
      <c r="AK203" s="6"/>
      <c r="AL203" s="6"/>
      <c r="AM203" s="6"/>
    </row>
    <row r="204" spans="2:39" hidden="1" x14ac:dyDescent="0.2">
      <c r="B204" s="146">
        <v>21</v>
      </c>
      <c r="R204" s="6"/>
      <c r="S204" s="6"/>
      <c r="T204" s="6"/>
      <c r="U204" s="6"/>
      <c r="V204" s="6"/>
      <c r="W204" s="6"/>
      <c r="X204" s="6"/>
      <c r="Y204" s="6"/>
      <c r="Z204" s="6"/>
      <c r="AA204" s="6"/>
      <c r="AB204" s="6"/>
      <c r="AC204" s="6"/>
      <c r="AD204" s="6"/>
      <c r="AE204" s="6"/>
      <c r="AF204" s="6"/>
      <c r="AG204" s="6"/>
      <c r="AH204" s="6"/>
      <c r="AI204" s="6"/>
      <c r="AJ204" s="6"/>
      <c r="AK204" s="6"/>
      <c r="AL204" s="6"/>
      <c r="AM204" s="6"/>
    </row>
    <row r="205" spans="2:39" hidden="1" x14ac:dyDescent="0.2">
      <c r="B205" s="146">
        <v>22</v>
      </c>
      <c r="R205" s="6"/>
      <c r="S205" s="6"/>
      <c r="T205" s="6"/>
      <c r="U205" s="6"/>
      <c r="V205" s="6"/>
      <c r="W205" s="6"/>
      <c r="X205" s="6"/>
      <c r="Y205" s="6"/>
      <c r="Z205" s="6"/>
      <c r="AA205" s="6"/>
      <c r="AB205" s="6"/>
      <c r="AC205" s="6"/>
      <c r="AD205" s="6"/>
      <c r="AE205" s="6"/>
      <c r="AF205" s="6"/>
      <c r="AG205" s="6"/>
      <c r="AH205" s="6"/>
      <c r="AI205" s="6"/>
      <c r="AJ205" s="6"/>
      <c r="AK205" s="6"/>
      <c r="AL205" s="6"/>
      <c r="AM205" s="6"/>
    </row>
    <row r="206" spans="2:39" hidden="1" x14ac:dyDescent="0.2">
      <c r="B206" s="146">
        <v>23</v>
      </c>
      <c r="R206" s="6"/>
      <c r="S206" s="6"/>
      <c r="T206" s="6"/>
      <c r="U206" s="6"/>
      <c r="V206" s="6"/>
      <c r="W206" s="6"/>
      <c r="X206" s="6"/>
      <c r="Y206" s="6"/>
      <c r="Z206" s="6"/>
      <c r="AA206" s="6"/>
      <c r="AB206" s="6"/>
      <c r="AC206" s="6"/>
      <c r="AD206" s="6"/>
      <c r="AE206" s="6"/>
      <c r="AF206" s="6"/>
      <c r="AG206" s="6"/>
      <c r="AH206" s="6"/>
      <c r="AI206" s="6"/>
      <c r="AJ206" s="6"/>
      <c r="AK206" s="6"/>
      <c r="AL206" s="6"/>
      <c r="AM206" s="6"/>
    </row>
    <row r="207" spans="2:39" hidden="1" x14ac:dyDescent="0.2">
      <c r="B207" s="146">
        <v>24</v>
      </c>
      <c r="R207" s="6"/>
      <c r="S207" s="6"/>
      <c r="T207" s="6"/>
      <c r="U207" s="6"/>
      <c r="V207" s="6"/>
      <c r="W207" s="6"/>
      <c r="X207" s="6"/>
      <c r="Y207" s="6"/>
      <c r="Z207" s="6"/>
      <c r="AA207" s="6"/>
      <c r="AB207" s="6"/>
      <c r="AC207" s="6"/>
      <c r="AD207" s="6"/>
      <c r="AE207" s="6"/>
      <c r="AF207" s="6"/>
      <c r="AG207" s="6"/>
      <c r="AH207" s="6"/>
      <c r="AI207" s="6"/>
      <c r="AJ207" s="6"/>
      <c r="AK207" s="6"/>
      <c r="AL207" s="6"/>
      <c r="AM207" s="6"/>
    </row>
    <row r="208" spans="2:39" hidden="1" x14ac:dyDescent="0.2">
      <c r="B208" s="146">
        <v>25</v>
      </c>
      <c r="R208" s="6"/>
      <c r="S208" s="6"/>
      <c r="T208" s="6"/>
      <c r="U208" s="6"/>
      <c r="V208" s="6"/>
      <c r="W208" s="6"/>
      <c r="X208" s="6"/>
      <c r="Y208" s="6"/>
      <c r="Z208" s="6"/>
      <c r="AA208" s="6"/>
      <c r="AB208" s="6"/>
      <c r="AC208" s="6"/>
      <c r="AD208" s="6"/>
      <c r="AE208" s="6"/>
      <c r="AF208" s="6"/>
      <c r="AG208" s="6"/>
      <c r="AH208" s="6"/>
      <c r="AI208" s="6"/>
      <c r="AJ208" s="6"/>
      <c r="AK208" s="6"/>
      <c r="AL208" s="6"/>
      <c r="AM208" s="6"/>
    </row>
    <row r="209" spans="2:39" hidden="1" x14ac:dyDescent="0.2">
      <c r="B209" s="146">
        <v>26</v>
      </c>
      <c r="R209" s="6"/>
      <c r="S209" s="6"/>
      <c r="T209" s="6"/>
      <c r="U209" s="6"/>
      <c r="V209" s="6"/>
      <c r="W209" s="6"/>
      <c r="X209" s="6"/>
      <c r="Y209" s="6"/>
      <c r="Z209" s="6"/>
      <c r="AA209" s="6"/>
      <c r="AB209" s="6"/>
      <c r="AC209" s="6"/>
      <c r="AD209" s="6"/>
      <c r="AE209" s="6"/>
      <c r="AF209" s="6"/>
      <c r="AG209" s="6"/>
      <c r="AH209" s="6"/>
      <c r="AI209" s="6"/>
      <c r="AJ209" s="6"/>
      <c r="AK209" s="6"/>
      <c r="AL209" s="6"/>
      <c r="AM209" s="6"/>
    </row>
    <row r="210" spans="2:39" hidden="1" x14ac:dyDescent="0.2">
      <c r="B210" s="146">
        <v>27</v>
      </c>
      <c r="R210" s="6"/>
      <c r="S210" s="6"/>
      <c r="T210" s="6"/>
      <c r="U210" s="6"/>
      <c r="V210" s="6"/>
      <c r="W210" s="6"/>
      <c r="X210" s="6"/>
      <c r="Y210" s="6"/>
      <c r="Z210" s="6"/>
      <c r="AA210" s="6"/>
      <c r="AB210" s="6"/>
      <c r="AC210" s="6"/>
      <c r="AD210" s="6"/>
      <c r="AE210" s="6"/>
      <c r="AF210" s="6"/>
      <c r="AG210" s="6"/>
      <c r="AH210" s="6"/>
      <c r="AI210" s="6"/>
      <c r="AJ210" s="6"/>
      <c r="AK210" s="6"/>
      <c r="AL210" s="6"/>
      <c r="AM210" s="6"/>
    </row>
    <row r="211" spans="2:39" hidden="1" x14ac:dyDescent="0.2">
      <c r="B211" s="146">
        <v>28</v>
      </c>
      <c r="R211" s="6"/>
      <c r="S211" s="6"/>
      <c r="T211" s="6"/>
      <c r="U211" s="6"/>
      <c r="V211" s="6"/>
      <c r="W211" s="6"/>
      <c r="X211" s="6"/>
      <c r="Y211" s="6"/>
      <c r="Z211" s="6"/>
      <c r="AA211" s="6"/>
      <c r="AB211" s="6"/>
      <c r="AC211" s="6"/>
      <c r="AD211" s="6"/>
      <c r="AE211" s="6"/>
      <c r="AF211" s="6"/>
      <c r="AG211" s="6"/>
      <c r="AH211" s="6"/>
      <c r="AI211" s="6"/>
      <c r="AJ211" s="6"/>
      <c r="AK211" s="6"/>
      <c r="AL211" s="6"/>
      <c r="AM211" s="6"/>
    </row>
    <row r="212" spans="2:39" hidden="1" x14ac:dyDescent="0.2">
      <c r="B212" s="146">
        <v>29</v>
      </c>
      <c r="R212" s="6"/>
      <c r="S212" s="6"/>
      <c r="T212" s="6"/>
      <c r="U212" s="6"/>
      <c r="V212" s="6"/>
      <c r="W212" s="6"/>
      <c r="X212" s="6"/>
      <c r="Y212" s="6"/>
      <c r="Z212" s="6"/>
      <c r="AA212" s="6"/>
      <c r="AB212" s="6"/>
      <c r="AC212" s="6"/>
      <c r="AD212" s="6"/>
      <c r="AE212" s="6"/>
      <c r="AF212" s="6"/>
      <c r="AG212" s="6"/>
      <c r="AH212" s="6"/>
      <c r="AI212" s="6"/>
      <c r="AJ212" s="6"/>
      <c r="AK212" s="6"/>
      <c r="AL212" s="6"/>
      <c r="AM212" s="6"/>
    </row>
    <row r="213" spans="2:39" hidden="1" x14ac:dyDescent="0.2">
      <c r="B213" s="146">
        <v>30</v>
      </c>
      <c r="R213" s="6"/>
      <c r="S213" s="6"/>
      <c r="T213" s="6"/>
      <c r="U213" s="6"/>
      <c r="V213" s="6"/>
      <c r="W213" s="6"/>
      <c r="X213" s="6"/>
      <c r="Y213" s="6"/>
      <c r="Z213" s="6"/>
      <c r="AA213" s="6"/>
      <c r="AB213" s="6"/>
      <c r="AC213" s="6"/>
      <c r="AD213" s="6"/>
      <c r="AE213" s="6"/>
      <c r="AF213" s="6"/>
      <c r="AG213" s="6"/>
      <c r="AH213" s="6"/>
      <c r="AI213" s="6"/>
      <c r="AJ213" s="6"/>
      <c r="AK213" s="6"/>
      <c r="AL213" s="6"/>
      <c r="AM213" s="6"/>
    </row>
    <row r="214" spans="2:39" hidden="1" x14ac:dyDescent="0.2">
      <c r="B214" s="146">
        <v>31</v>
      </c>
      <c r="R214" s="6"/>
      <c r="S214" s="6"/>
      <c r="T214" s="6"/>
      <c r="U214" s="6"/>
      <c r="V214" s="6"/>
      <c r="W214" s="6"/>
      <c r="X214" s="6"/>
      <c r="Y214" s="6"/>
      <c r="Z214" s="6"/>
      <c r="AA214" s="6"/>
      <c r="AB214" s="6"/>
      <c r="AC214" s="6"/>
      <c r="AD214" s="6"/>
      <c r="AE214" s="6"/>
      <c r="AF214" s="6"/>
      <c r="AG214" s="6"/>
      <c r="AH214" s="6"/>
      <c r="AI214" s="6"/>
      <c r="AJ214" s="6"/>
      <c r="AK214" s="6"/>
      <c r="AL214" s="6"/>
      <c r="AM214" s="6"/>
    </row>
    <row r="215" spans="2:39" hidden="1" x14ac:dyDescent="0.2">
      <c r="B215" s="146">
        <v>32</v>
      </c>
      <c r="R215" s="6"/>
      <c r="S215" s="6"/>
      <c r="T215" s="6"/>
      <c r="U215" s="6"/>
      <c r="V215" s="6"/>
      <c r="W215" s="6"/>
      <c r="X215" s="6"/>
      <c r="Y215" s="6"/>
      <c r="Z215" s="6"/>
      <c r="AA215" s="6"/>
      <c r="AB215" s="6"/>
      <c r="AC215" s="6"/>
      <c r="AD215" s="6"/>
      <c r="AE215" s="6"/>
      <c r="AF215" s="6"/>
      <c r="AG215" s="6"/>
      <c r="AH215" s="6"/>
      <c r="AI215" s="6"/>
      <c r="AJ215" s="6"/>
      <c r="AK215" s="6"/>
      <c r="AL215" s="6"/>
      <c r="AM215" s="6"/>
    </row>
    <row r="216" spans="2:39" hidden="1" x14ac:dyDescent="0.2">
      <c r="B216" s="146">
        <v>33</v>
      </c>
      <c r="R216" s="6"/>
      <c r="S216" s="6"/>
      <c r="T216" s="6"/>
      <c r="U216" s="6"/>
      <c r="V216" s="6"/>
      <c r="W216" s="6"/>
      <c r="X216" s="6"/>
      <c r="Y216" s="6"/>
      <c r="Z216" s="6"/>
      <c r="AA216" s="6"/>
      <c r="AB216" s="6"/>
      <c r="AC216" s="6"/>
      <c r="AD216" s="6"/>
      <c r="AE216" s="6"/>
      <c r="AF216" s="6"/>
      <c r="AG216" s="6"/>
      <c r="AH216" s="6"/>
      <c r="AI216" s="6"/>
      <c r="AJ216" s="6"/>
      <c r="AK216" s="6"/>
      <c r="AL216" s="6"/>
      <c r="AM216" s="6"/>
    </row>
    <row r="217" spans="2:39" hidden="1" x14ac:dyDescent="0.2">
      <c r="B217" s="146">
        <v>34</v>
      </c>
      <c r="R217" s="6"/>
      <c r="S217" s="6"/>
      <c r="T217" s="6"/>
      <c r="U217" s="6"/>
      <c r="V217" s="6"/>
      <c r="W217" s="6"/>
      <c r="X217" s="6"/>
      <c r="Y217" s="6"/>
      <c r="Z217" s="6"/>
      <c r="AA217" s="6"/>
      <c r="AB217" s="6"/>
      <c r="AC217" s="6"/>
      <c r="AD217" s="6"/>
      <c r="AE217" s="6"/>
      <c r="AF217" s="6"/>
      <c r="AG217" s="6"/>
      <c r="AH217" s="6"/>
      <c r="AI217" s="6"/>
      <c r="AJ217" s="6"/>
      <c r="AK217" s="6"/>
      <c r="AL217" s="6"/>
      <c r="AM217" s="6"/>
    </row>
    <row r="218" spans="2:39" hidden="1" x14ac:dyDescent="0.2">
      <c r="B218" s="146">
        <v>35</v>
      </c>
      <c r="R218" s="6"/>
      <c r="S218" s="6"/>
      <c r="T218" s="6"/>
      <c r="U218" s="6"/>
      <c r="V218" s="6"/>
      <c r="W218" s="6"/>
      <c r="X218" s="6"/>
      <c r="Y218" s="6"/>
      <c r="Z218" s="6"/>
      <c r="AA218" s="6"/>
      <c r="AB218" s="6"/>
      <c r="AC218" s="6"/>
      <c r="AD218" s="6"/>
      <c r="AE218" s="6"/>
      <c r="AF218" s="6"/>
      <c r="AG218" s="6"/>
      <c r="AH218" s="6"/>
      <c r="AI218" s="6"/>
      <c r="AJ218" s="6"/>
      <c r="AK218" s="6"/>
      <c r="AL218" s="6"/>
      <c r="AM218" s="6"/>
    </row>
    <row r="219" spans="2:39" hidden="1" x14ac:dyDescent="0.2">
      <c r="B219" s="146">
        <v>36</v>
      </c>
      <c r="R219" s="6"/>
      <c r="S219" s="6"/>
      <c r="T219" s="6"/>
      <c r="U219" s="6"/>
      <c r="V219" s="6"/>
      <c r="W219" s="6"/>
      <c r="X219" s="6"/>
      <c r="Y219" s="6"/>
      <c r="Z219" s="6"/>
      <c r="AA219" s="6"/>
      <c r="AB219" s="6"/>
      <c r="AC219" s="6"/>
      <c r="AD219" s="6"/>
      <c r="AE219" s="6"/>
      <c r="AF219" s="6"/>
      <c r="AG219" s="6"/>
      <c r="AH219" s="6"/>
      <c r="AI219" s="6"/>
      <c r="AJ219" s="6"/>
      <c r="AK219" s="6"/>
      <c r="AL219" s="6"/>
      <c r="AM219" s="6"/>
    </row>
    <row r="220" spans="2:39" hidden="1" x14ac:dyDescent="0.2">
      <c r="B220" s="146">
        <v>37</v>
      </c>
      <c r="R220" s="6"/>
      <c r="S220" s="6"/>
      <c r="T220" s="6"/>
      <c r="U220" s="6"/>
      <c r="V220" s="6"/>
      <c r="W220" s="6"/>
      <c r="X220" s="6"/>
      <c r="Y220" s="6"/>
      <c r="Z220" s="6"/>
      <c r="AA220" s="6"/>
      <c r="AB220" s="6"/>
      <c r="AC220" s="6"/>
      <c r="AD220" s="6"/>
      <c r="AE220" s="6"/>
      <c r="AF220" s="6"/>
      <c r="AG220" s="6"/>
      <c r="AH220" s="6"/>
      <c r="AI220" s="6"/>
      <c r="AJ220" s="6"/>
      <c r="AK220" s="6"/>
      <c r="AL220" s="6"/>
      <c r="AM220" s="6"/>
    </row>
    <row r="221" spans="2:39" hidden="1" x14ac:dyDescent="0.2">
      <c r="B221" s="146">
        <v>38</v>
      </c>
      <c r="R221" s="6"/>
      <c r="S221" s="6"/>
      <c r="T221" s="6"/>
      <c r="U221" s="6"/>
      <c r="V221" s="6"/>
      <c r="W221" s="6"/>
      <c r="X221" s="6"/>
      <c r="Y221" s="6"/>
      <c r="Z221" s="6"/>
      <c r="AA221" s="6"/>
      <c r="AB221" s="6"/>
      <c r="AC221" s="6"/>
      <c r="AD221" s="6"/>
      <c r="AE221" s="6"/>
      <c r="AF221" s="6"/>
      <c r="AG221" s="6"/>
      <c r="AH221" s="6"/>
      <c r="AI221" s="6"/>
      <c r="AJ221" s="6"/>
      <c r="AK221" s="6"/>
      <c r="AL221" s="6"/>
      <c r="AM221" s="6"/>
    </row>
    <row r="222" spans="2:39" hidden="1" x14ac:dyDescent="0.2">
      <c r="B222" s="146">
        <v>39</v>
      </c>
      <c r="R222" s="6"/>
      <c r="S222" s="6"/>
      <c r="T222" s="6"/>
      <c r="U222" s="6"/>
      <c r="V222" s="6"/>
      <c r="W222" s="6"/>
      <c r="X222" s="6"/>
      <c r="Y222" s="6"/>
      <c r="Z222" s="6"/>
      <c r="AA222" s="6"/>
      <c r="AB222" s="6"/>
      <c r="AC222" s="6"/>
      <c r="AD222" s="6"/>
      <c r="AE222" s="6"/>
      <c r="AF222" s="6"/>
      <c r="AG222" s="6"/>
      <c r="AH222" s="6"/>
      <c r="AI222" s="6"/>
      <c r="AJ222" s="6"/>
      <c r="AK222" s="6"/>
      <c r="AL222" s="6"/>
      <c r="AM222" s="6"/>
    </row>
    <row r="223" spans="2:39" hidden="1" x14ac:dyDescent="0.2">
      <c r="B223" s="146">
        <v>40</v>
      </c>
      <c r="R223" s="6"/>
      <c r="S223" s="6"/>
      <c r="T223" s="6"/>
      <c r="U223" s="6"/>
      <c r="V223" s="6"/>
      <c r="W223" s="6"/>
      <c r="X223" s="6"/>
      <c r="Y223" s="6"/>
      <c r="Z223" s="6"/>
      <c r="AA223" s="6"/>
      <c r="AB223" s="6"/>
      <c r="AC223" s="6"/>
      <c r="AD223" s="6"/>
      <c r="AE223" s="6"/>
      <c r="AF223" s="6"/>
      <c r="AG223" s="6"/>
      <c r="AH223" s="6"/>
      <c r="AI223" s="6"/>
      <c r="AJ223" s="6"/>
      <c r="AK223" s="6"/>
      <c r="AL223" s="6"/>
      <c r="AM223" s="6"/>
    </row>
    <row r="224" spans="2:39" hidden="1" x14ac:dyDescent="0.2">
      <c r="B224" s="146">
        <v>41</v>
      </c>
      <c r="R224" s="6"/>
      <c r="S224" s="6"/>
      <c r="T224" s="6"/>
      <c r="U224" s="6"/>
      <c r="V224" s="6"/>
      <c r="W224" s="6"/>
      <c r="X224" s="6"/>
      <c r="Y224" s="6"/>
      <c r="Z224" s="6"/>
      <c r="AA224" s="6"/>
      <c r="AB224" s="6"/>
      <c r="AC224" s="6"/>
      <c r="AD224" s="6"/>
      <c r="AE224" s="6"/>
      <c r="AF224" s="6"/>
      <c r="AG224" s="6"/>
      <c r="AH224" s="6"/>
      <c r="AI224" s="6"/>
      <c r="AJ224" s="6"/>
      <c r="AK224" s="6"/>
      <c r="AL224" s="6"/>
      <c r="AM224" s="6"/>
    </row>
    <row r="225" spans="2:39" hidden="1" x14ac:dyDescent="0.2">
      <c r="B225" s="146">
        <v>42</v>
      </c>
      <c r="R225" s="6"/>
      <c r="S225" s="6"/>
      <c r="T225" s="6"/>
      <c r="U225" s="6"/>
      <c r="V225" s="6"/>
      <c r="W225" s="6"/>
      <c r="X225" s="6"/>
      <c r="Y225" s="6"/>
      <c r="Z225" s="6"/>
      <c r="AA225" s="6"/>
      <c r="AB225" s="6"/>
      <c r="AC225" s="6"/>
      <c r="AD225" s="6"/>
      <c r="AE225" s="6"/>
      <c r="AF225" s="6"/>
      <c r="AG225" s="6"/>
      <c r="AH225" s="6"/>
      <c r="AI225" s="6"/>
      <c r="AJ225" s="6"/>
      <c r="AK225" s="6"/>
      <c r="AL225" s="6"/>
      <c r="AM225" s="6"/>
    </row>
    <row r="226" spans="2:39" hidden="1" x14ac:dyDescent="0.2">
      <c r="B226" s="146">
        <v>43</v>
      </c>
      <c r="R226" s="6"/>
      <c r="S226" s="6"/>
      <c r="T226" s="6"/>
      <c r="U226" s="6"/>
      <c r="V226" s="6"/>
      <c r="W226" s="6"/>
      <c r="X226" s="6"/>
      <c r="Y226" s="6"/>
      <c r="Z226" s="6"/>
      <c r="AA226" s="6"/>
      <c r="AB226" s="6"/>
      <c r="AC226" s="6"/>
      <c r="AD226" s="6"/>
      <c r="AE226" s="6"/>
      <c r="AF226" s="6"/>
      <c r="AG226" s="6"/>
      <c r="AH226" s="6"/>
      <c r="AI226" s="6"/>
      <c r="AJ226" s="6"/>
      <c r="AK226" s="6"/>
      <c r="AL226" s="6"/>
      <c r="AM226" s="6"/>
    </row>
    <row r="227" spans="2:39" hidden="1" x14ac:dyDescent="0.2">
      <c r="B227" s="146">
        <v>44</v>
      </c>
      <c r="R227" s="6"/>
      <c r="S227" s="6"/>
      <c r="T227" s="6"/>
      <c r="U227" s="6"/>
      <c r="V227" s="6"/>
      <c r="W227" s="6"/>
      <c r="X227" s="6"/>
      <c r="Y227" s="6"/>
      <c r="Z227" s="6"/>
      <c r="AA227" s="6"/>
      <c r="AB227" s="6"/>
      <c r="AC227" s="6"/>
      <c r="AD227" s="6"/>
      <c r="AE227" s="6"/>
      <c r="AF227" s="6"/>
      <c r="AG227" s="6"/>
      <c r="AH227" s="6"/>
      <c r="AI227" s="6"/>
      <c r="AJ227" s="6"/>
      <c r="AK227" s="6"/>
      <c r="AL227" s="6"/>
      <c r="AM227" s="6"/>
    </row>
    <row r="228" spans="2:39" hidden="1" x14ac:dyDescent="0.2">
      <c r="B228" s="146">
        <v>45</v>
      </c>
      <c r="R228" s="6"/>
      <c r="S228" s="6"/>
      <c r="T228" s="6"/>
      <c r="U228" s="6"/>
      <c r="V228" s="6"/>
      <c r="W228" s="6"/>
      <c r="X228" s="6"/>
      <c r="Y228" s="6"/>
      <c r="Z228" s="6"/>
      <c r="AA228" s="6"/>
      <c r="AB228" s="6"/>
      <c r="AC228" s="6"/>
      <c r="AD228" s="6"/>
      <c r="AE228" s="6"/>
      <c r="AF228" s="6"/>
      <c r="AG228" s="6"/>
      <c r="AH228" s="6"/>
      <c r="AI228" s="6"/>
      <c r="AJ228" s="6"/>
      <c r="AK228" s="6"/>
      <c r="AL228" s="6"/>
      <c r="AM228" s="6"/>
    </row>
    <row r="229" spans="2:39" hidden="1" x14ac:dyDescent="0.2">
      <c r="B229" s="146">
        <v>46</v>
      </c>
      <c r="R229" s="6"/>
      <c r="S229" s="6"/>
      <c r="T229" s="6"/>
      <c r="U229" s="6"/>
      <c r="V229" s="6"/>
      <c r="W229" s="6"/>
      <c r="X229" s="6"/>
      <c r="Y229" s="6"/>
      <c r="Z229" s="6"/>
      <c r="AA229" s="6"/>
      <c r="AB229" s="6"/>
      <c r="AC229" s="6"/>
      <c r="AD229" s="6"/>
      <c r="AE229" s="6"/>
      <c r="AF229" s="6"/>
      <c r="AG229" s="6"/>
      <c r="AH229" s="6"/>
      <c r="AI229" s="6"/>
      <c r="AJ229" s="6"/>
      <c r="AK229" s="6"/>
      <c r="AL229" s="6"/>
      <c r="AM229" s="6"/>
    </row>
    <row r="230" spans="2:39" hidden="1" x14ac:dyDescent="0.2">
      <c r="B230" s="146">
        <v>47</v>
      </c>
      <c r="R230" s="6"/>
      <c r="S230" s="6"/>
      <c r="T230" s="6"/>
      <c r="U230" s="6"/>
      <c r="V230" s="6"/>
      <c r="W230" s="6"/>
      <c r="X230" s="6"/>
      <c r="Y230" s="6"/>
      <c r="Z230" s="6"/>
      <c r="AA230" s="6"/>
      <c r="AB230" s="6"/>
      <c r="AC230" s="6"/>
      <c r="AD230" s="6"/>
      <c r="AE230" s="6"/>
      <c r="AF230" s="6"/>
      <c r="AG230" s="6"/>
      <c r="AH230" s="6"/>
      <c r="AI230" s="6"/>
      <c r="AJ230" s="6"/>
      <c r="AK230" s="6"/>
      <c r="AL230" s="6"/>
      <c r="AM230" s="6"/>
    </row>
    <row r="231" spans="2:39" hidden="1" x14ac:dyDescent="0.2">
      <c r="B231" s="146">
        <v>48</v>
      </c>
    </row>
    <row r="232" spans="2:39" hidden="1" x14ac:dyDescent="0.2">
      <c r="B232" s="146">
        <v>49</v>
      </c>
    </row>
    <row r="233" spans="2:39" hidden="1" x14ac:dyDescent="0.2">
      <c r="B233" s="146">
        <v>50</v>
      </c>
    </row>
    <row r="234" spans="2:39" hidden="1" x14ac:dyDescent="0.2">
      <c r="B234" s="146">
        <v>51</v>
      </c>
    </row>
    <row r="235" spans="2:39" hidden="1" x14ac:dyDescent="0.2">
      <c r="B235" s="146">
        <v>52</v>
      </c>
    </row>
    <row r="236" spans="2:39" hidden="1" x14ac:dyDescent="0.2">
      <c r="B236" s="146">
        <v>53</v>
      </c>
    </row>
    <row r="237" spans="2:39" hidden="1" x14ac:dyDescent="0.2">
      <c r="B237" s="146">
        <v>54</v>
      </c>
    </row>
    <row r="238" spans="2:39" hidden="1" x14ac:dyDescent="0.2">
      <c r="B238" s="146">
        <v>55</v>
      </c>
    </row>
    <row r="239" spans="2:39" hidden="1" x14ac:dyDescent="0.2">
      <c r="B239" s="146">
        <v>56</v>
      </c>
    </row>
    <row r="240" spans="2:39" hidden="1" x14ac:dyDescent="0.2">
      <c r="B240" s="146">
        <v>57</v>
      </c>
    </row>
    <row r="241" spans="2:2" hidden="1" x14ac:dyDescent="0.2">
      <c r="B241" s="146">
        <v>58</v>
      </c>
    </row>
    <row r="242" spans="2:2" hidden="1" x14ac:dyDescent="0.2">
      <c r="B242" s="146">
        <v>59</v>
      </c>
    </row>
    <row r="243" spans="2:2" hidden="1" x14ac:dyDescent="0.2">
      <c r="B243" s="146">
        <v>60</v>
      </c>
    </row>
    <row r="244" spans="2:2" hidden="1" x14ac:dyDescent="0.2">
      <c r="B244" s="146">
        <v>61</v>
      </c>
    </row>
    <row r="245" spans="2:2" hidden="1" x14ac:dyDescent="0.2">
      <c r="B245" s="146">
        <v>62</v>
      </c>
    </row>
    <row r="246" spans="2:2" hidden="1" x14ac:dyDescent="0.2">
      <c r="B246" s="146">
        <v>63</v>
      </c>
    </row>
    <row r="247" spans="2:2" hidden="1" x14ac:dyDescent="0.2">
      <c r="B247" s="146">
        <v>64</v>
      </c>
    </row>
    <row r="248" spans="2:2" hidden="1" x14ac:dyDescent="0.2">
      <c r="B248" s="146">
        <v>65</v>
      </c>
    </row>
    <row r="249" spans="2:2" hidden="1" x14ac:dyDescent="0.2">
      <c r="B249" s="146">
        <v>66</v>
      </c>
    </row>
    <row r="250" spans="2:2" hidden="1" x14ac:dyDescent="0.2">
      <c r="B250" s="146">
        <v>67</v>
      </c>
    </row>
    <row r="251" spans="2:2" hidden="1" x14ac:dyDescent="0.2">
      <c r="B251" s="146">
        <v>68</v>
      </c>
    </row>
    <row r="252" spans="2:2" hidden="1" x14ac:dyDescent="0.2">
      <c r="B252" s="146">
        <v>69</v>
      </c>
    </row>
    <row r="253" spans="2:2" hidden="1" x14ac:dyDescent="0.2">
      <c r="B253" s="146">
        <v>70</v>
      </c>
    </row>
    <row r="254" spans="2:2" hidden="1" x14ac:dyDescent="0.2">
      <c r="B254" s="146">
        <v>71</v>
      </c>
    </row>
    <row r="255" spans="2:2" hidden="1" x14ac:dyDescent="0.2">
      <c r="B255" s="146">
        <v>72</v>
      </c>
    </row>
    <row r="256" spans="2:2" hidden="1" x14ac:dyDescent="0.2">
      <c r="B256" s="146">
        <v>73</v>
      </c>
    </row>
    <row r="257" spans="2:2" hidden="1" x14ac:dyDescent="0.2">
      <c r="B257" s="146">
        <v>74</v>
      </c>
    </row>
    <row r="258" spans="2:2" hidden="1" x14ac:dyDescent="0.2">
      <c r="B258" s="146">
        <v>75</v>
      </c>
    </row>
    <row r="259" spans="2:2" hidden="1" x14ac:dyDescent="0.2">
      <c r="B259" s="146">
        <v>76</v>
      </c>
    </row>
    <row r="260" spans="2:2" hidden="1" x14ac:dyDescent="0.2">
      <c r="B260" s="146">
        <v>77</v>
      </c>
    </row>
    <row r="261" spans="2:2" hidden="1" x14ac:dyDescent="0.2">
      <c r="B261" s="146">
        <v>78</v>
      </c>
    </row>
    <row r="262" spans="2:2" hidden="1" x14ac:dyDescent="0.2">
      <c r="B262" s="146">
        <v>79</v>
      </c>
    </row>
    <row r="263" spans="2:2" hidden="1" x14ac:dyDescent="0.2">
      <c r="B263" s="146">
        <v>80</v>
      </c>
    </row>
    <row r="264" spans="2:2" hidden="1" x14ac:dyDescent="0.2">
      <c r="B264" s="146">
        <v>81</v>
      </c>
    </row>
    <row r="265" spans="2:2" hidden="1" x14ac:dyDescent="0.2">
      <c r="B265" s="146">
        <v>82</v>
      </c>
    </row>
    <row r="266" spans="2:2" hidden="1" x14ac:dyDescent="0.2">
      <c r="B266" s="146">
        <v>83</v>
      </c>
    </row>
    <row r="267" spans="2:2" hidden="1" x14ac:dyDescent="0.2">
      <c r="B267" s="146">
        <v>84</v>
      </c>
    </row>
    <row r="268" spans="2:2" hidden="1" x14ac:dyDescent="0.2">
      <c r="B268" s="146">
        <v>85</v>
      </c>
    </row>
    <row r="269" spans="2:2" hidden="1" x14ac:dyDescent="0.2">
      <c r="B269" s="146">
        <v>86</v>
      </c>
    </row>
    <row r="270" spans="2:2" hidden="1" x14ac:dyDescent="0.2">
      <c r="B270" s="146">
        <v>87</v>
      </c>
    </row>
    <row r="271" spans="2:2" hidden="1" x14ac:dyDescent="0.2">
      <c r="B271" s="146">
        <v>88</v>
      </c>
    </row>
    <row r="272" spans="2:2" hidden="1" x14ac:dyDescent="0.2">
      <c r="B272" s="146">
        <v>89</v>
      </c>
    </row>
    <row r="273" spans="2:2" hidden="1" x14ac:dyDescent="0.2">
      <c r="B273" s="146">
        <v>90</v>
      </c>
    </row>
    <row r="274" spans="2:2" hidden="1" x14ac:dyDescent="0.2">
      <c r="B274" s="146">
        <v>91</v>
      </c>
    </row>
    <row r="275" spans="2:2" hidden="1" x14ac:dyDescent="0.2">
      <c r="B275" s="146">
        <v>92</v>
      </c>
    </row>
    <row r="276" spans="2:2" hidden="1" x14ac:dyDescent="0.2">
      <c r="B276" s="146">
        <v>93</v>
      </c>
    </row>
    <row r="277" spans="2:2" hidden="1" x14ac:dyDescent="0.2">
      <c r="B277" s="146">
        <v>94</v>
      </c>
    </row>
    <row r="278" spans="2:2" hidden="1" x14ac:dyDescent="0.2">
      <c r="B278" s="146">
        <v>95</v>
      </c>
    </row>
    <row r="279" spans="2:2" hidden="1" x14ac:dyDescent="0.2">
      <c r="B279" s="146">
        <v>96</v>
      </c>
    </row>
    <row r="280" spans="2:2" hidden="1" x14ac:dyDescent="0.2">
      <c r="B280" s="146">
        <v>97</v>
      </c>
    </row>
    <row r="281" spans="2:2" hidden="1" x14ac:dyDescent="0.2">
      <c r="B281" s="146">
        <v>98</v>
      </c>
    </row>
    <row r="282" spans="2:2" hidden="1" x14ac:dyDescent="0.2">
      <c r="B282" s="146">
        <v>99</v>
      </c>
    </row>
    <row r="283" spans="2:2" hidden="1" x14ac:dyDescent="0.2">
      <c r="B283" s="146">
        <v>100</v>
      </c>
    </row>
    <row r="284" spans="2:2" hidden="1" x14ac:dyDescent="0.2"/>
    <row r="285" spans="2:2" hidden="1" x14ac:dyDescent="0.2"/>
    <row r="604" s="2" customFormat="1" x14ac:dyDescent="0.2"/>
  </sheetData>
  <sheetProtection sheet="1" objects="1" scenarios="1"/>
  <mergeCells count="357">
    <mergeCell ref="T57:T58"/>
    <mergeCell ref="E185:J186"/>
    <mergeCell ref="P95:P123"/>
    <mergeCell ref="K97:L97"/>
    <mergeCell ref="M95:O122"/>
    <mergeCell ref="G96:H96"/>
    <mergeCell ref="K116:L116"/>
    <mergeCell ref="B96:F96"/>
    <mergeCell ref="B93:J93"/>
    <mergeCell ref="B121:F121"/>
    <mergeCell ref="K122:L122"/>
    <mergeCell ref="B122:F122"/>
    <mergeCell ref="N141:O141"/>
    <mergeCell ref="I132:L136"/>
    <mergeCell ref="B130:O130"/>
    <mergeCell ref="J126:K126"/>
    <mergeCell ref="M126:N126"/>
    <mergeCell ref="B147:O147"/>
    <mergeCell ref="I95:L95"/>
    <mergeCell ref="K114:L114"/>
    <mergeCell ref="B123:J123"/>
    <mergeCell ref="B76:O76"/>
    <mergeCell ref="J60:K60"/>
    <mergeCell ref="N88:O88"/>
    <mergeCell ref="L1:P1"/>
    <mergeCell ref="F1:J1"/>
    <mergeCell ref="O4:P4"/>
    <mergeCell ref="B4:F4"/>
    <mergeCell ref="G4:J4"/>
    <mergeCell ref="K4:N4"/>
    <mergeCell ref="B2:P2"/>
    <mergeCell ref="B3:P3"/>
    <mergeCell ref="P33:P35"/>
    <mergeCell ref="J9:K9"/>
    <mergeCell ref="B10:I10"/>
    <mergeCell ref="B6:I6"/>
    <mergeCell ref="J7:K7"/>
    <mergeCell ref="B33:O33"/>
    <mergeCell ref="B31:O31"/>
    <mergeCell ref="N30:O30"/>
    <mergeCell ref="N25:O25"/>
    <mergeCell ref="B35:J35"/>
    <mergeCell ref="B32:P32"/>
    <mergeCell ref="B12:O12"/>
    <mergeCell ref="P22:P29"/>
    <mergeCell ref="B34:O34"/>
    <mergeCell ref="P5:P12"/>
    <mergeCell ref="B9:I9"/>
    <mergeCell ref="M8:N8"/>
    <mergeCell ref="K39:L39"/>
    <mergeCell ref="B25:M25"/>
    <mergeCell ref="B21:O21"/>
    <mergeCell ref="B22:O22"/>
    <mergeCell ref="B30:M30"/>
    <mergeCell ref="J11:K11"/>
    <mergeCell ref="B13:O13"/>
    <mergeCell ref="B11:I11"/>
    <mergeCell ref="I38:L38"/>
    <mergeCell ref="M38:O55"/>
    <mergeCell ref="B14:E20"/>
    <mergeCell ref="I14:L20"/>
    <mergeCell ref="M11:N11"/>
    <mergeCell ref="B63:O63"/>
    <mergeCell ref="I44:J44"/>
    <mergeCell ref="B54:F54"/>
    <mergeCell ref="B55:F55"/>
    <mergeCell ref="G55:H55"/>
    <mergeCell ref="I41:J41"/>
    <mergeCell ref="K41:L41"/>
    <mergeCell ref="K42:L42"/>
    <mergeCell ref="B37:P37"/>
    <mergeCell ref="I42:J42"/>
    <mergeCell ref="I40:J40"/>
    <mergeCell ref="B38:H38"/>
    <mergeCell ref="K40:L40"/>
    <mergeCell ref="P38:P56"/>
    <mergeCell ref="K56:O56"/>
    <mergeCell ref="B62:O62"/>
    <mergeCell ref="B58:O58"/>
    <mergeCell ref="B60:I60"/>
    <mergeCell ref="I54:J54"/>
    <mergeCell ref="J61:K61"/>
    <mergeCell ref="I45:J45"/>
    <mergeCell ref="K55:L55"/>
    <mergeCell ref="M60:N60"/>
    <mergeCell ref="B57:P57"/>
    <mergeCell ref="N80:O80"/>
    <mergeCell ref="I96:J96"/>
    <mergeCell ref="I97:J97"/>
    <mergeCell ref="K113:L113"/>
    <mergeCell ref="B94:P94"/>
    <mergeCell ref="B91:O91"/>
    <mergeCell ref="M59:N59"/>
    <mergeCell ref="B59:I59"/>
    <mergeCell ref="P91:P93"/>
    <mergeCell ref="B64:E75"/>
    <mergeCell ref="I64:L75"/>
    <mergeCell ref="P64:P75"/>
    <mergeCell ref="G107:H107"/>
    <mergeCell ref="G106:H106"/>
    <mergeCell ref="G105:H105"/>
    <mergeCell ref="G104:H104"/>
    <mergeCell ref="G103:H103"/>
    <mergeCell ref="G102:H102"/>
    <mergeCell ref="G101:H101"/>
    <mergeCell ref="G100:H100"/>
    <mergeCell ref="G99:H99"/>
    <mergeCell ref="G98:H98"/>
    <mergeCell ref="B97:E108"/>
    <mergeCell ref="G97:H97"/>
    <mergeCell ref="M6:N6"/>
    <mergeCell ref="M7:N7"/>
    <mergeCell ref="K47:L47"/>
    <mergeCell ref="I48:J48"/>
    <mergeCell ref="K48:L48"/>
    <mergeCell ref="I49:J49"/>
    <mergeCell ref="K49:L49"/>
    <mergeCell ref="B39:F39"/>
    <mergeCell ref="I39:J39"/>
    <mergeCell ref="G40:H40"/>
    <mergeCell ref="B40:E46"/>
    <mergeCell ref="G41:H41"/>
    <mergeCell ref="G42:H42"/>
    <mergeCell ref="G43:H43"/>
    <mergeCell ref="I43:J43"/>
    <mergeCell ref="B8:I8"/>
    <mergeCell ref="J8:K8"/>
    <mergeCell ref="K35:O35"/>
    <mergeCell ref="B26:O26"/>
    <mergeCell ref="M9:N9"/>
    <mergeCell ref="M10:N10"/>
    <mergeCell ref="K43:L43"/>
    <mergeCell ref="K44:L44"/>
    <mergeCell ref="K45:L45"/>
    <mergeCell ref="P77:P86"/>
    <mergeCell ref="K123:O123"/>
    <mergeCell ref="B5:O5"/>
    <mergeCell ref="J10:K10"/>
    <mergeCell ref="J6:K6"/>
    <mergeCell ref="B7:I7"/>
    <mergeCell ref="B36:P36"/>
    <mergeCell ref="P58:P62"/>
    <mergeCell ref="M61:N61"/>
    <mergeCell ref="G39:H39"/>
    <mergeCell ref="K115:L115"/>
    <mergeCell ref="B77:O77"/>
    <mergeCell ref="G44:H44"/>
    <mergeCell ref="G45:H45"/>
    <mergeCell ref="G46:H46"/>
    <mergeCell ref="G47:H47"/>
    <mergeCell ref="G48:H48"/>
    <mergeCell ref="G49:H49"/>
    <mergeCell ref="G50:H50"/>
    <mergeCell ref="G51:H51"/>
    <mergeCell ref="G52:H52"/>
    <mergeCell ref="G53:H53"/>
    <mergeCell ref="B47:E53"/>
    <mergeCell ref="I46:J46"/>
    <mergeCell ref="G117:H117"/>
    <mergeCell ref="G116:H116"/>
    <mergeCell ref="G115:H115"/>
    <mergeCell ref="G114:H114"/>
    <mergeCell ref="G113:H113"/>
    <mergeCell ref="G112:H112"/>
    <mergeCell ref="K121:L121"/>
    <mergeCell ref="K112:L112"/>
    <mergeCell ref="G121:H121"/>
    <mergeCell ref="I117:J117"/>
    <mergeCell ref="I114:J114"/>
    <mergeCell ref="K117:L117"/>
    <mergeCell ref="N87:O87"/>
    <mergeCell ref="N81:O81"/>
    <mergeCell ref="K93:O93"/>
    <mergeCell ref="G111:H111"/>
    <mergeCell ref="G110:H110"/>
    <mergeCell ref="G109:H109"/>
    <mergeCell ref="G108:H108"/>
    <mergeCell ref="K100:L100"/>
    <mergeCell ref="I101:J101"/>
    <mergeCell ref="B95:H95"/>
    <mergeCell ref="B92:O92"/>
    <mergeCell ref="B89:O89"/>
    <mergeCell ref="B109:E120"/>
    <mergeCell ref="I98:J98"/>
    <mergeCell ref="K98:L98"/>
    <mergeCell ref="I99:J99"/>
    <mergeCell ref="K99:L99"/>
    <mergeCell ref="I100:J100"/>
    <mergeCell ref="I120:J120"/>
    <mergeCell ref="I115:J115"/>
    <mergeCell ref="K101:L101"/>
    <mergeCell ref="I102:J102"/>
    <mergeCell ref="K102:L102"/>
    <mergeCell ref="I103:J103"/>
    <mergeCell ref="J59:K59"/>
    <mergeCell ref="K46:L46"/>
    <mergeCell ref="I47:J47"/>
    <mergeCell ref="I50:J50"/>
    <mergeCell ref="K50:L50"/>
    <mergeCell ref="I51:J51"/>
    <mergeCell ref="K51:L51"/>
    <mergeCell ref="I52:J52"/>
    <mergeCell ref="K52:L52"/>
    <mergeCell ref="I53:J53"/>
    <mergeCell ref="K53:L53"/>
    <mergeCell ref="B61:I61"/>
    <mergeCell ref="I55:J55"/>
    <mergeCell ref="K54:L54"/>
    <mergeCell ref="G54:H54"/>
    <mergeCell ref="B56:J56"/>
    <mergeCell ref="K96:L96"/>
    <mergeCell ref="I116:J116"/>
    <mergeCell ref="B82:O82"/>
    <mergeCell ref="I119:J119"/>
    <mergeCell ref="K118:L118"/>
    <mergeCell ref="K119:L119"/>
    <mergeCell ref="I106:J106"/>
    <mergeCell ref="K106:L106"/>
    <mergeCell ref="I107:J107"/>
    <mergeCell ref="K107:L107"/>
    <mergeCell ref="I108:J108"/>
    <mergeCell ref="K108:L108"/>
    <mergeCell ref="I109:J109"/>
    <mergeCell ref="K109:L109"/>
    <mergeCell ref="I110:J110"/>
    <mergeCell ref="K110:L110"/>
    <mergeCell ref="I111:J111"/>
    <mergeCell ref="K111:L111"/>
    <mergeCell ref="I112:J112"/>
    <mergeCell ref="K103:L103"/>
    <mergeCell ref="I104:J104"/>
    <mergeCell ref="K104:L104"/>
    <mergeCell ref="I105:J105"/>
    <mergeCell ref="K105:L105"/>
    <mergeCell ref="I113:J113"/>
    <mergeCell ref="G120:H120"/>
    <mergeCell ref="G119:H119"/>
    <mergeCell ref="K164:L164"/>
    <mergeCell ref="I160:J160"/>
    <mergeCell ref="K160:L160"/>
    <mergeCell ref="K161:L161"/>
    <mergeCell ref="K162:L162"/>
    <mergeCell ref="K163:L163"/>
    <mergeCell ref="G122:H122"/>
    <mergeCell ref="K120:L120"/>
    <mergeCell ref="I118:J118"/>
    <mergeCell ref="I121:J121"/>
    <mergeCell ref="G118:H118"/>
    <mergeCell ref="B137:O137"/>
    <mergeCell ref="B150:O150"/>
    <mergeCell ref="B138:O138"/>
    <mergeCell ref="B132:E136"/>
    <mergeCell ref="G155:H155"/>
    <mergeCell ref="K176:O176"/>
    <mergeCell ref="B176:E176"/>
    <mergeCell ref="F176:J176"/>
    <mergeCell ref="I171:O173"/>
    <mergeCell ref="B172:F172"/>
    <mergeCell ref="G172:H172"/>
    <mergeCell ref="B173:F173"/>
    <mergeCell ref="G173:H173"/>
    <mergeCell ref="B174:F174"/>
    <mergeCell ref="B175:P175"/>
    <mergeCell ref="B171:F171"/>
    <mergeCell ref="P170:P174"/>
    <mergeCell ref="G171:H171"/>
    <mergeCell ref="L174:O174"/>
    <mergeCell ref="T4:T5"/>
    <mergeCell ref="S4:S5"/>
    <mergeCell ref="U4:U5"/>
    <mergeCell ref="V5:W5"/>
    <mergeCell ref="S23:AE23"/>
    <mergeCell ref="L185:N187"/>
    <mergeCell ref="K167:L167"/>
    <mergeCell ref="B170:O170"/>
    <mergeCell ref="I164:J164"/>
    <mergeCell ref="I166:J166"/>
    <mergeCell ref="I165:J165"/>
    <mergeCell ref="I167:J167"/>
    <mergeCell ref="B169:O169"/>
    <mergeCell ref="J127:K127"/>
    <mergeCell ref="B125:O125"/>
    <mergeCell ref="B149:P149"/>
    <mergeCell ref="P125:P130"/>
    <mergeCell ref="G167:H167"/>
    <mergeCell ref="G166:H166"/>
    <mergeCell ref="J128:K128"/>
    <mergeCell ref="B127:I127"/>
    <mergeCell ref="B128:I128"/>
    <mergeCell ref="B151:O151"/>
    <mergeCell ref="K155:L155"/>
    <mergeCell ref="E189:J192"/>
    <mergeCell ref="S139:AE139"/>
    <mergeCell ref="C182:N182"/>
    <mergeCell ref="AF22:AF23"/>
    <mergeCell ref="AG22:AG23"/>
    <mergeCell ref="AH22:AH23"/>
    <mergeCell ref="AI22:AI23"/>
    <mergeCell ref="AJ22:AJ23"/>
    <mergeCell ref="AK22:AK23"/>
    <mergeCell ref="B152:J152"/>
    <mergeCell ref="S77:AQ77"/>
    <mergeCell ref="M129:N129"/>
    <mergeCell ref="B146:K146"/>
    <mergeCell ref="B167:F167"/>
    <mergeCell ref="M127:N127"/>
    <mergeCell ref="B126:I126"/>
    <mergeCell ref="J129:K129"/>
    <mergeCell ref="B155:F155"/>
    <mergeCell ref="K152:O152"/>
    <mergeCell ref="I156:J156"/>
    <mergeCell ref="I162:J162"/>
    <mergeCell ref="I161:J161"/>
    <mergeCell ref="I155:J155"/>
    <mergeCell ref="B153:P153"/>
    <mergeCell ref="M154:O167"/>
    <mergeCell ref="I154:L154"/>
    <mergeCell ref="B154:H154"/>
    <mergeCell ref="N146:O146"/>
    <mergeCell ref="B148:P148"/>
    <mergeCell ref="I163:J163"/>
    <mergeCell ref="G158:H158"/>
    <mergeCell ref="G159:H159"/>
    <mergeCell ref="G160:H160"/>
    <mergeCell ref="G161:H161"/>
    <mergeCell ref="K159:L159"/>
    <mergeCell ref="B161:E165"/>
    <mergeCell ref="K165:L165"/>
    <mergeCell ref="K166:L166"/>
    <mergeCell ref="I158:J158"/>
    <mergeCell ref="K158:L158"/>
    <mergeCell ref="I159:J159"/>
    <mergeCell ref="B156:E160"/>
    <mergeCell ref="B131:P131"/>
    <mergeCell ref="M128:N128"/>
    <mergeCell ref="B124:P124"/>
    <mergeCell ref="I122:J122"/>
    <mergeCell ref="B141:K141"/>
    <mergeCell ref="L141:M141"/>
    <mergeCell ref="P154:P168"/>
    <mergeCell ref="K168:O168"/>
    <mergeCell ref="B166:F166"/>
    <mergeCell ref="P150:P152"/>
    <mergeCell ref="B168:J168"/>
    <mergeCell ref="P138:P145"/>
    <mergeCell ref="G162:H162"/>
    <mergeCell ref="G163:H163"/>
    <mergeCell ref="G164:H164"/>
    <mergeCell ref="G165:H165"/>
    <mergeCell ref="G156:H156"/>
    <mergeCell ref="G157:H157"/>
    <mergeCell ref="K156:L156"/>
    <mergeCell ref="I157:J157"/>
    <mergeCell ref="K157:L157"/>
    <mergeCell ref="B129:I129"/>
    <mergeCell ref="B142:O142"/>
    <mergeCell ref="L146:M146"/>
  </mergeCells>
  <phoneticPr fontId="0" type="noConversion"/>
  <dataValidations xWindow="866" yWindow="289" count="21">
    <dataValidation type="list" showInputMessage="1" showErrorMessage="1" promptTitle="Range of Motion" prompt="Cervical spine: Enter retained degrees of motion, flexion. If area was not affected by the injury, select &quot;NA&quot; or leave blank." sqref="J6:K6" xr:uid="{00000000-0002-0000-0E00-000000000000}">
      <formula1>$B$182:$B$243</formula1>
    </dataValidation>
    <dataValidation type="list" showInputMessage="1" showErrorMessage="1" promptTitle="Range of Motion" prompt="Cervical Spine: Enter retained degrees of motion, right lateral flexion. If area was not affected by the injury, select &quot;NA&quot; or leave blank." sqref="J8:K8" xr:uid="{00000000-0002-0000-0E00-000001000000}">
      <formula1>$B$182:$B$228</formula1>
    </dataValidation>
    <dataValidation type="list" showInputMessage="1" showErrorMessage="1" promptTitle="Range of Motion" prompt="Cervical Spine: Enter retained degrees of motion, extension. If area was not affected by the injury, select &quot;NA&quot; or leave blank." sqref="J7:K7" xr:uid="{00000000-0002-0000-0E00-000002000000}">
      <formula1>$B$182:$B$258</formula1>
    </dataValidation>
    <dataValidation type="list" showInputMessage="1" showErrorMessage="1" promptTitle="Range of Motion" prompt="Cervical Spine: Enter retained degrees of motion, left lateral flexion. If area was not affected by the injury, select &quot;NA&quot; or leave blank." sqref="J9:K9" xr:uid="{00000000-0002-0000-0E00-000003000000}">
      <formula1>$B$182:$B$228</formula1>
    </dataValidation>
    <dataValidation type="list" showInputMessage="1" showErrorMessage="1" promptTitle="Range of Motion" prompt="Cervical Spine: Enter retained degrees of motion, right rotation. If area was not affected by the injury, select &quot;NA&quot; or leave blank." sqref="J10:K10" xr:uid="{00000000-0002-0000-0E00-000004000000}">
      <formula1>$B$182:$B$263</formula1>
    </dataValidation>
    <dataValidation type="list" showInputMessage="1" showErrorMessage="1" promptTitle="Range of Motion" prompt="Cervical Spine: Enter retained degrees of motion, left rotation. If area was not affected by the injury, select &quot;NA&quot; or leave blank." sqref="J11:K11" xr:uid="{00000000-0002-0000-0E00-000005000000}">
      <formula1>$B$182:$B$263</formula1>
    </dataValidation>
    <dataValidation type="list" showInputMessage="1" showErrorMessage="1" promptTitle="Range of Motion" prompt="Thoracic spine: Enter retained degrees of motion, flexion. If area was not affected by the injury, select &quot;NA&quot; or leave blank." sqref="J59:K59" xr:uid="{00000000-0002-0000-0E00-000006000000}">
      <formula1>$B$182:$B$233</formula1>
    </dataValidation>
    <dataValidation type="list" showInputMessage="1" showErrorMessage="1" promptTitle="Range of Motion" prompt="Thoracic spine: Enter retained degrees of motion, right rotation. If area was not affected by the injury, select &quot;NA&quot; or leave blank." sqref="J60:K60" xr:uid="{00000000-0002-0000-0E00-000007000000}">
      <formula1>$B$182:$B$213</formula1>
    </dataValidation>
    <dataValidation type="list" showInputMessage="1" showErrorMessage="1" promptTitle="Range of Motion" prompt="Thoracic spine: Enter retained degrees of motion, left rotation. If area was not affected by the injury, select &quot;NA&quot; or leave blank." sqref="J61:K61" xr:uid="{00000000-0002-0000-0E00-000008000000}">
      <formula1>$B$182:$B$213</formula1>
    </dataValidation>
    <dataValidation type="list" showInputMessage="1" showErrorMessage="1" promptTitle="Range of Motion" prompt="Lumbosacral spine: Enter retained degrees of motion, flexion. If area was not affected by the injury, select &quot;NA&quot; or leave blank." sqref="J126:K126" xr:uid="{00000000-0002-0000-0E00-000009000000}">
      <formula1>$B$182:$B$243</formula1>
    </dataValidation>
    <dataValidation type="list" showInputMessage="1" showErrorMessage="1" promptTitle="Range of Motion" prompt="Lumbosacral spine: Enter retained degrees of motion, extension. If area was not affected by the injury, select &quot;NA&quot; or leave blank." sqref="J127:K127" xr:uid="{00000000-0002-0000-0E00-00000A000000}">
      <formula1>$B$182:$B$208</formula1>
    </dataValidation>
    <dataValidation type="list" showInputMessage="1" showErrorMessage="1" promptTitle="Range of Motion" prompt="Lumbosacral spine: Enter retained degrees of motion, right lateral flexion. If area was not affected by the injury, select &quot;NA&quot; or leave blank." sqref="J128:K128" xr:uid="{00000000-0002-0000-0E00-00000B000000}">
      <formula1>$B$182:$B$208</formula1>
    </dataValidation>
    <dataValidation type="list" showInputMessage="1" showErrorMessage="1" promptTitle="Range of Motion" prompt="Lumbosacral spine: Enter retained degrees of motion, left lateral flexion. If area was not affected by the injury, select &quot;NA&quot; or leave blank." sqref="J129:K129" xr:uid="{00000000-0002-0000-0E00-00000C000000}">
      <formula1>$B$182:$B$208</formula1>
    </dataValidation>
    <dataValidation type="decimal" operator="equal" allowBlank="1" showInputMessage="1" showErrorMessage="1" promptTitle="Shoulder" prompt="Check &quot;Yes&quot; if the chronic condition criteria have been met." sqref="A37" xr:uid="{00000000-0002-0000-0E00-000010000000}">
      <formula1>S37</formula1>
    </dataValidation>
    <dataValidation type="decimal" operator="equal" allowBlank="1" showInputMessage="1" showErrorMessage="1" promptTitle="Chronic condition" prompt="Check &quot;Yes&quot; if the chronic condition criteria have been met." sqref="A35:A36 A93 A152" xr:uid="{00000000-0002-0000-0E00-000011000000}">
      <formula1>S35</formula1>
    </dataValidation>
    <dataValidation allowBlank="1" showInputMessage="1" showErrorMessage="1" promptTitle="End of worksheet" prompt="Press TAB to return to top of sheet." sqref="P176" xr:uid="{00000000-0002-0000-0E00-000012000000}"/>
    <dataValidation type="list" allowBlank="1" showInputMessage="1" showErrorMessage="1" promptTitle="% of Compression" prompt="Select the percent of compression for each vertebral body. If the vertebra is uninjured, enter &quot;NA&quot; or leave blank." sqref="G14:G20 G132:G136 G64:G75" xr:uid="{1B6830DB-D057-4CDE-981B-15E4992E916F}">
      <formula1>$B$182:$B$283</formula1>
    </dataValidation>
    <dataValidation type="list" allowBlank="1" showInputMessage="1" showErrorMessage="1" promptTitle="Subsequent surgery" prompt="Select the number of additional procedures for each vertebra and disc." sqref="B28:N28 B84:N84 B87:M87 B144:M144" xr:uid="{00000000-0002-0000-0E00-00000E000000}">
      <formula1>$E$187:$J$187</formula1>
    </dataValidation>
    <dataValidation type="list" allowBlank="1" showInputMessage="1" showErrorMessage="1" promptTitle="Fracture of posterior elements" prompt="Place an &quot;X&quot; beneath any vertebra that has suffered a fracture of one or more of the posterior elements (spinous process, pedicles, laminae, articular processes, or transverse processes)." sqref="N14:N20 N132:N136 N64:N75" xr:uid="{00000000-0002-0000-0E00-000014000000}">
      <formula1>$E$193:$F$193</formula1>
    </dataValidation>
    <dataValidation type="list" allowBlank="1" showInputMessage="1" showErrorMessage="1" promptTitle="Surgery" prompt="Place an &quot;X&quot; beneath all vertebrae and discs affected by the surgery." sqref="B24:N24 B140:M140 B81:M81 B79:N79" xr:uid="{99DE2BA9-F6B1-4429-94C0-8F58B46B47EC}">
      <formula1>$E$193:$F$193</formula1>
    </dataValidation>
    <dataValidation type="decimal" allowBlank="1" showInputMessage="1" showErrorMessage="1" promptTitle="Apportionment (if any)" prompt="Enter percentage of impairment caused by the injury or illness. See OAR 436-035-0013." sqref="I96:J122 I155:J167 I39:J55" xr:uid="{00000000-0002-0000-0E00-000013000000}">
      <formula1>$L$188</formula1>
      <formula2>$M$188</formula2>
    </dataValidation>
  </dataValidations>
  <hyperlinks>
    <hyperlink ref="G4:J4" location="Spine!A4" display="Spine!A4" xr:uid="{00000000-0004-0000-0E00-000000000000}"/>
    <hyperlink ref="K4:N4" location="Spine!A50" display="Thoracic" xr:uid="{00000000-0004-0000-0E00-000001000000}"/>
    <hyperlink ref="O4:P4" location="Spine!A104" display="Lumbar" xr:uid="{00000000-0004-0000-0E00-000002000000}"/>
    <hyperlink ref="B176" location="'Hip-Left'!A1" display="Return to top of sheet" xr:uid="{00000000-0004-0000-0E00-000003000000}"/>
    <hyperlink ref="F176:J176" location="'PPD DOI before 2005'!A1" display="'PPD DOI before 2005'!A1" xr:uid="{00000000-0004-0000-0E00-000004000000}"/>
    <hyperlink ref="K176:O176" location="'PPD DOI on or after 2005'!A1" display="'PPD DOI on or after 2005'!A1" xr:uid="{00000000-0004-0000-0E00-000005000000}"/>
    <hyperlink ref="B176:E176" location="Spine!A1" display="Return to top of sheet" xr:uid="{00000000-0004-0000-0E00-000006000000}"/>
  </hyperlinks>
  <pageMargins left="0.66" right="0.63" top="0.47" bottom="0.63" header="0.5" footer="0.4"/>
  <pageSetup orientation="portrait" horizontalDpi="300" verticalDpi="300" r:id="rId1"/>
  <headerFooter alignWithMargins="0">
    <oddFooter>&amp;LSpine&amp;CPage &amp;P</oddFooter>
  </headerFooter>
  <rowBreaks count="5" manualBreakCount="5">
    <brk id="36" max="16383" man="1"/>
    <brk id="75" max="16383" man="1"/>
    <brk id="93" max="16383" man="1"/>
    <brk id="124" max="16383" man="1"/>
    <brk id="15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0963" r:id="rId4" name="Group Box 3">
              <controlPr defaultSize="0" autoFill="0" autoPict="0">
                <anchor mov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40966" r:id="rId5" name="Option Button 6">
              <controlPr defaultSize="0" autoFill="0" autoLine="0" autoPict="0">
                <anchor moveWithCells="1">
                  <from>
                    <xdr:col>10</xdr:col>
                    <xdr:colOff>295275</xdr:colOff>
                    <xdr:row>34</xdr:row>
                    <xdr:rowOff>38100</xdr:rowOff>
                  </from>
                  <to>
                    <xdr:col>11</xdr:col>
                    <xdr:colOff>361950</xdr:colOff>
                    <xdr:row>34</xdr:row>
                    <xdr:rowOff>257175</xdr:rowOff>
                  </to>
                </anchor>
              </controlPr>
            </control>
          </mc:Choice>
        </mc:AlternateContent>
        <mc:AlternateContent xmlns:mc="http://schemas.openxmlformats.org/markup-compatibility/2006">
          <mc:Choice Requires="x14">
            <control shapeId="40967" r:id="rId6" name="Option Button 7">
              <controlPr defaultSize="0" autoFill="0" autoLine="0" autoPict="0">
                <anchor moveWithCells="1">
                  <from>
                    <xdr:col>12</xdr:col>
                    <xdr:colOff>266700</xdr:colOff>
                    <xdr:row>34</xdr:row>
                    <xdr:rowOff>38100</xdr:rowOff>
                  </from>
                  <to>
                    <xdr:col>13</xdr:col>
                    <xdr:colOff>333375</xdr:colOff>
                    <xdr:row>34</xdr:row>
                    <xdr:rowOff>257175</xdr:rowOff>
                  </to>
                </anchor>
              </controlPr>
            </control>
          </mc:Choice>
        </mc:AlternateContent>
        <mc:AlternateContent xmlns:mc="http://schemas.openxmlformats.org/markup-compatibility/2006">
          <mc:Choice Requires="x14">
            <control shapeId="40968" r:id="rId7" name="Group Box 8">
              <controlPr defaultSize="0" autoFill="0" autoPict="0">
                <anchor moveWithCells="1">
                  <from>
                    <xdr:col>10</xdr:col>
                    <xdr:colOff>0</xdr:colOff>
                    <xdr:row>151</xdr:row>
                    <xdr:rowOff>0</xdr:rowOff>
                  </from>
                  <to>
                    <xdr:col>15</xdr:col>
                    <xdr:colOff>0</xdr:colOff>
                    <xdr:row>152</xdr:row>
                    <xdr:rowOff>0</xdr:rowOff>
                  </to>
                </anchor>
              </controlPr>
            </control>
          </mc:Choice>
        </mc:AlternateContent>
        <mc:AlternateContent xmlns:mc="http://schemas.openxmlformats.org/markup-compatibility/2006">
          <mc:Choice Requires="x14">
            <control shapeId="40969" r:id="rId8" name="Option Button 9">
              <controlPr defaultSize="0" autoFill="0" autoLine="0" autoPict="0">
                <anchor moveWithCells="1">
                  <from>
                    <xdr:col>10</xdr:col>
                    <xdr:colOff>295275</xdr:colOff>
                    <xdr:row>151</xdr:row>
                    <xdr:rowOff>38100</xdr:rowOff>
                  </from>
                  <to>
                    <xdr:col>11</xdr:col>
                    <xdr:colOff>361950</xdr:colOff>
                    <xdr:row>151</xdr:row>
                    <xdr:rowOff>257175</xdr:rowOff>
                  </to>
                </anchor>
              </controlPr>
            </control>
          </mc:Choice>
        </mc:AlternateContent>
        <mc:AlternateContent xmlns:mc="http://schemas.openxmlformats.org/markup-compatibility/2006">
          <mc:Choice Requires="x14">
            <control shapeId="40970" r:id="rId9" name="Option Button 10">
              <controlPr defaultSize="0" autoFill="0" autoLine="0" autoPict="0">
                <anchor moveWithCells="1">
                  <from>
                    <xdr:col>12</xdr:col>
                    <xdr:colOff>266700</xdr:colOff>
                    <xdr:row>151</xdr:row>
                    <xdr:rowOff>38100</xdr:rowOff>
                  </from>
                  <to>
                    <xdr:col>13</xdr:col>
                    <xdr:colOff>342900</xdr:colOff>
                    <xdr:row>151</xdr:row>
                    <xdr:rowOff>257175</xdr:rowOff>
                  </to>
                </anchor>
              </controlPr>
            </control>
          </mc:Choice>
        </mc:AlternateContent>
        <mc:AlternateContent xmlns:mc="http://schemas.openxmlformats.org/markup-compatibility/2006">
          <mc:Choice Requires="x14">
            <control shapeId="40980" r:id="rId10" name="Group Box 20">
              <controlPr defaultSize="0" autoFill="0" autoPict="0">
                <anchor moveWithCells="1">
                  <from>
                    <xdr:col>10</xdr:col>
                    <xdr:colOff>0</xdr:colOff>
                    <xdr:row>92</xdr:row>
                    <xdr:rowOff>0</xdr:rowOff>
                  </from>
                  <to>
                    <xdr:col>15</xdr:col>
                    <xdr:colOff>0</xdr:colOff>
                    <xdr:row>93</xdr:row>
                    <xdr:rowOff>0</xdr:rowOff>
                  </to>
                </anchor>
              </controlPr>
            </control>
          </mc:Choice>
        </mc:AlternateContent>
        <mc:AlternateContent xmlns:mc="http://schemas.openxmlformats.org/markup-compatibility/2006">
          <mc:Choice Requires="x14">
            <control shapeId="40981" r:id="rId11" name="Option Button 21">
              <controlPr defaultSize="0" autoFill="0" autoLine="0" autoPict="0">
                <anchor moveWithCells="1">
                  <from>
                    <xdr:col>10</xdr:col>
                    <xdr:colOff>295275</xdr:colOff>
                    <xdr:row>92</xdr:row>
                    <xdr:rowOff>38100</xdr:rowOff>
                  </from>
                  <to>
                    <xdr:col>11</xdr:col>
                    <xdr:colOff>361950</xdr:colOff>
                    <xdr:row>92</xdr:row>
                    <xdr:rowOff>257175</xdr:rowOff>
                  </to>
                </anchor>
              </controlPr>
            </control>
          </mc:Choice>
        </mc:AlternateContent>
        <mc:AlternateContent xmlns:mc="http://schemas.openxmlformats.org/markup-compatibility/2006">
          <mc:Choice Requires="x14">
            <control shapeId="40982" r:id="rId12" name="Option Button 22">
              <controlPr defaultSize="0" autoFill="0" autoLine="0" autoPict="0">
                <anchor moveWithCells="1">
                  <from>
                    <xdr:col>12</xdr:col>
                    <xdr:colOff>266700</xdr:colOff>
                    <xdr:row>92</xdr:row>
                    <xdr:rowOff>38100</xdr:rowOff>
                  </from>
                  <to>
                    <xdr:col>13</xdr:col>
                    <xdr:colOff>333375</xdr:colOff>
                    <xdr:row>92</xdr:row>
                    <xdr:rowOff>257175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N20"/>
  <sheetViews>
    <sheetView showGridLines="0" zoomScale="120" zoomScaleNormal="120" workbookViewId="0"/>
  </sheetViews>
  <sheetFormatPr defaultColWidth="1" defaultRowHeight="12.75" x14ac:dyDescent="0.2"/>
  <cols>
    <col min="1" max="1" width="1.42578125" style="2" customWidth="1"/>
    <col min="2" max="2" width="22.7109375" style="2" customWidth="1"/>
    <col min="3" max="4" width="2.7109375" style="2" customWidth="1"/>
    <col min="5" max="9" width="3.85546875" style="2" customWidth="1"/>
    <col min="10" max="10" width="2.85546875" style="2" customWidth="1"/>
    <col min="11" max="11" width="2.42578125" style="2" customWidth="1"/>
    <col min="12" max="12" width="3.85546875" style="2" customWidth="1"/>
    <col min="13" max="13" width="4.85546875" style="2" customWidth="1"/>
    <col min="14" max="14" width="4.7109375" style="2" customWidth="1"/>
    <col min="15" max="16" width="9.5703125" style="2" customWidth="1"/>
    <col min="17" max="17" width="2.28515625" style="2" customWidth="1"/>
    <col min="18" max="19" width="7.5703125" style="2" hidden="1" customWidth="1"/>
    <col min="20" max="20" width="11.140625" style="2" hidden="1" customWidth="1"/>
    <col min="21" max="21" width="17.85546875" style="2" hidden="1" customWidth="1"/>
    <col min="22" max="22" width="14.5703125" style="2" hidden="1" customWidth="1"/>
    <col min="23" max="23" width="7.85546875" style="2" hidden="1" customWidth="1"/>
    <col min="24" max="130" width="1" style="2" hidden="1" customWidth="1"/>
    <col min="131" max="255" width="1" style="2" customWidth="1"/>
    <col min="256" max="16384" width="1" style="2"/>
  </cols>
  <sheetData>
    <row r="1" spans="1:170" ht="15" customHeight="1" x14ac:dyDescent="0.2">
      <c r="A1" s="15"/>
      <c r="B1" s="10" t="s">
        <v>1697</v>
      </c>
      <c r="C1" s="732" t="str">
        <f>IF('Start here'!A6="","",'Start here'!A6)</f>
        <v/>
      </c>
      <c r="D1" s="736"/>
      <c r="E1" s="736"/>
      <c r="F1" s="736"/>
      <c r="G1" s="736"/>
      <c r="H1" s="736"/>
      <c r="I1" s="736"/>
      <c r="J1" s="737"/>
      <c r="K1" s="1"/>
      <c r="L1" s="732" t="str">
        <f>IF('Start here'!A7="","",'Start here'!A7)</f>
        <v/>
      </c>
      <c r="M1" s="736"/>
      <c r="N1" s="736"/>
      <c r="O1" s="736"/>
      <c r="P1" s="737"/>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2">
      <c r="B2" s="777"/>
      <c r="C2" s="777"/>
      <c r="D2" s="777"/>
      <c r="E2" s="777"/>
      <c r="F2" s="777"/>
      <c r="G2" s="777"/>
      <c r="H2" s="777"/>
      <c r="I2" s="777"/>
      <c r="J2" s="777"/>
      <c r="K2" s="777"/>
      <c r="L2" s="777"/>
      <c r="M2" s="777"/>
      <c r="N2" s="777"/>
      <c r="O2" s="777"/>
      <c r="P2" s="777"/>
    </row>
    <row r="3" spans="1:170" ht="24" customHeight="1" x14ac:dyDescent="0.3">
      <c r="B3" s="906" t="s">
        <v>1021</v>
      </c>
      <c r="C3" s="906"/>
      <c r="D3" s="906"/>
      <c r="E3" s="906"/>
      <c r="F3" s="906"/>
      <c r="G3" s="906"/>
      <c r="H3" s="906"/>
      <c r="I3" s="906"/>
      <c r="J3" s="906"/>
      <c r="K3" s="906"/>
      <c r="L3" s="906"/>
      <c r="M3" s="906"/>
      <c r="N3" s="906"/>
      <c r="O3" s="906"/>
      <c r="P3" s="906"/>
    </row>
    <row r="4" spans="1:170" ht="18.75" customHeight="1" x14ac:dyDescent="0.2">
      <c r="B4" s="749" t="s">
        <v>107</v>
      </c>
      <c r="C4" s="750"/>
      <c r="D4" s="750"/>
      <c r="E4" s="750"/>
      <c r="F4" s="750"/>
      <c r="G4" s="750"/>
      <c r="H4" s="750"/>
      <c r="I4" s="750"/>
      <c r="J4" s="750"/>
      <c r="K4" s="750"/>
      <c r="L4" s="750"/>
      <c r="M4" s="750"/>
      <c r="N4" s="750"/>
      <c r="O4" s="750"/>
      <c r="P4" s="751"/>
      <c r="R4" s="1123" t="s">
        <v>2230</v>
      </c>
      <c r="S4" s="1123" t="s">
        <v>2231</v>
      </c>
    </row>
    <row r="5" spans="1:170" ht="18" customHeight="1" x14ac:dyDescent="0.2">
      <c r="B5" s="752" t="s">
        <v>108</v>
      </c>
      <c r="C5" s="753"/>
      <c r="D5" s="753"/>
      <c r="E5" s="753"/>
      <c r="F5" s="753"/>
      <c r="G5" s="753"/>
      <c r="H5" s="753"/>
      <c r="I5" s="1589" t="s">
        <v>280</v>
      </c>
      <c r="J5" s="1589"/>
      <c r="K5" s="1589" t="s">
        <v>284</v>
      </c>
      <c r="L5" s="1589"/>
      <c r="M5" s="182"/>
      <c r="N5" s="182"/>
      <c r="O5" s="445"/>
      <c r="P5" s="450"/>
      <c r="R5" s="1149"/>
      <c r="S5" s="1149"/>
    </row>
    <row r="6" spans="1:170" ht="27.75" customHeight="1" x14ac:dyDescent="0.2">
      <c r="B6" s="461"/>
      <c r="C6" s="182"/>
      <c r="D6" s="182"/>
      <c r="E6" s="182"/>
      <c r="F6" s="182"/>
      <c r="G6" s="182"/>
      <c r="H6" s="182"/>
      <c r="I6" s="689"/>
      <c r="J6" s="689"/>
      <c r="K6" s="689"/>
      <c r="L6" s="689"/>
      <c r="M6" s="182"/>
      <c r="N6" s="182"/>
      <c r="O6" s="907" t="s">
        <v>1495</v>
      </c>
      <c r="P6" s="908"/>
      <c r="R6" s="1066"/>
      <c r="S6" s="1066"/>
      <c r="T6" s="146" t="s">
        <v>1826</v>
      </c>
      <c r="U6" s="13" t="s">
        <v>1285</v>
      </c>
      <c r="V6" s="13" t="s">
        <v>1286</v>
      </c>
      <c r="W6" s="13" t="s">
        <v>1287</v>
      </c>
    </row>
    <row r="7" spans="1:170" ht="18" customHeight="1" x14ac:dyDescent="0.2">
      <c r="B7" s="1592" t="s">
        <v>287</v>
      </c>
      <c r="C7" s="1002"/>
      <c r="D7" s="1002"/>
      <c r="E7" s="304" t="s">
        <v>1022</v>
      </c>
      <c r="F7" s="305"/>
      <c r="G7" s="305"/>
      <c r="H7" s="305"/>
      <c r="I7" s="305"/>
      <c r="J7" s="305"/>
      <c r="K7" s="305"/>
      <c r="L7" s="305"/>
      <c r="M7" s="738">
        <f>IF(S7=1,0.15,0)</f>
        <v>0</v>
      </c>
      <c r="N7" s="739"/>
      <c r="O7" s="690"/>
      <c r="P7" s="21">
        <f>IF(O7="",0,IF(AND(M7*O7&gt;0,M7*O7&lt;0.01),0.01,ROUND(M7*O7,2)))</f>
        <v>0</v>
      </c>
      <c r="R7" s="547" t="b">
        <v>0</v>
      </c>
      <c r="S7" s="146">
        <f t="shared" ref="S7:S16" si="0">IF(R7=TRUE,1,0)</f>
        <v>0</v>
      </c>
      <c r="T7" s="365">
        <f>IF(P7&gt;0,P7,M7)</f>
        <v>0</v>
      </c>
      <c r="U7" s="365">
        <f>LARGE($T$7:$T$17,1)</f>
        <v>0</v>
      </c>
      <c r="V7" s="402">
        <f>U7+U8*(1-U7)</f>
        <v>0</v>
      </c>
      <c r="W7" s="389">
        <f>ROUND(V7,2)</f>
        <v>0</v>
      </c>
    </row>
    <row r="8" spans="1:170" ht="18" customHeight="1" x14ac:dyDescent="0.2">
      <c r="B8" s="1593"/>
      <c r="C8" s="1002"/>
      <c r="D8" s="1002"/>
      <c r="E8" s="304" t="s">
        <v>1595</v>
      </c>
      <c r="F8" s="305"/>
      <c r="G8" s="305"/>
      <c r="H8" s="305"/>
      <c r="I8" s="305"/>
      <c r="J8" s="305"/>
      <c r="K8" s="305"/>
      <c r="L8" s="305"/>
      <c r="M8" s="738">
        <f>IF(S8=1,0.1,0)</f>
        <v>0</v>
      </c>
      <c r="N8" s="739"/>
      <c r="O8" s="690"/>
      <c r="P8" s="21">
        <f t="shared" ref="P8:P17" si="1">IF(O8="",0,IF(AND(M8*O8&gt;0,M8*O8&lt;0.01),0.01,ROUND(M8*O8,2)))</f>
        <v>0</v>
      </c>
      <c r="R8" s="547" t="b">
        <v>0</v>
      </c>
      <c r="S8" s="146">
        <f t="shared" si="0"/>
        <v>0</v>
      </c>
      <c r="T8" s="365">
        <f t="shared" ref="T8:T17" si="2">IF(P8&gt;0,P8,M8)</f>
        <v>0</v>
      </c>
      <c r="U8" s="365">
        <f>LARGE($T$7:$T$17,2)</f>
        <v>0</v>
      </c>
      <c r="V8" s="402">
        <f>W7+U9*(1-W7)</f>
        <v>0</v>
      </c>
      <c r="W8" s="389">
        <f>ROUND(V8,2)</f>
        <v>0</v>
      </c>
    </row>
    <row r="9" spans="1:170" ht="18" customHeight="1" x14ac:dyDescent="0.2">
      <c r="B9" s="1593"/>
      <c r="C9" s="1002"/>
      <c r="D9" s="1002"/>
      <c r="E9" s="304" t="s">
        <v>1596</v>
      </c>
      <c r="F9" s="305"/>
      <c r="G9" s="305"/>
      <c r="H9" s="305"/>
      <c r="I9" s="305"/>
      <c r="J9" s="305"/>
      <c r="K9" s="305"/>
      <c r="L9" s="305"/>
      <c r="M9" s="738">
        <f>IF(S9=1,0.1,0)</f>
        <v>0</v>
      </c>
      <c r="N9" s="739"/>
      <c r="O9" s="690"/>
      <c r="P9" s="21">
        <f t="shared" si="1"/>
        <v>0</v>
      </c>
      <c r="R9" s="547" t="b">
        <v>0</v>
      </c>
      <c r="S9" s="146">
        <f t="shared" si="0"/>
        <v>0</v>
      </c>
      <c r="T9" s="365">
        <f t="shared" si="2"/>
        <v>0</v>
      </c>
      <c r="U9" s="365">
        <f>LARGE($T$7:$T$17,3)</f>
        <v>0</v>
      </c>
      <c r="V9" s="402">
        <f t="shared" ref="V9:V16" si="3">W8+U10*(1-W8)</f>
        <v>0</v>
      </c>
      <c r="W9" s="389">
        <f t="shared" ref="W9:W16" si="4">ROUND(V9,2)</f>
        <v>0</v>
      </c>
    </row>
    <row r="10" spans="1:170" ht="18" customHeight="1" x14ac:dyDescent="0.2">
      <c r="B10" s="415"/>
      <c r="C10" s="1002"/>
      <c r="D10" s="1002"/>
      <c r="E10" s="304" t="s">
        <v>1597</v>
      </c>
      <c r="F10" s="305"/>
      <c r="G10" s="305"/>
      <c r="H10" s="305"/>
      <c r="I10" s="305"/>
      <c r="J10" s="305"/>
      <c r="K10" s="305"/>
      <c r="L10" s="305"/>
      <c r="M10" s="738">
        <f>IF(S10=1,0.1,0)</f>
        <v>0</v>
      </c>
      <c r="N10" s="739"/>
      <c r="O10" s="690"/>
      <c r="P10" s="21">
        <f t="shared" si="1"/>
        <v>0</v>
      </c>
      <c r="R10" s="547" t="b">
        <v>0</v>
      </c>
      <c r="S10" s="146">
        <f t="shared" si="0"/>
        <v>0</v>
      </c>
      <c r="T10" s="365">
        <f t="shared" si="2"/>
        <v>0</v>
      </c>
      <c r="U10" s="365">
        <f>LARGE($T$7:$T$17,4)</f>
        <v>0</v>
      </c>
      <c r="V10" s="402">
        <f t="shared" si="3"/>
        <v>0</v>
      </c>
      <c r="W10" s="389">
        <f t="shared" si="4"/>
        <v>0</v>
      </c>
    </row>
    <row r="11" spans="1:170" ht="18" customHeight="1" x14ac:dyDescent="0.2">
      <c r="B11" s="415"/>
      <c r="C11" s="1002"/>
      <c r="D11" s="1002"/>
      <c r="E11" s="304" t="s">
        <v>1598</v>
      </c>
      <c r="F11" s="305"/>
      <c r="G11" s="305"/>
      <c r="H11" s="305"/>
      <c r="I11" s="305"/>
      <c r="J11" s="305"/>
      <c r="K11" s="305"/>
      <c r="L11" s="305"/>
      <c r="M11" s="738">
        <f>IF(S11=1,0.05,0)</f>
        <v>0</v>
      </c>
      <c r="N11" s="739"/>
      <c r="O11" s="690"/>
      <c r="P11" s="21">
        <f t="shared" si="1"/>
        <v>0</v>
      </c>
      <c r="R11" s="547" t="b">
        <v>0</v>
      </c>
      <c r="S11" s="146">
        <f t="shared" si="0"/>
        <v>0</v>
      </c>
      <c r="T11" s="365">
        <f t="shared" si="2"/>
        <v>0</v>
      </c>
      <c r="U11" s="365">
        <f>LARGE($T$7:$T$17,5)</f>
        <v>0</v>
      </c>
      <c r="V11" s="402">
        <f t="shared" si="3"/>
        <v>0</v>
      </c>
      <c r="W11" s="389">
        <f t="shared" si="4"/>
        <v>0</v>
      </c>
    </row>
    <row r="12" spans="1:170" ht="18" customHeight="1" x14ac:dyDescent="0.2">
      <c r="B12" s="1590" t="str">
        <f>IF(S17=1,"Hemipelvec-tomy: The loss of the leg is determined under OAR 436-035-0140(1).","")</f>
        <v/>
      </c>
      <c r="C12" s="1002"/>
      <c r="D12" s="1002"/>
      <c r="E12" s="304" t="s">
        <v>1990</v>
      </c>
      <c r="F12" s="305"/>
      <c r="G12" s="305"/>
      <c r="H12" s="305"/>
      <c r="I12" s="305"/>
      <c r="J12" s="305"/>
      <c r="K12" s="305"/>
      <c r="L12" s="305"/>
      <c r="M12" s="738">
        <f>IF(S12=1,0.02,0)</f>
        <v>0</v>
      </c>
      <c r="N12" s="739"/>
      <c r="O12" s="690"/>
      <c r="P12" s="21">
        <f t="shared" si="1"/>
        <v>0</v>
      </c>
      <c r="R12" s="547" t="b">
        <v>0</v>
      </c>
      <c r="S12" s="146">
        <f t="shared" si="0"/>
        <v>0</v>
      </c>
      <c r="T12" s="365">
        <f t="shared" si="2"/>
        <v>0</v>
      </c>
      <c r="U12" s="365">
        <f>LARGE($T$7:$T$17,6)</f>
        <v>0</v>
      </c>
      <c r="V12" s="402">
        <f t="shared" si="3"/>
        <v>0</v>
      </c>
      <c r="W12" s="389">
        <f t="shared" si="4"/>
        <v>0</v>
      </c>
    </row>
    <row r="13" spans="1:170" ht="18" customHeight="1" x14ac:dyDescent="0.2">
      <c r="B13" s="1591"/>
      <c r="C13" s="1002"/>
      <c r="D13" s="1002"/>
      <c r="E13" s="304" t="s">
        <v>1988</v>
      </c>
      <c r="F13" s="305"/>
      <c r="G13" s="305"/>
      <c r="H13" s="305"/>
      <c r="I13" s="305"/>
      <c r="J13" s="305"/>
      <c r="K13" s="305"/>
      <c r="L13" s="305"/>
      <c r="M13" s="738">
        <f>IF(S13=1,0.02,0)</f>
        <v>0</v>
      </c>
      <c r="N13" s="739"/>
      <c r="O13" s="690"/>
      <c r="P13" s="21">
        <f t="shared" si="1"/>
        <v>0</v>
      </c>
      <c r="R13" s="547" t="b">
        <v>0</v>
      </c>
      <c r="S13" s="146">
        <f t="shared" si="0"/>
        <v>0</v>
      </c>
      <c r="T13" s="365">
        <f t="shared" si="2"/>
        <v>0</v>
      </c>
      <c r="U13" s="365">
        <f>LARGE($T$7:$T$17,7)</f>
        <v>0</v>
      </c>
      <c r="V13" s="402">
        <f t="shared" si="3"/>
        <v>0</v>
      </c>
      <c r="W13" s="389">
        <f t="shared" si="4"/>
        <v>0</v>
      </c>
    </row>
    <row r="14" spans="1:170" ht="18" customHeight="1" x14ac:dyDescent="0.2">
      <c r="B14" s="1591"/>
      <c r="C14" s="995"/>
      <c r="D14" s="997"/>
      <c r="E14" s="277" t="s">
        <v>1991</v>
      </c>
      <c r="F14" s="565"/>
      <c r="G14" s="565"/>
      <c r="H14" s="565"/>
      <c r="I14" s="565"/>
      <c r="J14" s="565"/>
      <c r="K14" s="565"/>
      <c r="L14" s="565"/>
      <c r="M14" s="738">
        <f>IF(S14=1,0.02,0)</f>
        <v>0</v>
      </c>
      <c r="N14" s="739"/>
      <c r="O14" s="690"/>
      <c r="P14" s="21">
        <f t="shared" si="1"/>
        <v>0</v>
      </c>
      <c r="R14" s="547" t="b">
        <v>0</v>
      </c>
      <c r="S14" s="146">
        <f t="shared" si="0"/>
        <v>0</v>
      </c>
      <c r="T14" s="365">
        <f t="shared" si="2"/>
        <v>0</v>
      </c>
      <c r="U14" s="365">
        <f>LARGE($T$7:$T$17,8)</f>
        <v>0</v>
      </c>
      <c r="V14" s="402">
        <f t="shared" si="3"/>
        <v>0</v>
      </c>
      <c r="W14" s="389">
        <f t="shared" si="4"/>
        <v>0</v>
      </c>
    </row>
    <row r="15" spans="1:170" ht="18" customHeight="1" x14ac:dyDescent="0.2">
      <c r="B15" s="1591"/>
      <c r="C15" s="995"/>
      <c r="D15" s="997"/>
      <c r="E15" s="277" t="s">
        <v>1989</v>
      </c>
      <c r="F15" s="565"/>
      <c r="G15" s="565"/>
      <c r="H15" s="565"/>
      <c r="I15" s="565"/>
      <c r="J15" s="565"/>
      <c r="K15" s="565"/>
      <c r="L15" s="565"/>
      <c r="M15" s="738">
        <f>IF(S15=1,0.02,0)</f>
        <v>0</v>
      </c>
      <c r="N15" s="739"/>
      <c r="O15" s="690"/>
      <c r="P15" s="21">
        <f t="shared" si="1"/>
        <v>0</v>
      </c>
      <c r="R15" s="547" t="b">
        <v>0</v>
      </c>
      <c r="S15" s="146">
        <f t="shared" si="0"/>
        <v>0</v>
      </c>
      <c r="T15" s="365">
        <f t="shared" si="2"/>
        <v>0</v>
      </c>
      <c r="U15" s="365">
        <f>LARGE($T$7:$T$17,9)</f>
        <v>0</v>
      </c>
      <c r="V15" s="402">
        <f t="shared" si="3"/>
        <v>0</v>
      </c>
      <c r="W15" s="389">
        <f t="shared" si="4"/>
        <v>0</v>
      </c>
    </row>
    <row r="16" spans="1:170" ht="18" customHeight="1" x14ac:dyDescent="0.2">
      <c r="B16" s="1591"/>
      <c r="C16" s="1002"/>
      <c r="D16" s="1002"/>
      <c r="E16" s="304" t="s">
        <v>1599</v>
      </c>
      <c r="F16" s="305"/>
      <c r="G16" s="305"/>
      <c r="H16" s="305"/>
      <c r="I16" s="305"/>
      <c r="J16" s="305"/>
      <c r="K16" s="305"/>
      <c r="L16" s="305"/>
      <c r="M16" s="738">
        <f>IF(S16=1,0.02,0)</f>
        <v>0</v>
      </c>
      <c r="N16" s="739"/>
      <c r="O16" s="690"/>
      <c r="P16" s="21">
        <f t="shared" si="1"/>
        <v>0</v>
      </c>
      <c r="R16" s="547" t="b">
        <v>0</v>
      </c>
      <c r="S16" s="146">
        <f t="shared" si="0"/>
        <v>0</v>
      </c>
      <c r="T16" s="365">
        <f t="shared" si="2"/>
        <v>0</v>
      </c>
      <c r="U16" s="365">
        <f>LARGE($T$7:$T$17,10)</f>
        <v>0</v>
      </c>
      <c r="V16" s="402">
        <f t="shared" si="3"/>
        <v>0</v>
      </c>
      <c r="W16" s="389">
        <f t="shared" si="4"/>
        <v>0</v>
      </c>
    </row>
    <row r="17" spans="2:21" ht="18" customHeight="1" x14ac:dyDescent="0.2">
      <c r="B17" s="267" t="s">
        <v>1193</v>
      </c>
      <c r="C17" s="995"/>
      <c r="D17" s="997"/>
      <c r="E17" s="305" t="s">
        <v>1193</v>
      </c>
      <c r="F17" s="305"/>
      <c r="G17" s="305"/>
      <c r="H17" s="305"/>
      <c r="I17" s="305"/>
      <c r="J17" s="305"/>
      <c r="K17" s="305"/>
      <c r="L17" s="305"/>
      <c r="M17" s="738">
        <f>IF(S17=1,0.25,0)</f>
        <v>0</v>
      </c>
      <c r="N17" s="739"/>
      <c r="O17" s="690"/>
      <c r="P17" s="21">
        <f t="shared" si="1"/>
        <v>0</v>
      </c>
      <c r="R17" s="547" t="b">
        <v>0</v>
      </c>
      <c r="S17" s="146">
        <f>IF(R17=TRUE,1,0)</f>
        <v>0</v>
      </c>
      <c r="T17" s="365">
        <f t="shared" si="2"/>
        <v>0</v>
      </c>
      <c r="U17" s="365">
        <f>LARGE($T$7:$T$17,11)</f>
        <v>0</v>
      </c>
    </row>
    <row r="18" spans="2:21" ht="18" customHeight="1" x14ac:dyDescent="0.2">
      <c r="B18" s="502"/>
      <c r="C18" s="499" t="s">
        <v>1194</v>
      </c>
      <c r="D18" s="500"/>
      <c r="E18" s="500"/>
      <c r="F18" s="500"/>
      <c r="G18" s="500"/>
      <c r="H18" s="500"/>
      <c r="I18" s="500"/>
      <c r="J18" s="500"/>
      <c r="K18" s="500"/>
      <c r="L18" s="500"/>
      <c r="M18" s="893" t="s">
        <v>1195</v>
      </c>
      <c r="N18" s="893"/>
      <c r="O18" s="894"/>
      <c r="P18" s="247">
        <f>W16</f>
        <v>0</v>
      </c>
      <c r="T18" s="151"/>
    </row>
    <row r="19" spans="2:21" ht="33" customHeight="1" x14ac:dyDescent="0.25">
      <c r="B19" s="1037" t="s">
        <v>931</v>
      </c>
      <c r="C19" s="1037"/>
      <c r="D19" s="1037"/>
      <c r="E19" s="1037"/>
      <c r="F19" s="1037"/>
      <c r="G19" s="1037"/>
      <c r="H19" s="1037"/>
      <c r="I19" s="1037"/>
      <c r="J19" s="1037"/>
      <c r="K19" s="1037"/>
      <c r="L19" s="1037"/>
      <c r="M19" s="1037"/>
      <c r="N19" s="1037"/>
      <c r="O19" s="1037"/>
      <c r="P19" s="1037"/>
    </row>
    <row r="20" spans="2:21" x14ac:dyDescent="0.2">
      <c r="B20" s="244" t="s">
        <v>775</v>
      </c>
      <c r="C20" s="1594" t="str">
        <f>IF(U1&lt;&gt;"",U1,"")</f>
        <v>Go to PPD Worksheet</v>
      </c>
      <c r="D20" s="1594"/>
      <c r="E20" s="1594"/>
      <c r="F20" s="1594"/>
      <c r="G20" s="1594"/>
      <c r="H20" s="1594"/>
      <c r="I20" s="1464" t="str">
        <f>IF(T1&lt;&gt;"",T1,"")</f>
        <v/>
      </c>
      <c r="J20" s="1464"/>
      <c r="K20" s="1464"/>
      <c r="L20" s="1464"/>
      <c r="M20" s="1464"/>
      <c r="N20" s="1464"/>
    </row>
  </sheetData>
  <sheetProtection sheet="1" objects="1" scenarios="1"/>
  <mergeCells count="39">
    <mergeCell ref="C20:H20"/>
    <mergeCell ref="I20:N20"/>
    <mergeCell ref="B19:P19"/>
    <mergeCell ref="M18:O18"/>
    <mergeCell ref="C9:D9"/>
    <mergeCell ref="C17:D17"/>
    <mergeCell ref="C13:D13"/>
    <mergeCell ref="C16:D16"/>
    <mergeCell ref="M15:N15"/>
    <mergeCell ref="M16:N16"/>
    <mergeCell ref="M17:N17"/>
    <mergeCell ref="C1:J1"/>
    <mergeCell ref="L1:P1"/>
    <mergeCell ref="C12:D12"/>
    <mergeCell ref="B2:P2"/>
    <mergeCell ref="K5:L5"/>
    <mergeCell ref="B12:B16"/>
    <mergeCell ref="I5:J5"/>
    <mergeCell ref="C15:D15"/>
    <mergeCell ref="C11:D11"/>
    <mergeCell ref="B3:P3"/>
    <mergeCell ref="B5:H5"/>
    <mergeCell ref="B7:B9"/>
    <mergeCell ref="C7:D7"/>
    <mergeCell ref="R4:R6"/>
    <mergeCell ref="S4:S6"/>
    <mergeCell ref="O6:P6"/>
    <mergeCell ref="B4:P4"/>
    <mergeCell ref="C14:D14"/>
    <mergeCell ref="C8:D8"/>
    <mergeCell ref="C10:D10"/>
    <mergeCell ref="M7:N7"/>
    <mergeCell ref="M8:N8"/>
    <mergeCell ref="M9:N9"/>
    <mergeCell ref="M10:N10"/>
    <mergeCell ref="M11:N11"/>
    <mergeCell ref="M12:N12"/>
    <mergeCell ref="M13:N13"/>
    <mergeCell ref="M14:N14"/>
  </mergeCells>
  <phoneticPr fontId="0" type="noConversion"/>
  <hyperlinks>
    <hyperlink ref="B20" location="Pelvis!A1" display="Return to top of sheet" xr:uid="{00000000-0004-0000-0F00-000000000000}"/>
    <hyperlink ref="I20:N20" location="'PPD DOI on or after 2005'!A1" display="'PPD DOI on or after 2005'!A1" xr:uid="{00000000-0004-0000-0F00-000001000000}"/>
    <hyperlink ref="C20:H20" location="'PPD DOI before 2005'!A1" display="'PPD DOI before 2005'!A1" xr:uid="{00000000-0004-0000-0F00-000002000000}"/>
    <hyperlink ref="I5:J5" location="'Hip-Right'!A1" display="Right" xr:uid="{00000000-0004-0000-0F00-000003000000}"/>
    <hyperlink ref="K5:L5" location="'Hip-Left'!A1" display="Left" xr:uid="{00000000-0004-0000-0F00-000004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2</xdr:col>
                    <xdr:colOff>0</xdr:colOff>
                    <xdr:row>6</xdr:row>
                    <xdr:rowOff>0</xdr:rowOff>
                  </from>
                  <to>
                    <xdr:col>3</xdr:col>
                    <xdr:colOff>123825</xdr:colOff>
                    <xdr:row>6</xdr:row>
                    <xdr:rowOff>219075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2</xdr:col>
                    <xdr:colOff>0</xdr:colOff>
                    <xdr:row>7</xdr:row>
                    <xdr:rowOff>0</xdr:rowOff>
                  </from>
                  <to>
                    <xdr:col>3</xdr:col>
                    <xdr:colOff>123825</xdr:colOff>
                    <xdr:row>7</xdr:row>
                    <xdr:rowOff>219075</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2</xdr:col>
                    <xdr:colOff>0</xdr:colOff>
                    <xdr:row>8</xdr:row>
                    <xdr:rowOff>0</xdr:rowOff>
                  </from>
                  <to>
                    <xdr:col>3</xdr:col>
                    <xdr:colOff>123825</xdr:colOff>
                    <xdr:row>8</xdr:row>
                    <xdr:rowOff>219075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2</xdr:col>
                    <xdr:colOff>0</xdr:colOff>
                    <xdr:row>9</xdr:row>
                    <xdr:rowOff>0</xdr:rowOff>
                  </from>
                  <to>
                    <xdr:col>3</xdr:col>
                    <xdr:colOff>123825</xdr:colOff>
                    <xdr:row>9</xdr:row>
                    <xdr:rowOff>219075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2</xdr:col>
                    <xdr:colOff>0</xdr:colOff>
                    <xdr:row>10</xdr:row>
                    <xdr:rowOff>0</xdr:rowOff>
                  </from>
                  <to>
                    <xdr:col>3</xdr:col>
                    <xdr:colOff>123825</xdr:colOff>
                    <xdr:row>11</xdr:row>
                    <xdr:rowOff>0</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2</xdr:col>
                    <xdr:colOff>0</xdr:colOff>
                    <xdr:row>11</xdr:row>
                    <xdr:rowOff>9525</xdr:rowOff>
                  </from>
                  <to>
                    <xdr:col>3</xdr:col>
                    <xdr:colOff>123825</xdr:colOff>
                    <xdr:row>12</xdr:row>
                    <xdr:rowOff>0</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2</xdr:col>
                    <xdr:colOff>0</xdr:colOff>
                    <xdr:row>12</xdr:row>
                    <xdr:rowOff>9525</xdr:rowOff>
                  </from>
                  <to>
                    <xdr:col>3</xdr:col>
                    <xdr:colOff>123825</xdr:colOff>
                    <xdr:row>13</xdr:row>
                    <xdr:rowOff>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2</xdr:col>
                    <xdr:colOff>0</xdr:colOff>
                    <xdr:row>15</xdr:row>
                    <xdr:rowOff>9525</xdr:rowOff>
                  </from>
                  <to>
                    <xdr:col>3</xdr:col>
                    <xdr:colOff>123825</xdr:colOff>
                    <xdr:row>16</xdr:row>
                    <xdr:rowOff>0</xdr:rowOff>
                  </to>
                </anchor>
              </controlPr>
            </control>
          </mc:Choice>
        </mc:AlternateContent>
        <mc:AlternateContent xmlns:mc="http://schemas.openxmlformats.org/markup-compatibility/2006">
          <mc:Choice Requires="x14">
            <control shapeId="33810" r:id="rId12" name="Check Box 18">
              <controlPr defaultSize="0" autoFill="0" autoLine="0" autoPict="0">
                <anchor moveWithCells="1">
                  <from>
                    <xdr:col>2</xdr:col>
                    <xdr:colOff>0</xdr:colOff>
                    <xdr:row>16</xdr:row>
                    <xdr:rowOff>19050</xdr:rowOff>
                  </from>
                  <to>
                    <xdr:col>3</xdr:col>
                    <xdr:colOff>123825</xdr:colOff>
                    <xdr:row>17</xdr:row>
                    <xdr:rowOff>19050</xdr:rowOff>
                  </to>
                </anchor>
              </controlPr>
            </control>
          </mc:Choice>
        </mc:AlternateContent>
        <mc:AlternateContent xmlns:mc="http://schemas.openxmlformats.org/markup-compatibility/2006">
          <mc:Choice Requires="x14">
            <control shapeId="33811" r:id="rId13" name="Check Box 19">
              <controlPr defaultSize="0" autoFill="0" autoLine="0" autoPict="0">
                <anchor moveWithCells="1">
                  <from>
                    <xdr:col>2</xdr:col>
                    <xdr:colOff>0</xdr:colOff>
                    <xdr:row>13</xdr:row>
                    <xdr:rowOff>0</xdr:rowOff>
                  </from>
                  <to>
                    <xdr:col>3</xdr:col>
                    <xdr:colOff>123825</xdr:colOff>
                    <xdr:row>13</xdr:row>
                    <xdr:rowOff>219075</xdr:rowOff>
                  </to>
                </anchor>
              </controlPr>
            </control>
          </mc:Choice>
        </mc:AlternateContent>
        <mc:AlternateContent xmlns:mc="http://schemas.openxmlformats.org/markup-compatibility/2006">
          <mc:Choice Requires="x14">
            <control shapeId="33812" r:id="rId14" name="Check Box 20">
              <controlPr defaultSize="0" autoFill="0" autoLine="0" autoPict="0">
                <anchor moveWithCells="1">
                  <from>
                    <xdr:col>1</xdr:col>
                    <xdr:colOff>1514475</xdr:colOff>
                    <xdr:row>14</xdr:row>
                    <xdr:rowOff>9525</xdr:rowOff>
                  </from>
                  <to>
                    <xdr:col>3</xdr:col>
                    <xdr:colOff>123825</xdr:colOff>
                    <xdr:row>15</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FN17"/>
  <sheetViews>
    <sheetView showGridLines="0" zoomScale="120" zoomScaleNormal="120" workbookViewId="0"/>
  </sheetViews>
  <sheetFormatPr defaultColWidth="2.42578125" defaultRowHeight="12.75" x14ac:dyDescent="0.2"/>
  <cols>
    <col min="1" max="1" width="1.5703125" style="2" customWidth="1"/>
    <col min="2" max="2" width="22.7109375" style="2" customWidth="1"/>
    <col min="3" max="4" width="2.7109375" style="2" customWidth="1"/>
    <col min="5" max="14" width="3.7109375" style="2" customWidth="1"/>
    <col min="15" max="16" width="9.140625" style="2" customWidth="1"/>
    <col min="17" max="17" width="1.28515625" style="2" customWidth="1"/>
    <col min="18" max="18" width="18" style="2" hidden="1" customWidth="1"/>
    <col min="19" max="19" width="13.7109375" style="2" hidden="1" customWidth="1"/>
    <col min="20" max="20" width="17" style="2" hidden="1" customWidth="1"/>
    <col min="21" max="21" width="18.140625" style="2" hidden="1" customWidth="1"/>
    <col min="22" max="22" width="12.7109375" style="2" hidden="1" customWidth="1"/>
    <col min="23" max="47" width="2.42578125" style="2" hidden="1" customWidth="1"/>
    <col min="48" max="48" width="6.5703125" style="2" hidden="1" customWidth="1"/>
    <col min="49" max="130" width="2.42578125" style="2" hidden="1" customWidth="1"/>
    <col min="131" max="255" width="2.42578125" style="2" customWidth="1"/>
    <col min="256" max="16384" width="2.42578125" style="2"/>
  </cols>
  <sheetData>
    <row r="1" spans="1:170" ht="15" customHeight="1" x14ac:dyDescent="0.2">
      <c r="A1" s="15"/>
      <c r="B1" s="10" t="s">
        <v>1697</v>
      </c>
      <c r="C1" s="732" t="str">
        <f>IF('Start here'!A6="","",'Start here'!A6)</f>
        <v/>
      </c>
      <c r="D1" s="736"/>
      <c r="E1" s="736"/>
      <c r="F1" s="736"/>
      <c r="G1" s="736"/>
      <c r="H1" s="736"/>
      <c r="I1" s="736"/>
      <c r="J1" s="737"/>
      <c r="K1" s="1"/>
      <c r="L1" s="732" t="str">
        <f>IF('Start here'!A7="","",'Start here'!A7)</f>
        <v/>
      </c>
      <c r="M1" s="736"/>
      <c r="N1" s="736"/>
      <c r="O1" s="736"/>
      <c r="P1" s="737"/>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v>1E-4</v>
      </c>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2">
      <c r="B2" s="777"/>
      <c r="C2" s="777"/>
      <c r="D2" s="777"/>
      <c r="E2" s="777"/>
      <c r="F2" s="777"/>
      <c r="G2" s="777"/>
      <c r="H2" s="777"/>
      <c r="I2" s="777"/>
      <c r="J2" s="777"/>
      <c r="K2" s="777"/>
      <c r="L2" s="777"/>
      <c r="M2" s="777"/>
      <c r="N2" s="777"/>
      <c r="O2" s="777"/>
      <c r="P2" s="777"/>
    </row>
    <row r="3" spans="1:170" ht="24" customHeight="1" x14ac:dyDescent="0.3">
      <c r="B3" s="905" t="s">
        <v>933</v>
      </c>
      <c r="C3" s="905"/>
      <c r="D3" s="905"/>
      <c r="E3" s="905"/>
      <c r="F3" s="905"/>
      <c r="G3" s="905"/>
      <c r="H3" s="905"/>
      <c r="I3" s="905"/>
      <c r="J3" s="905"/>
      <c r="K3" s="905"/>
      <c r="L3" s="905"/>
      <c r="M3" s="905"/>
      <c r="N3" s="905"/>
      <c r="O3" s="905"/>
      <c r="P3" s="905"/>
    </row>
    <row r="4" spans="1:170" ht="51" customHeight="1" x14ac:dyDescent="0.2">
      <c r="B4" s="1595"/>
      <c r="C4" s="757" t="s">
        <v>875</v>
      </c>
      <c r="D4" s="757"/>
      <c r="E4" s="757"/>
      <c r="F4" s="757"/>
      <c r="G4" s="757"/>
      <c r="H4" s="757"/>
      <c r="I4" s="757"/>
      <c r="J4" s="757"/>
      <c r="K4" s="757"/>
      <c r="L4" s="757"/>
      <c r="M4" s="757"/>
      <c r="N4" s="757"/>
      <c r="O4" s="757"/>
      <c r="P4" s="82">
        <f>IF(S4=2,0.05,0)</f>
        <v>0</v>
      </c>
      <c r="R4" s="146" t="s">
        <v>2236</v>
      </c>
      <c r="S4" s="547">
        <v>1</v>
      </c>
      <c r="T4" s="1"/>
      <c r="U4" s="1"/>
      <c r="V4" s="1"/>
    </row>
    <row r="5" spans="1:170" ht="39" customHeight="1" x14ac:dyDescent="0.2">
      <c r="B5" s="1596"/>
      <c r="C5" s="757" t="s">
        <v>876</v>
      </c>
      <c r="D5" s="757"/>
      <c r="E5" s="757"/>
      <c r="F5" s="757"/>
      <c r="G5" s="757"/>
      <c r="H5" s="757"/>
      <c r="I5" s="757"/>
      <c r="J5" s="757"/>
      <c r="K5" s="757"/>
      <c r="L5" s="757"/>
      <c r="M5" s="757"/>
      <c r="N5" s="757"/>
      <c r="O5" s="757"/>
      <c r="P5" s="82">
        <f>IF(S4=3,0.15,0)</f>
        <v>0</v>
      </c>
      <c r="T5" s="1"/>
      <c r="U5" s="1"/>
      <c r="V5" s="1"/>
    </row>
    <row r="6" spans="1:170" ht="26.25" customHeight="1" x14ac:dyDescent="0.2">
      <c r="B6" s="1597"/>
      <c r="C6" s="757" t="s">
        <v>877</v>
      </c>
      <c r="D6" s="757"/>
      <c r="E6" s="757"/>
      <c r="F6" s="757"/>
      <c r="G6" s="757"/>
      <c r="H6" s="757"/>
      <c r="I6" s="757"/>
      <c r="J6" s="757"/>
      <c r="K6" s="757"/>
      <c r="L6" s="757"/>
      <c r="M6" s="757"/>
      <c r="N6" s="757"/>
      <c r="O6" s="757"/>
      <c r="P6" s="82">
        <f>IF(S4=4,0.25,0)</f>
        <v>0</v>
      </c>
      <c r="T6" s="1"/>
      <c r="U6" s="1"/>
      <c r="V6" s="1"/>
    </row>
    <row r="7" spans="1:170" ht="21" customHeight="1" x14ac:dyDescent="0.2">
      <c r="B7" s="957" t="s">
        <v>1009</v>
      </c>
      <c r="C7" s="957"/>
      <c r="D7" s="957"/>
      <c r="E7" s="957"/>
      <c r="F7" s="957"/>
      <c r="G7" s="957"/>
      <c r="H7" s="957"/>
      <c r="I7" s="957"/>
      <c r="J7" s="957"/>
      <c r="K7" s="957"/>
      <c r="L7" s="957"/>
      <c r="M7" s="957"/>
      <c r="N7" s="957"/>
      <c r="O7" s="207"/>
      <c r="P7" s="501">
        <f>IF(O7="",SUM(P4:P6),ROUND(O7*SUM(P4:P6),2))</f>
        <v>0</v>
      </c>
      <c r="R7" s="15"/>
    </row>
    <row r="8" spans="1:170" ht="33" customHeight="1" x14ac:dyDescent="0.25">
      <c r="B8" s="1037" t="s">
        <v>931</v>
      </c>
      <c r="C8" s="1037"/>
      <c r="D8" s="1037"/>
      <c r="E8" s="1037"/>
      <c r="F8" s="1037"/>
      <c r="G8" s="1037"/>
      <c r="H8" s="1037"/>
      <c r="I8" s="1037"/>
      <c r="J8" s="1037"/>
      <c r="K8" s="1037"/>
      <c r="L8" s="1037"/>
      <c r="M8" s="1037"/>
      <c r="N8" s="1037"/>
      <c r="O8" s="1037"/>
      <c r="P8" s="1037"/>
    </row>
    <row r="9" spans="1:170" x14ac:dyDescent="0.2">
      <c r="C9" s="1294" t="str">
        <f>IF(U1&lt;&gt;"",U1,"")</f>
        <v>Go to PPD Worksheet</v>
      </c>
      <c r="D9" s="1294"/>
      <c r="E9" s="1294"/>
      <c r="F9" s="1294"/>
      <c r="G9" s="1294"/>
      <c r="H9" s="1294"/>
      <c r="I9" s="1464" t="str">
        <f>IF(T1&lt;&gt;"",T1,"")</f>
        <v/>
      </c>
      <c r="J9" s="1464"/>
      <c r="K9" s="1464"/>
      <c r="L9" s="1464"/>
      <c r="M9" s="1464"/>
      <c r="N9" s="1464"/>
    </row>
    <row r="10" spans="1:170" ht="12" customHeight="1" x14ac:dyDescent="0.2"/>
    <row r="11" spans="1:170" hidden="1" x14ac:dyDescent="0.2">
      <c r="B11" s="2">
        <v>0.01</v>
      </c>
      <c r="C11" s="2">
        <v>0.99</v>
      </c>
      <c r="D11" s="1"/>
      <c r="E11" s="1"/>
      <c r="F11" s="1"/>
      <c r="G11" s="1"/>
      <c r="H11" s="1"/>
      <c r="I11" s="1"/>
      <c r="J11" s="1"/>
      <c r="K11" s="1"/>
      <c r="L11" s="1"/>
      <c r="M11" s="1"/>
      <c r="N11" s="1"/>
      <c r="P11" s="423"/>
    </row>
    <row r="12" spans="1:170" x14ac:dyDescent="0.2">
      <c r="B12" s="1"/>
      <c r="C12" s="1"/>
      <c r="D12" s="1"/>
      <c r="E12" s="1"/>
      <c r="F12" s="1"/>
      <c r="G12" s="1"/>
      <c r="H12" s="1"/>
      <c r="I12" s="1"/>
      <c r="J12" s="1"/>
      <c r="K12" s="1"/>
      <c r="L12" s="1"/>
      <c r="M12" s="1"/>
      <c r="N12" s="1"/>
    </row>
    <row r="13" spans="1:170" x14ac:dyDescent="0.2">
      <c r="B13" s="1"/>
      <c r="C13" s="1"/>
      <c r="D13" s="1"/>
      <c r="E13" s="1"/>
      <c r="F13" s="1"/>
      <c r="G13" s="1"/>
      <c r="H13" s="1"/>
      <c r="I13" s="1"/>
      <c r="J13" s="1"/>
      <c r="K13" s="1"/>
      <c r="L13" s="1"/>
      <c r="M13" s="1"/>
      <c r="N13" s="1"/>
    </row>
    <row r="14" spans="1:170" x14ac:dyDescent="0.2">
      <c r="B14" s="1"/>
      <c r="C14" s="1"/>
      <c r="D14" s="1"/>
      <c r="E14" s="1"/>
      <c r="F14" s="1"/>
      <c r="G14" s="1"/>
      <c r="H14" s="1"/>
      <c r="I14" s="1"/>
      <c r="J14" s="1"/>
      <c r="K14" s="1"/>
      <c r="L14" s="1"/>
      <c r="M14" s="1"/>
      <c r="N14" s="1"/>
    </row>
    <row r="15" spans="1:170" x14ac:dyDescent="0.2">
      <c r="B15" s="1"/>
      <c r="C15" s="1"/>
      <c r="D15" s="1"/>
      <c r="E15" s="1"/>
      <c r="F15" s="1"/>
      <c r="G15" s="1"/>
      <c r="H15" s="1"/>
      <c r="I15" s="1"/>
      <c r="J15" s="1"/>
      <c r="K15" s="1"/>
      <c r="L15" s="1"/>
      <c r="M15" s="1"/>
      <c r="N15" s="1"/>
    </row>
    <row r="16" spans="1:170" x14ac:dyDescent="0.2">
      <c r="B16" s="1"/>
      <c r="C16" s="1"/>
      <c r="D16" s="1"/>
      <c r="E16" s="1"/>
      <c r="F16" s="1"/>
      <c r="G16" s="1"/>
      <c r="H16" s="1"/>
      <c r="I16" s="1"/>
      <c r="J16" s="1"/>
      <c r="K16" s="1"/>
      <c r="L16" s="1"/>
      <c r="M16" s="1"/>
      <c r="N16" s="1"/>
    </row>
    <row r="17" spans="2:14" x14ac:dyDescent="0.2">
      <c r="B17" s="1"/>
      <c r="C17" s="1"/>
      <c r="D17" s="1"/>
      <c r="E17" s="1"/>
      <c r="F17" s="1"/>
      <c r="G17" s="1"/>
      <c r="H17" s="1"/>
      <c r="I17" s="1"/>
      <c r="J17" s="1"/>
      <c r="K17" s="1"/>
      <c r="L17" s="1"/>
      <c r="M17" s="1"/>
      <c r="N17" s="1"/>
    </row>
  </sheetData>
  <sheetProtection sheet="1" objects="1" scenarios="1"/>
  <mergeCells count="12">
    <mergeCell ref="C1:J1"/>
    <mergeCell ref="L1:P1"/>
    <mergeCell ref="B2:P2"/>
    <mergeCell ref="C9:H9"/>
    <mergeCell ref="I9:N9"/>
    <mergeCell ref="B8:P8"/>
    <mergeCell ref="B3:P3"/>
    <mergeCell ref="C4:O4"/>
    <mergeCell ref="C5:O5"/>
    <mergeCell ref="B7:N7"/>
    <mergeCell ref="C6:O6"/>
    <mergeCell ref="B4:B6"/>
  </mergeCells>
  <phoneticPr fontId="0" type="noConversion"/>
  <dataValidations xWindow="604" yWindow="412" count="2">
    <dataValidation type="decimal" allowBlank="1" showInputMessage="1" showErrorMessage="1" promptTitle="Apportionment (if any)" prompt="Enter percentage of impairment caused by the injury or illness. See OAR 436-035-0013." sqref="O7" xr:uid="{00000000-0002-0000-1000-000000000000}">
      <formula1>$B$11</formula1>
      <formula2>$C$11</formula2>
    </dataValidation>
    <dataValidation type="decimal" operator="equal" allowBlank="1" showInputMessage="1" showErrorMessage="1" sqref="A1" xr:uid="{00000000-0002-0000-1000-000001000000}">
      <formula1>AV1</formula1>
    </dataValidation>
  </dataValidations>
  <hyperlinks>
    <hyperlink ref="I9:N9" location="'PPD DOI on or after 2005'!A1" display="'PPD DOI on or after 2005'!A1" xr:uid="{00000000-0004-0000-1000-000000000000}"/>
    <hyperlink ref="C9:H9" location="'PPD DOI before 2005'!A1" display="'PPD DOI before 2005'!A1" xr:uid="{00000000-0004-0000-10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38" r:id="rId4" name="Group Box 18">
              <controlPr defaultSize="0" autoFill="0" autoPict="0">
                <anchor moveWithCells="1">
                  <from>
                    <xdr:col>1</xdr:col>
                    <xdr:colOff>19050</xdr:colOff>
                    <xdr:row>3</xdr:row>
                    <xdr:rowOff>19050</xdr:rowOff>
                  </from>
                  <to>
                    <xdr:col>1</xdr:col>
                    <xdr:colOff>1504950</xdr:colOff>
                    <xdr:row>5</xdr:row>
                    <xdr:rowOff>314325</xdr:rowOff>
                  </to>
                </anchor>
              </controlPr>
            </control>
          </mc:Choice>
        </mc:AlternateContent>
        <mc:AlternateContent xmlns:mc="http://schemas.openxmlformats.org/markup-compatibility/2006">
          <mc:Choice Requires="x14">
            <control shapeId="5139" r:id="rId5" name="Option Button 19">
              <controlPr defaultSize="0" autoFill="0" autoLine="0" autoPict="0">
                <anchor moveWithCells="1">
                  <from>
                    <xdr:col>1</xdr:col>
                    <xdr:colOff>57150</xdr:colOff>
                    <xdr:row>3</xdr:row>
                    <xdr:rowOff>57150</xdr:rowOff>
                  </from>
                  <to>
                    <xdr:col>1</xdr:col>
                    <xdr:colOff>942975</xdr:colOff>
                    <xdr:row>3</xdr:row>
                    <xdr:rowOff>276225</xdr:rowOff>
                  </to>
                </anchor>
              </controlPr>
            </control>
          </mc:Choice>
        </mc:AlternateContent>
        <mc:AlternateContent xmlns:mc="http://schemas.openxmlformats.org/markup-compatibility/2006">
          <mc:Choice Requires="x14">
            <control shapeId="5140" r:id="rId6" name="Option Button 20">
              <controlPr defaultSize="0" autoFill="0" autoLine="0" autoPict="0">
                <anchor moveWithCells="1">
                  <from>
                    <xdr:col>1</xdr:col>
                    <xdr:colOff>1143000</xdr:colOff>
                    <xdr:row>3</xdr:row>
                    <xdr:rowOff>209550</xdr:rowOff>
                  </from>
                  <to>
                    <xdr:col>1</xdr:col>
                    <xdr:colOff>1447800</xdr:colOff>
                    <xdr:row>3</xdr:row>
                    <xdr:rowOff>428625</xdr:rowOff>
                  </to>
                </anchor>
              </controlPr>
            </control>
          </mc:Choice>
        </mc:AlternateContent>
        <mc:AlternateContent xmlns:mc="http://schemas.openxmlformats.org/markup-compatibility/2006">
          <mc:Choice Requires="x14">
            <control shapeId="5141" r:id="rId7" name="Option Button 21">
              <controlPr defaultSize="0" autoFill="0" autoLine="0" autoPict="0">
                <anchor moveWithCells="1">
                  <from>
                    <xdr:col>1</xdr:col>
                    <xdr:colOff>1143000</xdr:colOff>
                    <xdr:row>4</xdr:row>
                    <xdr:rowOff>104775</xdr:rowOff>
                  </from>
                  <to>
                    <xdr:col>1</xdr:col>
                    <xdr:colOff>1447800</xdr:colOff>
                    <xdr:row>4</xdr:row>
                    <xdr:rowOff>323850</xdr:rowOff>
                  </to>
                </anchor>
              </controlPr>
            </control>
          </mc:Choice>
        </mc:AlternateContent>
        <mc:AlternateContent xmlns:mc="http://schemas.openxmlformats.org/markup-compatibility/2006">
          <mc:Choice Requires="x14">
            <control shapeId="5142" r:id="rId8" name="Option Button 22">
              <controlPr defaultSize="0" autoFill="0" autoLine="0" autoPict="0">
                <anchor moveWithCells="1">
                  <from>
                    <xdr:col>1</xdr:col>
                    <xdr:colOff>1143000</xdr:colOff>
                    <xdr:row>5</xdr:row>
                    <xdr:rowOff>28575</xdr:rowOff>
                  </from>
                  <to>
                    <xdr:col>1</xdr:col>
                    <xdr:colOff>1447800</xdr:colOff>
                    <xdr:row>5</xdr:row>
                    <xdr:rowOff>247650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N16"/>
  <sheetViews>
    <sheetView showGridLines="0" zoomScale="120" zoomScaleNormal="120" workbookViewId="0"/>
  </sheetViews>
  <sheetFormatPr defaultColWidth="2.42578125" defaultRowHeight="12.75" x14ac:dyDescent="0.2"/>
  <cols>
    <col min="1" max="1" width="1.5703125" style="2" customWidth="1"/>
    <col min="2" max="2" width="22.7109375" style="2" customWidth="1"/>
    <col min="3" max="4" width="2.7109375" style="2" customWidth="1"/>
    <col min="5" max="14" width="3.7109375" style="2" customWidth="1"/>
    <col min="15" max="16" width="9.140625" style="2" customWidth="1"/>
    <col min="17" max="17" width="1.28515625" style="2" customWidth="1"/>
    <col min="18" max="19" width="12.7109375" style="2" hidden="1" customWidth="1"/>
    <col min="20" max="20" width="18.140625" style="2" hidden="1" customWidth="1"/>
    <col min="21" max="21" width="19.85546875" style="2" hidden="1" customWidth="1"/>
    <col min="22" max="22" width="12.7109375" style="2" hidden="1" customWidth="1"/>
    <col min="23" max="52" width="2.42578125" style="2" hidden="1" customWidth="1"/>
    <col min="53" max="53" width="6.5703125" style="2" hidden="1" customWidth="1"/>
    <col min="54" max="130" width="2.42578125" style="2" hidden="1" customWidth="1"/>
    <col min="131" max="255" width="2.42578125" style="2" customWidth="1"/>
    <col min="256" max="16384" width="2.42578125" style="2"/>
  </cols>
  <sheetData>
    <row r="1" spans="1:170" ht="15" customHeight="1" x14ac:dyDescent="0.2">
      <c r="A1" s="15"/>
      <c r="B1" s="10" t="s">
        <v>1697</v>
      </c>
      <c r="C1" s="732" t="str">
        <f>IF('Start here'!A6="","",'Start here'!A6)</f>
        <v/>
      </c>
      <c r="D1" s="736"/>
      <c r="E1" s="736"/>
      <c r="F1" s="736"/>
      <c r="G1" s="736"/>
      <c r="H1" s="736"/>
      <c r="I1" s="736"/>
      <c r="J1" s="737"/>
      <c r="K1" s="1"/>
      <c r="L1" s="732" t="str">
        <f>IF('Start here'!A7="","",'Start here'!A7)</f>
        <v/>
      </c>
      <c r="M1" s="736"/>
      <c r="N1" s="736"/>
      <c r="O1" s="736"/>
      <c r="P1" s="737"/>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v>1E-4</v>
      </c>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2">
      <c r="B2" s="777"/>
      <c r="C2" s="777"/>
      <c r="D2" s="777"/>
      <c r="E2" s="777"/>
      <c r="F2" s="777"/>
      <c r="G2" s="777"/>
      <c r="H2" s="777"/>
      <c r="I2" s="777"/>
      <c r="J2" s="777"/>
      <c r="K2" s="777"/>
      <c r="L2" s="777"/>
      <c r="M2" s="777"/>
      <c r="N2" s="777"/>
      <c r="O2" s="777"/>
      <c r="P2" s="777"/>
    </row>
    <row r="3" spans="1:170" ht="24" customHeight="1" x14ac:dyDescent="0.3">
      <c r="B3" s="905" t="s">
        <v>552</v>
      </c>
      <c r="C3" s="905"/>
      <c r="D3" s="905"/>
      <c r="E3" s="905"/>
      <c r="F3" s="905"/>
      <c r="G3" s="905"/>
      <c r="H3" s="905"/>
      <c r="I3" s="905"/>
      <c r="J3" s="905"/>
      <c r="K3" s="905"/>
      <c r="L3" s="905"/>
      <c r="M3" s="905"/>
      <c r="N3" s="905"/>
      <c r="O3" s="905"/>
      <c r="P3" s="905"/>
    </row>
    <row r="4" spans="1:170" ht="38.25" customHeight="1" x14ac:dyDescent="0.2">
      <c r="B4" s="761" t="s">
        <v>553</v>
      </c>
      <c r="C4" s="761"/>
      <c r="D4" s="761"/>
      <c r="E4" s="761"/>
      <c r="F4" s="761"/>
      <c r="G4" s="761"/>
      <c r="H4" s="761"/>
      <c r="I4" s="761"/>
      <c r="J4" s="761"/>
      <c r="K4" s="761"/>
      <c r="L4" s="761"/>
      <c r="M4" s="761"/>
      <c r="N4" s="761"/>
      <c r="O4" s="761"/>
      <c r="P4" s="498"/>
      <c r="R4" s="256" t="s">
        <v>2239</v>
      </c>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row>
    <row r="5" spans="1:170" ht="21" customHeight="1" x14ac:dyDescent="0.2">
      <c r="A5" s="15"/>
      <c r="B5" s="957" t="s">
        <v>932</v>
      </c>
      <c r="C5" s="957"/>
      <c r="D5" s="957"/>
      <c r="E5" s="957"/>
      <c r="F5" s="957"/>
      <c r="G5" s="957"/>
      <c r="H5" s="957"/>
      <c r="I5" s="957"/>
      <c r="J5" s="957"/>
      <c r="K5" s="957"/>
      <c r="L5" s="1002"/>
      <c r="M5" s="1002"/>
      <c r="N5" s="1002"/>
      <c r="O5" s="1002"/>
      <c r="P5" s="1598">
        <f>IF(AND(P10&gt;0,P10&lt;0.01),0.01,ROUND(P10,2))</f>
        <v>0</v>
      </c>
      <c r="R5" s="547">
        <v>2</v>
      </c>
    </row>
    <row r="6" spans="1:170" ht="21" customHeight="1" x14ac:dyDescent="0.2">
      <c r="B6" s="957" t="s">
        <v>1009</v>
      </c>
      <c r="C6" s="957"/>
      <c r="D6" s="957"/>
      <c r="E6" s="957"/>
      <c r="F6" s="957"/>
      <c r="G6" s="957"/>
      <c r="H6" s="957"/>
      <c r="I6" s="957"/>
      <c r="J6" s="957"/>
      <c r="K6" s="957"/>
      <c r="L6" s="957"/>
      <c r="M6" s="957"/>
      <c r="N6" s="957"/>
      <c r="O6" s="207"/>
      <c r="P6" s="1598"/>
      <c r="R6" s="15"/>
    </row>
    <row r="7" spans="1:170" ht="33" customHeight="1" x14ac:dyDescent="0.25">
      <c r="B7" s="1037" t="s">
        <v>931</v>
      </c>
      <c r="C7" s="1037"/>
      <c r="D7" s="1037"/>
      <c r="E7" s="1037"/>
      <c r="F7" s="1037"/>
      <c r="G7" s="1037"/>
      <c r="H7" s="1037"/>
      <c r="I7" s="1037"/>
      <c r="J7" s="1037"/>
      <c r="K7" s="1037"/>
      <c r="L7" s="1037"/>
      <c r="M7" s="1037"/>
      <c r="N7" s="1037"/>
      <c r="O7" s="1037"/>
      <c r="P7" s="1037"/>
    </row>
    <row r="8" spans="1:170" x14ac:dyDescent="0.2">
      <c r="C8" s="1294" t="str">
        <f>IF(U1&lt;&gt;"",U1,"")</f>
        <v>Go to PPD Worksheet</v>
      </c>
      <c r="D8" s="1294"/>
      <c r="E8" s="1294"/>
      <c r="F8" s="1294"/>
      <c r="G8" s="1294"/>
      <c r="H8" s="1294"/>
      <c r="I8" s="1464" t="str">
        <f>IF(T1&lt;&gt;"",T1,"")</f>
        <v/>
      </c>
      <c r="J8" s="1464"/>
      <c r="K8" s="1464"/>
      <c r="L8" s="1464"/>
      <c r="M8" s="1464"/>
      <c r="N8" s="1464"/>
    </row>
    <row r="9" spans="1:170" ht="12" hidden="1" customHeight="1" x14ac:dyDescent="0.2">
      <c r="B9" s="146" t="s">
        <v>2296</v>
      </c>
      <c r="C9" s="146"/>
      <c r="D9" s="146"/>
      <c r="E9" s="146"/>
    </row>
    <row r="10" spans="1:170" hidden="1" x14ac:dyDescent="0.2">
      <c r="B10" s="413">
        <v>0.01</v>
      </c>
      <c r="C10" s="1024">
        <v>0.99</v>
      </c>
      <c r="D10" s="1024"/>
      <c r="E10" s="1024"/>
      <c r="F10" s="1"/>
      <c r="G10" s="1"/>
      <c r="H10" s="1"/>
      <c r="I10" s="1"/>
      <c r="J10" s="1"/>
      <c r="K10" s="1"/>
      <c r="L10" s="1"/>
      <c r="M10" s="1"/>
      <c r="N10" s="1"/>
      <c r="O10" s="146" t="s">
        <v>2297</v>
      </c>
      <c r="P10" s="639">
        <f>IF(AND(O6&lt;&gt;"",R5=1),O6*0.05,IF(R5=1,0.05,0))</f>
        <v>0</v>
      </c>
    </row>
    <row r="11" spans="1:170" x14ac:dyDescent="0.2">
      <c r="B11" s="1"/>
      <c r="C11" s="1"/>
      <c r="D11" s="1"/>
      <c r="E11" s="1"/>
      <c r="F11" s="1"/>
      <c r="G11" s="1"/>
      <c r="H11" s="1"/>
      <c r="I11" s="1"/>
      <c r="J11" s="1"/>
      <c r="K11" s="1"/>
      <c r="L11" s="1"/>
      <c r="M11" s="1"/>
      <c r="N11" s="1"/>
    </row>
    <row r="12" spans="1:170" x14ac:dyDescent="0.2">
      <c r="B12" s="1"/>
      <c r="C12" s="1"/>
      <c r="D12" s="1"/>
      <c r="E12" s="1"/>
      <c r="F12" s="1"/>
      <c r="G12" s="1"/>
      <c r="H12" s="1"/>
      <c r="I12" s="1"/>
      <c r="J12" s="1"/>
      <c r="K12" s="1"/>
      <c r="L12" s="1"/>
      <c r="M12" s="1"/>
      <c r="N12" s="1"/>
    </row>
    <row r="13" spans="1:170" x14ac:dyDescent="0.2">
      <c r="B13" s="1"/>
      <c r="C13" s="1"/>
      <c r="D13" s="1"/>
      <c r="E13" s="1"/>
      <c r="F13" s="1"/>
      <c r="G13" s="1"/>
      <c r="H13" s="1"/>
      <c r="I13" s="1"/>
      <c r="J13" s="1"/>
      <c r="K13" s="1"/>
      <c r="L13" s="1"/>
      <c r="M13" s="1"/>
      <c r="N13" s="1"/>
    </row>
    <row r="14" spans="1:170" x14ac:dyDescent="0.2">
      <c r="B14" s="1"/>
      <c r="C14" s="1"/>
      <c r="D14" s="1"/>
      <c r="E14" s="1"/>
      <c r="F14" s="1"/>
      <c r="G14" s="1"/>
      <c r="H14" s="1"/>
      <c r="I14" s="1"/>
      <c r="J14" s="1"/>
      <c r="K14" s="1"/>
      <c r="L14" s="1"/>
      <c r="M14" s="1"/>
      <c r="N14" s="1"/>
    </row>
    <row r="15" spans="1:170" x14ac:dyDescent="0.2">
      <c r="B15" s="1"/>
      <c r="C15" s="1"/>
      <c r="D15" s="1"/>
      <c r="E15" s="1"/>
      <c r="F15" s="1"/>
      <c r="G15" s="1"/>
      <c r="H15" s="1"/>
      <c r="I15" s="1"/>
      <c r="J15" s="1"/>
      <c r="K15" s="1"/>
      <c r="L15" s="1"/>
      <c r="M15" s="1"/>
      <c r="N15" s="1"/>
    </row>
    <row r="16" spans="1:170" x14ac:dyDescent="0.2">
      <c r="B16" s="1"/>
      <c r="C16" s="1"/>
      <c r="D16" s="1"/>
      <c r="E16" s="1"/>
      <c r="F16" s="1"/>
      <c r="G16" s="1"/>
      <c r="H16" s="1"/>
      <c r="I16" s="1"/>
      <c r="J16" s="1"/>
      <c r="K16" s="1"/>
      <c r="L16" s="1"/>
      <c r="M16" s="1"/>
      <c r="N16" s="1"/>
    </row>
  </sheetData>
  <sheetProtection sheet="1" objects="1" scenarios="1"/>
  <mergeCells count="13">
    <mergeCell ref="C10:E10"/>
    <mergeCell ref="P5:P6"/>
    <mergeCell ref="B4:O4"/>
    <mergeCell ref="C8:H8"/>
    <mergeCell ref="I8:N8"/>
    <mergeCell ref="C1:J1"/>
    <mergeCell ref="L1:P1"/>
    <mergeCell ref="B2:P2"/>
    <mergeCell ref="B7:P7"/>
    <mergeCell ref="L5:O5"/>
    <mergeCell ref="B5:K5"/>
    <mergeCell ref="B3:P3"/>
    <mergeCell ref="B6:N6"/>
  </mergeCells>
  <phoneticPr fontId="0" type="noConversion"/>
  <dataValidations xWindow="804" yWindow="311" count="3">
    <dataValidation type="decimal" operator="equal" allowBlank="1" showInputMessage="1" showErrorMessage="1" promptTitle="Chronic condition" prompt="Check Yes or No." sqref="A5" xr:uid="{00000000-0002-0000-1100-000000000000}">
      <formula1>W5</formula1>
    </dataValidation>
    <dataValidation type="decimal" allowBlank="1" showInputMessage="1" showErrorMessage="1" promptTitle="Apportionment (if any)" prompt="Enter percentage of impairment caused by the injury or illness. See OAR 436-035-0013." sqref="O6" xr:uid="{00000000-0002-0000-1100-000001000000}">
      <formula1>$B$10</formula1>
      <formula2>$C$10</formula2>
    </dataValidation>
    <dataValidation type="decimal" operator="equal" allowBlank="1" showInputMessage="1" showErrorMessage="1" sqref="A1" xr:uid="{00000000-0002-0000-1100-000002000000}">
      <formula1>BA1</formula1>
    </dataValidation>
  </dataValidations>
  <hyperlinks>
    <hyperlink ref="I8:N8" location="'PPD DOI on or after 2005'!A1" display="'PPD DOI on or after 2005'!A1" xr:uid="{00000000-0004-0000-1100-000000000000}"/>
    <hyperlink ref="C8:H8" location="'PPD DOI before 2005'!A1" display="'PPD DOI before 2005'!A1" xr:uid="{00000000-0004-0000-11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7346" r:id="rId4" name="Group Box 2">
              <controlPr defaultSize="0" autoFill="0" autoPict="0">
                <anchor moveWithCells="1" sizeWithCells="1">
                  <from>
                    <xdr:col>11</xdr:col>
                    <xdr:colOff>0</xdr:colOff>
                    <xdr:row>4</xdr:row>
                    <xdr:rowOff>0</xdr:rowOff>
                  </from>
                  <to>
                    <xdr:col>15</xdr:col>
                    <xdr:colOff>0</xdr:colOff>
                    <xdr:row>5</xdr:row>
                    <xdr:rowOff>0</xdr:rowOff>
                  </to>
                </anchor>
              </controlPr>
            </control>
          </mc:Choice>
        </mc:AlternateContent>
        <mc:AlternateContent xmlns:mc="http://schemas.openxmlformats.org/markup-compatibility/2006">
          <mc:Choice Requires="x14">
            <control shapeId="57347" r:id="rId5" name="Option Button 3">
              <controlPr defaultSize="0" autoFill="0" autoLine="0" autoPict="0">
                <anchor moveWithCells="1" sizeWithCells="1">
                  <from>
                    <xdr:col>11</xdr:col>
                    <xdr:colOff>152400</xdr:colOff>
                    <xdr:row>4</xdr:row>
                    <xdr:rowOff>19050</xdr:rowOff>
                  </from>
                  <to>
                    <xdr:col>13</xdr:col>
                    <xdr:colOff>47625</xdr:colOff>
                    <xdr:row>4</xdr:row>
                    <xdr:rowOff>238125</xdr:rowOff>
                  </to>
                </anchor>
              </controlPr>
            </control>
          </mc:Choice>
        </mc:AlternateContent>
        <mc:AlternateContent xmlns:mc="http://schemas.openxmlformats.org/markup-compatibility/2006">
          <mc:Choice Requires="x14">
            <control shapeId="57348" r:id="rId6" name="Option Button 4">
              <controlPr defaultSize="0" autoFill="0" autoLine="0" autoPict="0">
                <anchor moveWithCells="1" sizeWithCells="1">
                  <from>
                    <xdr:col>13</xdr:col>
                    <xdr:colOff>200025</xdr:colOff>
                    <xdr:row>4</xdr:row>
                    <xdr:rowOff>19050</xdr:rowOff>
                  </from>
                  <to>
                    <xdr:col>14</xdr:col>
                    <xdr:colOff>400050</xdr:colOff>
                    <xdr:row>4</xdr:row>
                    <xdr:rowOff>238125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N21"/>
  <sheetViews>
    <sheetView showGridLines="0" zoomScale="120" zoomScaleNormal="120" workbookViewId="0"/>
  </sheetViews>
  <sheetFormatPr defaultColWidth="2.42578125" defaultRowHeight="12.75" x14ac:dyDescent="0.2"/>
  <cols>
    <col min="1" max="1" width="1.5703125" style="2" customWidth="1"/>
    <col min="2" max="2" width="19.7109375" style="2" customWidth="1"/>
    <col min="3" max="4" width="2.7109375" style="2" customWidth="1"/>
    <col min="5" max="13" width="3.7109375" style="2" customWidth="1"/>
    <col min="14" max="14" width="4.42578125" style="2" customWidth="1"/>
    <col min="15" max="15" width="8.42578125" style="2" customWidth="1"/>
    <col min="16" max="16" width="8.7109375" style="2" customWidth="1"/>
    <col min="17" max="17" width="1.28515625" style="2" customWidth="1"/>
    <col min="18" max="25" width="12.7109375" style="2" hidden="1" customWidth="1"/>
    <col min="26" max="130" width="2.42578125" style="2" hidden="1" customWidth="1"/>
    <col min="131" max="255" width="2.42578125" style="2" customWidth="1"/>
    <col min="256" max="16384" width="2.42578125" style="2"/>
  </cols>
  <sheetData>
    <row r="1" spans="1:170" ht="15" customHeight="1" x14ac:dyDescent="0.2">
      <c r="B1" s="10" t="s">
        <v>1697</v>
      </c>
      <c r="D1" s="732" t="str">
        <f>IF('Start here'!A6="","",'Start here'!A6)</f>
        <v/>
      </c>
      <c r="E1" s="736"/>
      <c r="F1" s="736"/>
      <c r="G1" s="736"/>
      <c r="H1" s="736"/>
      <c r="I1" s="736"/>
      <c r="J1" s="736"/>
      <c r="K1" s="737"/>
      <c r="M1" s="732" t="str">
        <f>IF('Start here'!A7="","",'Start here'!A7)</f>
        <v/>
      </c>
      <c r="N1" s="736"/>
      <c r="O1" s="736"/>
      <c r="P1" s="737"/>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2">
      <c r="B2" s="777"/>
      <c r="C2" s="777"/>
      <c r="D2" s="777"/>
      <c r="E2" s="777"/>
      <c r="F2" s="777"/>
      <c r="G2" s="777"/>
      <c r="H2" s="777"/>
      <c r="I2" s="777"/>
      <c r="J2" s="777"/>
      <c r="K2" s="777"/>
      <c r="L2" s="777"/>
      <c r="M2" s="777"/>
      <c r="N2" s="777"/>
      <c r="O2" s="777"/>
      <c r="P2" s="777"/>
    </row>
    <row r="3" spans="1:170" ht="24" customHeight="1" x14ac:dyDescent="0.3">
      <c r="B3" s="905" t="s">
        <v>1264</v>
      </c>
      <c r="C3" s="905"/>
      <c r="D3" s="905"/>
      <c r="E3" s="905"/>
      <c r="F3" s="905"/>
      <c r="G3" s="905"/>
      <c r="H3" s="905"/>
      <c r="I3" s="905"/>
      <c r="J3" s="905"/>
      <c r="K3" s="905"/>
      <c r="L3" s="905"/>
      <c r="M3" s="905"/>
      <c r="N3" s="905"/>
      <c r="O3" s="905"/>
      <c r="P3" s="905"/>
    </row>
    <row r="4" spans="1:170" ht="27" customHeight="1" x14ac:dyDescent="0.3">
      <c r="B4" s="424"/>
      <c r="C4" s="864" t="s">
        <v>1780</v>
      </c>
      <c r="D4" s="865"/>
      <c r="E4" s="865"/>
      <c r="F4" s="865"/>
      <c r="G4" s="865"/>
      <c r="H4" s="865"/>
      <c r="I4" s="865"/>
      <c r="J4" s="865"/>
      <c r="K4" s="865"/>
      <c r="L4" s="866"/>
      <c r="M4" s="907" t="s">
        <v>1495</v>
      </c>
      <c r="N4" s="911"/>
      <c r="O4" s="908"/>
      <c r="P4" s="424"/>
      <c r="S4" s="127" t="s">
        <v>2239</v>
      </c>
      <c r="T4" s="13" t="s">
        <v>1285</v>
      </c>
      <c r="U4" s="13" t="s">
        <v>1286</v>
      </c>
      <c r="V4" s="13" t="s">
        <v>1287</v>
      </c>
      <c r="W4" s="19" t="s">
        <v>1008</v>
      </c>
    </row>
    <row r="5" spans="1:170" ht="21" customHeight="1" x14ac:dyDescent="0.2">
      <c r="B5" s="267" t="s">
        <v>1054</v>
      </c>
      <c r="C5" s="1600"/>
      <c r="D5" s="1601"/>
      <c r="E5" s="1601"/>
      <c r="F5" s="1601"/>
      <c r="G5" s="1601"/>
      <c r="H5" s="1601"/>
      <c r="I5" s="1601"/>
      <c r="J5" s="1601"/>
      <c r="K5" s="1601"/>
      <c r="L5" s="1602"/>
      <c r="M5" s="738">
        <f t="shared" ref="M5:M10" si="0">IF(S5=2,0.05,IF(S5=3,0.2,IF(S5=4,0.4,IF(S5=5,0.78,0))))</f>
        <v>0</v>
      </c>
      <c r="N5" s="740"/>
      <c r="O5" s="209"/>
      <c r="P5" s="21">
        <f t="shared" ref="P5:P11" si="1">IF(AND(W5&gt;0,W5&lt;0.01),0.01,ROUND(W5,2))</f>
        <v>0</v>
      </c>
      <c r="S5" s="547">
        <v>1</v>
      </c>
      <c r="T5" s="365">
        <f>LARGE($P$5:$P$11,1)</f>
        <v>0</v>
      </c>
      <c r="U5" s="402">
        <f>T5+T6*(1-T5)</f>
        <v>0</v>
      </c>
      <c r="V5" s="389">
        <f t="shared" ref="V5:V10" si="2">ROUND(U5,2)</f>
        <v>0</v>
      </c>
      <c r="W5" s="365">
        <f t="shared" ref="W5:W11" si="3">IF(O5&gt;0,O5*M5,M5)</f>
        <v>0</v>
      </c>
    </row>
    <row r="6" spans="1:170" ht="21" customHeight="1" x14ac:dyDescent="0.2">
      <c r="B6" s="267" t="s">
        <v>1055</v>
      </c>
      <c r="C6" s="1600"/>
      <c r="D6" s="1601"/>
      <c r="E6" s="1601"/>
      <c r="F6" s="1601"/>
      <c r="G6" s="1601"/>
      <c r="H6" s="1601"/>
      <c r="I6" s="1601"/>
      <c r="J6" s="1601"/>
      <c r="K6" s="1601"/>
      <c r="L6" s="1602"/>
      <c r="M6" s="738">
        <f t="shared" si="0"/>
        <v>0</v>
      </c>
      <c r="N6" s="740"/>
      <c r="O6" s="208"/>
      <c r="P6" s="21">
        <f t="shared" si="1"/>
        <v>0</v>
      </c>
      <c r="S6" s="547">
        <v>1</v>
      </c>
      <c r="T6" s="365">
        <f>LARGE($P$5:$P$11,2)</f>
        <v>0</v>
      </c>
      <c r="U6" s="402">
        <f>V5+T7*(1-V5)</f>
        <v>0</v>
      </c>
      <c r="V6" s="389">
        <f t="shared" si="2"/>
        <v>0</v>
      </c>
      <c r="W6" s="365">
        <f t="shared" si="3"/>
        <v>0</v>
      </c>
    </row>
    <row r="7" spans="1:170" ht="27" customHeight="1" x14ac:dyDescent="0.2">
      <c r="B7" s="267" t="s">
        <v>1056</v>
      </c>
      <c r="C7" s="1600"/>
      <c r="D7" s="1601"/>
      <c r="E7" s="1601"/>
      <c r="F7" s="1601"/>
      <c r="G7" s="1601"/>
      <c r="H7" s="1601"/>
      <c r="I7" s="1601"/>
      <c r="J7" s="1601"/>
      <c r="K7" s="1601"/>
      <c r="L7" s="1602"/>
      <c r="M7" s="738">
        <f t="shared" si="0"/>
        <v>0</v>
      </c>
      <c r="N7" s="740"/>
      <c r="O7" s="208"/>
      <c r="P7" s="21">
        <f t="shared" si="1"/>
        <v>0</v>
      </c>
      <c r="S7" s="547">
        <v>1</v>
      </c>
      <c r="T7" s="365">
        <f>LARGE($P$5:$P$11,3)</f>
        <v>0</v>
      </c>
      <c r="U7" s="402">
        <f>V6+T8*(1-V6)</f>
        <v>0</v>
      </c>
      <c r="V7" s="389">
        <f t="shared" si="2"/>
        <v>0</v>
      </c>
      <c r="W7" s="365">
        <f t="shared" si="3"/>
        <v>0</v>
      </c>
    </row>
    <row r="8" spans="1:170" ht="21" customHeight="1" x14ac:dyDescent="0.2">
      <c r="B8" s="267" t="s">
        <v>1057</v>
      </c>
      <c r="C8" s="1600"/>
      <c r="D8" s="1601"/>
      <c r="E8" s="1601"/>
      <c r="F8" s="1601"/>
      <c r="G8" s="1601"/>
      <c r="H8" s="1601"/>
      <c r="I8" s="1601"/>
      <c r="J8" s="1601"/>
      <c r="K8" s="1601"/>
      <c r="L8" s="1602"/>
      <c r="M8" s="738">
        <f t="shared" si="0"/>
        <v>0</v>
      </c>
      <c r="N8" s="740"/>
      <c r="O8" s="208"/>
      <c r="P8" s="21">
        <f t="shared" si="1"/>
        <v>0</v>
      </c>
      <c r="S8" s="547">
        <v>1</v>
      </c>
      <c r="T8" s="365">
        <f>LARGE($P$5:$P$11,4)</f>
        <v>0</v>
      </c>
      <c r="U8" s="402">
        <f>V7+T9*(1-V7)</f>
        <v>0</v>
      </c>
      <c r="V8" s="389">
        <f t="shared" si="2"/>
        <v>0</v>
      </c>
      <c r="W8" s="365">
        <f t="shared" si="3"/>
        <v>0</v>
      </c>
    </row>
    <row r="9" spans="1:170" ht="21" customHeight="1" x14ac:dyDescent="0.2">
      <c r="B9" s="267" t="s">
        <v>1030</v>
      </c>
      <c r="C9" s="1600"/>
      <c r="D9" s="1601"/>
      <c r="E9" s="1601"/>
      <c r="F9" s="1601"/>
      <c r="G9" s="1601"/>
      <c r="H9" s="1601"/>
      <c r="I9" s="1601"/>
      <c r="J9" s="1601"/>
      <c r="K9" s="1601"/>
      <c r="L9" s="1602"/>
      <c r="M9" s="914">
        <f t="shared" si="0"/>
        <v>0</v>
      </c>
      <c r="N9" s="914"/>
      <c r="O9" s="207"/>
      <c r="P9" s="21">
        <f t="shared" si="1"/>
        <v>0</v>
      </c>
      <c r="S9" s="547">
        <v>1</v>
      </c>
      <c r="T9" s="365">
        <f>LARGE($P$5:$P$11,5)</f>
        <v>0</v>
      </c>
      <c r="U9" s="402">
        <f>V8+T10*(1-V8)</f>
        <v>0</v>
      </c>
      <c r="V9" s="389">
        <f t="shared" si="2"/>
        <v>0</v>
      </c>
      <c r="W9" s="365">
        <f t="shared" si="3"/>
        <v>0</v>
      </c>
    </row>
    <row r="10" spans="1:170" ht="21" customHeight="1" x14ac:dyDescent="0.2">
      <c r="B10" s="267" t="s">
        <v>1031</v>
      </c>
      <c r="C10" s="1600"/>
      <c r="D10" s="1601"/>
      <c r="E10" s="1601"/>
      <c r="F10" s="1601"/>
      <c r="G10" s="1601"/>
      <c r="H10" s="1601"/>
      <c r="I10" s="1601"/>
      <c r="J10" s="1601"/>
      <c r="K10" s="1601"/>
      <c r="L10" s="1602"/>
      <c r="M10" s="914">
        <f t="shared" si="0"/>
        <v>0</v>
      </c>
      <c r="N10" s="914"/>
      <c r="O10" s="207"/>
      <c r="P10" s="21">
        <f t="shared" si="1"/>
        <v>0</v>
      </c>
      <c r="S10" s="547">
        <v>1</v>
      </c>
      <c r="T10" s="365">
        <f>LARGE($P$5:$P$11,6)</f>
        <v>0</v>
      </c>
      <c r="U10" s="402">
        <f>V9+T11*(1-V9)</f>
        <v>0</v>
      </c>
      <c r="V10" s="389">
        <f t="shared" si="2"/>
        <v>0</v>
      </c>
      <c r="W10" s="365">
        <f t="shared" si="3"/>
        <v>0</v>
      </c>
    </row>
    <row r="11" spans="1:170" ht="21" customHeight="1" x14ac:dyDescent="0.2">
      <c r="B11" s="267" t="s">
        <v>1032</v>
      </c>
      <c r="C11" s="261"/>
      <c r="D11" s="262"/>
      <c r="E11" s="262"/>
      <c r="F11" s="262"/>
      <c r="G11" s="262"/>
      <c r="H11" s="262"/>
      <c r="I11" s="262"/>
      <c r="J11" s="262"/>
      <c r="K11" s="262"/>
      <c r="L11" s="262"/>
      <c r="M11" s="914">
        <f>IF(S11=1,0.5,0)</f>
        <v>0</v>
      </c>
      <c r="N11" s="914"/>
      <c r="O11" s="207"/>
      <c r="P11" s="21">
        <f t="shared" si="1"/>
        <v>0</v>
      </c>
      <c r="S11" s="547">
        <v>2</v>
      </c>
      <c r="T11" s="365">
        <f>LARGE($P$5:$P$11,7)</f>
        <v>0</v>
      </c>
      <c r="W11" s="365">
        <f t="shared" si="3"/>
        <v>0</v>
      </c>
    </row>
    <row r="12" spans="1:170" ht="21" customHeight="1" x14ac:dyDescent="0.2">
      <c r="B12" s="28"/>
      <c r="C12" s="1358" t="s">
        <v>1033</v>
      </c>
      <c r="D12" s="1359"/>
      <c r="E12" s="1359"/>
      <c r="F12" s="1359"/>
      <c r="G12" s="1359"/>
      <c r="H12" s="1359"/>
      <c r="I12" s="1359"/>
      <c r="J12" s="1359"/>
      <c r="K12" s="1359"/>
      <c r="L12" s="1359"/>
      <c r="M12" s="1359"/>
      <c r="N12" s="1359"/>
      <c r="O12" s="1360"/>
      <c r="P12" s="271">
        <f>V10</f>
        <v>0</v>
      </c>
    </row>
    <row r="13" spans="1:170" ht="33.75" customHeight="1" x14ac:dyDescent="0.25">
      <c r="B13" s="1037" t="s">
        <v>931</v>
      </c>
      <c r="C13" s="1037"/>
      <c r="D13" s="1037"/>
      <c r="E13" s="1037"/>
      <c r="F13" s="1037"/>
      <c r="G13" s="1037"/>
      <c r="H13" s="1037"/>
      <c r="I13" s="1037"/>
      <c r="J13" s="1037"/>
      <c r="K13" s="1037"/>
      <c r="L13" s="1037"/>
      <c r="M13" s="1037"/>
      <c r="N13" s="1037"/>
      <c r="O13" s="1037"/>
      <c r="P13" s="1037"/>
    </row>
    <row r="14" spans="1:170" x14ac:dyDescent="0.2">
      <c r="A14" s="15"/>
      <c r="C14" s="1603"/>
      <c r="D14" s="1603"/>
      <c r="E14" s="1603"/>
      <c r="F14" s="1603"/>
      <c r="G14" s="1603"/>
    </row>
    <row r="15" spans="1:170" x14ac:dyDescent="0.2">
      <c r="B15" s="2" t="s">
        <v>2006</v>
      </c>
      <c r="C15" s="1603"/>
      <c r="D15" s="1603"/>
      <c r="E15" s="1603"/>
      <c r="F15" s="1603"/>
      <c r="G15" s="1603"/>
      <c r="I15" s="1544" t="str">
        <f>IF(U1&lt;&gt;"",U1,"")</f>
        <v>Go to PPD Worksheet</v>
      </c>
      <c r="J15" s="1544"/>
      <c r="K15" s="1544"/>
      <c r="L15" s="1544"/>
      <c r="M15" s="1544"/>
      <c r="N15" s="1544"/>
    </row>
    <row r="16" spans="1:170" x14ac:dyDescent="0.2">
      <c r="B16" s="2" t="s">
        <v>2008</v>
      </c>
      <c r="C16" s="1603"/>
      <c r="D16" s="1603"/>
      <c r="E16" s="1603"/>
      <c r="F16" s="1603"/>
      <c r="G16" s="1603"/>
      <c r="I16" s="1544"/>
      <c r="J16" s="1544"/>
      <c r="K16" s="1544"/>
      <c r="L16" s="1544"/>
      <c r="M16" s="1544"/>
      <c r="N16" s="1544"/>
    </row>
    <row r="17" spans="2:14" ht="15" x14ac:dyDescent="0.25">
      <c r="B17" s="145"/>
      <c r="C17" s="1603"/>
      <c r="D17" s="1603"/>
      <c r="E17" s="1603"/>
      <c r="F17" s="1603"/>
      <c r="G17" s="1603"/>
      <c r="I17" s="1599" t="str">
        <f>IF(T1&lt;&gt;"",T1,"")</f>
        <v/>
      </c>
      <c r="J17" s="1599"/>
      <c r="K17" s="1599"/>
      <c r="L17" s="1599"/>
      <c r="M17" s="1599"/>
      <c r="N17" s="1599"/>
    </row>
    <row r="18" spans="2:14" x14ac:dyDescent="0.2">
      <c r="C18" s="1603"/>
      <c r="D18" s="1603"/>
      <c r="E18" s="1603"/>
      <c r="F18" s="1603"/>
      <c r="G18" s="1603"/>
    </row>
    <row r="21" spans="2:14" hidden="1" x14ac:dyDescent="0.2">
      <c r="B21" s="2">
        <v>0.01</v>
      </c>
      <c r="C21" s="2">
        <v>0.99</v>
      </c>
    </row>
  </sheetData>
  <sheetProtection sheet="1" objects="1" scenarios="1"/>
  <mergeCells count="25">
    <mergeCell ref="C8:L8"/>
    <mergeCell ref="M1:P1"/>
    <mergeCell ref="D1:K1"/>
    <mergeCell ref="C10:L10"/>
    <mergeCell ref="M5:N5"/>
    <mergeCell ref="M6:N6"/>
    <mergeCell ref="B2:P2"/>
    <mergeCell ref="M4:O4"/>
    <mergeCell ref="B3:P3"/>
    <mergeCell ref="C12:O12"/>
    <mergeCell ref="I17:N17"/>
    <mergeCell ref="I16:N16"/>
    <mergeCell ref="C9:L9"/>
    <mergeCell ref="C4:L4"/>
    <mergeCell ref="C5:L5"/>
    <mergeCell ref="M7:N7"/>
    <mergeCell ref="M8:N8"/>
    <mergeCell ref="C14:G18"/>
    <mergeCell ref="B13:P13"/>
    <mergeCell ref="C6:L6"/>
    <mergeCell ref="I15:N15"/>
    <mergeCell ref="M11:N11"/>
    <mergeCell ref="M9:N9"/>
    <mergeCell ref="M10:N10"/>
    <mergeCell ref="C7:L7"/>
  </mergeCells>
  <phoneticPr fontId="0" type="noConversion"/>
  <dataValidations xWindow="636" yWindow="282" count="1">
    <dataValidation type="decimal" allowBlank="1" showInputMessage="1" showErrorMessage="1" promptTitle="Apportionment (if any)" prompt="Enter percentage of impairment caused by the injury or illness. See OAR 436-035-0013." sqref="O5:O11" xr:uid="{00000000-0002-0000-1200-000000000000}">
      <formula1>$B$21</formula1>
      <formula2>$C$21</formula2>
    </dataValidation>
  </dataValidations>
  <hyperlinks>
    <hyperlink ref="I15:N15" location="'PPD DOI before 2005'!A1" display="'PPD DOI before 2005'!A1" xr:uid="{00000000-0004-0000-1200-000000000000}"/>
    <hyperlink ref="I17:N17" location="'PPD DOI on or after 2005'!A1" display="'PPD DOI on or after 2005'!A1" xr:uid="{00000000-0004-0000-12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26671" r:id="rId4">
          <objectPr locked="0" defaultSize="0" r:id="rId5">
            <anchor moveWithCells="1">
              <from>
                <xdr:col>2</xdr:col>
                <xdr:colOff>85725</xdr:colOff>
                <xdr:row>13</xdr:row>
                <xdr:rowOff>104775</xdr:rowOff>
              </from>
              <to>
                <xdr:col>6</xdr:col>
                <xdr:colOff>142875</xdr:colOff>
                <xdr:row>18</xdr:row>
                <xdr:rowOff>38100</xdr:rowOff>
              </to>
            </anchor>
          </objectPr>
        </oleObject>
      </mc:Choice>
      <mc:Fallback>
        <oleObject progId="Document" dvAspect="DVASPECT_ICON" shapeId="26671" r:id="rId4"/>
      </mc:Fallback>
    </mc:AlternateContent>
  </oleObjects>
  <mc:AlternateContent xmlns:mc="http://schemas.openxmlformats.org/markup-compatibility/2006">
    <mc:Choice Requires="x14">
      <controls>
        <mc:AlternateContent xmlns:mc="http://schemas.openxmlformats.org/markup-compatibility/2006">
          <mc:Choice Requires="x14">
            <control shapeId="26626" r:id="rId6" name="Group Box 2">
              <controlPr defaultSize="0" autoFill="0" autoPict="0">
                <anchor moveWithCells="1" sizeWithCells="1">
                  <from>
                    <xdr:col>2</xdr:col>
                    <xdr:colOff>0</xdr:colOff>
                    <xdr:row>4</xdr:row>
                    <xdr:rowOff>0</xdr:rowOff>
                  </from>
                  <to>
                    <xdr:col>12</xdr:col>
                    <xdr:colOff>0</xdr:colOff>
                    <xdr:row>5</xdr:row>
                    <xdr:rowOff>0</xdr:rowOff>
                  </to>
                </anchor>
              </controlPr>
            </control>
          </mc:Choice>
        </mc:AlternateContent>
        <mc:AlternateContent xmlns:mc="http://schemas.openxmlformats.org/markup-compatibility/2006">
          <mc:Choice Requires="x14">
            <control shapeId="26627" r:id="rId7" name="Option Button 3">
              <controlPr defaultSize="0" autoFill="0" autoLine="0" autoPict="0">
                <anchor moveWithCells="1" sizeWithCells="1">
                  <from>
                    <xdr:col>3</xdr:col>
                    <xdr:colOff>123825</xdr:colOff>
                    <xdr:row>4</xdr:row>
                    <xdr:rowOff>19050</xdr:rowOff>
                  </from>
                  <to>
                    <xdr:col>6</xdr:col>
                    <xdr:colOff>66675</xdr:colOff>
                    <xdr:row>4</xdr:row>
                    <xdr:rowOff>247650</xdr:rowOff>
                  </to>
                </anchor>
              </controlPr>
            </control>
          </mc:Choice>
        </mc:AlternateContent>
        <mc:AlternateContent xmlns:mc="http://schemas.openxmlformats.org/markup-compatibility/2006">
          <mc:Choice Requires="x14">
            <control shapeId="26628" r:id="rId8" name="Option Button 4">
              <controlPr defaultSize="0" autoFill="0" autoLine="0" autoPict="0">
                <anchor moveWithCells="1" sizeWithCells="1">
                  <from>
                    <xdr:col>6</xdr:col>
                    <xdr:colOff>123825</xdr:colOff>
                    <xdr:row>4</xdr:row>
                    <xdr:rowOff>19050</xdr:rowOff>
                  </from>
                  <to>
                    <xdr:col>7</xdr:col>
                    <xdr:colOff>180975</xdr:colOff>
                    <xdr:row>4</xdr:row>
                    <xdr:rowOff>247650</xdr:rowOff>
                  </to>
                </anchor>
              </controlPr>
            </control>
          </mc:Choice>
        </mc:AlternateContent>
        <mc:AlternateContent xmlns:mc="http://schemas.openxmlformats.org/markup-compatibility/2006">
          <mc:Choice Requires="x14">
            <control shapeId="26629" r:id="rId9" name="Option Button 5">
              <controlPr defaultSize="0" autoFill="0" autoLine="0" autoPict="0">
                <anchor moveWithCells="1" sizeWithCells="1">
                  <from>
                    <xdr:col>7</xdr:col>
                    <xdr:colOff>180975</xdr:colOff>
                    <xdr:row>4</xdr:row>
                    <xdr:rowOff>19050</xdr:rowOff>
                  </from>
                  <to>
                    <xdr:col>8</xdr:col>
                    <xdr:colOff>238125</xdr:colOff>
                    <xdr:row>4</xdr:row>
                    <xdr:rowOff>247650</xdr:rowOff>
                  </to>
                </anchor>
              </controlPr>
            </control>
          </mc:Choice>
        </mc:AlternateContent>
        <mc:AlternateContent xmlns:mc="http://schemas.openxmlformats.org/markup-compatibility/2006">
          <mc:Choice Requires="x14">
            <control shapeId="26630" r:id="rId10" name="Option Button 6">
              <controlPr defaultSize="0" autoFill="0" autoLine="0" autoPict="0">
                <anchor moveWithCells="1" sizeWithCells="1">
                  <from>
                    <xdr:col>9</xdr:col>
                    <xdr:colOff>0</xdr:colOff>
                    <xdr:row>4</xdr:row>
                    <xdr:rowOff>19050</xdr:rowOff>
                  </from>
                  <to>
                    <xdr:col>10</xdr:col>
                    <xdr:colOff>57150</xdr:colOff>
                    <xdr:row>4</xdr:row>
                    <xdr:rowOff>247650</xdr:rowOff>
                  </to>
                </anchor>
              </controlPr>
            </control>
          </mc:Choice>
        </mc:AlternateContent>
        <mc:AlternateContent xmlns:mc="http://schemas.openxmlformats.org/markup-compatibility/2006">
          <mc:Choice Requires="x14">
            <control shapeId="26631" r:id="rId11" name="Option Button 7">
              <controlPr defaultSize="0" autoFill="0" autoLine="0" autoPict="0">
                <anchor moveWithCells="1" sizeWithCells="1">
                  <from>
                    <xdr:col>10</xdr:col>
                    <xdr:colOff>66675</xdr:colOff>
                    <xdr:row>4</xdr:row>
                    <xdr:rowOff>19050</xdr:rowOff>
                  </from>
                  <to>
                    <xdr:col>11</xdr:col>
                    <xdr:colOff>123825</xdr:colOff>
                    <xdr:row>4</xdr:row>
                    <xdr:rowOff>247650</xdr:rowOff>
                  </to>
                </anchor>
              </controlPr>
            </control>
          </mc:Choice>
        </mc:AlternateContent>
        <mc:AlternateContent xmlns:mc="http://schemas.openxmlformats.org/markup-compatibility/2006">
          <mc:Choice Requires="x14">
            <control shapeId="26633" r:id="rId12" name="Group Box 9">
              <controlPr defaultSize="0" autoFill="0" autoPict="0">
                <anchor moveWithCells="1" sizeWithCells="1">
                  <from>
                    <xdr:col>2</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26634" r:id="rId13" name="Option Button 10">
              <controlPr defaultSize="0" autoFill="0" autoLine="0" autoPict="0">
                <anchor moveWithCells="1" sizeWithCells="1">
                  <from>
                    <xdr:col>3</xdr:col>
                    <xdr:colOff>123825</xdr:colOff>
                    <xdr:row>9</xdr:row>
                    <xdr:rowOff>38100</xdr:rowOff>
                  </from>
                  <to>
                    <xdr:col>6</xdr:col>
                    <xdr:colOff>66675</xdr:colOff>
                    <xdr:row>9</xdr:row>
                    <xdr:rowOff>257175</xdr:rowOff>
                  </to>
                </anchor>
              </controlPr>
            </control>
          </mc:Choice>
        </mc:AlternateContent>
        <mc:AlternateContent xmlns:mc="http://schemas.openxmlformats.org/markup-compatibility/2006">
          <mc:Choice Requires="x14">
            <control shapeId="26635" r:id="rId14" name="Option Button 11">
              <controlPr defaultSize="0" autoFill="0" autoLine="0" autoPict="0">
                <anchor moveWithCells="1" sizeWithCells="1">
                  <from>
                    <xdr:col>6</xdr:col>
                    <xdr:colOff>123825</xdr:colOff>
                    <xdr:row>9</xdr:row>
                    <xdr:rowOff>38100</xdr:rowOff>
                  </from>
                  <to>
                    <xdr:col>7</xdr:col>
                    <xdr:colOff>180975</xdr:colOff>
                    <xdr:row>9</xdr:row>
                    <xdr:rowOff>257175</xdr:rowOff>
                  </to>
                </anchor>
              </controlPr>
            </control>
          </mc:Choice>
        </mc:AlternateContent>
        <mc:AlternateContent xmlns:mc="http://schemas.openxmlformats.org/markup-compatibility/2006">
          <mc:Choice Requires="x14">
            <control shapeId="26636" r:id="rId15" name="Option Button 12">
              <controlPr defaultSize="0" autoFill="0" autoLine="0" autoPict="0">
                <anchor moveWithCells="1" sizeWithCells="1">
                  <from>
                    <xdr:col>7</xdr:col>
                    <xdr:colOff>180975</xdr:colOff>
                    <xdr:row>9</xdr:row>
                    <xdr:rowOff>38100</xdr:rowOff>
                  </from>
                  <to>
                    <xdr:col>8</xdr:col>
                    <xdr:colOff>238125</xdr:colOff>
                    <xdr:row>9</xdr:row>
                    <xdr:rowOff>257175</xdr:rowOff>
                  </to>
                </anchor>
              </controlPr>
            </control>
          </mc:Choice>
        </mc:AlternateContent>
        <mc:AlternateContent xmlns:mc="http://schemas.openxmlformats.org/markup-compatibility/2006">
          <mc:Choice Requires="x14">
            <control shapeId="26637" r:id="rId16" name="Option Button 13">
              <controlPr defaultSize="0" autoFill="0" autoLine="0" autoPict="0">
                <anchor moveWithCells="1" sizeWithCells="1">
                  <from>
                    <xdr:col>9</xdr:col>
                    <xdr:colOff>0</xdr:colOff>
                    <xdr:row>9</xdr:row>
                    <xdr:rowOff>38100</xdr:rowOff>
                  </from>
                  <to>
                    <xdr:col>10</xdr:col>
                    <xdr:colOff>57150</xdr:colOff>
                    <xdr:row>9</xdr:row>
                    <xdr:rowOff>257175</xdr:rowOff>
                  </to>
                </anchor>
              </controlPr>
            </control>
          </mc:Choice>
        </mc:AlternateContent>
        <mc:AlternateContent xmlns:mc="http://schemas.openxmlformats.org/markup-compatibility/2006">
          <mc:Choice Requires="x14">
            <control shapeId="26638" r:id="rId17" name="Option Button 14">
              <controlPr defaultSize="0" autoFill="0" autoLine="0" autoPict="0">
                <anchor moveWithCells="1" sizeWithCells="1">
                  <from>
                    <xdr:col>10</xdr:col>
                    <xdr:colOff>66675</xdr:colOff>
                    <xdr:row>9</xdr:row>
                    <xdr:rowOff>38100</xdr:rowOff>
                  </from>
                  <to>
                    <xdr:col>11</xdr:col>
                    <xdr:colOff>123825</xdr:colOff>
                    <xdr:row>9</xdr:row>
                    <xdr:rowOff>257175</xdr:rowOff>
                  </to>
                </anchor>
              </controlPr>
            </control>
          </mc:Choice>
        </mc:AlternateContent>
        <mc:AlternateContent xmlns:mc="http://schemas.openxmlformats.org/markup-compatibility/2006">
          <mc:Choice Requires="x14">
            <control shapeId="26640" r:id="rId18" name="Group Box 16">
              <controlPr defaultSize="0" autoFill="0" autoPict="0">
                <anchor moveWithCells="1" sizeWithCells="1">
                  <from>
                    <xdr:col>2</xdr:col>
                    <xdr:colOff>0</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26641" r:id="rId19" name="Option Button 17">
              <controlPr defaultSize="0" autoFill="0" autoLine="0" autoPict="0">
                <anchor moveWithCells="1" sizeWithCells="1">
                  <from>
                    <xdr:col>3</xdr:col>
                    <xdr:colOff>123825</xdr:colOff>
                    <xdr:row>8</xdr:row>
                    <xdr:rowOff>9525</xdr:rowOff>
                  </from>
                  <to>
                    <xdr:col>6</xdr:col>
                    <xdr:colOff>66675</xdr:colOff>
                    <xdr:row>9</xdr:row>
                    <xdr:rowOff>0</xdr:rowOff>
                  </to>
                </anchor>
              </controlPr>
            </control>
          </mc:Choice>
        </mc:AlternateContent>
        <mc:AlternateContent xmlns:mc="http://schemas.openxmlformats.org/markup-compatibility/2006">
          <mc:Choice Requires="x14">
            <control shapeId="26642" r:id="rId20" name="Option Button 18">
              <controlPr defaultSize="0" autoFill="0" autoLine="0" autoPict="0">
                <anchor moveWithCells="1" sizeWithCells="1">
                  <from>
                    <xdr:col>6</xdr:col>
                    <xdr:colOff>123825</xdr:colOff>
                    <xdr:row>8</xdr:row>
                    <xdr:rowOff>9525</xdr:rowOff>
                  </from>
                  <to>
                    <xdr:col>7</xdr:col>
                    <xdr:colOff>180975</xdr:colOff>
                    <xdr:row>9</xdr:row>
                    <xdr:rowOff>0</xdr:rowOff>
                  </to>
                </anchor>
              </controlPr>
            </control>
          </mc:Choice>
        </mc:AlternateContent>
        <mc:AlternateContent xmlns:mc="http://schemas.openxmlformats.org/markup-compatibility/2006">
          <mc:Choice Requires="x14">
            <control shapeId="26643" r:id="rId21" name="Option Button 19">
              <controlPr defaultSize="0" autoFill="0" autoLine="0" autoPict="0">
                <anchor moveWithCells="1" sizeWithCells="1">
                  <from>
                    <xdr:col>7</xdr:col>
                    <xdr:colOff>180975</xdr:colOff>
                    <xdr:row>8</xdr:row>
                    <xdr:rowOff>9525</xdr:rowOff>
                  </from>
                  <to>
                    <xdr:col>8</xdr:col>
                    <xdr:colOff>238125</xdr:colOff>
                    <xdr:row>9</xdr:row>
                    <xdr:rowOff>0</xdr:rowOff>
                  </to>
                </anchor>
              </controlPr>
            </control>
          </mc:Choice>
        </mc:AlternateContent>
        <mc:AlternateContent xmlns:mc="http://schemas.openxmlformats.org/markup-compatibility/2006">
          <mc:Choice Requires="x14">
            <control shapeId="26644" r:id="rId22" name="Option Button 20">
              <controlPr defaultSize="0" autoFill="0" autoLine="0" autoPict="0">
                <anchor moveWithCells="1" sizeWithCells="1">
                  <from>
                    <xdr:col>9</xdr:col>
                    <xdr:colOff>0</xdr:colOff>
                    <xdr:row>8</xdr:row>
                    <xdr:rowOff>9525</xdr:rowOff>
                  </from>
                  <to>
                    <xdr:col>10</xdr:col>
                    <xdr:colOff>57150</xdr:colOff>
                    <xdr:row>9</xdr:row>
                    <xdr:rowOff>0</xdr:rowOff>
                  </to>
                </anchor>
              </controlPr>
            </control>
          </mc:Choice>
        </mc:AlternateContent>
        <mc:AlternateContent xmlns:mc="http://schemas.openxmlformats.org/markup-compatibility/2006">
          <mc:Choice Requires="x14">
            <control shapeId="26645" r:id="rId23" name="Option Button 21">
              <controlPr defaultSize="0" autoFill="0" autoLine="0" autoPict="0">
                <anchor moveWithCells="1" sizeWithCells="1">
                  <from>
                    <xdr:col>10</xdr:col>
                    <xdr:colOff>66675</xdr:colOff>
                    <xdr:row>8</xdr:row>
                    <xdr:rowOff>9525</xdr:rowOff>
                  </from>
                  <to>
                    <xdr:col>11</xdr:col>
                    <xdr:colOff>123825</xdr:colOff>
                    <xdr:row>9</xdr:row>
                    <xdr:rowOff>0</xdr:rowOff>
                  </to>
                </anchor>
              </controlPr>
            </control>
          </mc:Choice>
        </mc:AlternateContent>
        <mc:AlternateContent xmlns:mc="http://schemas.openxmlformats.org/markup-compatibility/2006">
          <mc:Choice Requires="x14">
            <control shapeId="26647" r:id="rId24" name="Group Box 23">
              <controlPr defaultSize="0" autoFill="0" autoPict="0">
                <anchor moveWithCells="1" sizeWithCells="1">
                  <from>
                    <xdr:col>2</xdr:col>
                    <xdr:colOff>0</xdr:colOff>
                    <xdr:row>7</xdr:row>
                    <xdr:rowOff>0</xdr:rowOff>
                  </from>
                  <to>
                    <xdr:col>12</xdr:col>
                    <xdr:colOff>0</xdr:colOff>
                    <xdr:row>8</xdr:row>
                    <xdr:rowOff>0</xdr:rowOff>
                  </to>
                </anchor>
              </controlPr>
            </control>
          </mc:Choice>
        </mc:AlternateContent>
        <mc:AlternateContent xmlns:mc="http://schemas.openxmlformats.org/markup-compatibility/2006">
          <mc:Choice Requires="x14">
            <control shapeId="26648" r:id="rId25" name="Option Button 24">
              <controlPr defaultSize="0" autoFill="0" autoLine="0" autoPict="0">
                <anchor moveWithCells="1" sizeWithCells="1">
                  <from>
                    <xdr:col>3</xdr:col>
                    <xdr:colOff>123825</xdr:colOff>
                    <xdr:row>7</xdr:row>
                    <xdr:rowOff>28575</xdr:rowOff>
                  </from>
                  <to>
                    <xdr:col>6</xdr:col>
                    <xdr:colOff>66675</xdr:colOff>
                    <xdr:row>7</xdr:row>
                    <xdr:rowOff>247650</xdr:rowOff>
                  </to>
                </anchor>
              </controlPr>
            </control>
          </mc:Choice>
        </mc:AlternateContent>
        <mc:AlternateContent xmlns:mc="http://schemas.openxmlformats.org/markup-compatibility/2006">
          <mc:Choice Requires="x14">
            <control shapeId="26649" r:id="rId26" name="Option Button 25">
              <controlPr defaultSize="0" autoFill="0" autoLine="0" autoPict="0">
                <anchor moveWithCells="1" sizeWithCells="1">
                  <from>
                    <xdr:col>6</xdr:col>
                    <xdr:colOff>123825</xdr:colOff>
                    <xdr:row>7</xdr:row>
                    <xdr:rowOff>28575</xdr:rowOff>
                  </from>
                  <to>
                    <xdr:col>7</xdr:col>
                    <xdr:colOff>180975</xdr:colOff>
                    <xdr:row>7</xdr:row>
                    <xdr:rowOff>247650</xdr:rowOff>
                  </to>
                </anchor>
              </controlPr>
            </control>
          </mc:Choice>
        </mc:AlternateContent>
        <mc:AlternateContent xmlns:mc="http://schemas.openxmlformats.org/markup-compatibility/2006">
          <mc:Choice Requires="x14">
            <control shapeId="26650" r:id="rId27" name="Option Button 26">
              <controlPr defaultSize="0" autoFill="0" autoLine="0" autoPict="0">
                <anchor moveWithCells="1" sizeWithCells="1">
                  <from>
                    <xdr:col>7</xdr:col>
                    <xdr:colOff>180975</xdr:colOff>
                    <xdr:row>7</xdr:row>
                    <xdr:rowOff>28575</xdr:rowOff>
                  </from>
                  <to>
                    <xdr:col>8</xdr:col>
                    <xdr:colOff>238125</xdr:colOff>
                    <xdr:row>7</xdr:row>
                    <xdr:rowOff>247650</xdr:rowOff>
                  </to>
                </anchor>
              </controlPr>
            </control>
          </mc:Choice>
        </mc:AlternateContent>
        <mc:AlternateContent xmlns:mc="http://schemas.openxmlformats.org/markup-compatibility/2006">
          <mc:Choice Requires="x14">
            <control shapeId="26651" r:id="rId28" name="Option Button 27">
              <controlPr defaultSize="0" autoFill="0" autoLine="0" autoPict="0">
                <anchor moveWithCells="1" sizeWithCells="1">
                  <from>
                    <xdr:col>9</xdr:col>
                    <xdr:colOff>0</xdr:colOff>
                    <xdr:row>7</xdr:row>
                    <xdr:rowOff>28575</xdr:rowOff>
                  </from>
                  <to>
                    <xdr:col>10</xdr:col>
                    <xdr:colOff>57150</xdr:colOff>
                    <xdr:row>7</xdr:row>
                    <xdr:rowOff>247650</xdr:rowOff>
                  </to>
                </anchor>
              </controlPr>
            </control>
          </mc:Choice>
        </mc:AlternateContent>
        <mc:AlternateContent xmlns:mc="http://schemas.openxmlformats.org/markup-compatibility/2006">
          <mc:Choice Requires="x14">
            <control shapeId="26652" r:id="rId29" name="Option Button 28">
              <controlPr defaultSize="0" autoFill="0" autoLine="0" autoPict="0">
                <anchor moveWithCells="1" sizeWithCells="1">
                  <from>
                    <xdr:col>10</xdr:col>
                    <xdr:colOff>66675</xdr:colOff>
                    <xdr:row>7</xdr:row>
                    <xdr:rowOff>28575</xdr:rowOff>
                  </from>
                  <to>
                    <xdr:col>11</xdr:col>
                    <xdr:colOff>123825</xdr:colOff>
                    <xdr:row>7</xdr:row>
                    <xdr:rowOff>247650</xdr:rowOff>
                  </to>
                </anchor>
              </controlPr>
            </control>
          </mc:Choice>
        </mc:AlternateContent>
        <mc:AlternateContent xmlns:mc="http://schemas.openxmlformats.org/markup-compatibility/2006">
          <mc:Choice Requires="x14">
            <control shapeId="26654" r:id="rId30" name="Group Box 30">
              <controlPr defaultSize="0" autoFill="0" autoPict="0">
                <anchor moveWithCells="1" sizeWithCells="1">
                  <from>
                    <xdr:col>2</xdr:col>
                    <xdr:colOff>0</xdr:colOff>
                    <xdr:row>6</xdr:row>
                    <xdr:rowOff>0</xdr:rowOff>
                  </from>
                  <to>
                    <xdr:col>12</xdr:col>
                    <xdr:colOff>0</xdr:colOff>
                    <xdr:row>7</xdr:row>
                    <xdr:rowOff>0</xdr:rowOff>
                  </to>
                </anchor>
              </controlPr>
            </control>
          </mc:Choice>
        </mc:AlternateContent>
        <mc:AlternateContent xmlns:mc="http://schemas.openxmlformats.org/markup-compatibility/2006">
          <mc:Choice Requires="x14">
            <control shapeId="26655" r:id="rId31" name="Option Button 31">
              <controlPr defaultSize="0" autoFill="0" autoLine="0" autoPict="0">
                <anchor moveWithCells="1" sizeWithCells="1">
                  <from>
                    <xdr:col>3</xdr:col>
                    <xdr:colOff>123825</xdr:colOff>
                    <xdr:row>6</xdr:row>
                    <xdr:rowOff>66675</xdr:rowOff>
                  </from>
                  <to>
                    <xdr:col>6</xdr:col>
                    <xdr:colOff>66675</xdr:colOff>
                    <xdr:row>6</xdr:row>
                    <xdr:rowOff>285750</xdr:rowOff>
                  </to>
                </anchor>
              </controlPr>
            </control>
          </mc:Choice>
        </mc:AlternateContent>
        <mc:AlternateContent xmlns:mc="http://schemas.openxmlformats.org/markup-compatibility/2006">
          <mc:Choice Requires="x14">
            <control shapeId="26656" r:id="rId32" name="Option Button 32">
              <controlPr defaultSize="0" autoFill="0" autoLine="0" autoPict="0">
                <anchor moveWithCells="1" sizeWithCells="1">
                  <from>
                    <xdr:col>6</xdr:col>
                    <xdr:colOff>123825</xdr:colOff>
                    <xdr:row>6</xdr:row>
                    <xdr:rowOff>66675</xdr:rowOff>
                  </from>
                  <to>
                    <xdr:col>7</xdr:col>
                    <xdr:colOff>180975</xdr:colOff>
                    <xdr:row>6</xdr:row>
                    <xdr:rowOff>285750</xdr:rowOff>
                  </to>
                </anchor>
              </controlPr>
            </control>
          </mc:Choice>
        </mc:AlternateContent>
        <mc:AlternateContent xmlns:mc="http://schemas.openxmlformats.org/markup-compatibility/2006">
          <mc:Choice Requires="x14">
            <control shapeId="26657" r:id="rId33" name="Option Button 33">
              <controlPr defaultSize="0" autoFill="0" autoLine="0" autoPict="0">
                <anchor moveWithCells="1" sizeWithCells="1">
                  <from>
                    <xdr:col>7</xdr:col>
                    <xdr:colOff>180975</xdr:colOff>
                    <xdr:row>6</xdr:row>
                    <xdr:rowOff>66675</xdr:rowOff>
                  </from>
                  <to>
                    <xdr:col>8</xdr:col>
                    <xdr:colOff>238125</xdr:colOff>
                    <xdr:row>6</xdr:row>
                    <xdr:rowOff>285750</xdr:rowOff>
                  </to>
                </anchor>
              </controlPr>
            </control>
          </mc:Choice>
        </mc:AlternateContent>
        <mc:AlternateContent xmlns:mc="http://schemas.openxmlformats.org/markup-compatibility/2006">
          <mc:Choice Requires="x14">
            <control shapeId="26658" r:id="rId34" name="Option Button 34">
              <controlPr defaultSize="0" autoFill="0" autoLine="0" autoPict="0">
                <anchor moveWithCells="1" sizeWithCells="1">
                  <from>
                    <xdr:col>9</xdr:col>
                    <xdr:colOff>0</xdr:colOff>
                    <xdr:row>6</xdr:row>
                    <xdr:rowOff>66675</xdr:rowOff>
                  </from>
                  <to>
                    <xdr:col>10</xdr:col>
                    <xdr:colOff>57150</xdr:colOff>
                    <xdr:row>6</xdr:row>
                    <xdr:rowOff>285750</xdr:rowOff>
                  </to>
                </anchor>
              </controlPr>
            </control>
          </mc:Choice>
        </mc:AlternateContent>
        <mc:AlternateContent xmlns:mc="http://schemas.openxmlformats.org/markup-compatibility/2006">
          <mc:Choice Requires="x14">
            <control shapeId="26659" r:id="rId35" name="Option Button 35">
              <controlPr defaultSize="0" autoFill="0" autoLine="0" autoPict="0">
                <anchor moveWithCells="1" sizeWithCells="1">
                  <from>
                    <xdr:col>10</xdr:col>
                    <xdr:colOff>66675</xdr:colOff>
                    <xdr:row>6</xdr:row>
                    <xdr:rowOff>66675</xdr:rowOff>
                  </from>
                  <to>
                    <xdr:col>11</xdr:col>
                    <xdr:colOff>123825</xdr:colOff>
                    <xdr:row>6</xdr:row>
                    <xdr:rowOff>285750</xdr:rowOff>
                  </to>
                </anchor>
              </controlPr>
            </control>
          </mc:Choice>
        </mc:AlternateContent>
        <mc:AlternateContent xmlns:mc="http://schemas.openxmlformats.org/markup-compatibility/2006">
          <mc:Choice Requires="x14">
            <control shapeId="26661" r:id="rId36" name="Group Box 37">
              <controlPr defaultSize="0" autoFill="0" autoPict="0">
                <anchor moveWithCells="1" sizeWithCells="1">
                  <from>
                    <xdr:col>2</xdr:col>
                    <xdr:colOff>0</xdr:colOff>
                    <xdr:row>5</xdr:row>
                    <xdr:rowOff>0</xdr:rowOff>
                  </from>
                  <to>
                    <xdr:col>12</xdr:col>
                    <xdr:colOff>0</xdr:colOff>
                    <xdr:row>6</xdr:row>
                    <xdr:rowOff>0</xdr:rowOff>
                  </to>
                </anchor>
              </controlPr>
            </control>
          </mc:Choice>
        </mc:AlternateContent>
        <mc:AlternateContent xmlns:mc="http://schemas.openxmlformats.org/markup-compatibility/2006">
          <mc:Choice Requires="x14">
            <control shapeId="26662" r:id="rId37" name="Option Button 38">
              <controlPr defaultSize="0" autoFill="0" autoLine="0" autoPict="0">
                <anchor moveWithCells="1" sizeWithCells="1">
                  <from>
                    <xdr:col>3</xdr:col>
                    <xdr:colOff>123825</xdr:colOff>
                    <xdr:row>5</xdr:row>
                    <xdr:rowOff>28575</xdr:rowOff>
                  </from>
                  <to>
                    <xdr:col>6</xdr:col>
                    <xdr:colOff>66675</xdr:colOff>
                    <xdr:row>6</xdr:row>
                    <xdr:rowOff>0</xdr:rowOff>
                  </to>
                </anchor>
              </controlPr>
            </control>
          </mc:Choice>
        </mc:AlternateContent>
        <mc:AlternateContent xmlns:mc="http://schemas.openxmlformats.org/markup-compatibility/2006">
          <mc:Choice Requires="x14">
            <control shapeId="26663" r:id="rId38" name="Option Button 39">
              <controlPr defaultSize="0" autoFill="0" autoLine="0" autoPict="0">
                <anchor moveWithCells="1" sizeWithCells="1">
                  <from>
                    <xdr:col>6</xdr:col>
                    <xdr:colOff>123825</xdr:colOff>
                    <xdr:row>5</xdr:row>
                    <xdr:rowOff>28575</xdr:rowOff>
                  </from>
                  <to>
                    <xdr:col>7</xdr:col>
                    <xdr:colOff>180975</xdr:colOff>
                    <xdr:row>6</xdr:row>
                    <xdr:rowOff>0</xdr:rowOff>
                  </to>
                </anchor>
              </controlPr>
            </control>
          </mc:Choice>
        </mc:AlternateContent>
        <mc:AlternateContent xmlns:mc="http://schemas.openxmlformats.org/markup-compatibility/2006">
          <mc:Choice Requires="x14">
            <control shapeId="26664" r:id="rId39" name="Option Button 40">
              <controlPr defaultSize="0" autoFill="0" autoLine="0" autoPict="0">
                <anchor moveWithCells="1" sizeWithCells="1">
                  <from>
                    <xdr:col>7</xdr:col>
                    <xdr:colOff>180975</xdr:colOff>
                    <xdr:row>5</xdr:row>
                    <xdr:rowOff>28575</xdr:rowOff>
                  </from>
                  <to>
                    <xdr:col>8</xdr:col>
                    <xdr:colOff>238125</xdr:colOff>
                    <xdr:row>6</xdr:row>
                    <xdr:rowOff>0</xdr:rowOff>
                  </to>
                </anchor>
              </controlPr>
            </control>
          </mc:Choice>
        </mc:AlternateContent>
        <mc:AlternateContent xmlns:mc="http://schemas.openxmlformats.org/markup-compatibility/2006">
          <mc:Choice Requires="x14">
            <control shapeId="26665" r:id="rId40" name="Option Button 41">
              <controlPr defaultSize="0" autoFill="0" autoLine="0" autoPict="0">
                <anchor moveWithCells="1" sizeWithCells="1">
                  <from>
                    <xdr:col>9</xdr:col>
                    <xdr:colOff>0</xdr:colOff>
                    <xdr:row>5</xdr:row>
                    <xdr:rowOff>28575</xdr:rowOff>
                  </from>
                  <to>
                    <xdr:col>10</xdr:col>
                    <xdr:colOff>57150</xdr:colOff>
                    <xdr:row>6</xdr:row>
                    <xdr:rowOff>0</xdr:rowOff>
                  </to>
                </anchor>
              </controlPr>
            </control>
          </mc:Choice>
        </mc:AlternateContent>
        <mc:AlternateContent xmlns:mc="http://schemas.openxmlformats.org/markup-compatibility/2006">
          <mc:Choice Requires="x14">
            <control shapeId="26666" r:id="rId41" name="Option Button 42">
              <controlPr defaultSize="0" autoFill="0" autoLine="0" autoPict="0">
                <anchor moveWithCells="1" sizeWithCells="1">
                  <from>
                    <xdr:col>10</xdr:col>
                    <xdr:colOff>66675</xdr:colOff>
                    <xdr:row>5</xdr:row>
                    <xdr:rowOff>28575</xdr:rowOff>
                  </from>
                  <to>
                    <xdr:col>11</xdr:col>
                    <xdr:colOff>123825</xdr:colOff>
                    <xdr:row>6</xdr:row>
                    <xdr:rowOff>0</xdr:rowOff>
                  </to>
                </anchor>
              </controlPr>
            </control>
          </mc:Choice>
        </mc:AlternateContent>
        <mc:AlternateContent xmlns:mc="http://schemas.openxmlformats.org/markup-compatibility/2006">
          <mc:Choice Requires="x14">
            <control shapeId="26668" r:id="rId42" name="Group Box 44">
              <controlPr defaultSize="0" autoFill="0" autoPict="0">
                <anchor moveWithCells="1" sizeWithCells="1">
                  <from>
                    <xdr:col>2</xdr:col>
                    <xdr:colOff>0</xdr:colOff>
                    <xdr:row>10</xdr:row>
                    <xdr:rowOff>0</xdr:rowOff>
                  </from>
                  <to>
                    <xdr:col>12</xdr:col>
                    <xdr:colOff>0</xdr:colOff>
                    <xdr:row>11</xdr:row>
                    <xdr:rowOff>0</xdr:rowOff>
                  </to>
                </anchor>
              </controlPr>
            </control>
          </mc:Choice>
        </mc:AlternateContent>
        <mc:AlternateContent xmlns:mc="http://schemas.openxmlformats.org/markup-compatibility/2006">
          <mc:Choice Requires="x14">
            <control shapeId="26669" r:id="rId43" name="Option Button 45">
              <controlPr defaultSize="0" autoFill="0" autoLine="0" autoPict="0">
                <anchor moveWithCells="1" sizeWithCells="1">
                  <from>
                    <xdr:col>3</xdr:col>
                    <xdr:colOff>123825</xdr:colOff>
                    <xdr:row>10</xdr:row>
                    <xdr:rowOff>38100</xdr:rowOff>
                  </from>
                  <to>
                    <xdr:col>6</xdr:col>
                    <xdr:colOff>66675</xdr:colOff>
                    <xdr:row>10</xdr:row>
                    <xdr:rowOff>257175</xdr:rowOff>
                  </to>
                </anchor>
              </controlPr>
            </control>
          </mc:Choice>
        </mc:AlternateContent>
        <mc:AlternateContent xmlns:mc="http://schemas.openxmlformats.org/markup-compatibility/2006">
          <mc:Choice Requires="x14">
            <control shapeId="26670" r:id="rId44" name="Option Button 46">
              <controlPr defaultSize="0" autoFill="0" autoLine="0" autoPict="0">
                <anchor moveWithCells="1" sizeWithCells="1">
                  <from>
                    <xdr:col>6</xdr:col>
                    <xdr:colOff>123825</xdr:colOff>
                    <xdr:row>10</xdr:row>
                    <xdr:rowOff>38100</xdr:rowOff>
                  </from>
                  <to>
                    <xdr:col>8</xdr:col>
                    <xdr:colOff>142875</xdr:colOff>
                    <xdr:row>10</xdr:row>
                    <xdr:rowOff>257175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199"/>
  <sheetViews>
    <sheetView showGridLines="0" zoomScale="120" zoomScaleNormal="120" zoomScaleSheetLayoutView="140" workbookViewId="0"/>
  </sheetViews>
  <sheetFormatPr defaultColWidth="2.5703125" defaultRowHeight="12.75" x14ac:dyDescent="0.2"/>
  <cols>
    <col min="1" max="1" width="1.85546875" style="2" customWidth="1"/>
    <col min="2" max="2" width="18.7109375" style="2" customWidth="1"/>
    <col min="3" max="3" width="3.140625" style="2" customWidth="1"/>
    <col min="4" max="4" width="3.7109375" style="2" customWidth="1"/>
    <col min="5" max="5" width="3" style="2" customWidth="1"/>
    <col min="6" max="6" width="3.7109375" style="2" customWidth="1"/>
    <col min="7" max="13" width="4" style="2" customWidth="1"/>
    <col min="14" max="14" width="5" style="2" customWidth="1"/>
    <col min="15" max="15" width="9.28515625" style="2" customWidth="1"/>
    <col min="16" max="16" width="13.5703125" style="2" customWidth="1"/>
    <col min="17" max="17" width="3.42578125" style="2" customWidth="1"/>
    <col min="18" max="18" width="11.7109375" style="2" hidden="1" customWidth="1"/>
    <col min="19" max="19" width="9.140625" style="2" hidden="1" customWidth="1"/>
    <col min="20" max="20" width="10.5703125" style="2" hidden="1" customWidth="1"/>
    <col min="21" max="21" width="9.7109375" style="2" hidden="1" customWidth="1"/>
    <col min="22" max="22" width="12.7109375" style="1" hidden="1" customWidth="1"/>
    <col min="23" max="23" width="9.140625" style="2" hidden="1" customWidth="1"/>
    <col min="24" max="24" width="12.42578125" style="2" hidden="1" customWidth="1"/>
    <col min="25" max="25" width="26.7109375" style="2" hidden="1" customWidth="1"/>
    <col min="26" max="28" width="9.140625" style="2" hidden="1" customWidth="1"/>
    <col min="29" max="29" width="12.7109375" style="2" hidden="1" customWidth="1"/>
    <col min="30" max="130" width="9.140625" style="2" hidden="1" customWidth="1"/>
    <col min="131" max="255" width="9.140625" style="2" customWidth="1"/>
    <col min="256" max="16384" width="2.5703125" style="2"/>
  </cols>
  <sheetData>
    <row r="1" spans="1:170" ht="15" customHeight="1" x14ac:dyDescent="0.2">
      <c r="B1" s="724" t="s">
        <v>1697</v>
      </c>
      <c r="C1" s="724"/>
      <c r="D1" s="771"/>
      <c r="E1" s="732" t="str">
        <f>IF('Start here'!A6="","",'Start here'!A6)</f>
        <v/>
      </c>
      <c r="F1" s="736"/>
      <c r="G1" s="736"/>
      <c r="H1" s="736"/>
      <c r="I1" s="736"/>
      <c r="J1" s="736"/>
      <c r="K1" s="737"/>
      <c r="M1" s="732" t="str">
        <f>IF('Start here'!A7="","",'Start here'!A7)</f>
        <v/>
      </c>
      <c r="N1" s="736"/>
      <c r="O1" s="736"/>
      <c r="P1" s="737"/>
      <c r="R1" s="6"/>
      <c r="S1" s="6"/>
      <c r="T1" s="13" t="s">
        <v>2263</v>
      </c>
      <c r="U1" s="242" t="str">
        <f>IF('Start here'!A9="","",'Start here'!A9)</f>
        <v/>
      </c>
      <c r="V1" s="13" t="s">
        <v>2262</v>
      </c>
      <c r="W1" s="242" t="str">
        <f>IF('Start here'!A11="","",'Start here'!A11)</f>
        <v/>
      </c>
      <c r="X1" s="13" t="s">
        <v>2264</v>
      </c>
      <c r="Y1" s="13" t="str">
        <f>IF(OR(U1="",W1=""),"",DATEDIF(U1,W1,"y"))</f>
        <v/>
      </c>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2">
      <c r="B2" s="777"/>
      <c r="C2" s="777"/>
      <c r="D2" s="777"/>
      <c r="E2" s="777"/>
      <c r="F2" s="777"/>
      <c r="G2" s="777"/>
      <c r="H2" s="777"/>
      <c r="I2" s="777"/>
      <c r="J2" s="777"/>
      <c r="K2" s="777"/>
      <c r="L2" s="777"/>
      <c r="M2" s="777"/>
      <c r="N2" s="777"/>
      <c r="O2" s="777"/>
      <c r="P2" s="777"/>
      <c r="X2" s="10"/>
      <c r="Y2" s="10" t="s">
        <v>2125</v>
      </c>
    </row>
    <row r="3" spans="1:170" ht="39" customHeight="1" x14ac:dyDescent="0.3">
      <c r="A3" s="15"/>
      <c r="B3" s="778" t="str">
        <f>IF(N11="",Y2,IF(N11&lt;R4,Y4,Y3))</f>
        <v>Enter date of injury on "Start here" worksheet: The disability award cannot be determined without the date of injury.</v>
      </c>
      <c r="C3" s="779"/>
      <c r="D3" s="779"/>
      <c r="E3" s="779"/>
      <c r="F3" s="779"/>
      <c r="G3" s="780"/>
      <c r="H3" s="780"/>
      <c r="I3" s="780"/>
      <c r="J3" s="780"/>
      <c r="K3" s="780"/>
      <c r="L3" s="780"/>
      <c r="M3" s="780"/>
      <c r="N3" s="780"/>
      <c r="O3" s="780"/>
      <c r="P3" s="781"/>
      <c r="R3" s="543">
        <v>38718</v>
      </c>
      <c r="S3" s="146" t="s">
        <v>1287</v>
      </c>
      <c r="T3" s="50" t="s">
        <v>1285</v>
      </c>
      <c r="U3" s="50" t="s">
        <v>1286</v>
      </c>
      <c r="V3" s="50" t="s">
        <v>1287</v>
      </c>
      <c r="W3" s="10"/>
      <c r="X3" s="10"/>
      <c r="Y3" s="10" t="s">
        <v>1102</v>
      </c>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row>
    <row r="4" spans="1:170" ht="23.1" customHeight="1" x14ac:dyDescent="0.2">
      <c r="B4" s="150" t="s">
        <v>873</v>
      </c>
      <c r="C4" s="765">
        <f>'Upper Extremity-Right'!I630</f>
        <v>0</v>
      </c>
      <c r="D4" s="766"/>
      <c r="E4" s="767"/>
      <c r="F4" s="6"/>
      <c r="G4" s="782" t="s">
        <v>1247</v>
      </c>
      <c r="H4" s="783"/>
      <c r="I4" s="783"/>
      <c r="J4" s="783"/>
      <c r="K4" s="783"/>
      <c r="L4" s="783"/>
      <c r="M4" s="783"/>
      <c r="N4" s="783"/>
      <c r="O4" s="783"/>
      <c r="P4" s="784"/>
      <c r="R4" s="155">
        <v>38353</v>
      </c>
      <c r="S4" s="544">
        <f>ROUND(C4,2)</f>
        <v>0</v>
      </c>
      <c r="T4" s="147">
        <f>LARGE($S$4:$S$52,1)</f>
        <v>0</v>
      </c>
      <c r="U4" s="545">
        <f>T4+T5*(1-T4)</f>
        <v>0</v>
      </c>
      <c r="V4" s="548">
        <f>ROUND(U4,2)</f>
        <v>0</v>
      </c>
      <c r="W4" s="10"/>
      <c r="X4" s="10"/>
      <c r="Y4" s="10" t="s">
        <v>270</v>
      </c>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row>
    <row r="5" spans="1:170" ht="23.1" customHeight="1" x14ac:dyDescent="0.2">
      <c r="B5" s="150" t="s">
        <v>602</v>
      </c>
      <c r="C5" s="765">
        <f>'Upper Extremity-Right'!I629</f>
        <v>0</v>
      </c>
      <c r="D5" s="766"/>
      <c r="E5" s="767"/>
      <c r="F5" s="6"/>
      <c r="G5" s="237"/>
      <c r="H5" s="698" t="str">
        <f>IF(N11&lt;R3,Y10,IF(N11&gt;=R3,Y11,""))</f>
        <v>See OAR 436-035-0009.
The worker was released to regular work.
The worker returned to regular work at the job held at the time of injury.
The worker was not released to regular work and has not returned to regular work at the job held at the time of injury.</v>
      </c>
      <c r="I5" s="785"/>
      <c r="J5" s="785"/>
      <c r="K5" s="785"/>
      <c r="L5" s="785"/>
      <c r="M5" s="785"/>
      <c r="N5" s="785"/>
      <c r="O5" s="785"/>
      <c r="P5" s="786"/>
      <c r="R5" s="546" t="b">
        <v>0</v>
      </c>
      <c r="S5" s="544">
        <f t="shared" ref="S5:S52" si="0">ROUND(C5,2)</f>
        <v>0</v>
      </c>
      <c r="T5" s="147">
        <f>LARGE($S$4:$S$52,2)</f>
        <v>0</v>
      </c>
      <c r="U5" s="545">
        <f>V4+T6*(1-V4)</f>
        <v>0</v>
      </c>
      <c r="V5" s="548">
        <f>ROUND(U5,2)</f>
        <v>0</v>
      </c>
      <c r="W5" s="10"/>
      <c r="X5" s="10"/>
      <c r="Y5" s="10" t="s">
        <v>354</v>
      </c>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row>
    <row r="6" spans="1:170" ht="23.1" customHeight="1" x14ac:dyDescent="0.2">
      <c r="B6" s="150" t="s">
        <v>1896</v>
      </c>
      <c r="C6" s="765">
        <f>'Upper Extremity-Right'!I624</f>
        <v>0</v>
      </c>
      <c r="D6" s="766"/>
      <c r="E6" s="767"/>
      <c r="F6" s="6"/>
      <c r="G6" s="237"/>
      <c r="H6" s="785"/>
      <c r="I6" s="785"/>
      <c r="J6" s="785"/>
      <c r="K6" s="785"/>
      <c r="L6" s="785"/>
      <c r="M6" s="785"/>
      <c r="N6" s="785"/>
      <c r="O6" s="785"/>
      <c r="P6" s="786"/>
      <c r="R6" s="546" t="b">
        <v>0</v>
      </c>
      <c r="S6" s="544">
        <f t="shared" si="0"/>
        <v>0</v>
      </c>
      <c r="T6" s="147">
        <f>LARGE($S$4:$S$52,3)</f>
        <v>0</v>
      </c>
      <c r="U6" s="545">
        <f t="shared" ref="U6:U39" si="1">V5+T7*(1-V5)</f>
        <v>0</v>
      </c>
      <c r="V6" s="548">
        <f t="shared" ref="V6:V51" si="2">ROUND(U6,2)</f>
        <v>0</v>
      </c>
      <c r="W6" s="10"/>
      <c r="X6" s="10"/>
      <c r="Y6" s="10" t="s">
        <v>1198</v>
      </c>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row>
    <row r="7" spans="1:170" ht="23.1" customHeight="1" x14ac:dyDescent="0.2">
      <c r="B7" s="150" t="s">
        <v>112</v>
      </c>
      <c r="C7" s="765">
        <f>'Upper Extremity-Right'!I625</f>
        <v>0</v>
      </c>
      <c r="D7" s="766"/>
      <c r="E7" s="767"/>
      <c r="F7" s="6"/>
      <c r="G7" s="237"/>
      <c r="H7" s="785"/>
      <c r="I7" s="785"/>
      <c r="J7" s="785"/>
      <c r="K7" s="785"/>
      <c r="L7" s="785"/>
      <c r="M7" s="785"/>
      <c r="N7" s="785"/>
      <c r="O7" s="785"/>
      <c r="P7" s="786"/>
      <c r="R7" s="546" t="b">
        <v>0</v>
      </c>
      <c r="S7" s="544">
        <f t="shared" si="0"/>
        <v>0</v>
      </c>
      <c r="T7" s="147">
        <f>LARGE($S$4:$S$52,4)</f>
        <v>0</v>
      </c>
      <c r="U7" s="545">
        <f t="shared" si="1"/>
        <v>0</v>
      </c>
      <c r="V7" s="548">
        <f t="shared" si="2"/>
        <v>0</v>
      </c>
      <c r="W7" s="10"/>
      <c r="X7" s="10"/>
      <c r="Y7" s="10" t="s">
        <v>1164</v>
      </c>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row>
    <row r="8" spans="1:170" ht="23.1" customHeight="1" x14ac:dyDescent="0.2">
      <c r="B8" s="150" t="s">
        <v>114</v>
      </c>
      <c r="C8" s="765">
        <f>'Upper Extremity-Right'!I626</f>
        <v>0</v>
      </c>
      <c r="D8" s="766"/>
      <c r="E8" s="767"/>
      <c r="F8" s="6"/>
      <c r="G8" s="238"/>
      <c r="H8" s="787"/>
      <c r="I8" s="787"/>
      <c r="J8" s="787"/>
      <c r="K8" s="787"/>
      <c r="L8" s="787"/>
      <c r="M8" s="787"/>
      <c r="N8" s="787"/>
      <c r="O8" s="787"/>
      <c r="P8" s="788"/>
      <c r="R8" s="50">
        <f>IF(R5=TRUE,1,0)</f>
        <v>0</v>
      </c>
      <c r="S8" s="544">
        <f t="shared" si="0"/>
        <v>0</v>
      </c>
      <c r="T8" s="147">
        <f>LARGE($S$4:$S$52,5)</f>
        <v>0</v>
      </c>
      <c r="U8" s="545">
        <f t="shared" si="1"/>
        <v>0</v>
      </c>
      <c r="V8" s="548">
        <f t="shared" si="2"/>
        <v>0</v>
      </c>
      <c r="W8" s="10"/>
      <c r="X8" s="10"/>
      <c r="Y8" s="10" t="s">
        <v>941</v>
      </c>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row>
    <row r="9" spans="1:170" ht="21" customHeight="1" x14ac:dyDescent="0.2">
      <c r="B9" s="150" t="s">
        <v>116</v>
      </c>
      <c r="C9" s="765">
        <f>'Upper Extremity-Right'!I627</f>
        <v>0</v>
      </c>
      <c r="D9" s="766"/>
      <c r="E9" s="767"/>
      <c r="F9" s="6"/>
      <c r="G9" s="772" t="str">
        <f>IF(Y16=1,Y17,IF(Y14=1,Y15,IF(R11=1,Y8,Y7)))</f>
        <v>Enter release and return to work information above.</v>
      </c>
      <c r="H9" s="772"/>
      <c r="I9" s="772"/>
      <c r="J9" s="772"/>
      <c r="K9" s="772"/>
      <c r="L9" s="772"/>
      <c r="M9" s="772"/>
      <c r="N9" s="772"/>
      <c r="O9" s="772"/>
      <c r="P9" s="772"/>
      <c r="R9" s="50">
        <f>IF(R6=TRUE,1,0)</f>
        <v>0</v>
      </c>
      <c r="S9" s="544">
        <f t="shared" si="0"/>
        <v>0</v>
      </c>
      <c r="T9" s="147">
        <f>LARGE($S$4:$S$52,6)</f>
        <v>0</v>
      </c>
      <c r="U9" s="545">
        <f t="shared" si="1"/>
        <v>0</v>
      </c>
      <c r="V9" s="548">
        <f t="shared" si="2"/>
        <v>0</v>
      </c>
      <c r="W9" s="10"/>
      <c r="X9" s="10"/>
      <c r="Y9" s="10" t="s">
        <v>1258</v>
      </c>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row>
    <row r="10" spans="1:170" ht="21" customHeight="1" x14ac:dyDescent="0.2">
      <c r="B10" s="683" t="s">
        <v>1366</v>
      </c>
      <c r="C10" s="765">
        <f>'Upper Extremity-Right'!I628</f>
        <v>0</v>
      </c>
      <c r="D10" s="766"/>
      <c r="E10" s="767"/>
      <c r="F10" s="6"/>
      <c r="G10" s="772"/>
      <c r="H10" s="772"/>
      <c r="I10" s="772"/>
      <c r="J10" s="772"/>
      <c r="K10" s="772"/>
      <c r="L10" s="772"/>
      <c r="M10" s="772"/>
      <c r="N10" s="772"/>
      <c r="O10" s="772"/>
      <c r="P10" s="773"/>
      <c r="R10" s="50">
        <f>IF(R7=TRUE,1,0)</f>
        <v>0</v>
      </c>
      <c r="S10" s="544">
        <f t="shared" si="0"/>
        <v>0</v>
      </c>
      <c r="T10" s="147">
        <f>LARGE($S$4:$S$52,7)</f>
        <v>0</v>
      </c>
      <c r="U10" s="545">
        <f t="shared" si="1"/>
        <v>0</v>
      </c>
      <c r="V10" s="548">
        <f t="shared" si="2"/>
        <v>0</v>
      </c>
      <c r="W10" s="10"/>
      <c r="X10" s="10"/>
      <c r="Y10" s="39" t="s">
        <v>2126</v>
      </c>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row>
    <row r="11" spans="1:170" ht="21" customHeight="1" x14ac:dyDescent="0.2">
      <c r="B11" s="150" t="s">
        <v>1891</v>
      </c>
      <c r="C11" s="727">
        <f>'Upper Extremity-Left'!I630</f>
        <v>0</v>
      </c>
      <c r="D11" s="736"/>
      <c r="E11" s="737"/>
      <c r="F11" s="1"/>
      <c r="G11" s="776" t="s">
        <v>353</v>
      </c>
      <c r="H11" s="776"/>
      <c r="I11" s="776"/>
      <c r="J11" s="776"/>
      <c r="K11" s="776"/>
      <c r="L11" s="776"/>
      <c r="M11" s="776"/>
      <c r="N11" s="774" t="str">
        <f>IF('Start here'!A8="","",'Start here'!A8)</f>
        <v/>
      </c>
      <c r="O11" s="775"/>
      <c r="P11" s="789" t="s">
        <v>1259</v>
      </c>
      <c r="R11" s="50">
        <f>MAX(R8:R9)</f>
        <v>0</v>
      </c>
      <c r="S11" s="544">
        <f t="shared" si="0"/>
        <v>0</v>
      </c>
      <c r="T11" s="147">
        <f>LARGE($S$4:$S$52,8)</f>
        <v>0</v>
      </c>
      <c r="U11" s="545">
        <f t="shared" si="1"/>
        <v>0</v>
      </c>
      <c r="V11" s="548">
        <f t="shared" si="2"/>
        <v>0</v>
      </c>
      <c r="W11" s="10"/>
      <c r="X11" s="10"/>
      <c r="Y11" s="39" t="s">
        <v>2204</v>
      </c>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row>
    <row r="12" spans="1:170" ht="21" customHeight="1" x14ac:dyDescent="0.2">
      <c r="B12" s="150" t="s">
        <v>1506</v>
      </c>
      <c r="C12" s="727">
        <f>'Upper Extremity-Left'!I629</f>
        <v>0</v>
      </c>
      <c r="D12" s="736"/>
      <c r="E12" s="737"/>
      <c r="F12" s="1"/>
      <c r="G12" s="761" t="s">
        <v>1299</v>
      </c>
      <c r="H12" s="761"/>
      <c r="I12" s="761"/>
      <c r="J12" s="761"/>
      <c r="K12" s="761"/>
      <c r="L12" s="761"/>
      <c r="M12" s="761"/>
      <c r="N12" s="759" t="str">
        <f>IF('Start here'!A9="","",'Start here'!A9)</f>
        <v/>
      </c>
      <c r="O12" s="760"/>
      <c r="P12" s="790"/>
      <c r="S12" s="544">
        <f t="shared" si="0"/>
        <v>0</v>
      </c>
      <c r="T12" s="147">
        <f>LARGE($S$4:$S$52,9)</f>
        <v>0</v>
      </c>
      <c r="U12" s="545">
        <f t="shared" si="1"/>
        <v>0</v>
      </c>
      <c r="V12" s="548">
        <f t="shared" si="2"/>
        <v>0</v>
      </c>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row>
    <row r="13" spans="1:170" ht="21" customHeight="1" x14ac:dyDescent="0.2">
      <c r="B13" s="150" t="s">
        <v>926</v>
      </c>
      <c r="C13" s="727">
        <f>'Upper Extremity-Left'!I624</f>
        <v>0</v>
      </c>
      <c r="D13" s="736"/>
      <c r="E13" s="737"/>
      <c r="F13" s="1"/>
      <c r="G13" s="791" t="s">
        <v>1300</v>
      </c>
      <c r="H13" s="791"/>
      <c r="I13" s="791"/>
      <c r="J13" s="791"/>
      <c r="K13" s="791"/>
      <c r="L13" s="791"/>
      <c r="M13" s="791"/>
      <c r="N13" s="759" t="str">
        <f>IF('Start here'!A11="","",'Start here'!A11)</f>
        <v/>
      </c>
      <c r="O13" s="760"/>
      <c r="P13" s="776"/>
      <c r="S13" s="544">
        <f t="shared" si="0"/>
        <v>0</v>
      </c>
      <c r="T13" s="147">
        <f>LARGE($S$4:$S$52,10)</f>
        <v>0</v>
      </c>
      <c r="U13" s="545">
        <f t="shared" si="1"/>
        <v>0</v>
      </c>
      <c r="V13" s="548">
        <f t="shared" si="2"/>
        <v>0</v>
      </c>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row>
    <row r="14" spans="1:170" ht="23.25" customHeight="1" x14ac:dyDescent="0.2">
      <c r="B14" s="150" t="s">
        <v>1388</v>
      </c>
      <c r="C14" s="727">
        <f>'Upper Extremity-Left'!I625</f>
        <v>0</v>
      </c>
      <c r="D14" s="736"/>
      <c r="E14" s="737"/>
      <c r="F14" s="1"/>
      <c r="G14" s="791" t="str">
        <f>IF(Y16=1,Y18,IF(R11=1,"Not applicable","Age 40 or above, add value of 1."))</f>
        <v>No release/return to work data</v>
      </c>
      <c r="H14" s="791"/>
      <c r="I14" s="791"/>
      <c r="J14" s="791"/>
      <c r="K14" s="791"/>
      <c r="L14" s="791"/>
      <c r="M14" s="791"/>
      <c r="N14" s="762" t="str">
        <f>IF(R11=1,"",IF(AND('Start here'!A9="",'Start here'!A10=""),"Enter DOB or age.",IF(AND('Start here'!A10="",'Start here'!A11=""),"Enter date of issuance.",IF('Start here'!A9&lt;&gt;"",Y1,'Start here'!A10))))</f>
        <v>Enter DOB or age.</v>
      </c>
      <c r="O14" s="762"/>
      <c r="P14" s="227" t="str">
        <f>IF(OR(C53=0,R11=1),"",IF(OR(N14="Enter DOB or age.",N14="Enter age or date of issuance."),"",IF(N14&gt;=40,1,0)))</f>
        <v/>
      </c>
      <c r="S14" s="544">
        <f t="shared" si="0"/>
        <v>0</v>
      </c>
      <c r="T14" s="147">
        <f>LARGE($S$4:$S$52,11)</f>
        <v>0</v>
      </c>
      <c r="U14" s="545">
        <f t="shared" si="1"/>
        <v>0</v>
      </c>
      <c r="V14" s="548">
        <f t="shared" si="2"/>
        <v>0</v>
      </c>
      <c r="W14" s="10"/>
      <c r="X14" s="10"/>
      <c r="Y14" s="50">
        <f>IF(AND(R7=TRUE,OR(R6=TRUE,R5=TRUE)),1,0)</f>
        <v>0</v>
      </c>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row>
    <row r="15" spans="1:170" ht="21" customHeight="1" x14ac:dyDescent="0.2">
      <c r="B15" s="150" t="s">
        <v>571</v>
      </c>
      <c r="C15" s="727">
        <f>'Upper Extremity-Left'!I626</f>
        <v>0</v>
      </c>
      <c r="D15" s="736"/>
      <c r="E15" s="737"/>
      <c r="F15" s="1"/>
      <c r="G15" s="742" t="str">
        <f>IF(C53=0,"No PPD entered",IF(Y16=1,Y18,IF(R11=1,"Not applicable","Formal education (&lt;12, add 1)")))</f>
        <v>No PPD entered</v>
      </c>
      <c r="H15" s="743"/>
      <c r="I15" s="743"/>
      <c r="J15" s="743"/>
      <c r="K15" s="743"/>
      <c r="L15" s="743"/>
      <c r="M15" s="744"/>
      <c r="N15" s="725"/>
      <c r="O15" s="726"/>
      <c r="P15" s="149" t="str">
        <f>IF(OR(C53=0,R11=1),"",IF(N15=B56,0,IF(N15=C56,1,0)))</f>
        <v/>
      </c>
      <c r="S15" s="544">
        <f t="shared" si="0"/>
        <v>0</v>
      </c>
      <c r="T15" s="147">
        <f>LARGE($S$4:$S$52,12)</f>
        <v>0</v>
      </c>
      <c r="U15" s="545">
        <f t="shared" si="1"/>
        <v>0</v>
      </c>
      <c r="V15" s="548">
        <f t="shared" si="2"/>
        <v>0</v>
      </c>
      <c r="W15" s="10"/>
      <c r="X15" s="10"/>
      <c r="Y15" s="10" t="s">
        <v>2108</v>
      </c>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row>
    <row r="16" spans="1:170" ht="21" customHeight="1" x14ac:dyDescent="0.2">
      <c r="B16" s="150" t="s">
        <v>1426</v>
      </c>
      <c r="C16" s="727">
        <f>'Upper Extremity-Left'!I627</f>
        <v>0</v>
      </c>
      <c r="D16" s="736"/>
      <c r="E16" s="737"/>
      <c r="F16" s="1"/>
      <c r="G16" s="733" t="str">
        <f>IF(C53=0,"No PPD entered",IF(Y16=1,Y18,IF(R11=1,"Not applicable","Specific vocational preparation")))</f>
        <v>No PPD entered</v>
      </c>
      <c r="H16" s="734"/>
      <c r="I16" s="734"/>
      <c r="J16" s="734"/>
      <c r="K16" s="734"/>
      <c r="L16" s="734"/>
      <c r="M16" s="735"/>
      <c r="N16" s="730"/>
      <c r="O16" s="820"/>
      <c r="P16" s="149" t="str">
        <f>IF(OR(C53=0,N16="",R11=1),"",SUMIF(A57:J57,N16,A58:J58))</f>
        <v/>
      </c>
      <c r="S16" s="544">
        <f t="shared" si="0"/>
        <v>0</v>
      </c>
      <c r="T16" s="147">
        <f>LARGE($S$4:$S$52,13)</f>
        <v>0</v>
      </c>
      <c r="U16" s="545">
        <f t="shared" si="1"/>
        <v>0</v>
      </c>
      <c r="V16" s="548">
        <f t="shared" si="2"/>
        <v>0</v>
      </c>
      <c r="W16" s="10"/>
      <c r="X16" s="10"/>
      <c r="Y16" s="2">
        <f>IF(AND(R5=FALSE,R6=FALSE,R7=FALSE),1,0)</f>
        <v>1</v>
      </c>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row>
    <row r="17" spans="2:106" ht="21" customHeight="1" x14ac:dyDescent="0.2">
      <c r="B17" s="150" t="s">
        <v>1634</v>
      </c>
      <c r="C17" s="727">
        <f>'Upper Extremity-Left'!I628</f>
        <v>0</v>
      </c>
      <c r="D17" s="736"/>
      <c r="E17" s="737"/>
      <c r="F17" s="1"/>
      <c r="G17" s="749" t="str">
        <f>IF(Y16=1,Y18,IF(R11=1,"Not applicable",Y9))</f>
        <v>No release/return to work data</v>
      </c>
      <c r="H17" s="750"/>
      <c r="I17" s="750"/>
      <c r="J17" s="750"/>
      <c r="K17" s="750"/>
      <c r="L17" s="750"/>
      <c r="M17" s="750"/>
      <c r="N17" s="750"/>
      <c r="O17" s="750"/>
      <c r="P17" s="751"/>
      <c r="S17" s="544">
        <f t="shared" si="0"/>
        <v>0</v>
      </c>
      <c r="T17" s="147">
        <f>LARGE($S$4:$S$52,14)</f>
        <v>0</v>
      </c>
      <c r="U17" s="545">
        <f t="shared" si="1"/>
        <v>0</v>
      </c>
      <c r="V17" s="548">
        <f t="shared" si="2"/>
        <v>0</v>
      </c>
      <c r="W17" s="10"/>
      <c r="X17" s="10"/>
      <c r="Y17" s="10" t="s">
        <v>2109</v>
      </c>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row>
    <row r="18" spans="2:106" ht="21" customHeight="1" x14ac:dyDescent="0.2">
      <c r="B18" s="150" t="s">
        <v>1341</v>
      </c>
      <c r="C18" s="738">
        <f>'Lower Extremity-Right'!J484</f>
        <v>0</v>
      </c>
      <c r="D18" s="739"/>
      <c r="E18" s="740"/>
      <c r="F18" s="1"/>
      <c r="G18" s="818"/>
      <c r="H18" s="698"/>
      <c r="I18" s="698"/>
      <c r="J18" s="698"/>
      <c r="K18" s="698"/>
      <c r="L18" s="698"/>
      <c r="M18" s="698"/>
      <c r="N18" s="698"/>
      <c r="O18" s="698"/>
      <c r="P18" s="819"/>
      <c r="S18" s="544">
        <f t="shared" si="0"/>
        <v>0</v>
      </c>
      <c r="T18" s="147">
        <f>LARGE($S$4:$S$52,15)</f>
        <v>0</v>
      </c>
      <c r="U18" s="545">
        <f t="shared" si="1"/>
        <v>0</v>
      </c>
      <c r="V18" s="548">
        <f t="shared" si="2"/>
        <v>0</v>
      </c>
      <c r="W18" s="10"/>
      <c r="X18" s="10"/>
      <c r="Y18" s="2" t="s">
        <v>2110</v>
      </c>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row>
    <row r="19" spans="2:106" ht="21" customHeight="1" x14ac:dyDescent="0.2">
      <c r="B19" s="150" t="s">
        <v>1322</v>
      </c>
      <c r="C19" s="738">
        <f>'Lower Extremity-Right'!J483</f>
        <v>0</v>
      </c>
      <c r="D19" s="739"/>
      <c r="E19" s="740"/>
      <c r="F19" s="1"/>
      <c r="G19" s="752"/>
      <c r="H19" s="753"/>
      <c r="I19" s="753"/>
      <c r="J19" s="753"/>
      <c r="K19" s="753"/>
      <c r="L19" s="753"/>
      <c r="M19" s="753"/>
      <c r="N19" s="753"/>
      <c r="O19" s="753"/>
      <c r="P19" s="819"/>
      <c r="S19" s="544">
        <f t="shared" si="0"/>
        <v>0</v>
      </c>
      <c r="T19" s="147">
        <f>LARGE($S$4:$S$52,16)</f>
        <v>0</v>
      </c>
      <c r="U19" s="545">
        <f t="shared" si="1"/>
        <v>0</v>
      </c>
      <c r="V19" s="548">
        <f t="shared" si="2"/>
        <v>0</v>
      </c>
      <c r="W19" s="10"/>
      <c r="X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row>
    <row r="20" spans="2:106" ht="21" customHeight="1" x14ac:dyDescent="0.2">
      <c r="B20" s="150" t="s">
        <v>1336</v>
      </c>
      <c r="C20" s="738">
        <f>'Lower Extremity-Right'!J478</f>
        <v>0</v>
      </c>
      <c r="D20" s="739"/>
      <c r="E20" s="740"/>
      <c r="F20" s="6" t="s">
        <v>200</v>
      </c>
      <c r="G20" s="733" t="str">
        <f>IF(C53=0,"No PPD entered",IF(Y16=1,Y18,IF(R11=1,"Not applicable","Rule 0012(13) chart adaptability")))</f>
        <v>No PPD entered</v>
      </c>
      <c r="H20" s="734"/>
      <c r="I20" s="734"/>
      <c r="J20" s="734"/>
      <c r="K20" s="734"/>
      <c r="L20" s="734"/>
      <c r="M20" s="735"/>
      <c r="N20" s="731" t="str">
        <f>IF(OR(C53=0,R11=1),"",SUMIF(B66:CW66,C53,B67:CW67))</f>
        <v/>
      </c>
      <c r="O20" s="732"/>
      <c r="P20" s="806" t="s">
        <v>1259</v>
      </c>
      <c r="R20" s="10"/>
      <c r="S20" s="544">
        <f t="shared" si="0"/>
        <v>0</v>
      </c>
      <c r="T20" s="147">
        <f>LARGE($S$4:$S$52,17)</f>
        <v>0</v>
      </c>
      <c r="U20" s="545">
        <f t="shared" si="1"/>
        <v>0</v>
      </c>
      <c r="V20" s="548">
        <f t="shared" si="2"/>
        <v>0</v>
      </c>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row>
    <row r="21" spans="2:106" ht="21" customHeight="1" x14ac:dyDescent="0.2">
      <c r="B21" s="150" t="s">
        <v>231</v>
      </c>
      <c r="C21" s="738">
        <f>'Lower Extremity-Right'!J479</f>
        <v>0</v>
      </c>
      <c r="D21" s="739"/>
      <c r="E21" s="740"/>
      <c r="G21" s="733" t="str">
        <f>IF(C53=0,"No PPD entered",IF(Y16=1,Y18,IF(R11=1,"Not applicable","Base functional capacity")))</f>
        <v>No PPD entered</v>
      </c>
      <c r="H21" s="734"/>
      <c r="I21" s="734"/>
      <c r="J21" s="734"/>
      <c r="K21" s="734"/>
      <c r="L21" s="734"/>
      <c r="M21" s="735"/>
      <c r="N21" s="694"/>
      <c r="O21" s="730"/>
      <c r="P21" s="807"/>
      <c r="R21" s="50" t="str">
        <f>IF(OR(N21="",N22=""),"No BFC/RFC",CONCATENATE(N21,N22))</f>
        <v>No BFC/RFC</v>
      </c>
      <c r="S21" s="544">
        <f t="shared" si="0"/>
        <v>0</v>
      </c>
      <c r="T21" s="147">
        <f>LARGE($S$4:$S$52,18)</f>
        <v>0</v>
      </c>
      <c r="U21" s="545">
        <f t="shared" si="1"/>
        <v>0</v>
      </c>
      <c r="V21" s="548">
        <f t="shared" si="2"/>
        <v>0</v>
      </c>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row>
    <row r="22" spans="2:106" ht="21" customHeight="1" x14ac:dyDescent="0.2">
      <c r="B22" s="150" t="s">
        <v>232</v>
      </c>
      <c r="C22" s="738">
        <f>'Lower Extremity-Right'!J480</f>
        <v>0</v>
      </c>
      <c r="D22" s="739"/>
      <c r="E22" s="740"/>
      <c r="F22" s="159"/>
      <c r="G22" s="733" t="str">
        <f>IF(C53=0,"No PPD entered",IF(Y16=1,Y18,IF(R11=1,"Not applicable","Residual functional capacity")))</f>
        <v>No PPD entered</v>
      </c>
      <c r="H22" s="734"/>
      <c r="I22" s="734"/>
      <c r="J22" s="734"/>
      <c r="K22" s="734"/>
      <c r="L22" s="734"/>
      <c r="M22" s="735"/>
      <c r="N22" s="694"/>
      <c r="O22" s="730"/>
      <c r="P22" s="807"/>
      <c r="S22" s="544">
        <f t="shared" si="0"/>
        <v>0</v>
      </c>
      <c r="T22" s="147">
        <f>LARGE($S$4:$S$52,19)</f>
        <v>0</v>
      </c>
      <c r="U22" s="545">
        <f t="shared" si="1"/>
        <v>0</v>
      </c>
      <c r="V22" s="548">
        <f t="shared" si="2"/>
        <v>0</v>
      </c>
      <c r="W22" s="10"/>
      <c r="X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row>
    <row r="23" spans="2:106" ht="21" customHeight="1" x14ac:dyDescent="0.2">
      <c r="B23" s="150" t="s">
        <v>233</v>
      </c>
      <c r="C23" s="738">
        <f>'Lower Extremity-Right'!J481</f>
        <v>0</v>
      </c>
      <c r="D23" s="739"/>
      <c r="E23" s="740"/>
      <c r="F23" s="158" t="s">
        <v>201</v>
      </c>
      <c r="G23" s="733" t="str">
        <f>IF(Y16=1,Y18,IF(R11=1,"Not applicable","Rule 0012(11) chart adaptability"))</f>
        <v>No release/return to work data</v>
      </c>
      <c r="H23" s="734"/>
      <c r="I23" s="734"/>
      <c r="J23" s="734"/>
      <c r="K23" s="734"/>
      <c r="L23" s="734"/>
      <c r="M23" s="735"/>
      <c r="N23" s="731" t="str">
        <f>IF(OR(C53=0,R11=1),"",SUMIF(B62:AT62,R21,B63:AT63))</f>
        <v/>
      </c>
      <c r="O23" s="732"/>
      <c r="P23" s="808"/>
      <c r="S23" s="544">
        <f t="shared" si="0"/>
        <v>0</v>
      </c>
      <c r="T23" s="147">
        <f>LARGE($S$4:$S$52,20)</f>
        <v>0</v>
      </c>
      <c r="U23" s="545">
        <f t="shared" si="1"/>
        <v>0</v>
      </c>
      <c r="V23" s="548">
        <f t="shared" si="2"/>
        <v>0</v>
      </c>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row>
    <row r="24" spans="2:106" ht="21" customHeight="1" x14ac:dyDescent="0.2">
      <c r="B24" s="150" t="s">
        <v>234</v>
      </c>
      <c r="C24" s="738">
        <f>'Lower Extremity-Right'!J482</f>
        <v>0</v>
      </c>
      <c r="D24" s="739"/>
      <c r="E24" s="740"/>
      <c r="F24" s="1"/>
      <c r="G24" s="742" t="str">
        <f>IF(Y16=1,Y18,IF(R11=1,"Not applicable","Adaptability value = greater of A1, A2"))</f>
        <v>No release/return to work data</v>
      </c>
      <c r="H24" s="743"/>
      <c r="I24" s="743"/>
      <c r="J24" s="743"/>
      <c r="K24" s="743"/>
      <c r="L24" s="743"/>
      <c r="M24" s="743"/>
      <c r="N24" s="743"/>
      <c r="O24" s="744"/>
      <c r="P24" s="227" t="str">
        <f>IF(OR(C53=0,R11=1),"",MAX(N20,N23))</f>
        <v/>
      </c>
      <c r="S24" s="544">
        <f t="shared" si="0"/>
        <v>0</v>
      </c>
      <c r="T24" s="147">
        <f>LARGE($S$4:$S$52,21)</f>
        <v>0</v>
      </c>
      <c r="U24" s="545">
        <f t="shared" si="1"/>
        <v>0</v>
      </c>
      <c r="V24" s="548">
        <f t="shared" si="2"/>
        <v>0</v>
      </c>
      <c r="W24" s="10"/>
      <c r="X24" s="10"/>
      <c r="Z24" s="24"/>
      <c r="AB24" s="8"/>
      <c r="AD24" s="96"/>
      <c r="AF24" s="96"/>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row>
    <row r="25" spans="2:106" ht="21" customHeight="1" x14ac:dyDescent="0.2">
      <c r="B25" s="150" t="s">
        <v>1225</v>
      </c>
      <c r="C25" s="738">
        <f>'Lower Extremity-Left'!J484</f>
        <v>0</v>
      </c>
      <c r="D25" s="739"/>
      <c r="E25" s="740"/>
      <c r="F25" s="1"/>
      <c r="G25" s="742" t="str">
        <f>IF(Y16=1,Y18,IF(R11=1,"Not applicable","Multiplied times the age &amp; education total"))</f>
        <v>No release/return to work data</v>
      </c>
      <c r="H25" s="743"/>
      <c r="I25" s="743"/>
      <c r="J25" s="743"/>
      <c r="K25" s="743"/>
      <c r="L25" s="743"/>
      <c r="M25" s="743"/>
      <c r="N25" s="743"/>
      <c r="O25" s="744"/>
      <c r="P25" s="149" t="str">
        <f>IF(OR(C53=0,R11=1),"",SUM(P14:P16))</f>
        <v/>
      </c>
      <c r="S25" s="544">
        <f t="shared" si="0"/>
        <v>0</v>
      </c>
      <c r="T25" s="147">
        <f>LARGE($S$4:$S$52,22)</f>
        <v>0</v>
      </c>
      <c r="U25" s="545">
        <f t="shared" si="1"/>
        <v>0</v>
      </c>
      <c r="V25" s="548">
        <f t="shared" si="2"/>
        <v>0</v>
      </c>
      <c r="W25" s="10"/>
      <c r="X25" s="10"/>
      <c r="Z25" s="24"/>
      <c r="AB25" s="8"/>
      <c r="AD25" s="96"/>
      <c r="AF25" s="96"/>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row>
    <row r="26" spans="2:106" ht="21" customHeight="1" x14ac:dyDescent="0.2">
      <c r="B26" s="150" t="s">
        <v>463</v>
      </c>
      <c r="C26" s="738">
        <f>'Lower Extremity-Left'!J483</f>
        <v>0</v>
      </c>
      <c r="D26" s="739"/>
      <c r="E26" s="740"/>
      <c r="F26" s="1"/>
      <c r="G26" s="742" t="str">
        <f>IF(Y16=1,Y18,IF(R11=1,"Not applicable","Equals total social-vocational factor"))</f>
        <v>No release/return to work data</v>
      </c>
      <c r="H26" s="743"/>
      <c r="I26" s="743"/>
      <c r="J26" s="743"/>
      <c r="K26" s="743"/>
      <c r="L26" s="743"/>
      <c r="M26" s="743"/>
      <c r="N26" s="743"/>
      <c r="O26" s="744"/>
      <c r="P26" s="149" t="str">
        <f>IF(OR(C53=0,R11=1),"",P24*P25)</f>
        <v/>
      </c>
      <c r="R26" s="10"/>
      <c r="S26" s="544">
        <f t="shared" si="0"/>
        <v>0</v>
      </c>
      <c r="T26" s="147">
        <f>LARGE($S$4:$S$52,23)</f>
        <v>0</v>
      </c>
      <c r="U26" s="545">
        <f t="shared" si="1"/>
        <v>0</v>
      </c>
      <c r="V26" s="548">
        <f t="shared" si="2"/>
        <v>0</v>
      </c>
      <c r="W26" s="10"/>
      <c r="X26" s="10"/>
      <c r="Z26" s="24"/>
      <c r="AB26" s="8"/>
      <c r="AD26" s="96"/>
      <c r="AF26" s="96"/>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row>
    <row r="27" spans="2:106" ht="21" customHeight="1" x14ac:dyDescent="0.2">
      <c r="B27" s="150" t="s">
        <v>1342</v>
      </c>
      <c r="C27" s="738">
        <f>'Lower Extremity-Left'!J478</f>
        <v>0</v>
      </c>
      <c r="D27" s="739"/>
      <c r="E27" s="740"/>
      <c r="F27" s="1"/>
      <c r="G27" s="809" t="str">
        <f>IF(OR(C53=0,R11=1),"",IF(N11="",Y5,IF(N13="","Enter date of issuance.",IF(AND(R11=0,OR(N15="",N16="",N21="",N22="")),"Missing social-vocational data",IF(N13&lt;N11,Y6,"")))))</f>
        <v/>
      </c>
      <c r="H27" s="810"/>
      <c r="I27" s="810"/>
      <c r="J27" s="810"/>
      <c r="K27" s="810"/>
      <c r="L27" s="810"/>
      <c r="M27" s="810"/>
      <c r="N27" s="810"/>
      <c r="O27" s="810"/>
      <c r="P27" s="811"/>
      <c r="R27" s="10"/>
      <c r="S27" s="544">
        <f t="shared" si="0"/>
        <v>0</v>
      </c>
      <c r="T27" s="147">
        <f>LARGE($S$4:$S$52,24)</f>
        <v>0</v>
      </c>
      <c r="U27" s="545">
        <f t="shared" si="1"/>
        <v>0</v>
      </c>
      <c r="V27" s="548">
        <f t="shared" si="2"/>
        <v>0</v>
      </c>
      <c r="W27" s="10"/>
      <c r="X27" s="10"/>
      <c r="Z27" s="24"/>
      <c r="AB27" s="8"/>
      <c r="AD27" s="96"/>
      <c r="AF27" s="96"/>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row>
    <row r="28" spans="2:106" ht="21" customHeight="1" x14ac:dyDescent="0.2">
      <c r="B28" s="150" t="s">
        <v>1045</v>
      </c>
      <c r="C28" s="738">
        <f>'Lower Extremity-Left'!J479</f>
        <v>0</v>
      </c>
      <c r="D28" s="739"/>
      <c r="E28" s="740"/>
      <c r="F28" s="1"/>
      <c r="G28" s="812"/>
      <c r="H28" s="813"/>
      <c r="I28" s="813"/>
      <c r="J28" s="813"/>
      <c r="K28" s="813"/>
      <c r="L28" s="813"/>
      <c r="M28" s="813"/>
      <c r="N28" s="813"/>
      <c r="O28" s="813"/>
      <c r="P28" s="814"/>
      <c r="S28" s="544">
        <f t="shared" si="0"/>
        <v>0</v>
      </c>
      <c r="T28" s="147">
        <f>LARGE($S$4:$S$52,25)</f>
        <v>0</v>
      </c>
      <c r="U28" s="545">
        <f t="shared" si="1"/>
        <v>0</v>
      </c>
      <c r="V28" s="548">
        <f t="shared" si="2"/>
        <v>0</v>
      </c>
      <c r="W28" s="10"/>
      <c r="X28" s="10"/>
      <c r="Z28" s="24"/>
      <c r="AB28" s="8"/>
      <c r="AD28" s="96"/>
      <c r="AF28" s="96"/>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row>
    <row r="29" spans="2:106" ht="21" customHeight="1" x14ac:dyDescent="0.2">
      <c r="B29" s="150" t="s">
        <v>1344</v>
      </c>
      <c r="C29" s="738">
        <f>'Lower Extremity-Left'!J480</f>
        <v>0</v>
      </c>
      <c r="D29" s="739"/>
      <c r="E29" s="740"/>
      <c r="F29" s="1"/>
      <c r="G29" s="812"/>
      <c r="H29" s="813"/>
      <c r="I29" s="813"/>
      <c r="J29" s="813"/>
      <c r="K29" s="813"/>
      <c r="L29" s="813"/>
      <c r="M29" s="813"/>
      <c r="N29" s="813"/>
      <c r="O29" s="813"/>
      <c r="P29" s="814"/>
      <c r="R29" s="10"/>
      <c r="S29" s="544">
        <f t="shared" si="0"/>
        <v>0</v>
      </c>
      <c r="T29" s="147">
        <f>LARGE($S$4:$S$52,26)</f>
        <v>0</v>
      </c>
      <c r="U29" s="545">
        <f t="shared" si="1"/>
        <v>0</v>
      </c>
      <c r="V29" s="548">
        <f t="shared" si="2"/>
        <v>0</v>
      </c>
      <c r="W29" s="10"/>
      <c r="X29" s="10"/>
      <c r="Z29" s="24"/>
      <c r="AB29" s="8"/>
      <c r="AD29" s="96"/>
      <c r="AF29" s="96"/>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row>
    <row r="30" spans="2:106" ht="21" customHeight="1" x14ac:dyDescent="0.2">
      <c r="B30" s="150" t="s">
        <v>1345</v>
      </c>
      <c r="C30" s="738">
        <f>'Lower Extremity-Left'!J481</f>
        <v>0</v>
      </c>
      <c r="D30" s="739"/>
      <c r="E30" s="740"/>
      <c r="F30" s="1"/>
      <c r="G30" s="815"/>
      <c r="H30" s="816"/>
      <c r="I30" s="816"/>
      <c r="J30" s="816"/>
      <c r="K30" s="816"/>
      <c r="L30" s="816"/>
      <c r="M30" s="816"/>
      <c r="N30" s="816"/>
      <c r="O30" s="816"/>
      <c r="P30" s="817"/>
      <c r="R30" s="10"/>
      <c r="S30" s="544">
        <f t="shared" si="0"/>
        <v>0</v>
      </c>
      <c r="T30" s="147">
        <f>LARGE($S$4:$S$52,27)</f>
        <v>0</v>
      </c>
      <c r="U30" s="545">
        <f t="shared" si="1"/>
        <v>0</v>
      </c>
      <c r="V30" s="548">
        <f t="shared" si="2"/>
        <v>0</v>
      </c>
      <c r="W30" s="10"/>
      <c r="X30" s="10"/>
      <c r="Z30" s="24"/>
      <c r="AB30" s="8"/>
      <c r="AD30" s="96"/>
      <c r="AF30" s="96"/>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row>
    <row r="31" spans="2:106" ht="21" customHeight="1" x14ac:dyDescent="0.2">
      <c r="B31" s="150" t="s">
        <v>1346</v>
      </c>
      <c r="C31" s="738">
        <f>'Lower Extremity-Left'!J482</f>
        <v>0</v>
      </c>
      <c r="D31" s="739"/>
      <c r="E31" s="740"/>
      <c r="F31" s="158" t="s">
        <v>199</v>
      </c>
      <c r="G31" s="742" t="str">
        <f>IF(Y16=1,Y18,IF(R11=1,"Not applicable","Permanent impairment + social-vocational factor"))</f>
        <v>No release/return to work data</v>
      </c>
      <c r="H31" s="743"/>
      <c r="I31" s="743"/>
      <c r="J31" s="743"/>
      <c r="K31" s="743"/>
      <c r="L31" s="743"/>
      <c r="M31" s="743"/>
      <c r="N31" s="743"/>
      <c r="O31" s="744"/>
      <c r="P31" s="233" t="str">
        <f>IF(OR(C53=0,R11=1),"",C53+P26/100)</f>
        <v/>
      </c>
      <c r="R31" s="50">
        <f>Hearing!S25</f>
        <v>0</v>
      </c>
      <c r="S31" s="544">
        <f t="shared" si="0"/>
        <v>0</v>
      </c>
      <c r="T31" s="147">
        <f>LARGE($S$4:$S$52,28)</f>
        <v>0</v>
      </c>
      <c r="U31" s="545">
        <f t="shared" si="1"/>
        <v>0</v>
      </c>
      <c r="V31" s="548">
        <f t="shared" si="2"/>
        <v>0</v>
      </c>
      <c r="W31" s="10"/>
      <c r="X31" s="10"/>
      <c r="Z31" s="24"/>
      <c r="AB31" s="8"/>
      <c r="AD31" s="96"/>
      <c r="AF31" s="96"/>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row>
    <row r="32" spans="2:106" ht="27" customHeight="1" x14ac:dyDescent="0.2">
      <c r="B32" s="150" t="str">
        <f>IF(R31=0,"Hearing",IF(AND(R31=1,R32="Right"),"Hearing (right)",IF(AND(R31=1,R32="Left"),"Hearing (left)",IF(R31=2,"Hearing - monaural combined (L&amp;R)","Hearing - binaural"))))</f>
        <v>Hearing</v>
      </c>
      <c r="C32" s="802">
        <f>Hearing!S24</f>
        <v>0</v>
      </c>
      <c r="D32" s="736"/>
      <c r="E32" s="737"/>
      <c r="F32" s="6" t="s">
        <v>12</v>
      </c>
      <c r="G32" s="742" t="str">
        <f>IF(Y16=1,Y18,IF(R11=1,"Not applicable","Work disability factor"))</f>
        <v>No release/return to work data</v>
      </c>
      <c r="H32" s="743"/>
      <c r="I32" s="743"/>
      <c r="J32" s="743"/>
      <c r="K32" s="743"/>
      <c r="L32" s="743"/>
      <c r="M32" s="744"/>
      <c r="N32" s="732">
        <f>IF(R11=1,"",150)</f>
        <v>150</v>
      </c>
      <c r="O32" s="736"/>
      <c r="P32" s="231"/>
      <c r="R32" s="50">
        <f>Hearing!R25</f>
        <v>0</v>
      </c>
      <c r="S32" s="544">
        <f t="shared" si="0"/>
        <v>0</v>
      </c>
      <c r="T32" s="147">
        <f>LARGE($S$4:$S$52,29)</f>
        <v>0</v>
      </c>
      <c r="U32" s="545">
        <f t="shared" si="1"/>
        <v>0</v>
      </c>
      <c r="V32" s="548">
        <f t="shared" si="2"/>
        <v>0</v>
      </c>
      <c r="W32" s="10"/>
      <c r="X32" s="10"/>
      <c r="Z32" s="24"/>
      <c r="AB32" s="8"/>
      <c r="AD32" s="96"/>
      <c r="AF32" s="96"/>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row>
    <row r="33" spans="2:106" ht="27" customHeight="1" x14ac:dyDescent="0.2">
      <c r="B33" s="150" t="str">
        <f>IF(R33=3,"Vision - binocular",IF(R33=2,"Vision - monocular - combined (L&amp;R)",IF(AND(R33=1,R34="Left"),"Vision (left)",IF(AND(R33=1,R34="Right"),"Vision (right)","Vision"))))</f>
        <v>Vision</v>
      </c>
      <c r="C33" s="748">
        <f>Vision!AL69</f>
        <v>0</v>
      </c>
      <c r="D33" s="769"/>
      <c r="E33" s="770"/>
      <c r="F33" s="6" t="s">
        <v>11</v>
      </c>
      <c r="G33" s="756" t="str">
        <f>IF(C53=0,"No PPD entered",IF(Y16=1,Y18,IF(R11=1,"Not applicable","Worker's weekly wage at injury")))</f>
        <v>No PPD entered</v>
      </c>
      <c r="H33" s="757"/>
      <c r="I33" s="757"/>
      <c r="J33" s="757"/>
      <c r="K33" s="757"/>
      <c r="L33" s="757"/>
      <c r="M33" s="758"/>
      <c r="N33" s="800"/>
      <c r="O33" s="801"/>
      <c r="P33" s="347" t="str">
        <f>IF(AND(R11=0,N33="",C53&lt;&gt;0),"Enter wage.","")</f>
        <v/>
      </c>
      <c r="R33" s="50">
        <f>Vision!AM75</f>
        <v>0</v>
      </c>
      <c r="S33" s="544">
        <f t="shared" si="0"/>
        <v>0</v>
      </c>
      <c r="T33" s="147">
        <f>LARGE($S$4:$S$52,30)</f>
        <v>0</v>
      </c>
      <c r="U33" s="545">
        <f t="shared" si="1"/>
        <v>0</v>
      </c>
      <c r="V33" s="548">
        <f t="shared" si="2"/>
        <v>0</v>
      </c>
      <c r="W33" s="10"/>
      <c r="X33" s="10"/>
      <c r="Y33" s="10"/>
      <c r="Z33" s="128"/>
      <c r="AA33" s="10"/>
      <c r="AB33" s="128"/>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row>
    <row r="34" spans="2:106" ht="21" customHeight="1" x14ac:dyDescent="0.2">
      <c r="B34" s="150" t="s">
        <v>27</v>
      </c>
      <c r="C34" s="755">
        <f>'Shoulder-Right'!P90</f>
        <v>0</v>
      </c>
      <c r="D34" s="731"/>
      <c r="E34" s="731"/>
      <c r="F34" s="6" t="s">
        <v>10</v>
      </c>
      <c r="G34" s="749" t="str">
        <f>IF(Y16=1,Y18,IF(R11=1,"Not applicable","Wage carried down or adjusted to 50% min. or 133% max. of SAWW at time of injury"))</f>
        <v>No release/return to work data</v>
      </c>
      <c r="H34" s="750"/>
      <c r="I34" s="750"/>
      <c r="J34" s="750"/>
      <c r="K34" s="750"/>
      <c r="L34" s="750"/>
      <c r="M34" s="751"/>
      <c r="N34" s="798" t="str">
        <f>IF(R11=1,"",IF(N11="","Enter date of injury.",IF(SAWW!D6=0,"Missing SAWW",SAWW!D14)))</f>
        <v>Enter date of injury.</v>
      </c>
      <c r="O34" s="799"/>
      <c r="P34" s="347"/>
      <c r="R34" s="50">
        <f>Vision!AL75</f>
        <v>0</v>
      </c>
      <c r="S34" s="544">
        <f t="shared" si="0"/>
        <v>0</v>
      </c>
      <c r="T34" s="147">
        <f>LARGE($S$4:$S$52,31)</f>
        <v>0</v>
      </c>
      <c r="U34" s="545">
        <f t="shared" si="1"/>
        <v>0</v>
      </c>
      <c r="V34" s="548">
        <f t="shared" si="2"/>
        <v>0</v>
      </c>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row>
    <row r="35" spans="2:106" ht="21" customHeight="1" x14ac:dyDescent="0.2">
      <c r="B35" s="150" t="s">
        <v>1442</v>
      </c>
      <c r="C35" s="755">
        <f>'Shoulder-Left'!P90</f>
        <v>0</v>
      </c>
      <c r="D35" s="731"/>
      <c r="E35" s="731"/>
      <c r="G35" s="752"/>
      <c r="H35" s="753"/>
      <c r="I35" s="753"/>
      <c r="J35" s="753"/>
      <c r="K35" s="753"/>
      <c r="L35" s="753"/>
      <c r="M35" s="754"/>
      <c r="N35" s="798"/>
      <c r="O35" s="799"/>
      <c r="P35" s="70"/>
      <c r="R35" s="10"/>
      <c r="S35" s="544">
        <f t="shared" si="0"/>
        <v>0</v>
      </c>
      <c r="T35" s="147">
        <f>LARGE($S$4:$S$52,32)</f>
        <v>0</v>
      </c>
      <c r="U35" s="545">
        <f t="shared" si="1"/>
        <v>0</v>
      </c>
      <c r="V35" s="548">
        <f t="shared" si="2"/>
        <v>0</v>
      </c>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row>
    <row r="36" spans="2:106" ht="21" customHeight="1" x14ac:dyDescent="0.2">
      <c r="B36" s="150" t="s">
        <v>1443</v>
      </c>
      <c r="C36" s="755">
        <f>'Hip-Right'!P32</f>
        <v>0</v>
      </c>
      <c r="D36" s="731"/>
      <c r="E36" s="731"/>
      <c r="F36" s="175" t="s">
        <v>8</v>
      </c>
      <c r="G36" s="742" t="str">
        <f>IF(R11=1,"A work disability benefit is not due.","a * b * d = work disability benefit")</f>
        <v>a * b * d = work disability benefit</v>
      </c>
      <c r="H36" s="743"/>
      <c r="I36" s="743"/>
      <c r="J36" s="743"/>
      <c r="K36" s="743"/>
      <c r="L36" s="743"/>
      <c r="M36" s="743"/>
      <c r="N36" s="743"/>
      <c r="O36" s="744"/>
      <c r="P36" s="232">
        <f>IF(OR(C53=0,R11=1,Y16=1),0,IF(N11="","DOI?",ROUND(P31*N32*N34,2)))</f>
        <v>0</v>
      </c>
      <c r="R36" s="10"/>
      <c r="S36" s="544">
        <f t="shared" si="0"/>
        <v>0</v>
      </c>
      <c r="T36" s="147">
        <f>LARGE($S$4:$S$52,33)</f>
        <v>0</v>
      </c>
      <c r="U36" s="545">
        <f t="shared" si="1"/>
        <v>0</v>
      </c>
      <c r="V36" s="548">
        <f t="shared" si="2"/>
        <v>0</v>
      </c>
      <c r="W36" s="10"/>
      <c r="X36" s="10"/>
      <c r="Y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row>
    <row r="37" spans="2:106" ht="21" customHeight="1" x14ac:dyDescent="0.2">
      <c r="B37" s="150" t="s">
        <v>1444</v>
      </c>
      <c r="C37" s="755">
        <f>'Hip-Left'!P32</f>
        <v>0</v>
      </c>
      <c r="D37" s="731"/>
      <c r="E37" s="731"/>
      <c r="F37" s="6" t="s">
        <v>5</v>
      </c>
      <c r="G37" s="742" t="s">
        <v>320</v>
      </c>
      <c r="H37" s="743"/>
      <c r="I37" s="743"/>
      <c r="J37" s="743"/>
      <c r="K37" s="743"/>
      <c r="L37" s="743"/>
      <c r="M37" s="744"/>
      <c r="N37" s="732">
        <v>100</v>
      </c>
      <c r="O37" s="736"/>
      <c r="P37" s="803" t="str">
        <f>IF(N11="","",IF(AND(N33&gt;0,SAWW!D6=0),"Update SAWW worksheet - see Bulletin 111.",""))</f>
        <v/>
      </c>
      <c r="S37" s="544">
        <f t="shared" si="0"/>
        <v>0</v>
      </c>
      <c r="T37" s="147">
        <f>LARGE($S$4:$S$52,34)</f>
        <v>0</v>
      </c>
      <c r="U37" s="545">
        <f t="shared" si="1"/>
        <v>0</v>
      </c>
      <c r="V37" s="548">
        <f t="shared" si="2"/>
        <v>0</v>
      </c>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row>
    <row r="38" spans="2:106" ht="21" customHeight="1" x14ac:dyDescent="0.2">
      <c r="B38" s="150" t="s">
        <v>1464</v>
      </c>
      <c r="C38" s="755">
        <f>Spine!P170</f>
        <v>0</v>
      </c>
      <c r="D38" s="731"/>
      <c r="E38" s="731"/>
      <c r="F38" s="6" t="s">
        <v>6</v>
      </c>
      <c r="G38" s="756" t="s">
        <v>537</v>
      </c>
      <c r="H38" s="757"/>
      <c r="I38" s="757"/>
      <c r="J38" s="757"/>
      <c r="K38" s="757"/>
      <c r="L38" s="757"/>
      <c r="M38" s="758"/>
      <c r="N38" s="745" t="str">
        <f>IF(N11="","DOI?",IF(SAWW!D6=0,"Missing SAWW",SAWW!D6))</f>
        <v>DOI?</v>
      </c>
      <c r="O38" s="746"/>
      <c r="P38" s="804"/>
      <c r="S38" s="544">
        <f t="shared" si="0"/>
        <v>0</v>
      </c>
      <c r="T38" s="147">
        <f>LARGE($S$4:$S$52,35)</f>
        <v>0</v>
      </c>
      <c r="U38" s="545">
        <f t="shared" si="1"/>
        <v>0</v>
      </c>
      <c r="V38" s="548">
        <f t="shared" si="2"/>
        <v>0</v>
      </c>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row>
    <row r="39" spans="2:106" ht="21" customHeight="1" x14ac:dyDescent="0.2">
      <c r="B39" s="150" t="s">
        <v>1465</v>
      </c>
      <c r="C39" s="755">
        <f>Pelvis!P18</f>
        <v>0</v>
      </c>
      <c r="D39" s="731"/>
      <c r="E39" s="731"/>
      <c r="F39" s="6" t="s">
        <v>7</v>
      </c>
      <c r="G39" s="742" t="s">
        <v>164</v>
      </c>
      <c r="H39" s="743"/>
      <c r="I39" s="743"/>
      <c r="J39" s="743"/>
      <c r="K39" s="743"/>
      <c r="L39" s="743"/>
      <c r="M39" s="744"/>
      <c r="N39" s="747">
        <f>C53</f>
        <v>0</v>
      </c>
      <c r="O39" s="748"/>
      <c r="P39" s="805"/>
      <c r="R39" s="10"/>
      <c r="S39" s="544">
        <f t="shared" si="0"/>
        <v>0</v>
      </c>
      <c r="T39" s="147">
        <f>LARGE($S$4:$S$52,36)</f>
        <v>0</v>
      </c>
      <c r="U39" s="545">
        <f t="shared" si="1"/>
        <v>0</v>
      </c>
      <c r="V39" s="548">
        <f t="shared" si="2"/>
        <v>0</v>
      </c>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row>
    <row r="40" spans="2:106" ht="21" customHeight="1" x14ac:dyDescent="0.2">
      <c r="B40" s="150" t="s">
        <v>1463</v>
      </c>
      <c r="C40" s="755">
        <f>Abdomen!P7</f>
        <v>0</v>
      </c>
      <c r="D40" s="731"/>
      <c r="E40" s="731"/>
      <c r="F40" s="175" t="s">
        <v>9</v>
      </c>
      <c r="G40" s="742" t="s">
        <v>536</v>
      </c>
      <c r="H40" s="743"/>
      <c r="I40" s="743"/>
      <c r="J40" s="743"/>
      <c r="K40" s="743"/>
      <c r="L40" s="743"/>
      <c r="M40" s="743"/>
      <c r="N40" s="743"/>
      <c r="O40" s="744"/>
      <c r="P40" s="229" t="str">
        <f>IF(Y14=1,"ERROR",IF(Y16=1,"",IF(N11="","DOI?",ROUND(N37*N38*N39,2))))</f>
        <v/>
      </c>
      <c r="R40" s="10"/>
      <c r="S40" s="544">
        <f t="shared" si="0"/>
        <v>0</v>
      </c>
      <c r="T40" s="147">
        <f>LARGE($S$4:$S$52,37)</f>
        <v>0</v>
      </c>
      <c r="U40" s="545">
        <f t="shared" ref="U40:U51" si="3">V39+T41*(1-V39)</f>
        <v>0</v>
      </c>
      <c r="V40" s="548">
        <f t="shared" si="2"/>
        <v>0</v>
      </c>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row>
    <row r="41" spans="2:106" ht="21" customHeight="1" x14ac:dyDescent="0.2">
      <c r="B41" s="150" t="s">
        <v>555</v>
      </c>
      <c r="C41" s="727">
        <f>Chest!P5</f>
        <v>0</v>
      </c>
      <c r="D41" s="728"/>
      <c r="E41" s="729"/>
      <c r="F41" s="175"/>
      <c r="G41" s="741" t="s">
        <v>106</v>
      </c>
      <c r="H41" s="741"/>
      <c r="I41" s="741"/>
      <c r="J41" s="741"/>
      <c r="K41" s="741"/>
      <c r="L41" s="741"/>
      <c r="M41" s="741"/>
      <c r="N41" s="741"/>
      <c r="O41" s="741"/>
      <c r="P41" s="359">
        <f>IF(Y14=1,"ERROR",IF(C53=0,0,IF(N11="","Enter DOI",IF(OR(G27&lt;&gt;"",P33&lt;&gt;""),"ERROR",SUM(P36,P40)))))</f>
        <v>0</v>
      </c>
      <c r="R41" s="10"/>
      <c r="S41" s="544">
        <f t="shared" si="0"/>
        <v>0</v>
      </c>
      <c r="T41" s="147">
        <f>LARGE($S$4:$S$52,38)</f>
        <v>0</v>
      </c>
      <c r="U41" s="545">
        <f t="shared" si="3"/>
        <v>0</v>
      </c>
      <c r="V41" s="548">
        <f t="shared" si="2"/>
        <v>0</v>
      </c>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row>
    <row r="42" spans="2:106" ht="21" customHeight="1" x14ac:dyDescent="0.2">
      <c r="B42" s="150" t="s">
        <v>262</v>
      </c>
      <c r="C42" s="755">
        <f>Cardiovascular!P12</f>
        <v>0</v>
      </c>
      <c r="D42" s="731"/>
      <c r="E42" s="731"/>
      <c r="F42" s="157"/>
      <c r="R42" s="10"/>
      <c r="S42" s="544">
        <f t="shared" si="0"/>
        <v>0</v>
      </c>
      <c r="T42" s="147">
        <f>LARGE($S$4:$S$52,39)</f>
        <v>0</v>
      </c>
      <c r="U42" s="545">
        <f t="shared" si="3"/>
        <v>0</v>
      </c>
      <c r="V42" s="548">
        <f t="shared" si="2"/>
        <v>0</v>
      </c>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row>
    <row r="43" spans="2:106" ht="21" customHeight="1" x14ac:dyDescent="0.2">
      <c r="B43" s="150" t="s">
        <v>1078</v>
      </c>
      <c r="C43" s="755">
        <f>Respiratory!P9</f>
        <v>0</v>
      </c>
      <c r="D43" s="731"/>
      <c r="E43" s="731"/>
      <c r="G43" s="792" t="s">
        <v>2132</v>
      </c>
      <c r="H43" s="793"/>
      <c r="I43" s="793"/>
      <c r="J43" s="793"/>
      <c r="K43" s="793"/>
      <c r="L43" s="793"/>
      <c r="M43" s="793"/>
      <c r="N43" s="793"/>
      <c r="O43" s="793"/>
      <c r="P43" s="794"/>
      <c r="R43" s="10"/>
      <c r="S43" s="544">
        <f t="shared" si="0"/>
        <v>0</v>
      </c>
      <c r="T43" s="147">
        <f>LARGE($S$4:$S$52,40)</f>
        <v>0</v>
      </c>
      <c r="U43" s="545">
        <f t="shared" si="3"/>
        <v>0</v>
      </c>
      <c r="V43" s="548">
        <f t="shared" si="2"/>
        <v>0</v>
      </c>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row>
    <row r="44" spans="2:106" ht="21" customHeight="1" x14ac:dyDescent="0.2">
      <c r="B44" s="150" t="s">
        <v>1916</v>
      </c>
      <c r="C44" s="755">
        <f>'Cranial Nerves-Brain'!P51</f>
        <v>0</v>
      </c>
      <c r="D44" s="731"/>
      <c r="E44" s="731"/>
      <c r="G44" s="795"/>
      <c r="H44" s="796"/>
      <c r="I44" s="796"/>
      <c r="J44" s="796"/>
      <c r="K44" s="796"/>
      <c r="L44" s="796"/>
      <c r="M44" s="796"/>
      <c r="N44" s="796"/>
      <c r="O44" s="796"/>
      <c r="P44" s="797"/>
      <c r="R44" s="10"/>
      <c r="S44" s="544">
        <f t="shared" si="0"/>
        <v>0</v>
      </c>
      <c r="T44" s="147">
        <f>LARGE($S$4:$S$52,41)</f>
        <v>0</v>
      </c>
      <c r="U44" s="545">
        <f t="shared" si="3"/>
        <v>0</v>
      </c>
      <c r="V44" s="548">
        <f t="shared" si="2"/>
        <v>0</v>
      </c>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row>
    <row r="45" spans="2:106" ht="21" customHeight="1" x14ac:dyDescent="0.2">
      <c r="B45" s="150" t="s">
        <v>265</v>
      </c>
      <c r="C45" s="755">
        <f>'Spinal cord'!P12</f>
        <v>0</v>
      </c>
      <c r="D45" s="731"/>
      <c r="E45" s="731"/>
      <c r="G45" s="795"/>
      <c r="H45" s="796"/>
      <c r="I45" s="796"/>
      <c r="J45" s="796"/>
      <c r="K45" s="796"/>
      <c r="L45" s="796"/>
      <c r="M45" s="796"/>
      <c r="N45" s="796"/>
      <c r="O45" s="796"/>
      <c r="P45" s="797"/>
      <c r="R45" s="10"/>
      <c r="S45" s="544">
        <f t="shared" si="0"/>
        <v>0</v>
      </c>
      <c r="T45" s="147">
        <f>LARGE($S$4:$S$52,42)</f>
        <v>0</v>
      </c>
      <c r="U45" s="545">
        <f t="shared" si="3"/>
        <v>0</v>
      </c>
      <c r="V45" s="548">
        <f t="shared" si="2"/>
        <v>0</v>
      </c>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row>
    <row r="46" spans="2:106" ht="21" customHeight="1" x14ac:dyDescent="0.2">
      <c r="B46" s="150" t="s">
        <v>1053</v>
      </c>
      <c r="C46" s="755">
        <f>'Mental illness'!P16</f>
        <v>0</v>
      </c>
      <c r="D46" s="731"/>
      <c r="E46" s="731"/>
      <c r="G46" s="795"/>
      <c r="H46" s="796"/>
      <c r="I46" s="796"/>
      <c r="J46" s="796"/>
      <c r="K46" s="796"/>
      <c r="L46" s="796"/>
      <c r="M46" s="796"/>
      <c r="N46" s="796"/>
      <c r="O46" s="796"/>
      <c r="P46" s="797"/>
      <c r="R46" s="10"/>
      <c r="S46" s="544">
        <f t="shared" si="0"/>
        <v>0</v>
      </c>
      <c r="T46" s="147">
        <f>LARGE($S$4:$S$52,43)</f>
        <v>0</v>
      </c>
      <c r="U46" s="545">
        <f t="shared" si="3"/>
        <v>0</v>
      </c>
      <c r="V46" s="548">
        <f t="shared" si="2"/>
        <v>0</v>
      </c>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row>
    <row r="47" spans="2:106" ht="21" customHeight="1" x14ac:dyDescent="0.2">
      <c r="B47" s="150" t="s">
        <v>1915</v>
      </c>
      <c r="C47" s="755">
        <f>Hematopoietic!P22</f>
        <v>0</v>
      </c>
      <c r="D47" s="731"/>
      <c r="E47" s="731"/>
      <c r="G47" s="795"/>
      <c r="H47" s="796"/>
      <c r="I47" s="796"/>
      <c r="J47" s="796"/>
      <c r="K47" s="796"/>
      <c r="L47" s="796"/>
      <c r="M47" s="796"/>
      <c r="N47" s="796"/>
      <c r="O47" s="796"/>
      <c r="P47" s="797"/>
      <c r="R47" s="10"/>
      <c r="S47" s="544">
        <f t="shared" si="0"/>
        <v>0</v>
      </c>
      <c r="T47" s="147">
        <f>LARGE($S$4:$S$52,44)</f>
        <v>0</v>
      </c>
      <c r="U47" s="545">
        <f t="shared" si="3"/>
        <v>0</v>
      </c>
      <c r="V47" s="548">
        <f t="shared" si="2"/>
        <v>0</v>
      </c>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row>
    <row r="48" spans="2:106" ht="27" customHeight="1" x14ac:dyDescent="0.2">
      <c r="B48" s="150" t="s">
        <v>1046</v>
      </c>
      <c r="C48" s="755">
        <f>'GI &amp; GU'!P79</f>
        <v>0</v>
      </c>
      <c r="D48" s="731"/>
      <c r="E48" s="731"/>
      <c r="G48" s="795"/>
      <c r="H48" s="796"/>
      <c r="I48" s="796"/>
      <c r="J48" s="796"/>
      <c r="K48" s="796"/>
      <c r="L48" s="796"/>
      <c r="M48" s="796"/>
      <c r="N48" s="796"/>
      <c r="O48" s="796"/>
      <c r="P48" s="797"/>
      <c r="R48" s="10"/>
      <c r="S48" s="544">
        <f t="shared" si="0"/>
        <v>0</v>
      </c>
      <c r="T48" s="147">
        <f>LARGE($S$4:$S$52,45)</f>
        <v>0</v>
      </c>
      <c r="U48" s="545">
        <f t="shared" si="3"/>
        <v>0</v>
      </c>
      <c r="V48" s="548">
        <f t="shared" si="2"/>
        <v>0</v>
      </c>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row>
    <row r="49" spans="1:256" ht="21" customHeight="1" x14ac:dyDescent="0.2">
      <c r="B49" s="150" t="s">
        <v>235</v>
      </c>
      <c r="C49" s="755">
        <f>Endocrine!P53</f>
        <v>0</v>
      </c>
      <c r="D49" s="731"/>
      <c r="E49" s="731"/>
      <c r="G49" s="795"/>
      <c r="H49" s="796"/>
      <c r="I49" s="796"/>
      <c r="J49" s="796"/>
      <c r="K49" s="796"/>
      <c r="L49" s="796"/>
      <c r="M49" s="796"/>
      <c r="N49" s="796"/>
      <c r="O49" s="796"/>
      <c r="P49" s="797"/>
      <c r="R49" s="10"/>
      <c r="S49" s="544">
        <f t="shared" si="0"/>
        <v>0</v>
      </c>
      <c r="T49" s="147">
        <f>LARGE($S$4:$S$52,46)</f>
        <v>0</v>
      </c>
      <c r="U49" s="545">
        <f t="shared" si="3"/>
        <v>0</v>
      </c>
      <c r="V49" s="548">
        <f t="shared" si="2"/>
        <v>0</v>
      </c>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row>
    <row r="50" spans="1:256" ht="21" customHeight="1" x14ac:dyDescent="0.2">
      <c r="B50" s="150" t="s">
        <v>793</v>
      </c>
      <c r="C50" s="755">
        <f>'Integument &amp; Lacrimal'!P21</f>
        <v>0</v>
      </c>
      <c r="D50" s="731"/>
      <c r="E50" s="731"/>
      <c r="G50" s="795"/>
      <c r="H50" s="796"/>
      <c r="I50" s="796"/>
      <c r="J50" s="796"/>
      <c r="K50" s="796"/>
      <c r="L50" s="796"/>
      <c r="M50" s="796"/>
      <c r="N50" s="796"/>
      <c r="O50" s="796"/>
      <c r="P50" s="797"/>
      <c r="R50" s="10"/>
      <c r="S50" s="544">
        <f t="shared" si="0"/>
        <v>0</v>
      </c>
      <c r="T50" s="147">
        <f>LARGE($S$4:$S$52,47)</f>
        <v>0</v>
      </c>
      <c r="U50" s="545">
        <f t="shared" si="3"/>
        <v>0</v>
      </c>
      <c r="V50" s="548">
        <f t="shared" si="2"/>
        <v>0</v>
      </c>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row>
    <row r="51" spans="1:256" ht="21" customHeight="1" x14ac:dyDescent="0.2">
      <c r="B51" s="150" t="s">
        <v>100</v>
      </c>
      <c r="C51" s="755">
        <f>'Immune system'!P4</f>
        <v>0</v>
      </c>
      <c r="D51" s="731"/>
      <c r="E51" s="731"/>
      <c r="G51" s="795"/>
      <c r="H51" s="796"/>
      <c r="I51" s="796"/>
      <c r="J51" s="796"/>
      <c r="K51" s="796"/>
      <c r="L51" s="796"/>
      <c r="M51" s="796"/>
      <c r="N51" s="796"/>
      <c r="O51" s="796"/>
      <c r="P51" s="797"/>
      <c r="R51" s="10"/>
      <c r="S51" s="544">
        <f t="shared" si="0"/>
        <v>0</v>
      </c>
      <c r="T51" s="147">
        <f>LARGE($S$4:$S$52,48)</f>
        <v>0</v>
      </c>
      <c r="U51" s="545">
        <f t="shared" si="3"/>
        <v>0</v>
      </c>
      <c r="V51" s="548">
        <f t="shared" si="2"/>
        <v>0</v>
      </c>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row>
    <row r="52" spans="1:256" ht="21" customHeight="1" x14ac:dyDescent="0.2">
      <c r="B52" s="178"/>
      <c r="C52" s="768">
        <v>0</v>
      </c>
      <c r="D52" s="768"/>
      <c r="E52" s="768"/>
      <c r="F52" s="175"/>
      <c r="G52" s="795"/>
      <c r="H52" s="796"/>
      <c r="I52" s="796"/>
      <c r="J52" s="796"/>
      <c r="K52" s="796"/>
      <c r="L52" s="796"/>
      <c r="M52" s="796"/>
      <c r="N52" s="796"/>
      <c r="O52" s="796"/>
      <c r="P52" s="797"/>
      <c r="R52" s="10"/>
      <c r="S52" s="544">
        <f t="shared" si="0"/>
        <v>0</v>
      </c>
      <c r="T52" s="147">
        <f>LARGE($S$4:$S$52,49)</f>
        <v>0</v>
      </c>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row>
    <row r="53" spans="1:256" ht="26.25" customHeight="1" x14ac:dyDescent="0.25">
      <c r="A53" s="6"/>
      <c r="B53" s="223" t="s">
        <v>164</v>
      </c>
      <c r="C53" s="763">
        <f>V51</f>
        <v>0</v>
      </c>
      <c r="D53" s="763"/>
      <c r="E53" s="763"/>
      <c r="F53" s="764" t="s">
        <v>871</v>
      </c>
      <c r="G53" s="764"/>
      <c r="H53" s="764"/>
      <c r="I53" s="764"/>
      <c r="J53" s="764"/>
      <c r="K53" s="764"/>
      <c r="L53" s="764"/>
      <c r="M53" s="764"/>
      <c r="N53" s="764"/>
      <c r="O53" s="764"/>
      <c r="P53" s="764"/>
      <c r="R53" s="10"/>
      <c r="S53" s="96"/>
      <c r="T53" s="14"/>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row>
    <row r="54" spans="1:256" ht="21.75" customHeight="1" x14ac:dyDescent="0.25">
      <c r="C54" s="228"/>
      <c r="D54" s="228"/>
      <c r="E54" s="228"/>
      <c r="F54" s="228"/>
      <c r="G54" s="228"/>
      <c r="H54" s="228"/>
      <c r="I54" s="228"/>
      <c r="J54" s="228"/>
      <c r="K54" s="228"/>
      <c r="L54" s="228"/>
      <c r="M54" s="228"/>
      <c r="N54" s="228"/>
      <c r="O54" s="228"/>
      <c r="P54" s="228"/>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IV54" s="15"/>
    </row>
    <row r="55" spans="1:256" ht="18" customHeight="1" x14ac:dyDescent="0.2">
      <c r="B55" s="234"/>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row>
    <row r="56" spans="1:256" ht="18" hidden="1" customHeight="1" x14ac:dyDescent="0.2">
      <c r="B56" s="2" t="s">
        <v>356</v>
      </c>
      <c r="C56" s="724" t="s">
        <v>1120</v>
      </c>
      <c r="D56" s="724"/>
      <c r="E56" s="724"/>
      <c r="F56" s="724"/>
      <c r="G56" s="724"/>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row>
    <row r="57" spans="1:256" ht="18" hidden="1" customHeight="1" x14ac:dyDescent="0.2">
      <c r="A57" s="146" t="s">
        <v>269</v>
      </c>
      <c r="B57" s="18">
        <v>1</v>
      </c>
      <c r="C57" s="18">
        <v>2</v>
      </c>
      <c r="D57" s="18">
        <v>3</v>
      </c>
      <c r="E57" s="18">
        <v>4</v>
      </c>
      <c r="F57" s="18">
        <v>5</v>
      </c>
      <c r="G57" s="18">
        <v>6</v>
      </c>
      <c r="H57" s="18">
        <v>7</v>
      </c>
      <c r="I57" s="18">
        <v>8</v>
      </c>
      <c r="J57" s="18">
        <v>9</v>
      </c>
      <c r="K57" s="541"/>
      <c r="L57" s="540" t="s">
        <v>2133</v>
      </c>
      <c r="M57" s="541"/>
      <c r="N57" s="541"/>
      <c r="O57" s="542"/>
      <c r="P57" s="542"/>
      <c r="Q57" s="542"/>
      <c r="R57" s="540"/>
      <c r="S57" s="540"/>
      <c r="T57" s="540"/>
      <c r="U57" s="54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row>
    <row r="58" spans="1:256" ht="18" hidden="1" customHeight="1" x14ac:dyDescent="0.2">
      <c r="A58" s="146">
        <v>4</v>
      </c>
      <c r="B58" s="18">
        <v>4</v>
      </c>
      <c r="C58" s="18">
        <v>4</v>
      </c>
      <c r="D58" s="18">
        <v>3</v>
      </c>
      <c r="E58" s="18">
        <v>3</v>
      </c>
      <c r="F58" s="18">
        <v>2</v>
      </c>
      <c r="G58" s="18">
        <v>2</v>
      </c>
      <c r="H58" s="18">
        <v>1</v>
      </c>
      <c r="I58" s="18">
        <v>1</v>
      </c>
      <c r="J58" s="18">
        <v>1</v>
      </c>
      <c r="K58" s="1"/>
      <c r="L58" s="1"/>
      <c r="M58" s="1"/>
      <c r="N58" s="1"/>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row>
    <row r="59" spans="1:256" ht="18" hidden="1" customHeight="1" x14ac:dyDescent="0.2">
      <c r="B59" s="1"/>
      <c r="C59" s="1"/>
      <c r="D59" s="1"/>
      <c r="E59" s="1"/>
      <c r="F59" s="1"/>
      <c r="G59" s="1"/>
      <c r="H59" s="1"/>
      <c r="I59" s="1"/>
      <c r="J59" s="1"/>
      <c r="K59" s="1"/>
      <c r="L59" s="1"/>
      <c r="M59" s="1"/>
      <c r="N59" s="1"/>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row>
    <row r="60" spans="1:256" ht="18" hidden="1" customHeight="1" x14ac:dyDescent="0.2">
      <c r="B60" s="1"/>
      <c r="C60" s="1"/>
      <c r="D60" s="1"/>
      <c r="E60" s="1"/>
      <c r="F60" s="1"/>
      <c r="G60" s="1"/>
      <c r="H60" s="1"/>
      <c r="I60" s="1"/>
      <c r="J60" s="540"/>
      <c r="K60" s="540" t="s">
        <v>2134</v>
      </c>
      <c r="L60" s="540"/>
      <c r="M60" s="540"/>
      <c r="N60" s="540"/>
      <c r="O60" s="540"/>
      <c r="P60" s="540"/>
      <c r="Q60" s="540"/>
      <c r="R60" s="540"/>
      <c r="S60" s="540"/>
      <c r="T60" s="540"/>
      <c r="U60" s="540"/>
      <c r="V60" s="540"/>
      <c r="W60" s="540"/>
      <c r="X60" s="540"/>
      <c r="Y60" s="54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row>
    <row r="61" spans="1:256" ht="18" hidden="1" customHeight="1" x14ac:dyDescent="0.2">
      <c r="B61" s="18" t="s">
        <v>344</v>
      </c>
      <c r="C61" s="18" t="s">
        <v>345</v>
      </c>
      <c r="D61" s="18" t="s">
        <v>346</v>
      </c>
      <c r="E61" s="18" t="s">
        <v>347</v>
      </c>
      <c r="F61" s="18" t="s">
        <v>348</v>
      </c>
      <c r="G61" s="18"/>
      <c r="H61" s="18" t="s">
        <v>349</v>
      </c>
      <c r="I61" s="18" t="s">
        <v>344</v>
      </c>
      <c r="J61" s="18" t="s">
        <v>350</v>
      </c>
      <c r="K61" s="18" t="s">
        <v>345</v>
      </c>
      <c r="L61" s="18" t="s">
        <v>351</v>
      </c>
      <c r="M61" s="18" t="s">
        <v>346</v>
      </c>
      <c r="N61" s="18" t="s">
        <v>352</v>
      </c>
      <c r="O61" s="146" t="s">
        <v>347</v>
      </c>
      <c r="P61" s="146" t="s">
        <v>348</v>
      </c>
      <c r="Q61" s="146"/>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row>
    <row r="62" spans="1:256" ht="18" hidden="1" customHeight="1" x14ac:dyDescent="0.2">
      <c r="B62" s="18" t="s">
        <v>1888</v>
      </c>
      <c r="C62" s="18" t="s">
        <v>1889</v>
      </c>
      <c r="D62" s="18" t="s">
        <v>1642</v>
      </c>
      <c r="E62" s="18" t="s">
        <v>1435</v>
      </c>
      <c r="F62" s="18" t="s">
        <v>1436</v>
      </c>
      <c r="G62" s="18" t="s">
        <v>1437</v>
      </c>
      <c r="H62" s="18" t="s">
        <v>1438</v>
      </c>
      <c r="I62" s="18" t="s">
        <v>1439</v>
      </c>
      <c r="J62" s="18" t="s">
        <v>1440</v>
      </c>
      <c r="K62" s="18" t="s">
        <v>1441</v>
      </c>
      <c r="L62" s="18" t="s">
        <v>1557</v>
      </c>
      <c r="M62" s="18" t="s">
        <v>942</v>
      </c>
      <c r="N62" s="18" t="s">
        <v>943</v>
      </c>
      <c r="O62" s="146" t="s">
        <v>944</v>
      </c>
      <c r="P62" s="146" t="s">
        <v>945</v>
      </c>
      <c r="Q62" s="146" t="s">
        <v>946</v>
      </c>
      <c r="R62" s="50" t="s">
        <v>947</v>
      </c>
      <c r="S62" s="50" t="s">
        <v>948</v>
      </c>
      <c r="T62" s="50" t="s">
        <v>949</v>
      </c>
      <c r="U62" s="50" t="s">
        <v>630</v>
      </c>
      <c r="V62" s="50" t="s">
        <v>631</v>
      </c>
      <c r="W62" s="50" t="s">
        <v>632</v>
      </c>
      <c r="X62" s="50" t="s">
        <v>633</v>
      </c>
      <c r="Y62" s="50" t="s">
        <v>634</v>
      </c>
      <c r="Z62" s="50" t="s">
        <v>635</v>
      </c>
      <c r="AA62" s="50" t="s">
        <v>636</v>
      </c>
      <c r="AB62" s="50" t="s">
        <v>637</v>
      </c>
      <c r="AC62" s="50" t="s">
        <v>638</v>
      </c>
      <c r="AD62" s="50" t="s">
        <v>639</v>
      </c>
      <c r="AE62" s="50" t="s">
        <v>640</v>
      </c>
      <c r="AF62" s="50" t="s">
        <v>641</v>
      </c>
      <c r="AG62" s="50" t="s">
        <v>642</v>
      </c>
      <c r="AH62" s="50" t="s">
        <v>643</v>
      </c>
      <c r="AI62" s="50" t="s">
        <v>644</v>
      </c>
      <c r="AJ62" s="50" t="s">
        <v>645</v>
      </c>
      <c r="AK62" s="50" t="s">
        <v>646</v>
      </c>
      <c r="AL62" s="50" t="s">
        <v>647</v>
      </c>
      <c r="AM62" s="50" t="s">
        <v>648</v>
      </c>
      <c r="AN62" s="50" t="s">
        <v>1047</v>
      </c>
      <c r="AO62" s="50" t="s">
        <v>368</v>
      </c>
      <c r="AP62" s="50" t="s">
        <v>369</v>
      </c>
      <c r="AQ62" s="50" t="s">
        <v>43</v>
      </c>
      <c r="AR62" s="50" t="s">
        <v>44</v>
      </c>
      <c r="AS62" s="50" t="s">
        <v>45</v>
      </c>
      <c r="AT62" s="50" t="s">
        <v>46</v>
      </c>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row>
    <row r="63" spans="1:256" ht="18" hidden="1" customHeight="1" x14ac:dyDescent="0.2">
      <c r="B63" s="18">
        <v>2</v>
      </c>
      <c r="C63" s="18">
        <v>1</v>
      </c>
      <c r="D63" s="18">
        <v>1</v>
      </c>
      <c r="E63" s="18">
        <v>1</v>
      </c>
      <c r="F63" s="18">
        <v>1</v>
      </c>
      <c r="G63" s="18">
        <v>1</v>
      </c>
      <c r="H63" s="18">
        <v>1</v>
      </c>
      <c r="I63" s="18">
        <v>1</v>
      </c>
      <c r="J63" s="18">
        <v>1</v>
      </c>
      <c r="K63" s="18">
        <v>4</v>
      </c>
      <c r="L63" s="18">
        <v>3</v>
      </c>
      <c r="M63" s="18">
        <v>2</v>
      </c>
      <c r="N63" s="18">
        <v>1</v>
      </c>
      <c r="O63" s="146">
        <v>1</v>
      </c>
      <c r="P63" s="146">
        <v>1</v>
      </c>
      <c r="Q63" s="146">
        <v>1</v>
      </c>
      <c r="R63" s="50">
        <v>1</v>
      </c>
      <c r="S63" s="50">
        <v>1</v>
      </c>
      <c r="T63" s="50">
        <v>6</v>
      </c>
      <c r="U63" s="50">
        <v>5</v>
      </c>
      <c r="V63" s="50">
        <v>4</v>
      </c>
      <c r="W63" s="50">
        <v>3</v>
      </c>
      <c r="X63" s="50">
        <v>2</v>
      </c>
      <c r="Y63" s="50">
        <v>1</v>
      </c>
      <c r="Z63" s="50">
        <v>1</v>
      </c>
      <c r="AA63" s="50">
        <v>1</v>
      </c>
      <c r="AB63" s="50">
        <v>1</v>
      </c>
      <c r="AC63" s="50">
        <v>7</v>
      </c>
      <c r="AD63" s="50">
        <v>6</v>
      </c>
      <c r="AE63" s="50">
        <v>6</v>
      </c>
      <c r="AF63" s="50">
        <v>5</v>
      </c>
      <c r="AG63" s="50">
        <v>4</v>
      </c>
      <c r="AH63" s="50">
        <v>3</v>
      </c>
      <c r="AI63" s="50">
        <v>2</v>
      </c>
      <c r="AJ63" s="50">
        <v>1</v>
      </c>
      <c r="AK63" s="50">
        <v>1</v>
      </c>
      <c r="AL63" s="50">
        <v>7</v>
      </c>
      <c r="AM63" s="50">
        <v>7</v>
      </c>
      <c r="AN63" s="50">
        <v>6</v>
      </c>
      <c r="AO63" s="50">
        <v>5</v>
      </c>
      <c r="AP63" s="50">
        <v>4</v>
      </c>
      <c r="AQ63" s="50">
        <v>3</v>
      </c>
      <c r="AR63" s="50">
        <v>2</v>
      </c>
      <c r="AS63" s="50">
        <v>1</v>
      </c>
      <c r="AT63" s="50">
        <v>1</v>
      </c>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row>
    <row r="64" spans="1:256" ht="18" hidden="1" customHeight="1" x14ac:dyDescent="0.2">
      <c r="B64" s="1"/>
      <c r="C64" s="1"/>
      <c r="D64" s="1"/>
      <c r="E64" s="1"/>
      <c r="F64" s="1"/>
      <c r="G64" s="1"/>
      <c r="H64" s="1"/>
      <c r="I64" s="1"/>
      <c r="J64" s="1"/>
      <c r="K64" s="1"/>
      <c r="L64" s="1"/>
      <c r="M64" s="1"/>
      <c r="N64" s="1"/>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row>
    <row r="65" spans="2:106" ht="18" hidden="1" customHeight="1" x14ac:dyDescent="0.2">
      <c r="B65" s="1"/>
      <c r="C65" s="1"/>
      <c r="D65" s="1"/>
      <c r="E65" s="1"/>
      <c r="F65" s="1"/>
      <c r="G65" s="1"/>
      <c r="H65" s="1"/>
      <c r="I65" s="1"/>
      <c r="J65" s="540"/>
      <c r="K65" s="540" t="s">
        <v>2135</v>
      </c>
      <c r="L65" s="540"/>
      <c r="M65" s="540"/>
      <c r="N65" s="540"/>
      <c r="O65" s="540"/>
      <c r="P65" s="540"/>
      <c r="Q65" s="540"/>
      <c r="R65" s="540"/>
      <c r="S65" s="540"/>
      <c r="T65" s="540"/>
      <c r="U65" s="540"/>
      <c r="V65" s="540"/>
      <c r="W65" s="540"/>
      <c r="X65" s="54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row>
    <row r="66" spans="2:106" s="151" customFormat="1" ht="18" hidden="1" customHeight="1" x14ac:dyDescent="0.2">
      <c r="B66" s="160">
        <v>0.01</v>
      </c>
      <c r="C66" s="160">
        <v>0.02</v>
      </c>
      <c r="D66" s="160">
        <v>0.03</v>
      </c>
      <c r="E66" s="160">
        <v>0.04</v>
      </c>
      <c r="F66" s="160">
        <v>0.05</v>
      </c>
      <c r="G66" s="160">
        <v>0.06</v>
      </c>
      <c r="H66" s="160">
        <v>7.0000000000000007E-2</v>
      </c>
      <c r="I66" s="160">
        <v>0.08</v>
      </c>
      <c r="J66" s="160">
        <v>0.09</v>
      </c>
      <c r="K66" s="160">
        <v>0.1</v>
      </c>
      <c r="L66" s="160">
        <v>0.11</v>
      </c>
      <c r="M66" s="160">
        <v>0.12</v>
      </c>
      <c r="N66" s="160">
        <v>0.13</v>
      </c>
      <c r="O66" s="160">
        <v>0.14000000000000001</v>
      </c>
      <c r="P66" s="160">
        <v>0.15</v>
      </c>
      <c r="Q66" s="160">
        <v>0.16</v>
      </c>
      <c r="R66" s="147">
        <v>0.17</v>
      </c>
      <c r="S66" s="147">
        <v>0.18</v>
      </c>
      <c r="T66" s="147">
        <v>0.19</v>
      </c>
      <c r="U66" s="147">
        <v>0.2</v>
      </c>
      <c r="V66" s="147">
        <v>0.21</v>
      </c>
      <c r="W66" s="147">
        <v>0.22</v>
      </c>
      <c r="X66" s="147">
        <v>0.23</v>
      </c>
      <c r="Y66" s="147">
        <v>0.24</v>
      </c>
      <c r="Z66" s="147">
        <v>0.25</v>
      </c>
      <c r="AA66" s="147">
        <v>0.26</v>
      </c>
      <c r="AB66" s="147">
        <v>0.27</v>
      </c>
      <c r="AC66" s="147">
        <v>0.28000000000000003</v>
      </c>
      <c r="AD66" s="147">
        <v>0.28999999999999998</v>
      </c>
      <c r="AE66" s="147">
        <v>0.3</v>
      </c>
      <c r="AF66" s="147">
        <v>0.31</v>
      </c>
      <c r="AG66" s="147">
        <v>0.32</v>
      </c>
      <c r="AH66" s="147">
        <v>0.33</v>
      </c>
      <c r="AI66" s="147">
        <v>0.34</v>
      </c>
      <c r="AJ66" s="147">
        <v>0.35</v>
      </c>
      <c r="AK66" s="147">
        <v>0.36</v>
      </c>
      <c r="AL66" s="147">
        <v>0.37</v>
      </c>
      <c r="AM66" s="147">
        <v>0.38</v>
      </c>
      <c r="AN66" s="147">
        <v>0.39</v>
      </c>
      <c r="AO66" s="147">
        <v>0.4</v>
      </c>
      <c r="AP66" s="147">
        <v>0.41</v>
      </c>
      <c r="AQ66" s="147">
        <v>0.42</v>
      </c>
      <c r="AR66" s="147">
        <v>0.43</v>
      </c>
      <c r="AS66" s="147">
        <v>0.44</v>
      </c>
      <c r="AT66" s="147">
        <v>0.45</v>
      </c>
      <c r="AU66" s="147">
        <v>0.46</v>
      </c>
      <c r="AV66" s="147">
        <v>0.47</v>
      </c>
      <c r="AW66" s="147">
        <v>0.48</v>
      </c>
      <c r="AX66" s="147">
        <v>0.49</v>
      </c>
      <c r="AY66" s="147">
        <v>0.5</v>
      </c>
      <c r="AZ66" s="147">
        <v>0.51</v>
      </c>
      <c r="BA66" s="147">
        <v>0.52</v>
      </c>
      <c r="BB66" s="147">
        <v>0.53</v>
      </c>
      <c r="BC66" s="147">
        <v>0.54</v>
      </c>
      <c r="BD66" s="147">
        <v>0.55000000000000004</v>
      </c>
      <c r="BE66" s="147">
        <v>0.56000000000000005</v>
      </c>
      <c r="BF66" s="147">
        <v>0.56999999999999995</v>
      </c>
      <c r="BG66" s="147">
        <v>0.57999999999999996</v>
      </c>
      <c r="BH66" s="147">
        <v>0.59</v>
      </c>
      <c r="BI66" s="147">
        <v>0.6</v>
      </c>
      <c r="BJ66" s="147">
        <v>0.61</v>
      </c>
      <c r="BK66" s="147">
        <v>0.62</v>
      </c>
      <c r="BL66" s="147">
        <v>0.63</v>
      </c>
      <c r="BM66" s="147">
        <v>0.64</v>
      </c>
      <c r="BN66" s="147">
        <v>0.65</v>
      </c>
      <c r="BO66" s="147">
        <v>0.66</v>
      </c>
      <c r="BP66" s="147">
        <v>0.67</v>
      </c>
      <c r="BQ66" s="147">
        <v>0.68</v>
      </c>
      <c r="BR66" s="147">
        <v>0.69</v>
      </c>
      <c r="BS66" s="147">
        <v>0.7</v>
      </c>
      <c r="BT66" s="147">
        <v>0.71</v>
      </c>
      <c r="BU66" s="147">
        <v>0.72</v>
      </c>
      <c r="BV66" s="147">
        <v>0.73</v>
      </c>
      <c r="BW66" s="147">
        <v>0.74</v>
      </c>
      <c r="BX66" s="147">
        <v>0.75</v>
      </c>
      <c r="BY66" s="147">
        <v>0.76</v>
      </c>
      <c r="BZ66" s="147">
        <v>0.77</v>
      </c>
      <c r="CA66" s="147">
        <v>0.78</v>
      </c>
      <c r="CB66" s="147">
        <v>0.79</v>
      </c>
      <c r="CC66" s="147">
        <v>0.8</v>
      </c>
      <c r="CD66" s="147">
        <v>0.81</v>
      </c>
      <c r="CE66" s="147">
        <v>0.82</v>
      </c>
      <c r="CF66" s="147">
        <v>0.83</v>
      </c>
      <c r="CG66" s="147">
        <v>0.84</v>
      </c>
      <c r="CH66" s="147">
        <v>0.85</v>
      </c>
      <c r="CI66" s="147">
        <v>0.86</v>
      </c>
      <c r="CJ66" s="147">
        <v>0.87</v>
      </c>
      <c r="CK66" s="147">
        <v>0.88</v>
      </c>
      <c r="CL66" s="147">
        <v>0.89</v>
      </c>
      <c r="CM66" s="147">
        <v>0.9</v>
      </c>
      <c r="CN66" s="147">
        <v>0.91</v>
      </c>
      <c r="CO66" s="147">
        <v>0.92</v>
      </c>
      <c r="CP66" s="147">
        <v>0.93</v>
      </c>
      <c r="CQ66" s="147">
        <v>0.94</v>
      </c>
      <c r="CR66" s="147">
        <v>0.95</v>
      </c>
      <c r="CS66" s="147">
        <v>0.96</v>
      </c>
      <c r="CT66" s="147">
        <v>0.97</v>
      </c>
      <c r="CU66" s="147">
        <v>0.98</v>
      </c>
      <c r="CV66" s="147">
        <v>0.99</v>
      </c>
      <c r="CW66" s="147">
        <v>1</v>
      </c>
      <c r="CX66" s="11"/>
      <c r="CY66" s="11"/>
      <c r="CZ66" s="11"/>
      <c r="DA66" s="11"/>
      <c r="DB66" s="11"/>
    </row>
    <row r="67" spans="2:106" ht="18" hidden="1" customHeight="1" x14ac:dyDescent="0.2">
      <c r="B67" s="18">
        <v>1</v>
      </c>
      <c r="C67" s="18">
        <v>1</v>
      </c>
      <c r="D67" s="18">
        <v>1</v>
      </c>
      <c r="E67" s="18">
        <v>1</v>
      </c>
      <c r="F67" s="18">
        <v>1</v>
      </c>
      <c r="G67" s="18">
        <v>1</v>
      </c>
      <c r="H67" s="18">
        <v>1</v>
      </c>
      <c r="I67" s="18">
        <v>1</v>
      </c>
      <c r="J67" s="18">
        <v>1</v>
      </c>
      <c r="K67" s="18">
        <v>2</v>
      </c>
      <c r="L67" s="18">
        <v>2</v>
      </c>
      <c r="M67" s="18">
        <v>2</v>
      </c>
      <c r="N67" s="18">
        <v>2</v>
      </c>
      <c r="O67" s="146">
        <v>2</v>
      </c>
      <c r="P67" s="146">
        <v>2</v>
      </c>
      <c r="Q67" s="146">
        <v>2</v>
      </c>
      <c r="R67" s="50">
        <v>2</v>
      </c>
      <c r="S67" s="50">
        <v>2</v>
      </c>
      <c r="T67" s="50">
        <v>2</v>
      </c>
      <c r="U67" s="50">
        <v>3</v>
      </c>
      <c r="V67" s="50">
        <v>3</v>
      </c>
      <c r="W67" s="50">
        <v>3</v>
      </c>
      <c r="X67" s="50">
        <v>3</v>
      </c>
      <c r="Y67" s="50">
        <v>3</v>
      </c>
      <c r="Z67" s="50">
        <v>3</v>
      </c>
      <c r="AA67" s="50">
        <v>3</v>
      </c>
      <c r="AB67" s="50">
        <v>3</v>
      </c>
      <c r="AC67" s="50">
        <v>3</v>
      </c>
      <c r="AD67" s="50">
        <v>3</v>
      </c>
      <c r="AE67" s="50">
        <v>4</v>
      </c>
      <c r="AF67" s="50">
        <v>4</v>
      </c>
      <c r="AG67" s="50">
        <v>4</v>
      </c>
      <c r="AH67" s="50">
        <v>4</v>
      </c>
      <c r="AI67" s="50">
        <v>4</v>
      </c>
      <c r="AJ67" s="50">
        <v>4</v>
      </c>
      <c r="AK67" s="50">
        <v>4</v>
      </c>
      <c r="AL67" s="50">
        <v>4</v>
      </c>
      <c r="AM67" s="50">
        <v>4</v>
      </c>
      <c r="AN67" s="50">
        <v>4</v>
      </c>
      <c r="AO67" s="50">
        <v>5</v>
      </c>
      <c r="AP67" s="50">
        <v>5</v>
      </c>
      <c r="AQ67" s="50">
        <v>5</v>
      </c>
      <c r="AR67" s="50">
        <v>5</v>
      </c>
      <c r="AS67" s="50">
        <v>5</v>
      </c>
      <c r="AT67" s="50">
        <v>5</v>
      </c>
      <c r="AU67" s="50">
        <v>5</v>
      </c>
      <c r="AV67" s="50">
        <v>5</v>
      </c>
      <c r="AW67" s="50">
        <v>5</v>
      </c>
      <c r="AX67" s="50">
        <v>5</v>
      </c>
      <c r="AY67" s="50">
        <v>6</v>
      </c>
      <c r="AZ67" s="50">
        <v>6</v>
      </c>
      <c r="BA67" s="50">
        <v>6</v>
      </c>
      <c r="BB67" s="50">
        <v>6</v>
      </c>
      <c r="BC67" s="50">
        <v>6</v>
      </c>
      <c r="BD67" s="50">
        <v>6</v>
      </c>
      <c r="BE67" s="50">
        <v>6</v>
      </c>
      <c r="BF67" s="50">
        <v>6</v>
      </c>
      <c r="BG67" s="50">
        <v>6</v>
      </c>
      <c r="BH67" s="50">
        <v>6</v>
      </c>
      <c r="BI67" s="50">
        <v>7</v>
      </c>
      <c r="BJ67" s="50">
        <v>7</v>
      </c>
      <c r="BK67" s="50">
        <v>7</v>
      </c>
      <c r="BL67" s="50">
        <v>7</v>
      </c>
      <c r="BM67" s="50">
        <v>7</v>
      </c>
      <c r="BN67" s="50">
        <v>7</v>
      </c>
      <c r="BO67" s="50">
        <v>7</v>
      </c>
      <c r="BP67" s="50">
        <v>7</v>
      </c>
      <c r="BQ67" s="50">
        <v>7</v>
      </c>
      <c r="BR67" s="50">
        <v>7</v>
      </c>
      <c r="BS67" s="50">
        <v>7</v>
      </c>
      <c r="BT67" s="50">
        <v>7</v>
      </c>
      <c r="BU67" s="50">
        <v>7</v>
      </c>
      <c r="BV67" s="50">
        <v>7</v>
      </c>
      <c r="BW67" s="50">
        <v>7</v>
      </c>
      <c r="BX67" s="50">
        <v>7</v>
      </c>
      <c r="BY67" s="50">
        <v>7</v>
      </c>
      <c r="BZ67" s="50">
        <v>7</v>
      </c>
      <c r="CA67" s="50">
        <v>7</v>
      </c>
      <c r="CB67" s="50">
        <v>7</v>
      </c>
      <c r="CC67" s="50">
        <v>7</v>
      </c>
      <c r="CD67" s="50">
        <v>7</v>
      </c>
      <c r="CE67" s="50">
        <v>7</v>
      </c>
      <c r="CF67" s="50">
        <v>7</v>
      </c>
      <c r="CG67" s="50">
        <v>7</v>
      </c>
      <c r="CH67" s="50">
        <v>7</v>
      </c>
      <c r="CI67" s="50">
        <v>7</v>
      </c>
      <c r="CJ67" s="50">
        <v>7</v>
      </c>
      <c r="CK67" s="50">
        <v>7</v>
      </c>
      <c r="CL67" s="50">
        <v>7</v>
      </c>
      <c r="CM67" s="50">
        <v>7</v>
      </c>
      <c r="CN67" s="50">
        <v>7</v>
      </c>
      <c r="CO67" s="50">
        <v>7</v>
      </c>
      <c r="CP67" s="50">
        <v>7</v>
      </c>
      <c r="CQ67" s="50">
        <v>7</v>
      </c>
      <c r="CR67" s="50">
        <v>7</v>
      </c>
      <c r="CS67" s="50">
        <v>7</v>
      </c>
      <c r="CT67" s="50">
        <v>7</v>
      </c>
      <c r="CU67" s="50">
        <v>7</v>
      </c>
      <c r="CV67" s="50">
        <v>7</v>
      </c>
      <c r="CW67" s="50">
        <v>7</v>
      </c>
      <c r="CX67" s="10"/>
      <c r="CY67" s="10"/>
      <c r="CZ67" s="10"/>
      <c r="DA67" s="10"/>
      <c r="DB67" s="10"/>
    </row>
    <row r="68" spans="2:106" hidden="1" x14ac:dyDescent="0.2">
      <c r="B68" s="1"/>
      <c r="C68" s="1"/>
      <c r="D68" s="1"/>
      <c r="E68" s="1"/>
      <c r="F68" s="1"/>
      <c r="G68" s="1"/>
      <c r="H68" s="1"/>
      <c r="I68" s="1"/>
      <c r="J68" s="1"/>
      <c r="K68" s="1"/>
      <c r="L68" s="1"/>
      <c r="M68" s="1"/>
      <c r="N68" s="1"/>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row>
    <row r="69" spans="2:106" hidden="1" x14ac:dyDescent="0.2">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row>
    <row r="70" spans="2:106" x14ac:dyDescent="0.2">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row>
    <row r="71" spans="2:106" x14ac:dyDescent="0.2">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row>
    <row r="72" spans="2:106" x14ac:dyDescent="0.2">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row>
    <row r="73" spans="2:106" x14ac:dyDescent="0.2">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row>
    <row r="74" spans="2:106" x14ac:dyDescent="0.2">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row>
    <row r="75" spans="2:106" x14ac:dyDescent="0.2">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row>
    <row r="76" spans="2:106" x14ac:dyDescent="0.2">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row>
    <row r="77" spans="2:106" x14ac:dyDescent="0.2">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row>
    <row r="78" spans="2:106" x14ac:dyDescent="0.2">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row>
    <row r="79" spans="2:106" x14ac:dyDescent="0.2">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row>
    <row r="80" spans="2:106" x14ac:dyDescent="0.2">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row>
    <row r="81" spans="18:106" x14ac:dyDescent="0.2">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row>
    <row r="82" spans="18:106" x14ac:dyDescent="0.2">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row>
    <row r="83" spans="18:106" x14ac:dyDescent="0.2">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row>
    <row r="84" spans="18:106" x14ac:dyDescent="0.2">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row>
    <row r="85" spans="18:106" x14ac:dyDescent="0.2">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row>
    <row r="86" spans="18:106" x14ac:dyDescent="0.2">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row>
    <row r="87" spans="18:106" x14ac:dyDescent="0.2">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row>
    <row r="88" spans="18:106" x14ac:dyDescent="0.2">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row>
    <row r="89" spans="18:106" x14ac:dyDescent="0.2">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row>
    <row r="90" spans="18:106" x14ac:dyDescent="0.2">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row>
    <row r="91" spans="18:106" x14ac:dyDescent="0.2">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row>
    <row r="92" spans="18:106" x14ac:dyDescent="0.2">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row>
    <row r="93" spans="18:106" x14ac:dyDescent="0.2">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row>
    <row r="94" spans="18:106" x14ac:dyDescent="0.2">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row>
    <row r="95" spans="18:106" x14ac:dyDescent="0.2">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row>
    <row r="96" spans="18:106" x14ac:dyDescent="0.2">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row>
    <row r="97" spans="18:106" x14ac:dyDescent="0.2">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row>
    <row r="98" spans="18:106" x14ac:dyDescent="0.2">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row>
    <row r="99" spans="18:106" x14ac:dyDescent="0.2">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row>
    <row r="100" spans="18:106" x14ac:dyDescent="0.2">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row>
    <row r="101" spans="18:106" x14ac:dyDescent="0.2">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row>
    <row r="102" spans="18:106" x14ac:dyDescent="0.2">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row>
    <row r="103" spans="18:106" x14ac:dyDescent="0.2">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row>
    <row r="104" spans="18:106" x14ac:dyDescent="0.2">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row>
    <row r="105" spans="18:106" x14ac:dyDescent="0.2">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row>
    <row r="106" spans="18:106" x14ac:dyDescent="0.2">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row>
    <row r="107" spans="18:106" x14ac:dyDescent="0.2">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row>
    <row r="108" spans="18:106" x14ac:dyDescent="0.2">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row>
    <row r="109" spans="18:106" x14ac:dyDescent="0.2">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row>
    <row r="110" spans="18:106" x14ac:dyDescent="0.2">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row>
    <row r="111" spans="18:106" x14ac:dyDescent="0.2">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row>
    <row r="112" spans="18:106" x14ac:dyDescent="0.2">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row>
    <row r="113" spans="18:106" x14ac:dyDescent="0.2">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row>
    <row r="114" spans="18:106" x14ac:dyDescent="0.2">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row>
    <row r="115" spans="18:106" x14ac:dyDescent="0.2">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row>
    <row r="116" spans="18:106" x14ac:dyDescent="0.2">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row>
    <row r="117" spans="18:106" x14ac:dyDescent="0.2">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row>
    <row r="118" spans="18:106" x14ac:dyDescent="0.2">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row>
    <row r="119" spans="18:106" x14ac:dyDescent="0.2">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row>
    <row r="120" spans="18:106" x14ac:dyDescent="0.2">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row>
    <row r="121" spans="18:106" x14ac:dyDescent="0.2">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row>
    <row r="122" spans="18:106" x14ac:dyDescent="0.2">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row>
    <row r="123" spans="18:106" x14ac:dyDescent="0.2">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row>
    <row r="124" spans="18:106" x14ac:dyDescent="0.2">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row>
    <row r="125" spans="18:106" x14ac:dyDescent="0.2">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row>
    <row r="126" spans="18:106" x14ac:dyDescent="0.2">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row>
    <row r="127" spans="18:106" x14ac:dyDescent="0.2">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row>
    <row r="128" spans="18:106" x14ac:dyDescent="0.2">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row>
    <row r="129" spans="18:106" x14ac:dyDescent="0.2">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row>
    <row r="130" spans="18:106" x14ac:dyDescent="0.2">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row>
    <row r="131" spans="18:106" x14ac:dyDescent="0.2">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row>
    <row r="132" spans="18:106" x14ac:dyDescent="0.2">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row>
    <row r="133" spans="18:106" x14ac:dyDescent="0.2">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row>
    <row r="134" spans="18:106" x14ac:dyDescent="0.2">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row>
    <row r="135" spans="18:106" x14ac:dyDescent="0.2">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row>
    <row r="136" spans="18:106" x14ac:dyDescent="0.2">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row>
    <row r="137" spans="18:106" x14ac:dyDescent="0.2">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row>
    <row r="138" spans="18:106" x14ac:dyDescent="0.2">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row>
    <row r="139" spans="18:106" x14ac:dyDescent="0.2">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row>
    <row r="140" spans="18:106" x14ac:dyDescent="0.2">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row>
    <row r="141" spans="18:106" x14ac:dyDescent="0.2">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row>
    <row r="142" spans="18:106" x14ac:dyDescent="0.2">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row>
    <row r="143" spans="18:106" x14ac:dyDescent="0.2">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row>
    <row r="144" spans="18:106" x14ac:dyDescent="0.2">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row>
    <row r="145" spans="18:106" x14ac:dyDescent="0.2">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row>
    <row r="146" spans="18:106" x14ac:dyDescent="0.2">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row>
    <row r="147" spans="18:106" x14ac:dyDescent="0.2">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row>
    <row r="148" spans="18:106" x14ac:dyDescent="0.2">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row>
    <row r="149" spans="18:106" x14ac:dyDescent="0.2">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row>
    <row r="150" spans="18:106" x14ac:dyDescent="0.2">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row>
    <row r="151" spans="18:106" x14ac:dyDescent="0.2">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row>
    <row r="152" spans="18:106" x14ac:dyDescent="0.2">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row>
    <row r="153" spans="18:106" x14ac:dyDescent="0.2">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row>
    <row r="154" spans="18:106" x14ac:dyDescent="0.2">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row>
    <row r="155" spans="18:106" x14ac:dyDescent="0.2">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row>
    <row r="156" spans="18:106" x14ac:dyDescent="0.2">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row>
    <row r="157" spans="18:106" x14ac:dyDescent="0.2">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row>
    <row r="158" spans="18:106" x14ac:dyDescent="0.2">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row>
    <row r="159" spans="18:106" x14ac:dyDescent="0.2">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row>
    <row r="160" spans="18:106" x14ac:dyDescent="0.2">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row>
    <row r="161" spans="18:106" x14ac:dyDescent="0.2">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row>
    <row r="162" spans="18:106" x14ac:dyDescent="0.2">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row>
    <row r="163" spans="18:106" x14ac:dyDescent="0.2">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row>
    <row r="164" spans="18:106" x14ac:dyDescent="0.2">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row>
    <row r="165" spans="18:106" x14ac:dyDescent="0.2">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row>
    <row r="166" spans="18:106" x14ac:dyDescent="0.2">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row>
    <row r="167" spans="18:106" x14ac:dyDescent="0.2">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row>
    <row r="168" spans="18:106" x14ac:dyDescent="0.2">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row>
    <row r="169" spans="18:106" x14ac:dyDescent="0.2">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row>
    <row r="170" spans="18:106" x14ac:dyDescent="0.2">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row>
    <row r="171" spans="18:106" x14ac:dyDescent="0.2">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row>
    <row r="172" spans="18:106" x14ac:dyDescent="0.2">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row>
    <row r="173" spans="18:106" x14ac:dyDescent="0.2">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row>
    <row r="174" spans="18:106" x14ac:dyDescent="0.2">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row>
    <row r="175" spans="18:106" x14ac:dyDescent="0.2">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row>
    <row r="176" spans="18:106" x14ac:dyDescent="0.2">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row>
    <row r="177" spans="18:106" x14ac:dyDescent="0.2">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row>
    <row r="178" spans="18:106" x14ac:dyDescent="0.2">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row>
    <row r="179" spans="18:106" x14ac:dyDescent="0.2">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row>
    <row r="180" spans="18:106" x14ac:dyDescent="0.2">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row>
    <row r="181" spans="18:106" x14ac:dyDescent="0.2">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row>
    <row r="182" spans="18:106" x14ac:dyDescent="0.2">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row>
    <row r="183" spans="18:106" x14ac:dyDescent="0.2">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row>
    <row r="184" spans="18:106" x14ac:dyDescent="0.2">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row>
    <row r="185" spans="18:106" x14ac:dyDescent="0.2">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row>
    <row r="186" spans="18:106" x14ac:dyDescent="0.2">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row>
    <row r="187" spans="18:106" x14ac:dyDescent="0.2">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row>
    <row r="188" spans="18:106" x14ac:dyDescent="0.2">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row>
    <row r="189" spans="18:106" x14ac:dyDescent="0.2">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row>
    <row r="190" spans="18:106" x14ac:dyDescent="0.2">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row>
    <row r="191" spans="18:106" x14ac:dyDescent="0.2">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row>
    <row r="192" spans="18:106" x14ac:dyDescent="0.2">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row>
    <row r="193" spans="18:106" x14ac:dyDescent="0.2">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row>
    <row r="194" spans="18:106" x14ac:dyDescent="0.2">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row>
    <row r="195" spans="18:106" x14ac:dyDescent="0.2">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row>
    <row r="196" spans="18:106" x14ac:dyDescent="0.2">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row>
    <row r="197" spans="18:106" x14ac:dyDescent="0.2">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row>
    <row r="198" spans="18:106" x14ac:dyDescent="0.2">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row>
    <row r="199" spans="18:106" x14ac:dyDescent="0.2">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row>
  </sheetData>
  <sheetProtection sheet="1" objects="1" scenarios="1"/>
  <mergeCells count="105">
    <mergeCell ref="G43:P52"/>
    <mergeCell ref="C12:E12"/>
    <mergeCell ref="C13:E13"/>
    <mergeCell ref="G14:M14"/>
    <mergeCell ref="C14:E14"/>
    <mergeCell ref="G32:M32"/>
    <mergeCell ref="G36:O36"/>
    <mergeCell ref="N34:O35"/>
    <mergeCell ref="G33:M33"/>
    <mergeCell ref="N33:O33"/>
    <mergeCell ref="C34:E34"/>
    <mergeCell ref="C32:E32"/>
    <mergeCell ref="C31:E31"/>
    <mergeCell ref="C30:E30"/>
    <mergeCell ref="C29:E29"/>
    <mergeCell ref="C38:E38"/>
    <mergeCell ref="C15:E15"/>
    <mergeCell ref="P37:P39"/>
    <mergeCell ref="P20:P23"/>
    <mergeCell ref="G27:P30"/>
    <mergeCell ref="N32:O32"/>
    <mergeCell ref="G15:M15"/>
    <mergeCell ref="G17:P19"/>
    <mergeCell ref="N16:O16"/>
    <mergeCell ref="B1:D1"/>
    <mergeCell ref="M1:P1"/>
    <mergeCell ref="G9:P10"/>
    <mergeCell ref="N11:O11"/>
    <mergeCell ref="G11:M11"/>
    <mergeCell ref="B2:P2"/>
    <mergeCell ref="B3:P3"/>
    <mergeCell ref="E1:K1"/>
    <mergeCell ref="C11:E11"/>
    <mergeCell ref="C9:E9"/>
    <mergeCell ref="C4:E4"/>
    <mergeCell ref="G4:P4"/>
    <mergeCell ref="H5:P8"/>
    <mergeCell ref="C5:E5"/>
    <mergeCell ref="C6:E6"/>
    <mergeCell ref="C10:E10"/>
    <mergeCell ref="P11:P13"/>
    <mergeCell ref="N13:O13"/>
    <mergeCell ref="G13:M13"/>
    <mergeCell ref="C53:E53"/>
    <mergeCell ref="F53:P53"/>
    <mergeCell ref="C7:E7"/>
    <mergeCell ref="C8:E8"/>
    <mergeCell ref="C48:E48"/>
    <mergeCell ref="C43:E43"/>
    <mergeCell ref="C46:E46"/>
    <mergeCell ref="C44:E44"/>
    <mergeCell ref="C49:E49"/>
    <mergeCell ref="C50:E50"/>
    <mergeCell ref="C52:E52"/>
    <mergeCell ref="C40:E40"/>
    <mergeCell ref="C42:E42"/>
    <mergeCell ref="C51:E51"/>
    <mergeCell ref="C47:E47"/>
    <mergeCell ref="C45:E45"/>
    <mergeCell ref="C36:E36"/>
    <mergeCell ref="C23:E23"/>
    <mergeCell ref="C24:E24"/>
    <mergeCell ref="C35:E35"/>
    <mergeCell ref="C33:E33"/>
    <mergeCell ref="C25:E25"/>
    <mergeCell ref="C20:E20"/>
    <mergeCell ref="C27:E27"/>
    <mergeCell ref="G16:M16"/>
    <mergeCell ref="N21:O21"/>
    <mergeCell ref="G25:O25"/>
    <mergeCell ref="N12:O12"/>
    <mergeCell ref="G12:M12"/>
    <mergeCell ref="G31:O31"/>
    <mergeCell ref="G26:O26"/>
    <mergeCell ref="N14:O14"/>
    <mergeCell ref="C21:E21"/>
    <mergeCell ref="G24:O24"/>
    <mergeCell ref="G20:M20"/>
    <mergeCell ref="G21:M21"/>
    <mergeCell ref="N20:O20"/>
    <mergeCell ref="C22:E22"/>
    <mergeCell ref="C56:G56"/>
    <mergeCell ref="N15:O15"/>
    <mergeCell ref="C41:E41"/>
    <mergeCell ref="N22:O22"/>
    <mergeCell ref="N23:O23"/>
    <mergeCell ref="G22:M22"/>
    <mergeCell ref="G23:M23"/>
    <mergeCell ref="C16:E16"/>
    <mergeCell ref="C17:E17"/>
    <mergeCell ref="C18:E18"/>
    <mergeCell ref="C19:E19"/>
    <mergeCell ref="G41:O41"/>
    <mergeCell ref="G40:O40"/>
    <mergeCell ref="N37:O37"/>
    <mergeCell ref="N38:O38"/>
    <mergeCell ref="G39:M39"/>
    <mergeCell ref="N39:O39"/>
    <mergeCell ref="G34:M35"/>
    <mergeCell ref="C39:E39"/>
    <mergeCell ref="C26:E26"/>
    <mergeCell ref="C37:E37"/>
    <mergeCell ref="G37:M37"/>
    <mergeCell ref="G38:M38"/>
    <mergeCell ref="C28:E28"/>
  </mergeCells>
  <phoneticPr fontId="0" type="noConversion"/>
  <conditionalFormatting sqref="G9:P10">
    <cfRule type="cellIs" dxfId="56" priority="71" stopIfTrue="1" operator="equal">
      <formula>$Y$17</formula>
    </cfRule>
    <cfRule type="cellIs" dxfId="55" priority="72" stopIfTrue="1" operator="equal">
      <formula>$Y$15</formula>
    </cfRule>
  </conditionalFormatting>
  <dataValidations xWindow="804" yWindow="391" count="10">
    <dataValidation type="list" allowBlank="1" showInputMessage="1" showErrorMessage="1" promptTitle="Education" prompt="If the worker does not have a high school diploma or GED, add value of 1." sqref="N15:O15" xr:uid="{00000000-0002-0000-0100-000000000000}">
      <formula1>$A$56:$C$56</formula1>
    </dataValidation>
    <dataValidation type="list" allowBlank="1" showInputMessage="1" showErrorMessage="1" promptTitle="Specific vocational preparation" prompt="Click on the hyperlink to see descriptions of vocational preparation levels. " sqref="N16:O16" xr:uid="{00000000-0002-0000-0100-000001000000}">
      <formula1>$A$57:$J$57</formula1>
    </dataValidation>
    <dataValidation type="list" allowBlank="1" showInputMessage="1" showErrorMessage="1" promptTitle="Base Functional Capacity (BFC)" prompt="BFC means an individual's demonstrated physical capacity before the injury or disease." sqref="N21" xr:uid="{00000000-0002-0000-0100-000002000000}">
      <formula1>$A$61:$F$61</formula1>
    </dataValidation>
    <dataValidation type="list" allowBlank="1" showInputMessage="1" showErrorMessage="1" promptTitle="Residual Functional Capacity" prompt="Residual functional capacity (RFC) means an individual's remaining ability to perform work-related activites despite medically determinable impairment resulting from the accepted compensable condition." sqref="N22" xr:uid="{00000000-0002-0000-0100-000003000000}">
      <formula1>$G$61:$P$61</formula1>
    </dataValidation>
    <dataValidation allowBlank="1" showInputMessage="1" showErrorMessage="1" promptTitle="End of worksheet" prompt="Press TAB to return to top of sheet." sqref="IV54" xr:uid="{00000000-0002-0000-0100-000004000000}"/>
    <dataValidation allowBlank="1" showInputMessage="1" showErrorMessage="1" promptTitle="Post-2004 Worksheet" prompt="Press TAB to continue." sqref="A3" xr:uid="{00000000-0002-0000-0100-000005000000}"/>
    <dataValidation allowBlank="1" showInputMessage="1" showErrorMessage="1" promptTitle="OAR 436-035-0500" prompt="Department use only_x000a_Name of body part or system" sqref="B52" xr:uid="{00000000-0002-0000-0100-000006000000}"/>
    <dataValidation allowBlank="1" showInputMessage="1" showErrorMessage="1" promptTitle="Department Use Only" prompt="Enter percent of impairment under OAR 436-035-0500." sqref="C52:E52" xr:uid="{00000000-0002-0000-0100-000007000000}"/>
    <dataValidation allowBlank="1" showInputMessage="1" showErrorMessage="1" promptTitle="Return &amp; Release for Work" prompt="Check the box next to a true statement, if any." sqref="F11:F17" xr:uid="{00000000-0002-0000-0100-000008000000}"/>
    <dataValidation allowBlank="1" showInputMessage="1" showErrorMessage="1" promptTitle="Worker's weekly wage at injury" prompt="Supplemental disability is not considered in the determination of the worker’s average weekly wage when calculating work disability." sqref="N33:O33" xr:uid="{00000000-0002-0000-0100-000009000000}"/>
  </dataValidations>
  <hyperlinks>
    <hyperlink ref="B34" location="'Shoulder-Right'!A1" display="Right shoulder" xr:uid="{00000000-0004-0000-0100-000000000000}"/>
    <hyperlink ref="B35" location="'Shoulder-Left'!A1" display="Left shoulder" xr:uid="{00000000-0004-0000-0100-000001000000}"/>
    <hyperlink ref="B36" location="'Hip-Right'!A1" display="Right hip" xr:uid="{00000000-0004-0000-0100-000002000000}"/>
    <hyperlink ref="B37" location="'Hip-Left'!A1" display="Left hip" xr:uid="{00000000-0004-0000-0100-000003000000}"/>
    <hyperlink ref="B38" location="Spine!A1" display="Spine" xr:uid="{00000000-0004-0000-0100-000004000000}"/>
    <hyperlink ref="B39" location="Pelvis!A1" display="Pelvis" xr:uid="{00000000-0004-0000-0100-000005000000}"/>
    <hyperlink ref="B40" location="Abdomen!A1" display="Abdomen" xr:uid="{00000000-0004-0000-0100-000006000000}"/>
    <hyperlink ref="B42" location="Cardiovascular!A1" display="Cardiovascular system" xr:uid="{00000000-0004-0000-0100-000007000000}"/>
    <hyperlink ref="B43" location="Respiratory!A1" display="Respiratory system" xr:uid="{00000000-0004-0000-0100-000008000000}"/>
    <hyperlink ref="B44" location="'Cranial Nerves-Brain'!A1" display="Cranial nerves/brain" xr:uid="{00000000-0004-0000-0100-000009000000}"/>
    <hyperlink ref="B45" location="'Spinal cord'!A1" display="Spinal cord" xr:uid="{00000000-0004-0000-0100-00000A000000}"/>
    <hyperlink ref="B46" location="'Mental illness'!A1" display="Mental illness" xr:uid="{00000000-0004-0000-0100-00000B000000}"/>
    <hyperlink ref="B47" location="Hematopoietic!A1" display="Hematopoietic system" xr:uid="{00000000-0004-0000-0100-00000C000000}"/>
    <hyperlink ref="B48" location="'GI &amp; GU'!A1" display="Gastrointestinal and genitourinary systems" xr:uid="{00000000-0004-0000-0100-00000D000000}"/>
    <hyperlink ref="B49" location="Endocrine!A1" display="Endocrine system" xr:uid="{00000000-0004-0000-0100-00000E000000}"/>
    <hyperlink ref="B50" location="'Integument &amp; Lacrimal'!A1" display="Integument and lacrimal system" xr:uid="{00000000-0004-0000-0100-00000F000000}"/>
    <hyperlink ref="B51" location="'Immune system'!A1" display="Immune system" xr:uid="{00000000-0004-0000-0100-000010000000}"/>
    <hyperlink ref="G16:M16" location="Rules!A22" display="Specific vocational preparation:" xr:uid="{00000000-0004-0000-0100-000011000000}"/>
    <hyperlink ref="B11" location="'Upper Extremity-Left'!A556" display="Left arm" xr:uid="{00000000-0004-0000-0100-000012000000}"/>
    <hyperlink ref="B32" location="Hearing!A1" display="Hearing" xr:uid="{00000000-0004-0000-0100-000013000000}"/>
    <hyperlink ref="B33" location="Vision!A1" display="Vision" xr:uid="{00000000-0004-0000-0100-000014000000}"/>
    <hyperlink ref="B4" location="'Upper Extremity-Right'!A556" display="Right arm" xr:uid="{00000000-0004-0000-0100-000015000000}"/>
    <hyperlink ref="B25" location="'Lower Extremity-Left'!A371" display="Left leg" xr:uid="{00000000-0004-0000-0100-000016000000}"/>
    <hyperlink ref="B18" location="'Lower Extremity-Right'!A371" display="Right leg" xr:uid="{00000000-0004-0000-0100-000017000000}"/>
    <hyperlink ref="B19" location="'Lower Extremity-Right'!A204" display="Right foot" xr:uid="{00000000-0004-0000-0100-000018000000}"/>
    <hyperlink ref="B22" location="'Lower Extremity-Right'!A84" display="Right 3rd toe" xr:uid="{00000000-0004-0000-0100-000019000000}"/>
    <hyperlink ref="B23" location="'Lower Extremity-Right'!A124" display="Right 4th toe" xr:uid="{00000000-0004-0000-0100-00001A000000}"/>
    <hyperlink ref="B24" location="'Lower Extremity-Right'!A164" display="Right 5th toe" xr:uid="{00000000-0004-0000-0100-00001B000000}"/>
    <hyperlink ref="B28" location="'Lower Extremity-Left'!A44" display="Left 2nd toe" xr:uid="{00000000-0004-0000-0100-00001C000000}"/>
    <hyperlink ref="B29" location="'Lower Extremity-Left'!A84" display="Left third toe" xr:uid="{00000000-0004-0000-0100-00001D000000}"/>
    <hyperlink ref="B30" location="'Lower Extremity-Left'!A124" display="Left fourth toe" xr:uid="{00000000-0004-0000-0100-00001E000000}"/>
    <hyperlink ref="B31" location="'Lower Extremity-Left'!A164" display="Left fifth toe" xr:uid="{00000000-0004-0000-0100-00001F000000}"/>
    <hyperlink ref="B5" location="'Upper Extremity-Right'!A442" display="Right hand" xr:uid="{00000000-0004-0000-0100-000020000000}"/>
    <hyperlink ref="B6" location="'Upper Extremity-Right'!A5" display="Right thumb" xr:uid="{00000000-0004-0000-0100-000021000000}"/>
    <hyperlink ref="B7" location="'Upper Extremity-Right'!A80" display="Right index finger" xr:uid="{00000000-0004-0000-0100-000022000000}"/>
    <hyperlink ref="B8" location="'Upper Extremity-Right'!A156" display="Right middle finger" xr:uid="{00000000-0004-0000-0100-000023000000}"/>
    <hyperlink ref="B9" location="'Upper Extremity-Right'!A233" display="Right ring finger" xr:uid="{00000000-0004-0000-0100-000024000000}"/>
    <hyperlink ref="B10" location="'Upper Extremity-Right'!A308" display="Right little finger" xr:uid="{00000000-0004-0000-0100-000025000000}"/>
    <hyperlink ref="B12" location="'Upper Extremity-Left'!A383" display="Left hand" xr:uid="{00000000-0004-0000-0100-000026000000}"/>
    <hyperlink ref="B13" location="'Upper Extremity-Left'!A5" display="Left thumb" xr:uid="{00000000-0004-0000-0100-000027000000}"/>
    <hyperlink ref="B14" location="'Upper Extremity-Left'!A80" display="Left index finger" xr:uid="{00000000-0004-0000-0100-000028000000}"/>
    <hyperlink ref="B15" location="'Upper Extremity-Left'!A156" display="Left middle finger" xr:uid="{00000000-0004-0000-0100-000029000000}"/>
    <hyperlink ref="B16" location="'Upper Extremity-Left'!A233" display="Left ring finger" xr:uid="{00000000-0004-0000-0100-00002A000000}"/>
    <hyperlink ref="B17" location="'Upper Extremity-Left'!A308" display="Left little finger" xr:uid="{00000000-0004-0000-0100-00002B000000}"/>
    <hyperlink ref="B20" location="'Lower Extremity-Right'!A6" display="Right great toe" xr:uid="{00000000-0004-0000-0100-00002C000000}"/>
    <hyperlink ref="B21" location="'Lower Extremity-Right'!A44" display="Right 2nd toe" xr:uid="{00000000-0004-0000-0100-00002D000000}"/>
    <hyperlink ref="B26" location="'Lower Extremity-Left'!A204" display="Left foot" xr:uid="{00000000-0004-0000-0100-00002E000000}"/>
    <hyperlink ref="B27" location="'Lower Extremity-Left'!A6" display="Left great toe" xr:uid="{00000000-0004-0000-0100-00002F000000}"/>
    <hyperlink ref="G20:M20" location="Rules!A46" display="Rules!A46" xr:uid="{00000000-0004-0000-0100-000030000000}"/>
    <hyperlink ref="G21:M21" location="Rules!B45" display="Rules!B45" xr:uid="{00000000-0004-0000-0100-000031000000}"/>
    <hyperlink ref="G22:M22" location="Rules!B45" display="Rules!B45" xr:uid="{00000000-0004-0000-0100-000032000000}"/>
    <hyperlink ref="G23:M23" location="Rules!B45" display="Rules!B45" xr:uid="{00000000-0004-0000-0100-000033000000}"/>
    <hyperlink ref="B41" location="Chest!A1" display="Chest" xr:uid="{00000000-0004-0000-0100-000034000000}"/>
  </hyperlinks>
  <pageMargins left="0.75" right="0.75" top="0.67" bottom="0.73" header="0.36" footer="0.51"/>
  <pageSetup orientation="portrait" horizontalDpi="300" verticalDpi="300" r:id="rId1"/>
  <headerFooter alignWithMargins="0">
    <oddFooter>&amp;LDate of Injury on or after 1/1/2005&amp;CPage &amp;P&amp;RPermanent Partial Disability</oddFooter>
  </headerFooter>
  <rowBreaks count="1" manualBreakCount="1">
    <brk id="30" max="16383" man="1"/>
  </rowBreaks>
  <drawing r:id="rId2"/>
  <legacyDrawing r:id="rId3"/>
  <oleObjects>
    <mc:AlternateContent xmlns:mc="http://schemas.openxmlformats.org/markup-compatibility/2006">
      <mc:Choice Requires="x14">
        <oleObject progId="Document" dvAspect="DVASPECT_ICON" shapeId="39965" r:id="rId4">
          <objectPr locked="0" defaultSize="0" autoPict="0" r:id="rId5">
            <anchor moveWithCells="1">
              <from>
                <xdr:col>15</xdr:col>
                <xdr:colOff>38100</xdr:colOff>
                <xdr:row>10</xdr:row>
                <xdr:rowOff>133350</xdr:rowOff>
              </from>
              <to>
                <xdr:col>15</xdr:col>
                <xdr:colOff>714375</xdr:colOff>
                <xdr:row>12</xdr:row>
                <xdr:rowOff>76200</xdr:rowOff>
              </to>
            </anchor>
          </objectPr>
        </oleObject>
      </mc:Choice>
      <mc:Fallback>
        <oleObject progId="Document" dvAspect="DVASPECT_ICON" shapeId="39965" r:id="rId4"/>
      </mc:Fallback>
    </mc:AlternateContent>
    <mc:AlternateContent xmlns:mc="http://schemas.openxmlformats.org/markup-compatibility/2006">
      <mc:Choice Requires="x14">
        <oleObject progId="Document" dvAspect="DVASPECT_ICON" shapeId="39966" r:id="rId6">
          <objectPr locked="0" defaultSize="0" autoPict="0" r:id="rId7">
            <anchor moveWithCells="1">
              <from>
                <xdr:col>15</xdr:col>
                <xdr:colOff>47625</xdr:colOff>
                <xdr:row>19</xdr:row>
                <xdr:rowOff>171450</xdr:rowOff>
              </from>
              <to>
                <xdr:col>15</xdr:col>
                <xdr:colOff>704850</xdr:colOff>
                <xdr:row>21</xdr:row>
                <xdr:rowOff>95250</xdr:rowOff>
              </to>
            </anchor>
          </objectPr>
        </oleObject>
      </mc:Choice>
      <mc:Fallback>
        <oleObject progId="Document" dvAspect="DVASPECT_ICON" shapeId="39966" r:id="rId6"/>
      </mc:Fallback>
    </mc:AlternateContent>
  </oleObjects>
  <mc:AlternateContent xmlns:mc="http://schemas.openxmlformats.org/markup-compatibility/2006">
    <mc:Choice Requires="x14">
      <controls>
        <mc:AlternateContent xmlns:mc="http://schemas.openxmlformats.org/markup-compatibility/2006">
          <mc:Choice Requires="x14">
            <control shapeId="39982" r:id="rId8" name="Check Box 46">
              <controlPr defaultSize="0" autoFill="0" autoLine="0" autoPict="0">
                <anchor moveWithCells="1">
                  <from>
                    <xdr:col>6</xdr:col>
                    <xdr:colOff>38100</xdr:colOff>
                    <xdr:row>6</xdr:row>
                    <xdr:rowOff>238125</xdr:rowOff>
                  </from>
                  <to>
                    <xdr:col>7</xdr:col>
                    <xdr:colOff>76200</xdr:colOff>
                    <xdr:row>7</xdr:row>
                    <xdr:rowOff>180975</xdr:rowOff>
                  </to>
                </anchor>
              </controlPr>
            </control>
          </mc:Choice>
        </mc:AlternateContent>
        <mc:AlternateContent xmlns:mc="http://schemas.openxmlformats.org/markup-compatibility/2006">
          <mc:Choice Requires="x14">
            <control shapeId="39980" r:id="rId9" name="Check Box 44">
              <controlPr defaultSize="0" autoFill="0" autoLine="0" autoPict="0">
                <anchor moveWithCells="1">
                  <from>
                    <xdr:col>6</xdr:col>
                    <xdr:colOff>38100</xdr:colOff>
                    <xdr:row>4</xdr:row>
                    <xdr:rowOff>133350</xdr:rowOff>
                  </from>
                  <to>
                    <xdr:col>7</xdr:col>
                    <xdr:colOff>76200</xdr:colOff>
                    <xdr:row>5</xdr:row>
                    <xdr:rowOff>66675</xdr:rowOff>
                  </to>
                </anchor>
              </controlPr>
            </control>
          </mc:Choice>
        </mc:AlternateContent>
        <mc:AlternateContent xmlns:mc="http://schemas.openxmlformats.org/markup-compatibility/2006">
          <mc:Choice Requires="x14">
            <control shapeId="39981" r:id="rId10" name="Check Box 45">
              <controlPr defaultSize="0" autoFill="0" autoLine="0" autoPict="0">
                <anchor moveWithCells="1">
                  <from>
                    <xdr:col>6</xdr:col>
                    <xdr:colOff>38100</xdr:colOff>
                    <xdr:row>4</xdr:row>
                    <xdr:rowOff>285750</xdr:rowOff>
                  </from>
                  <to>
                    <xdr:col>7</xdr:col>
                    <xdr:colOff>76200</xdr:colOff>
                    <xdr:row>5</xdr:row>
                    <xdr:rowOff>266700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N17"/>
  <sheetViews>
    <sheetView showGridLines="0" zoomScale="120" zoomScaleNormal="120" workbookViewId="0"/>
  </sheetViews>
  <sheetFormatPr defaultColWidth="2.28515625" defaultRowHeight="12.75" x14ac:dyDescent="0.2"/>
  <cols>
    <col min="1" max="1" width="1.5703125" style="2" customWidth="1"/>
    <col min="2" max="2" width="19.5703125" style="2" customWidth="1"/>
    <col min="3" max="4" width="2.7109375" style="2" customWidth="1"/>
    <col min="5" max="11" width="3.7109375" style="2" customWidth="1"/>
    <col min="12" max="12" width="7.5703125" style="2" customWidth="1"/>
    <col min="13" max="13" width="4.28515625" style="2" customWidth="1"/>
    <col min="14" max="14" width="4.5703125" style="2" customWidth="1"/>
    <col min="15" max="15" width="7.85546875" style="2" customWidth="1"/>
    <col min="16" max="16" width="9" style="2" customWidth="1"/>
    <col min="17" max="17" width="0.85546875" style="2" customWidth="1"/>
    <col min="18" max="23" width="12.7109375" style="2" hidden="1" customWidth="1"/>
    <col min="24" max="130" width="2.28515625" style="2" hidden="1" customWidth="1"/>
    <col min="131" max="255" width="2.28515625" style="2" customWidth="1"/>
    <col min="256" max="16384" width="2.28515625" style="2"/>
  </cols>
  <sheetData>
    <row r="1" spans="1:170" ht="15" customHeight="1" x14ac:dyDescent="0.2">
      <c r="B1" s="10" t="s">
        <v>1697</v>
      </c>
      <c r="D1" s="732" t="str">
        <f>IF('Start here'!A6="","",'Start here'!A6)</f>
        <v/>
      </c>
      <c r="E1" s="736"/>
      <c r="F1" s="736"/>
      <c r="G1" s="736"/>
      <c r="H1" s="736"/>
      <c r="I1" s="736"/>
      <c r="J1" s="736"/>
      <c r="K1" s="737"/>
      <c r="M1" s="732" t="str">
        <f>IF('Start here'!A7="","",'Start here'!A7)</f>
        <v/>
      </c>
      <c r="N1" s="736"/>
      <c r="O1" s="736"/>
      <c r="P1" s="737"/>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2">
      <c r="B2" s="1004"/>
      <c r="C2" s="1004"/>
      <c r="D2" s="1004"/>
      <c r="E2" s="1004"/>
      <c r="F2" s="1004"/>
      <c r="G2" s="1004"/>
      <c r="H2" s="1004"/>
      <c r="I2" s="1004"/>
      <c r="J2" s="1004"/>
      <c r="K2" s="1004"/>
      <c r="L2" s="1004"/>
      <c r="M2" s="1004"/>
      <c r="N2" s="1004"/>
      <c r="O2" s="1004"/>
      <c r="P2" s="1004"/>
    </row>
    <row r="3" spans="1:170" ht="24" customHeight="1" x14ac:dyDescent="0.3">
      <c r="B3" s="905" t="s">
        <v>1786</v>
      </c>
      <c r="C3" s="905"/>
      <c r="D3" s="905"/>
      <c r="E3" s="905"/>
      <c r="F3" s="905"/>
      <c r="G3" s="905"/>
      <c r="H3" s="905"/>
      <c r="I3" s="905"/>
      <c r="J3" s="905"/>
      <c r="K3" s="905"/>
      <c r="L3" s="905"/>
      <c r="M3" s="905"/>
      <c r="N3" s="905"/>
      <c r="O3" s="905"/>
      <c r="P3" s="905"/>
    </row>
    <row r="4" spans="1:170" ht="27" customHeight="1" x14ac:dyDescent="0.3">
      <c r="B4" s="313"/>
      <c r="C4" s="944" t="s">
        <v>417</v>
      </c>
      <c r="D4" s="945"/>
      <c r="E4" s="945"/>
      <c r="F4" s="945"/>
      <c r="G4" s="945"/>
      <c r="H4" s="945"/>
      <c r="I4" s="945"/>
      <c r="J4" s="945"/>
      <c r="K4" s="945"/>
      <c r="L4" s="946"/>
      <c r="M4" s="907" t="s">
        <v>1495</v>
      </c>
      <c r="N4" s="911"/>
      <c r="O4" s="908"/>
      <c r="P4" s="313"/>
      <c r="S4" s="127" t="s">
        <v>2239</v>
      </c>
      <c r="T4" s="13" t="s">
        <v>1285</v>
      </c>
      <c r="U4" s="13" t="s">
        <v>1286</v>
      </c>
      <c r="V4" s="13" t="s">
        <v>1287</v>
      </c>
      <c r="W4" s="19" t="s">
        <v>1008</v>
      </c>
    </row>
    <row r="5" spans="1:170" ht="21" customHeight="1" x14ac:dyDescent="0.2">
      <c r="B5" s="267" t="s">
        <v>1787</v>
      </c>
      <c r="C5" s="1600"/>
      <c r="D5" s="1601"/>
      <c r="E5" s="1601"/>
      <c r="F5" s="1601"/>
      <c r="G5" s="1601"/>
      <c r="H5" s="1601"/>
      <c r="I5" s="1601"/>
      <c r="J5" s="1601"/>
      <c r="K5" s="1601"/>
      <c r="L5" s="1602"/>
      <c r="M5" s="738">
        <f>IF(S5=2,0,IF(S5=3,0.18,IF(S5=4,0.38,IF(S5=5,0.75,0))))</f>
        <v>0</v>
      </c>
      <c r="N5" s="740"/>
      <c r="O5" s="208"/>
      <c r="P5" s="21">
        <f>IF(AND(W5&gt;0,W5&lt;0.01),0.01,ROUND(W5,2))</f>
        <v>0</v>
      </c>
      <c r="S5" s="547">
        <v>1</v>
      </c>
      <c r="T5" s="365">
        <f>LARGE($P$5:$P$8,1)</f>
        <v>0</v>
      </c>
      <c r="U5" s="402">
        <f>T5+T6*(1-T5)</f>
        <v>0</v>
      </c>
      <c r="V5" s="389">
        <f>ROUND(U5,2)</f>
        <v>0</v>
      </c>
      <c r="W5" s="365">
        <f>IF(O5&gt;0,O5*M5,M5)</f>
        <v>0</v>
      </c>
    </row>
    <row r="6" spans="1:170" ht="21" customHeight="1" x14ac:dyDescent="0.2">
      <c r="B6" s="267" t="s">
        <v>1788</v>
      </c>
      <c r="C6" s="1600"/>
      <c r="D6" s="1601"/>
      <c r="E6" s="1601"/>
      <c r="F6" s="1601"/>
      <c r="G6" s="1601"/>
      <c r="H6" s="1601"/>
      <c r="I6" s="1601"/>
      <c r="J6" s="1601"/>
      <c r="K6" s="1601"/>
      <c r="L6" s="1602"/>
      <c r="M6" s="738">
        <f>IF(S6=2,0.05,IF(S6=3,0.2,IF(S6=4,0.4,IF(S6=5,0.78,0))))</f>
        <v>0</v>
      </c>
      <c r="N6" s="740"/>
      <c r="O6" s="208"/>
      <c r="P6" s="21">
        <f>IF(AND(W6&gt;0,W6&lt;0.01),0.01,ROUND(W6,2))</f>
        <v>0</v>
      </c>
      <c r="S6" s="547">
        <v>1</v>
      </c>
      <c r="T6" s="365">
        <f>LARGE($P$5:$P$8,2)</f>
        <v>0</v>
      </c>
      <c r="U6" s="402">
        <f>V5+T7*(1-V5)</f>
        <v>0</v>
      </c>
      <c r="V6" s="389">
        <f>ROUND(U6,2)</f>
        <v>0</v>
      </c>
      <c r="W6" s="365">
        <f>IF(O6&gt;0,O6*M6,M6)</f>
        <v>0</v>
      </c>
    </row>
    <row r="7" spans="1:170" ht="21" customHeight="1" x14ac:dyDescent="0.2">
      <c r="B7" s="267" t="s">
        <v>1789</v>
      </c>
      <c r="C7" s="1600"/>
      <c r="D7" s="1601"/>
      <c r="E7" s="1601"/>
      <c r="F7" s="1601"/>
      <c r="G7" s="1601"/>
      <c r="H7" s="1601"/>
      <c r="I7" s="1601"/>
      <c r="J7" s="1601"/>
      <c r="K7" s="1601"/>
      <c r="L7" s="1602"/>
      <c r="M7" s="738">
        <f>IF(S7=2,0.04,IF(S7=3,0.09,IF(S7=4,0.18,IF(S7=5,0.26,IF(S7=6,0.33,0)))))</f>
        <v>0</v>
      </c>
      <c r="N7" s="740"/>
      <c r="O7" s="208"/>
      <c r="P7" s="21">
        <f>IF(AND(W7&gt;0,W7&lt;0.01),0.01,ROUND(W7,2))</f>
        <v>0</v>
      </c>
      <c r="S7" s="547">
        <v>1</v>
      </c>
      <c r="T7" s="365">
        <f>LARGE($P$5:$P$8,3)</f>
        <v>0</v>
      </c>
      <c r="U7" s="402">
        <f>V6+T8*(1-V6)</f>
        <v>0</v>
      </c>
      <c r="V7" s="389">
        <f>ROUND(U7,2)</f>
        <v>0</v>
      </c>
      <c r="W7" s="365">
        <f>IF(O7&gt;0,O7*M7,M7)</f>
        <v>0</v>
      </c>
    </row>
    <row r="8" spans="1:170" ht="29.25" customHeight="1" x14ac:dyDescent="0.2">
      <c r="B8" s="267" t="s">
        <v>1824</v>
      </c>
      <c r="C8" s="937"/>
      <c r="D8" s="1605"/>
      <c r="E8" s="1605"/>
      <c r="F8" s="1605"/>
      <c r="G8" s="1605"/>
      <c r="H8" s="1605"/>
      <c r="I8" s="1605"/>
      <c r="J8" s="1605"/>
      <c r="K8" s="1605"/>
      <c r="L8" s="938"/>
      <c r="M8" s="738">
        <f>IF(S8=1,0.25,0)</f>
        <v>0</v>
      </c>
      <c r="N8" s="740"/>
      <c r="O8" s="208"/>
      <c r="P8" s="21">
        <f>IF(AND(W8&gt;0,W8&lt;0.01),0.01,ROUND(W8,2))</f>
        <v>0</v>
      </c>
      <c r="S8" s="547">
        <v>2</v>
      </c>
      <c r="T8" s="365">
        <f>LARGE($P$5:$P$8,4)</f>
        <v>0</v>
      </c>
      <c r="U8" s="234"/>
      <c r="V8" s="7"/>
      <c r="W8" s="365">
        <f>IF(O8&gt;0,O8*M8,M8)</f>
        <v>0</v>
      </c>
    </row>
    <row r="9" spans="1:170" ht="21" customHeight="1" x14ac:dyDescent="0.2">
      <c r="B9" s="19"/>
      <c r="C9" s="1358" t="s">
        <v>2100</v>
      </c>
      <c r="D9" s="1359"/>
      <c r="E9" s="1359"/>
      <c r="F9" s="1359"/>
      <c r="G9" s="1359"/>
      <c r="H9" s="1359"/>
      <c r="I9" s="1359"/>
      <c r="J9" s="1359"/>
      <c r="K9" s="1359"/>
      <c r="L9" s="1359"/>
      <c r="M9" s="1359"/>
      <c r="N9" s="1359"/>
      <c r="O9" s="1360"/>
      <c r="P9" s="271">
        <f>V7</f>
        <v>0</v>
      </c>
    </row>
    <row r="10" spans="1:170" ht="33" customHeight="1" x14ac:dyDescent="0.25">
      <c r="B10" s="1037" t="s">
        <v>931</v>
      </c>
      <c r="C10" s="1037"/>
      <c r="D10" s="1037"/>
      <c r="E10" s="1037"/>
      <c r="F10" s="1037"/>
      <c r="G10" s="1037"/>
      <c r="H10" s="1037"/>
      <c r="I10" s="1037"/>
      <c r="J10" s="1037"/>
      <c r="K10" s="1037"/>
      <c r="L10" s="1037"/>
      <c r="M10" s="1037"/>
      <c r="N10" s="1037"/>
      <c r="O10" s="1037"/>
      <c r="P10" s="1037"/>
    </row>
    <row r="11" spans="1:170" x14ac:dyDescent="0.2">
      <c r="A11" s="15"/>
      <c r="C11" s="1604"/>
      <c r="D11" s="1604"/>
      <c r="E11" s="1604"/>
      <c r="F11" s="1604"/>
      <c r="G11" s="1604"/>
    </row>
    <row r="12" spans="1:170" x14ac:dyDescent="0.2">
      <c r="B12" s="2" t="s">
        <v>2006</v>
      </c>
      <c r="C12" s="1604"/>
      <c r="D12" s="1604"/>
      <c r="E12" s="1604"/>
      <c r="F12" s="1604"/>
      <c r="G12" s="1604"/>
      <c r="J12" s="1544" t="str">
        <f>IF(U1&lt;&gt;"",U1,"")</f>
        <v>Go to PPD Worksheet</v>
      </c>
      <c r="K12" s="1544"/>
      <c r="L12" s="1544"/>
      <c r="M12" s="1544"/>
      <c r="N12" s="1544"/>
      <c r="O12" s="1544"/>
    </row>
    <row r="13" spans="1:170" x14ac:dyDescent="0.2">
      <c r="B13" s="2" t="s">
        <v>2007</v>
      </c>
      <c r="C13" s="1604"/>
      <c r="D13" s="1604"/>
      <c r="E13" s="1604"/>
      <c r="F13" s="1604"/>
      <c r="G13" s="1604"/>
      <c r="J13" s="1544"/>
      <c r="K13" s="1544"/>
      <c r="L13" s="1544"/>
      <c r="M13" s="1544"/>
      <c r="N13" s="1544"/>
      <c r="O13" s="1544"/>
    </row>
    <row r="14" spans="1:170" ht="15" x14ac:dyDescent="0.25">
      <c r="B14" s="145"/>
      <c r="C14" s="1604"/>
      <c r="D14" s="1604"/>
      <c r="E14" s="1604"/>
      <c r="F14" s="1604"/>
      <c r="G14" s="1604"/>
      <c r="J14" s="1599" t="str">
        <f>IF(T1&lt;&gt;"",T1,"")</f>
        <v/>
      </c>
      <c r="K14" s="1599"/>
      <c r="L14" s="1599"/>
      <c r="M14" s="1599"/>
      <c r="N14" s="1599"/>
      <c r="O14" s="1599"/>
    </row>
    <row r="15" spans="1:170" x14ac:dyDescent="0.2">
      <c r="C15" s="1604"/>
      <c r="D15" s="1604"/>
      <c r="E15" s="1604"/>
      <c r="F15" s="1604"/>
      <c r="G15" s="1604"/>
    </row>
    <row r="17" spans="2:3" hidden="1" x14ac:dyDescent="0.2">
      <c r="B17" s="2">
        <v>0.01</v>
      </c>
      <c r="C17" s="2">
        <v>0.99</v>
      </c>
    </row>
  </sheetData>
  <sheetProtection sheet="1" objects="1" scenarios="1"/>
  <mergeCells count="20">
    <mergeCell ref="C11:G15"/>
    <mergeCell ref="M8:N8"/>
    <mergeCell ref="C8:L8"/>
    <mergeCell ref="C6:L6"/>
    <mergeCell ref="C7:L7"/>
    <mergeCell ref="C9:O9"/>
    <mergeCell ref="B10:P10"/>
    <mergeCell ref="J12:O12"/>
    <mergeCell ref="J13:O13"/>
    <mergeCell ref="J14:O14"/>
    <mergeCell ref="M1:P1"/>
    <mergeCell ref="D1:K1"/>
    <mergeCell ref="M7:N7"/>
    <mergeCell ref="M4:O4"/>
    <mergeCell ref="C4:L4"/>
    <mergeCell ref="B2:P2"/>
    <mergeCell ref="B3:P3"/>
    <mergeCell ref="M5:N5"/>
    <mergeCell ref="M6:N6"/>
    <mergeCell ref="C5:L5"/>
  </mergeCells>
  <phoneticPr fontId="0" type="noConversion"/>
  <dataValidations xWindow="642" yWindow="516" count="1">
    <dataValidation type="decimal" allowBlank="1" showInputMessage="1" showErrorMessage="1" promptTitle="Apportionment (if any)" prompt="Enter percentage of impairment caused by the injury or illness. See OAR 436-035-0013." sqref="O5:O8" xr:uid="{00000000-0002-0000-1300-000000000000}">
      <formula1>$B$17</formula1>
      <formula2>$C$17</formula2>
    </dataValidation>
  </dataValidations>
  <hyperlinks>
    <hyperlink ref="J12:O12" location="'PPD DOI before 2005'!A1" display="'PPD DOI before 2005'!A1" xr:uid="{00000000-0004-0000-1300-000000000000}"/>
    <hyperlink ref="J14:O14" location="'PPD DOI on or after 2005'!A1" display="'PPD DOI on or after 2005'!A1" xr:uid="{00000000-0004-0000-13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34843" r:id="rId4">
          <objectPr locked="0" defaultSize="0" r:id="rId5">
            <anchor moveWithCells="1">
              <from>
                <xdr:col>2</xdr:col>
                <xdr:colOff>85725</xdr:colOff>
                <xdr:row>10</xdr:row>
                <xdr:rowOff>85725</xdr:rowOff>
              </from>
              <to>
                <xdr:col>7</xdr:col>
                <xdr:colOff>133350</xdr:colOff>
                <xdr:row>15</xdr:row>
                <xdr:rowOff>142875</xdr:rowOff>
              </to>
            </anchor>
          </objectPr>
        </oleObject>
      </mc:Choice>
      <mc:Fallback>
        <oleObject progId="Document" dvAspect="DVASPECT_ICON" shapeId="34843" r:id="rId4"/>
      </mc:Fallback>
    </mc:AlternateContent>
  </oleObjects>
  <mc:AlternateContent xmlns:mc="http://schemas.openxmlformats.org/markup-compatibility/2006">
    <mc:Choice Requires="x14">
      <controls>
        <mc:AlternateContent xmlns:mc="http://schemas.openxmlformats.org/markup-compatibility/2006">
          <mc:Choice Requires="x14">
            <control shapeId="34818" r:id="rId6" name="Group Box 2">
              <controlPr defaultSize="0" autoFill="0" autoPict="0">
                <anchor moveWithCells="1" sizeWithCells="1">
                  <from>
                    <xdr:col>2</xdr:col>
                    <xdr:colOff>0</xdr:colOff>
                    <xdr:row>4</xdr:row>
                    <xdr:rowOff>0</xdr:rowOff>
                  </from>
                  <to>
                    <xdr:col>12</xdr:col>
                    <xdr:colOff>0</xdr:colOff>
                    <xdr:row>5</xdr:row>
                    <xdr:rowOff>0</xdr:rowOff>
                  </to>
                </anchor>
              </controlPr>
            </control>
          </mc:Choice>
        </mc:AlternateContent>
        <mc:AlternateContent xmlns:mc="http://schemas.openxmlformats.org/markup-compatibility/2006">
          <mc:Choice Requires="x14">
            <control shapeId="34819" r:id="rId7" name="Option Button 3">
              <controlPr defaultSize="0" autoFill="0" autoLine="0" autoPict="0">
                <anchor moveWithCells="1" sizeWithCells="1">
                  <from>
                    <xdr:col>3</xdr:col>
                    <xdr:colOff>142875</xdr:colOff>
                    <xdr:row>4</xdr:row>
                    <xdr:rowOff>19050</xdr:rowOff>
                  </from>
                  <to>
                    <xdr:col>6</xdr:col>
                    <xdr:colOff>104775</xdr:colOff>
                    <xdr:row>4</xdr:row>
                    <xdr:rowOff>257175</xdr:rowOff>
                  </to>
                </anchor>
              </controlPr>
            </control>
          </mc:Choice>
        </mc:AlternateContent>
        <mc:AlternateContent xmlns:mc="http://schemas.openxmlformats.org/markup-compatibility/2006">
          <mc:Choice Requires="x14">
            <control shapeId="34820" r:id="rId8" name="Option Button 4">
              <controlPr defaultSize="0" autoFill="0" autoLine="0" autoPict="0">
                <anchor moveWithCells="1" sizeWithCells="1">
                  <from>
                    <xdr:col>6</xdr:col>
                    <xdr:colOff>104775</xdr:colOff>
                    <xdr:row>4</xdr:row>
                    <xdr:rowOff>19050</xdr:rowOff>
                  </from>
                  <to>
                    <xdr:col>7</xdr:col>
                    <xdr:colOff>161925</xdr:colOff>
                    <xdr:row>4</xdr:row>
                    <xdr:rowOff>257175</xdr:rowOff>
                  </to>
                </anchor>
              </controlPr>
            </control>
          </mc:Choice>
        </mc:AlternateContent>
        <mc:AlternateContent xmlns:mc="http://schemas.openxmlformats.org/markup-compatibility/2006">
          <mc:Choice Requires="x14">
            <control shapeId="34821" r:id="rId9" name="Option Button 5">
              <controlPr defaultSize="0" autoFill="0" autoLine="0" autoPict="0">
                <anchor moveWithCells="1" sizeWithCells="1">
                  <from>
                    <xdr:col>7</xdr:col>
                    <xdr:colOff>180975</xdr:colOff>
                    <xdr:row>4</xdr:row>
                    <xdr:rowOff>19050</xdr:rowOff>
                  </from>
                  <to>
                    <xdr:col>9</xdr:col>
                    <xdr:colOff>0</xdr:colOff>
                    <xdr:row>4</xdr:row>
                    <xdr:rowOff>257175</xdr:rowOff>
                  </to>
                </anchor>
              </controlPr>
            </control>
          </mc:Choice>
        </mc:AlternateContent>
        <mc:AlternateContent xmlns:mc="http://schemas.openxmlformats.org/markup-compatibility/2006">
          <mc:Choice Requires="x14">
            <control shapeId="34822" r:id="rId10" name="Option Button 6">
              <controlPr defaultSize="0" autoFill="0" autoLine="0" autoPict="0">
                <anchor moveWithCells="1" sizeWithCells="1">
                  <from>
                    <xdr:col>9</xdr:col>
                    <xdr:colOff>9525</xdr:colOff>
                    <xdr:row>4</xdr:row>
                    <xdr:rowOff>19050</xdr:rowOff>
                  </from>
                  <to>
                    <xdr:col>10</xdr:col>
                    <xdr:colOff>76200</xdr:colOff>
                    <xdr:row>4</xdr:row>
                    <xdr:rowOff>257175</xdr:rowOff>
                  </to>
                </anchor>
              </controlPr>
            </control>
          </mc:Choice>
        </mc:AlternateContent>
        <mc:AlternateContent xmlns:mc="http://schemas.openxmlformats.org/markup-compatibility/2006">
          <mc:Choice Requires="x14">
            <control shapeId="34823" r:id="rId11" name="Option Button 7">
              <controlPr defaultSize="0" autoFill="0" autoLine="0" autoPict="0">
                <anchor moveWithCells="1" sizeWithCells="1">
                  <from>
                    <xdr:col>10</xdr:col>
                    <xdr:colOff>76200</xdr:colOff>
                    <xdr:row>4</xdr:row>
                    <xdr:rowOff>19050</xdr:rowOff>
                  </from>
                  <to>
                    <xdr:col>11</xdr:col>
                    <xdr:colOff>142875</xdr:colOff>
                    <xdr:row>4</xdr:row>
                    <xdr:rowOff>257175</xdr:rowOff>
                  </to>
                </anchor>
              </controlPr>
            </control>
          </mc:Choice>
        </mc:AlternateContent>
        <mc:AlternateContent xmlns:mc="http://schemas.openxmlformats.org/markup-compatibility/2006">
          <mc:Choice Requires="x14">
            <control shapeId="34825" r:id="rId12" name="Group Box 9">
              <controlPr defaultSize="0" autoFill="0" autoPict="0">
                <anchor moveWithCells="1" sizeWithCells="1">
                  <from>
                    <xdr:col>2</xdr:col>
                    <xdr:colOff>0</xdr:colOff>
                    <xdr:row>5</xdr:row>
                    <xdr:rowOff>0</xdr:rowOff>
                  </from>
                  <to>
                    <xdr:col>12</xdr:col>
                    <xdr:colOff>0</xdr:colOff>
                    <xdr:row>6</xdr:row>
                    <xdr:rowOff>0</xdr:rowOff>
                  </to>
                </anchor>
              </controlPr>
            </control>
          </mc:Choice>
        </mc:AlternateContent>
        <mc:AlternateContent xmlns:mc="http://schemas.openxmlformats.org/markup-compatibility/2006">
          <mc:Choice Requires="x14">
            <control shapeId="34826" r:id="rId13" name="Option Button 10">
              <controlPr defaultSize="0" autoFill="0" autoLine="0" autoPict="0">
                <anchor moveWithCells="1" sizeWithCells="1">
                  <from>
                    <xdr:col>3</xdr:col>
                    <xdr:colOff>133350</xdr:colOff>
                    <xdr:row>5</xdr:row>
                    <xdr:rowOff>9525</xdr:rowOff>
                  </from>
                  <to>
                    <xdr:col>6</xdr:col>
                    <xdr:colOff>76200</xdr:colOff>
                    <xdr:row>6</xdr:row>
                    <xdr:rowOff>0</xdr:rowOff>
                  </to>
                </anchor>
              </controlPr>
            </control>
          </mc:Choice>
        </mc:AlternateContent>
        <mc:AlternateContent xmlns:mc="http://schemas.openxmlformats.org/markup-compatibility/2006">
          <mc:Choice Requires="x14">
            <control shapeId="34827" r:id="rId14" name="Option Button 11">
              <controlPr defaultSize="0" autoFill="0" autoLine="0" autoPict="0">
                <anchor moveWithCells="1" sizeWithCells="1">
                  <from>
                    <xdr:col>6</xdr:col>
                    <xdr:colOff>104775</xdr:colOff>
                    <xdr:row>5</xdr:row>
                    <xdr:rowOff>9525</xdr:rowOff>
                  </from>
                  <to>
                    <xdr:col>7</xdr:col>
                    <xdr:colOff>161925</xdr:colOff>
                    <xdr:row>6</xdr:row>
                    <xdr:rowOff>0</xdr:rowOff>
                  </to>
                </anchor>
              </controlPr>
            </control>
          </mc:Choice>
        </mc:AlternateContent>
        <mc:AlternateContent xmlns:mc="http://schemas.openxmlformats.org/markup-compatibility/2006">
          <mc:Choice Requires="x14">
            <control shapeId="34828" r:id="rId15" name="Option Button 12">
              <controlPr defaultSize="0" autoFill="0" autoLine="0" autoPict="0">
                <anchor moveWithCells="1" sizeWithCells="1">
                  <from>
                    <xdr:col>7</xdr:col>
                    <xdr:colOff>180975</xdr:colOff>
                    <xdr:row>5</xdr:row>
                    <xdr:rowOff>9525</xdr:rowOff>
                  </from>
                  <to>
                    <xdr:col>8</xdr:col>
                    <xdr:colOff>238125</xdr:colOff>
                    <xdr:row>6</xdr:row>
                    <xdr:rowOff>0</xdr:rowOff>
                  </to>
                </anchor>
              </controlPr>
            </control>
          </mc:Choice>
        </mc:AlternateContent>
        <mc:AlternateContent xmlns:mc="http://schemas.openxmlformats.org/markup-compatibility/2006">
          <mc:Choice Requires="x14">
            <control shapeId="34829" r:id="rId16" name="Option Button 13">
              <controlPr defaultSize="0" autoFill="0" autoLine="0" autoPict="0">
                <anchor moveWithCells="1" sizeWithCells="1">
                  <from>
                    <xdr:col>9</xdr:col>
                    <xdr:colOff>9525</xdr:colOff>
                    <xdr:row>5</xdr:row>
                    <xdr:rowOff>9525</xdr:rowOff>
                  </from>
                  <to>
                    <xdr:col>10</xdr:col>
                    <xdr:colOff>66675</xdr:colOff>
                    <xdr:row>6</xdr:row>
                    <xdr:rowOff>0</xdr:rowOff>
                  </to>
                </anchor>
              </controlPr>
            </control>
          </mc:Choice>
        </mc:AlternateContent>
        <mc:AlternateContent xmlns:mc="http://schemas.openxmlformats.org/markup-compatibility/2006">
          <mc:Choice Requires="x14">
            <control shapeId="34830" r:id="rId17" name="Option Button 14">
              <controlPr defaultSize="0" autoFill="0" autoLine="0" autoPict="0">
                <anchor moveWithCells="1" sizeWithCells="1">
                  <from>
                    <xdr:col>10</xdr:col>
                    <xdr:colOff>66675</xdr:colOff>
                    <xdr:row>5</xdr:row>
                    <xdr:rowOff>9525</xdr:rowOff>
                  </from>
                  <to>
                    <xdr:col>11</xdr:col>
                    <xdr:colOff>123825</xdr:colOff>
                    <xdr:row>6</xdr:row>
                    <xdr:rowOff>0</xdr:rowOff>
                  </to>
                </anchor>
              </controlPr>
            </control>
          </mc:Choice>
        </mc:AlternateContent>
        <mc:AlternateContent xmlns:mc="http://schemas.openxmlformats.org/markup-compatibility/2006">
          <mc:Choice Requires="x14">
            <control shapeId="34832" r:id="rId18" name="Group Box 16">
              <controlPr defaultSize="0" autoFill="0" autoPict="0">
                <anchor moveWithCells="1" sizeWithCells="1">
                  <from>
                    <xdr:col>2</xdr:col>
                    <xdr:colOff>0</xdr:colOff>
                    <xdr:row>7</xdr:row>
                    <xdr:rowOff>0</xdr:rowOff>
                  </from>
                  <to>
                    <xdr:col>15</xdr:col>
                    <xdr:colOff>0</xdr:colOff>
                    <xdr:row>8</xdr:row>
                    <xdr:rowOff>0</xdr:rowOff>
                  </to>
                </anchor>
              </controlPr>
            </control>
          </mc:Choice>
        </mc:AlternateContent>
        <mc:AlternateContent xmlns:mc="http://schemas.openxmlformats.org/markup-compatibility/2006">
          <mc:Choice Requires="x14">
            <control shapeId="34833" r:id="rId19" name="Option Button 17">
              <controlPr defaultSize="0" autoFill="0" autoLine="0" autoPict="0">
                <anchor moveWithCells="1" sizeWithCells="1">
                  <from>
                    <xdr:col>3</xdr:col>
                    <xdr:colOff>133350</xdr:colOff>
                    <xdr:row>7</xdr:row>
                    <xdr:rowOff>114300</xdr:rowOff>
                  </from>
                  <to>
                    <xdr:col>6</xdr:col>
                    <xdr:colOff>76200</xdr:colOff>
                    <xdr:row>7</xdr:row>
                    <xdr:rowOff>333375</xdr:rowOff>
                  </to>
                </anchor>
              </controlPr>
            </control>
          </mc:Choice>
        </mc:AlternateContent>
        <mc:AlternateContent xmlns:mc="http://schemas.openxmlformats.org/markup-compatibility/2006">
          <mc:Choice Requires="x14">
            <control shapeId="34834" r:id="rId20" name="Option Button 18">
              <controlPr defaultSize="0" autoFill="0" autoLine="0" autoPict="0">
                <anchor moveWithCells="1" sizeWithCells="1">
                  <from>
                    <xdr:col>6</xdr:col>
                    <xdr:colOff>104775</xdr:colOff>
                    <xdr:row>7</xdr:row>
                    <xdr:rowOff>114300</xdr:rowOff>
                  </from>
                  <to>
                    <xdr:col>8</xdr:col>
                    <xdr:colOff>123825</xdr:colOff>
                    <xdr:row>7</xdr:row>
                    <xdr:rowOff>333375</xdr:rowOff>
                  </to>
                </anchor>
              </controlPr>
            </control>
          </mc:Choice>
        </mc:AlternateContent>
        <mc:AlternateContent xmlns:mc="http://schemas.openxmlformats.org/markup-compatibility/2006">
          <mc:Choice Requires="x14">
            <control shapeId="34836" r:id="rId21" name="Group Box 20">
              <controlPr defaultSize="0" autoFill="0" autoPict="0">
                <anchor moveWithCells="1" sizeWithCells="1">
                  <from>
                    <xdr:col>2</xdr:col>
                    <xdr:colOff>0</xdr:colOff>
                    <xdr:row>6</xdr:row>
                    <xdr:rowOff>0</xdr:rowOff>
                  </from>
                  <to>
                    <xdr:col>12</xdr:col>
                    <xdr:colOff>0</xdr:colOff>
                    <xdr:row>7</xdr:row>
                    <xdr:rowOff>0</xdr:rowOff>
                  </to>
                </anchor>
              </controlPr>
            </control>
          </mc:Choice>
        </mc:AlternateContent>
        <mc:AlternateContent xmlns:mc="http://schemas.openxmlformats.org/markup-compatibility/2006">
          <mc:Choice Requires="x14">
            <control shapeId="34837" r:id="rId22" name="Option Button 21">
              <controlPr defaultSize="0" autoFill="0" autoLine="0" autoPict="0">
                <anchor moveWithCells="1" sizeWithCells="1">
                  <from>
                    <xdr:col>3</xdr:col>
                    <xdr:colOff>133350</xdr:colOff>
                    <xdr:row>6</xdr:row>
                    <xdr:rowOff>47625</xdr:rowOff>
                  </from>
                  <to>
                    <xdr:col>6</xdr:col>
                    <xdr:colOff>76200</xdr:colOff>
                    <xdr:row>7</xdr:row>
                    <xdr:rowOff>0</xdr:rowOff>
                  </to>
                </anchor>
              </controlPr>
            </control>
          </mc:Choice>
        </mc:AlternateContent>
        <mc:AlternateContent xmlns:mc="http://schemas.openxmlformats.org/markup-compatibility/2006">
          <mc:Choice Requires="x14">
            <control shapeId="34838" r:id="rId23" name="Option Button 22">
              <controlPr defaultSize="0" autoFill="0" autoLine="0" autoPict="0">
                <anchor moveWithCells="1" sizeWithCells="1">
                  <from>
                    <xdr:col>6</xdr:col>
                    <xdr:colOff>104775</xdr:colOff>
                    <xdr:row>6</xdr:row>
                    <xdr:rowOff>47625</xdr:rowOff>
                  </from>
                  <to>
                    <xdr:col>7</xdr:col>
                    <xdr:colOff>161925</xdr:colOff>
                    <xdr:row>7</xdr:row>
                    <xdr:rowOff>0</xdr:rowOff>
                  </to>
                </anchor>
              </controlPr>
            </control>
          </mc:Choice>
        </mc:AlternateContent>
        <mc:AlternateContent xmlns:mc="http://schemas.openxmlformats.org/markup-compatibility/2006">
          <mc:Choice Requires="x14">
            <control shapeId="34839" r:id="rId24" name="Option Button 23">
              <controlPr defaultSize="0" autoFill="0" autoLine="0" autoPict="0">
                <anchor moveWithCells="1" sizeWithCells="1">
                  <from>
                    <xdr:col>7</xdr:col>
                    <xdr:colOff>180975</xdr:colOff>
                    <xdr:row>6</xdr:row>
                    <xdr:rowOff>47625</xdr:rowOff>
                  </from>
                  <to>
                    <xdr:col>8</xdr:col>
                    <xdr:colOff>238125</xdr:colOff>
                    <xdr:row>7</xdr:row>
                    <xdr:rowOff>0</xdr:rowOff>
                  </to>
                </anchor>
              </controlPr>
            </control>
          </mc:Choice>
        </mc:AlternateContent>
        <mc:AlternateContent xmlns:mc="http://schemas.openxmlformats.org/markup-compatibility/2006">
          <mc:Choice Requires="x14">
            <control shapeId="34840" r:id="rId25" name="Option Button 24">
              <controlPr defaultSize="0" autoFill="0" autoLine="0" autoPict="0">
                <anchor moveWithCells="1" sizeWithCells="1">
                  <from>
                    <xdr:col>9</xdr:col>
                    <xdr:colOff>9525</xdr:colOff>
                    <xdr:row>6</xdr:row>
                    <xdr:rowOff>47625</xdr:rowOff>
                  </from>
                  <to>
                    <xdr:col>10</xdr:col>
                    <xdr:colOff>66675</xdr:colOff>
                    <xdr:row>7</xdr:row>
                    <xdr:rowOff>0</xdr:rowOff>
                  </to>
                </anchor>
              </controlPr>
            </control>
          </mc:Choice>
        </mc:AlternateContent>
        <mc:AlternateContent xmlns:mc="http://schemas.openxmlformats.org/markup-compatibility/2006">
          <mc:Choice Requires="x14">
            <control shapeId="34841" r:id="rId26" name="Option Button 25">
              <controlPr defaultSize="0" autoFill="0" autoLine="0" autoPict="0">
                <anchor moveWithCells="1" sizeWithCells="1">
                  <from>
                    <xdr:col>10</xdr:col>
                    <xdr:colOff>66675</xdr:colOff>
                    <xdr:row>6</xdr:row>
                    <xdr:rowOff>47625</xdr:rowOff>
                  </from>
                  <to>
                    <xdr:col>11</xdr:col>
                    <xdr:colOff>123825</xdr:colOff>
                    <xdr:row>7</xdr:row>
                    <xdr:rowOff>0</xdr:rowOff>
                  </to>
                </anchor>
              </controlPr>
            </control>
          </mc:Choice>
        </mc:AlternateContent>
        <mc:AlternateContent xmlns:mc="http://schemas.openxmlformats.org/markup-compatibility/2006">
          <mc:Choice Requires="x14">
            <control shapeId="34842" r:id="rId27" name="Option Button 26">
              <controlPr defaultSize="0" autoFill="0" autoLine="0" autoPict="0">
                <anchor moveWithCells="1" sizeWithCells="1">
                  <from>
                    <xdr:col>11</xdr:col>
                    <xdr:colOff>133350</xdr:colOff>
                    <xdr:row>6</xdr:row>
                    <xdr:rowOff>47625</xdr:rowOff>
                  </from>
                  <to>
                    <xdr:col>11</xdr:col>
                    <xdr:colOff>438150</xdr:colOff>
                    <xdr:row>7</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N55"/>
  <sheetViews>
    <sheetView showGridLines="0" zoomScale="120" zoomScaleNormal="120" workbookViewId="0"/>
  </sheetViews>
  <sheetFormatPr defaultColWidth="3.5703125" defaultRowHeight="12.75" x14ac:dyDescent="0.2"/>
  <cols>
    <col min="1" max="1" width="1.42578125" style="2" customWidth="1"/>
    <col min="2" max="2" width="18" style="2" customWidth="1"/>
    <col min="3" max="3" width="2.5703125" style="2" customWidth="1"/>
    <col min="4" max="4" width="2.28515625" style="2" customWidth="1"/>
    <col min="5" max="13" width="3.85546875" style="2" customWidth="1"/>
    <col min="14" max="14" width="3.7109375" style="2" customWidth="1"/>
    <col min="15" max="15" width="12.85546875" style="2" customWidth="1"/>
    <col min="16" max="16" width="11.7109375" style="2" customWidth="1"/>
    <col min="17" max="17" width="0.5703125" style="2" customWidth="1"/>
    <col min="18" max="18" width="17.42578125" style="2" hidden="1" customWidth="1"/>
    <col min="19" max="19" width="12.7109375" style="2" hidden="1" customWidth="1"/>
    <col min="20" max="20" width="15.85546875" style="2" hidden="1" customWidth="1"/>
    <col min="21" max="21" width="17.7109375" style="2" hidden="1" customWidth="1"/>
    <col min="22" max="22" width="12.7109375" style="2" hidden="1" customWidth="1"/>
    <col min="23" max="130" width="3.5703125" style="2" hidden="1" customWidth="1"/>
    <col min="131" max="255" width="3.5703125" style="2" customWidth="1"/>
    <col min="256" max="16384" width="3.5703125" style="2"/>
  </cols>
  <sheetData>
    <row r="1" spans="1:170" ht="15" customHeight="1" x14ac:dyDescent="0.2">
      <c r="B1" s="10" t="s">
        <v>1697</v>
      </c>
      <c r="E1" s="732" t="str">
        <f>IF('Start here'!A6="","",'Start here'!A6)</f>
        <v/>
      </c>
      <c r="F1" s="736"/>
      <c r="G1" s="736"/>
      <c r="H1" s="736"/>
      <c r="I1" s="736"/>
      <c r="J1" s="736"/>
      <c r="K1" s="737"/>
      <c r="M1" s="732" t="str">
        <f>IF('Start here'!A7="","",'Start here'!A7)</f>
        <v/>
      </c>
      <c r="N1" s="736"/>
      <c r="O1" s="736"/>
      <c r="P1" s="737"/>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0.5" customHeight="1" x14ac:dyDescent="0.2">
      <c r="A2" s="15"/>
      <c r="B2" s="777"/>
      <c r="C2" s="777"/>
      <c r="D2" s="777"/>
      <c r="E2" s="777"/>
      <c r="F2" s="777"/>
      <c r="G2" s="777"/>
      <c r="H2" s="777"/>
      <c r="I2" s="777"/>
      <c r="J2" s="777"/>
      <c r="K2" s="777"/>
      <c r="L2" s="777"/>
      <c r="M2" s="777"/>
      <c r="N2" s="777"/>
      <c r="O2" s="777"/>
      <c r="P2" s="777"/>
    </row>
    <row r="3" spans="1:170" ht="31.5" customHeight="1" x14ac:dyDescent="0.3">
      <c r="B3" s="905" t="s">
        <v>1904</v>
      </c>
      <c r="C3" s="905"/>
      <c r="D3" s="905"/>
      <c r="E3" s="905"/>
      <c r="F3" s="905"/>
      <c r="G3" s="905"/>
      <c r="H3" s="905"/>
      <c r="I3" s="905"/>
      <c r="J3" s="905"/>
      <c r="K3" s="905"/>
      <c r="L3" s="905"/>
      <c r="M3" s="905"/>
      <c r="N3" s="905"/>
      <c r="O3" s="905"/>
      <c r="P3" s="905"/>
      <c r="R3" s="127" t="s">
        <v>2235</v>
      </c>
      <c r="S3" s="127" t="s">
        <v>2232</v>
      </c>
      <c r="T3" s="1"/>
      <c r="U3" s="1"/>
      <c r="V3" s="1"/>
    </row>
    <row r="4" spans="1:170" ht="27" customHeight="1" x14ac:dyDescent="0.2">
      <c r="B4" s="267" t="s">
        <v>2003</v>
      </c>
      <c r="C4" s="1002"/>
      <c r="D4" s="1002"/>
      <c r="E4" s="761" t="s">
        <v>1905</v>
      </c>
      <c r="F4" s="761"/>
      <c r="G4" s="761"/>
      <c r="H4" s="761"/>
      <c r="I4" s="761"/>
      <c r="J4" s="761"/>
      <c r="K4" s="761"/>
      <c r="L4" s="761"/>
      <c r="M4" s="761"/>
      <c r="N4" s="761"/>
      <c r="O4" s="761"/>
      <c r="P4" s="21">
        <f>IF(S4=1,0.03,0)</f>
        <v>0</v>
      </c>
      <c r="R4" s="547" t="b">
        <v>0</v>
      </c>
      <c r="S4" s="547">
        <f>IF(R4=TRUE,1,0)</f>
        <v>0</v>
      </c>
      <c r="T4" s="151"/>
      <c r="U4" s="234"/>
      <c r="V4" s="7"/>
    </row>
    <row r="5" spans="1:170" ht="27" customHeight="1" x14ac:dyDescent="0.2">
      <c r="B5" s="267" t="s">
        <v>2002</v>
      </c>
      <c r="C5" s="910"/>
      <c r="D5" s="910"/>
      <c r="E5" s="939" t="s">
        <v>1906</v>
      </c>
      <c r="F5" s="939"/>
      <c r="G5" s="939"/>
      <c r="H5" s="939"/>
      <c r="I5" s="939"/>
      <c r="J5" s="939"/>
      <c r="K5" s="939"/>
      <c r="L5" s="939"/>
      <c r="M5" s="939"/>
      <c r="N5" s="939"/>
      <c r="O5" s="939"/>
      <c r="P5" s="21">
        <v>0</v>
      </c>
      <c r="T5" s="151"/>
      <c r="U5" s="234"/>
      <c r="V5" s="7"/>
    </row>
    <row r="6" spans="1:170" ht="27" customHeight="1" x14ac:dyDescent="0.2">
      <c r="B6" s="267" t="s">
        <v>2001</v>
      </c>
      <c r="C6" s="910"/>
      <c r="D6" s="910"/>
      <c r="E6" s="939" t="s">
        <v>1906</v>
      </c>
      <c r="F6" s="939"/>
      <c r="G6" s="939"/>
      <c r="H6" s="939"/>
      <c r="I6" s="939"/>
      <c r="J6" s="939"/>
      <c r="K6" s="939"/>
      <c r="L6" s="939"/>
      <c r="M6" s="939"/>
      <c r="N6" s="939"/>
      <c r="O6" s="939"/>
      <c r="P6" s="21">
        <v>0</v>
      </c>
      <c r="R6" s="1"/>
      <c r="S6" s="1"/>
      <c r="T6" s="151"/>
      <c r="U6" s="234"/>
      <c r="V6" s="7"/>
    </row>
    <row r="7" spans="1:170" ht="27" customHeight="1" x14ac:dyDescent="0.2">
      <c r="B7" s="267" t="s">
        <v>2000</v>
      </c>
      <c r="C7" s="830"/>
      <c r="D7" s="830"/>
      <c r="E7" s="939" t="s">
        <v>1906</v>
      </c>
      <c r="F7" s="939"/>
      <c r="G7" s="939"/>
      <c r="H7" s="939"/>
      <c r="I7" s="939"/>
      <c r="J7" s="939"/>
      <c r="K7" s="939"/>
      <c r="L7" s="939"/>
      <c r="M7" s="939"/>
      <c r="N7" s="939"/>
      <c r="O7" s="939"/>
      <c r="P7" s="21">
        <v>0</v>
      </c>
      <c r="R7" s="1"/>
      <c r="S7" s="1"/>
      <c r="T7" s="151"/>
      <c r="U7" s="234"/>
      <c r="V7" s="7"/>
    </row>
    <row r="8" spans="1:170" ht="27" customHeight="1" x14ac:dyDescent="0.2">
      <c r="B8" s="411" t="s">
        <v>1999</v>
      </c>
      <c r="C8" s="1606"/>
      <c r="D8" s="1607"/>
      <c r="E8" s="758" t="s">
        <v>520</v>
      </c>
      <c r="F8" s="761"/>
      <c r="G8" s="761"/>
      <c r="H8" s="761"/>
      <c r="I8" s="761"/>
      <c r="J8" s="761"/>
      <c r="K8" s="761"/>
      <c r="L8" s="761"/>
      <c r="M8" s="761"/>
      <c r="N8" s="761"/>
      <c r="O8" s="761"/>
      <c r="P8" s="929">
        <f>IF(S8=2,0.1,IF(S8=3,0.35,0))</f>
        <v>0</v>
      </c>
      <c r="R8" s="146" t="s">
        <v>2236</v>
      </c>
      <c r="S8" s="547">
        <v>1</v>
      </c>
      <c r="T8" s="151"/>
      <c r="U8" s="234"/>
      <c r="V8" s="7"/>
    </row>
    <row r="9" spans="1:170" ht="27" customHeight="1" x14ac:dyDescent="0.2">
      <c r="B9" s="415"/>
      <c r="C9" s="1608"/>
      <c r="D9" s="1609"/>
      <c r="E9" s="758" t="s">
        <v>521</v>
      </c>
      <c r="F9" s="761"/>
      <c r="G9" s="761"/>
      <c r="H9" s="761"/>
      <c r="I9" s="761"/>
      <c r="J9" s="761"/>
      <c r="K9" s="761"/>
      <c r="L9" s="761"/>
      <c r="M9" s="761"/>
      <c r="N9" s="761"/>
      <c r="O9" s="761"/>
      <c r="P9" s="1071"/>
      <c r="T9" s="151"/>
      <c r="U9" s="234"/>
      <c r="V9" s="7"/>
    </row>
    <row r="10" spans="1:170" ht="27" customHeight="1" x14ac:dyDescent="0.2">
      <c r="B10" s="415"/>
      <c r="C10" s="1017"/>
      <c r="D10" s="1610"/>
      <c r="E10" s="758" t="s">
        <v>522</v>
      </c>
      <c r="F10" s="761"/>
      <c r="G10" s="761"/>
      <c r="H10" s="761"/>
      <c r="I10" s="761"/>
      <c r="J10" s="761"/>
      <c r="K10" s="761"/>
      <c r="L10" s="761"/>
      <c r="M10" s="761"/>
      <c r="N10" s="761"/>
      <c r="O10" s="761"/>
      <c r="P10" s="1072"/>
      <c r="R10" s="127" t="s">
        <v>2235</v>
      </c>
      <c r="S10" s="127" t="s">
        <v>2232</v>
      </c>
      <c r="T10" s="151"/>
      <c r="U10" s="234"/>
      <c r="V10" s="7"/>
    </row>
    <row r="11" spans="1:170" ht="27" customHeight="1" x14ac:dyDescent="0.2">
      <c r="B11" s="1616" t="str">
        <f>IF(AND(S11=1,S12=1),"If loss of motor function of both trigeminal nerves, see also OAR 436-035-0385 and 436-035-0420.","")</f>
        <v/>
      </c>
      <c r="C11" s="1017"/>
      <c r="D11" s="1610"/>
      <c r="E11" s="756" t="s">
        <v>109</v>
      </c>
      <c r="F11" s="757"/>
      <c r="G11" s="757"/>
      <c r="H11" s="757"/>
      <c r="I11" s="757"/>
      <c r="J11" s="757"/>
      <c r="K11" s="757"/>
      <c r="L11" s="757"/>
      <c r="M11" s="757"/>
      <c r="N11" s="757"/>
      <c r="O11" s="758"/>
      <c r="P11" s="21">
        <f>IF(S11=1,0.05,0)</f>
        <v>0</v>
      </c>
      <c r="R11" s="547" t="b">
        <v>0</v>
      </c>
      <c r="S11" s="547">
        <f>IF(R11=TRUE,1,0)</f>
        <v>0</v>
      </c>
      <c r="T11" s="151"/>
      <c r="U11" s="234"/>
      <c r="V11" s="7"/>
    </row>
    <row r="12" spans="1:170" ht="27" customHeight="1" x14ac:dyDescent="0.2">
      <c r="B12" s="1617"/>
      <c r="C12" s="1017"/>
      <c r="D12" s="1610"/>
      <c r="E12" s="756" t="s">
        <v>110</v>
      </c>
      <c r="F12" s="757"/>
      <c r="G12" s="757"/>
      <c r="H12" s="757"/>
      <c r="I12" s="757"/>
      <c r="J12" s="757"/>
      <c r="K12" s="757"/>
      <c r="L12" s="757"/>
      <c r="M12" s="757"/>
      <c r="N12" s="757"/>
      <c r="O12" s="758"/>
      <c r="P12" s="21">
        <f>IF(S12=1,0.05,0)</f>
        <v>0</v>
      </c>
      <c r="R12" s="547" t="b">
        <v>0</v>
      </c>
      <c r="S12" s="547">
        <f>IF(R12=TRUE,1,0)</f>
        <v>0</v>
      </c>
      <c r="T12" s="151"/>
      <c r="U12" s="234"/>
      <c r="V12" s="7"/>
    </row>
    <row r="13" spans="1:170" ht="27" customHeight="1" x14ac:dyDescent="0.2">
      <c r="B13" s="267" t="s">
        <v>1998</v>
      </c>
      <c r="C13" s="910"/>
      <c r="D13" s="910"/>
      <c r="E13" s="939" t="s">
        <v>1906</v>
      </c>
      <c r="F13" s="939"/>
      <c r="G13" s="939"/>
      <c r="H13" s="939"/>
      <c r="I13" s="939"/>
      <c r="J13" s="939"/>
      <c r="K13" s="939"/>
      <c r="L13" s="939"/>
      <c r="M13" s="939"/>
      <c r="N13" s="939"/>
      <c r="O13" s="939"/>
      <c r="P13" s="21">
        <v>0</v>
      </c>
      <c r="T13" s="151"/>
      <c r="U13" s="234"/>
      <c r="V13" s="7"/>
    </row>
    <row r="14" spans="1:170" ht="17.25" customHeight="1" x14ac:dyDescent="0.2">
      <c r="B14" s="1592" t="s">
        <v>2013</v>
      </c>
      <c r="C14" s="1615"/>
      <c r="D14" s="1615"/>
      <c r="E14" s="761" t="s">
        <v>1049</v>
      </c>
      <c r="F14" s="761"/>
      <c r="G14" s="761"/>
      <c r="H14" s="761"/>
      <c r="I14" s="761"/>
      <c r="J14" s="761"/>
      <c r="K14" s="761"/>
      <c r="L14" s="761"/>
      <c r="M14" s="761"/>
      <c r="N14" s="761"/>
      <c r="O14" s="761"/>
      <c r="P14" s="21">
        <f>IF(S14=1,0.03,0)</f>
        <v>0</v>
      </c>
      <c r="R14" s="547" t="b">
        <v>0</v>
      </c>
      <c r="S14" s="547">
        <f>IF(R14=TRUE,1,0)</f>
        <v>0</v>
      </c>
      <c r="T14" s="151"/>
      <c r="U14" s="234"/>
      <c r="V14" s="7"/>
    </row>
    <row r="15" spans="1:170" ht="24" customHeight="1" x14ac:dyDescent="0.2">
      <c r="B15" s="1593"/>
      <c r="C15" s="1606"/>
      <c r="D15" s="1607"/>
      <c r="E15" s="757" t="s">
        <v>1050</v>
      </c>
      <c r="F15" s="757"/>
      <c r="G15" s="757"/>
      <c r="H15" s="757"/>
      <c r="I15" s="757"/>
      <c r="J15" s="757"/>
      <c r="K15" s="757"/>
      <c r="L15" s="757"/>
      <c r="M15" s="757"/>
      <c r="N15" s="757"/>
      <c r="O15" s="758"/>
      <c r="P15" s="929">
        <f>IF(S16=2,0.05,IF(S16=3,0.15,IF(S16=4,0.2,IF(S16=5,0.45,0))))</f>
        <v>0</v>
      </c>
      <c r="T15" s="151"/>
      <c r="U15" s="234"/>
      <c r="V15" s="7"/>
    </row>
    <row r="16" spans="1:170" ht="24" customHeight="1" x14ac:dyDescent="0.2">
      <c r="B16" s="415"/>
      <c r="C16" s="1608"/>
      <c r="D16" s="1609"/>
      <c r="E16" s="757" t="s">
        <v>1051</v>
      </c>
      <c r="F16" s="757"/>
      <c r="G16" s="757"/>
      <c r="H16" s="757"/>
      <c r="I16" s="757"/>
      <c r="J16" s="757"/>
      <c r="K16" s="757"/>
      <c r="L16" s="757"/>
      <c r="M16" s="757"/>
      <c r="N16" s="757"/>
      <c r="O16" s="758"/>
      <c r="P16" s="1071"/>
      <c r="R16" s="146" t="s">
        <v>2236</v>
      </c>
      <c r="S16" s="547">
        <v>1</v>
      </c>
      <c r="T16" s="151"/>
      <c r="U16" s="234"/>
      <c r="V16" s="7"/>
    </row>
    <row r="17" spans="2:22" ht="24" customHeight="1" x14ac:dyDescent="0.2">
      <c r="B17" s="415"/>
      <c r="C17" s="1608"/>
      <c r="D17" s="1609"/>
      <c r="E17" s="757" t="s">
        <v>1280</v>
      </c>
      <c r="F17" s="757"/>
      <c r="G17" s="757"/>
      <c r="H17" s="757"/>
      <c r="I17" s="757"/>
      <c r="J17" s="757"/>
      <c r="K17" s="757"/>
      <c r="L17" s="757"/>
      <c r="M17" s="757"/>
      <c r="N17" s="757"/>
      <c r="O17" s="758"/>
      <c r="P17" s="1071"/>
      <c r="T17" s="151"/>
      <c r="U17" s="234"/>
      <c r="V17" s="7"/>
    </row>
    <row r="18" spans="2:22" ht="24" customHeight="1" x14ac:dyDescent="0.2">
      <c r="B18" s="415"/>
      <c r="C18" s="1608"/>
      <c r="D18" s="1609"/>
      <c r="E18" s="757" t="s">
        <v>1281</v>
      </c>
      <c r="F18" s="757"/>
      <c r="G18" s="757"/>
      <c r="H18" s="757"/>
      <c r="I18" s="757"/>
      <c r="J18" s="757"/>
      <c r="K18" s="757"/>
      <c r="L18" s="757"/>
      <c r="M18" s="757"/>
      <c r="N18" s="757"/>
      <c r="O18" s="758"/>
      <c r="P18" s="1071"/>
      <c r="T18" s="151"/>
      <c r="U18" s="234"/>
      <c r="V18" s="7"/>
    </row>
    <row r="19" spans="2:22" ht="24" customHeight="1" x14ac:dyDescent="0.2">
      <c r="B19" s="425"/>
      <c r="C19" s="1017"/>
      <c r="D19" s="1610"/>
      <c r="E19" s="756" t="s">
        <v>1108</v>
      </c>
      <c r="F19" s="757"/>
      <c r="G19" s="757"/>
      <c r="H19" s="757"/>
      <c r="I19" s="757"/>
      <c r="J19" s="757"/>
      <c r="K19" s="757"/>
      <c r="L19" s="757"/>
      <c r="M19" s="757"/>
      <c r="N19" s="757"/>
      <c r="O19" s="758"/>
      <c r="P19" s="1072"/>
      <c r="T19" s="151"/>
      <c r="U19" s="234"/>
      <c r="V19" s="7"/>
    </row>
    <row r="20" spans="2:22" ht="18" customHeight="1" x14ac:dyDescent="0.2">
      <c r="B20" s="1592" t="s">
        <v>2012</v>
      </c>
      <c r="C20" s="832"/>
      <c r="D20" s="832"/>
      <c r="E20" s="1078" t="s">
        <v>861</v>
      </c>
      <c r="F20" s="1079"/>
      <c r="G20" s="1079"/>
      <c r="H20" s="1079"/>
      <c r="I20" s="1079"/>
      <c r="J20" s="1079"/>
      <c r="K20" s="1079"/>
      <c r="L20" s="1079"/>
      <c r="M20" s="1079"/>
      <c r="N20" s="1079"/>
      <c r="O20" s="1080"/>
      <c r="P20" s="21">
        <v>0</v>
      </c>
      <c r="T20" s="151"/>
      <c r="U20" s="234"/>
      <c r="V20" s="7"/>
    </row>
    <row r="21" spans="2:22" ht="27" customHeight="1" x14ac:dyDescent="0.2">
      <c r="B21" s="1593"/>
      <c r="C21" s="1606"/>
      <c r="D21" s="1607"/>
      <c r="E21" s="756" t="s">
        <v>862</v>
      </c>
      <c r="F21" s="757"/>
      <c r="G21" s="757"/>
      <c r="H21" s="757"/>
      <c r="I21" s="757"/>
      <c r="J21" s="757"/>
      <c r="K21" s="757"/>
      <c r="L21" s="757"/>
      <c r="M21" s="757"/>
      <c r="N21" s="757"/>
      <c r="O21" s="758"/>
      <c r="P21" s="929">
        <f>IF(S21=2,0.08,IF(S21=3,0.23,IF(S21=4,0.48,IF(S21=5,0.8,0))))</f>
        <v>0</v>
      </c>
      <c r="R21" s="146" t="s">
        <v>2236</v>
      </c>
      <c r="S21" s="547">
        <v>1</v>
      </c>
      <c r="T21" s="151"/>
      <c r="U21" s="234"/>
      <c r="V21" s="7"/>
    </row>
    <row r="22" spans="2:22" ht="39.75" customHeight="1" x14ac:dyDescent="0.2">
      <c r="B22" s="415"/>
      <c r="C22" s="1608"/>
      <c r="D22" s="1609"/>
      <c r="E22" s="757" t="s">
        <v>1992</v>
      </c>
      <c r="F22" s="757"/>
      <c r="G22" s="757"/>
      <c r="H22" s="757"/>
      <c r="I22" s="757"/>
      <c r="J22" s="757"/>
      <c r="K22" s="757"/>
      <c r="L22" s="757"/>
      <c r="M22" s="757"/>
      <c r="N22" s="757"/>
      <c r="O22" s="758"/>
      <c r="P22" s="1071"/>
      <c r="T22" s="151"/>
      <c r="U22" s="234"/>
      <c r="V22" s="7"/>
    </row>
    <row r="23" spans="2:22" ht="51.75" customHeight="1" x14ac:dyDescent="0.2">
      <c r="B23" s="415"/>
      <c r="C23" s="1608"/>
      <c r="D23" s="1609"/>
      <c r="E23" s="757" t="s">
        <v>1993</v>
      </c>
      <c r="F23" s="757"/>
      <c r="G23" s="757"/>
      <c r="H23" s="757"/>
      <c r="I23" s="757"/>
      <c r="J23" s="757"/>
      <c r="K23" s="757"/>
      <c r="L23" s="757"/>
      <c r="M23" s="757"/>
      <c r="N23" s="757"/>
      <c r="O23" s="758"/>
      <c r="P23" s="1071"/>
      <c r="T23" s="151"/>
      <c r="U23" s="234"/>
      <c r="V23" s="7"/>
    </row>
    <row r="24" spans="2:22" ht="40.5" customHeight="1" x14ac:dyDescent="0.2">
      <c r="B24" s="415"/>
      <c r="C24" s="1608"/>
      <c r="D24" s="1609"/>
      <c r="E24" s="757" t="s">
        <v>1994</v>
      </c>
      <c r="F24" s="757"/>
      <c r="G24" s="757"/>
      <c r="H24" s="757"/>
      <c r="I24" s="757"/>
      <c r="J24" s="757"/>
      <c r="K24" s="757"/>
      <c r="L24" s="757"/>
      <c r="M24" s="757"/>
      <c r="N24" s="757"/>
      <c r="O24" s="758"/>
      <c r="P24" s="1071"/>
      <c r="T24" s="151"/>
      <c r="U24" s="234"/>
      <c r="V24" s="7"/>
    </row>
    <row r="25" spans="2:22" ht="38.25" customHeight="1" x14ac:dyDescent="0.2">
      <c r="B25" s="415"/>
      <c r="C25" s="1017"/>
      <c r="D25" s="1610"/>
      <c r="E25" s="757" t="s">
        <v>1995</v>
      </c>
      <c r="F25" s="757"/>
      <c r="G25" s="757"/>
      <c r="H25" s="757"/>
      <c r="I25" s="757"/>
      <c r="J25" s="757"/>
      <c r="K25" s="757"/>
      <c r="L25" s="757"/>
      <c r="M25" s="757"/>
      <c r="N25" s="757"/>
      <c r="O25" s="758"/>
      <c r="P25" s="1072"/>
      <c r="R25" s="127" t="s">
        <v>2235</v>
      </c>
      <c r="S25" s="127" t="s">
        <v>2232</v>
      </c>
      <c r="T25" s="151"/>
      <c r="U25" s="234"/>
      <c r="V25" s="7"/>
    </row>
    <row r="26" spans="2:22" ht="27" customHeight="1" x14ac:dyDescent="0.2">
      <c r="B26" s="425"/>
      <c r="C26" s="995"/>
      <c r="D26" s="997"/>
      <c r="E26" s="756" t="s">
        <v>1282</v>
      </c>
      <c r="F26" s="757"/>
      <c r="G26" s="757"/>
      <c r="H26" s="757"/>
      <c r="I26" s="757"/>
      <c r="J26" s="757"/>
      <c r="K26" s="757"/>
      <c r="L26" s="757"/>
      <c r="M26" s="757"/>
      <c r="N26" s="757"/>
      <c r="O26" s="758"/>
      <c r="P26" s="21">
        <f>IF(S26=1,0.05,0)</f>
        <v>0</v>
      </c>
      <c r="R26" s="547" t="b">
        <v>0</v>
      </c>
      <c r="S26" s="547">
        <f>IF(R26=TRUE,1,0)</f>
        <v>0</v>
      </c>
      <c r="T26" s="151"/>
      <c r="U26" s="234"/>
      <c r="V26" s="7"/>
    </row>
    <row r="27" spans="2:22" ht="12" customHeight="1" x14ac:dyDescent="0.2">
      <c r="B27" s="343"/>
      <c r="C27" s="1"/>
      <c r="D27" s="1"/>
      <c r="E27" s="39"/>
      <c r="F27" s="39"/>
      <c r="G27" s="39"/>
      <c r="H27" s="39"/>
      <c r="I27" s="39"/>
      <c r="J27" s="39"/>
      <c r="K27" s="39"/>
      <c r="L27" s="39"/>
      <c r="M27" s="39"/>
      <c r="N27" s="39"/>
      <c r="O27" s="39"/>
      <c r="P27" s="217"/>
      <c r="R27" s="15"/>
      <c r="S27" s="15"/>
      <c r="T27" s="17"/>
      <c r="U27" s="234"/>
      <c r="V27" s="7"/>
    </row>
    <row r="28" spans="2:22" ht="36" customHeight="1" x14ac:dyDescent="0.2">
      <c r="B28" s="1592" t="s">
        <v>1996</v>
      </c>
      <c r="C28" s="910"/>
      <c r="D28" s="910"/>
      <c r="E28" s="1612" t="s">
        <v>1283</v>
      </c>
      <c r="F28" s="1613"/>
      <c r="G28" s="1613"/>
      <c r="H28" s="1613"/>
      <c r="I28" s="1613"/>
      <c r="J28" s="1613"/>
      <c r="K28" s="1613"/>
      <c r="L28" s="1613"/>
      <c r="M28" s="1613"/>
      <c r="N28" s="1613"/>
      <c r="O28" s="1614"/>
      <c r="P28" s="21">
        <v>0</v>
      </c>
      <c r="T28" s="151"/>
      <c r="U28" s="234"/>
      <c r="V28" s="7"/>
    </row>
    <row r="29" spans="2:22" ht="36.75" customHeight="1" x14ac:dyDescent="0.2">
      <c r="B29" s="1611"/>
      <c r="C29" s="832"/>
      <c r="D29" s="832"/>
      <c r="E29" s="1612" t="s">
        <v>101</v>
      </c>
      <c r="F29" s="1613"/>
      <c r="G29" s="1613"/>
      <c r="H29" s="1613"/>
      <c r="I29" s="1613"/>
      <c r="J29" s="1613"/>
      <c r="K29" s="1613"/>
      <c r="L29" s="1613"/>
      <c r="M29" s="1613"/>
      <c r="N29" s="1613"/>
      <c r="O29" s="1614"/>
      <c r="P29" s="21">
        <v>0</v>
      </c>
    </row>
    <row r="30" spans="2:22" ht="27" customHeight="1" x14ac:dyDescent="0.2">
      <c r="B30" s="267" t="s">
        <v>1997</v>
      </c>
      <c r="C30" s="910"/>
      <c r="D30" s="910"/>
      <c r="E30" s="756" t="s">
        <v>515</v>
      </c>
      <c r="F30" s="757"/>
      <c r="G30" s="757"/>
      <c r="H30" s="757"/>
      <c r="I30" s="757"/>
      <c r="J30" s="757"/>
      <c r="K30" s="757"/>
      <c r="L30" s="757"/>
      <c r="M30" s="757"/>
      <c r="N30" s="757"/>
      <c r="O30" s="758"/>
      <c r="P30" s="21">
        <v>0</v>
      </c>
    </row>
    <row r="31" spans="2:22" ht="27" customHeight="1" x14ac:dyDescent="0.2">
      <c r="B31" s="1592" t="s">
        <v>2009</v>
      </c>
      <c r="C31" s="1606"/>
      <c r="D31" s="1607"/>
      <c r="E31" s="756" t="s">
        <v>1262</v>
      </c>
      <c r="F31" s="757"/>
      <c r="G31" s="757"/>
      <c r="H31" s="757"/>
      <c r="I31" s="757"/>
      <c r="J31" s="757"/>
      <c r="K31" s="757"/>
      <c r="L31" s="757"/>
      <c r="M31" s="757"/>
      <c r="N31" s="757"/>
      <c r="O31" s="758"/>
      <c r="P31" s="929">
        <f>IF(R32=2,0.1,IF(R32=3,0.3,IF(R32=4,0.5,IF(R32=5,0.75,IF(R32=6,0.85,IF(R32=7,0.95,0))))))</f>
        <v>0</v>
      </c>
    </row>
    <row r="32" spans="2:22" ht="27" customHeight="1" x14ac:dyDescent="0.2">
      <c r="B32" s="1593"/>
      <c r="C32" s="1608"/>
      <c r="D32" s="1609"/>
      <c r="E32" s="756" t="s">
        <v>1928</v>
      </c>
      <c r="F32" s="757"/>
      <c r="G32" s="757"/>
      <c r="H32" s="757"/>
      <c r="I32" s="757"/>
      <c r="J32" s="757"/>
      <c r="K32" s="757"/>
      <c r="L32" s="757"/>
      <c r="M32" s="757"/>
      <c r="N32" s="757"/>
      <c r="O32" s="758"/>
      <c r="P32" s="1071"/>
      <c r="R32" s="547">
        <v>1</v>
      </c>
      <c r="S32" s="127" t="s">
        <v>2233</v>
      </c>
    </row>
    <row r="33" spans="2:22" ht="27" customHeight="1" x14ac:dyDescent="0.2">
      <c r="B33" s="1593"/>
      <c r="C33" s="1608"/>
      <c r="D33" s="1609"/>
      <c r="E33" s="756" t="s">
        <v>1929</v>
      </c>
      <c r="F33" s="757"/>
      <c r="G33" s="757"/>
      <c r="H33" s="757"/>
      <c r="I33" s="757"/>
      <c r="J33" s="757"/>
      <c r="K33" s="757"/>
      <c r="L33" s="757"/>
      <c r="M33" s="757"/>
      <c r="N33" s="757"/>
      <c r="O33" s="758"/>
      <c r="P33" s="1071"/>
    </row>
    <row r="34" spans="2:22" ht="27" customHeight="1" x14ac:dyDescent="0.2">
      <c r="B34" s="1593"/>
      <c r="C34" s="1608"/>
      <c r="D34" s="1609"/>
      <c r="E34" s="756" t="s">
        <v>1931</v>
      </c>
      <c r="F34" s="757"/>
      <c r="G34" s="757"/>
      <c r="H34" s="757"/>
      <c r="I34" s="757"/>
      <c r="J34" s="757"/>
      <c r="K34" s="757"/>
      <c r="L34" s="757"/>
      <c r="M34" s="757"/>
      <c r="N34" s="757"/>
      <c r="O34" s="758"/>
      <c r="P34" s="1071"/>
    </row>
    <row r="35" spans="2:22" ht="27" customHeight="1" x14ac:dyDescent="0.2">
      <c r="B35" s="1593"/>
      <c r="C35" s="1608"/>
      <c r="D35" s="1609"/>
      <c r="E35" s="756" t="s">
        <v>929</v>
      </c>
      <c r="F35" s="757"/>
      <c r="G35" s="757"/>
      <c r="H35" s="757"/>
      <c r="I35" s="757"/>
      <c r="J35" s="757"/>
      <c r="K35" s="757"/>
      <c r="L35" s="757"/>
      <c r="M35" s="757"/>
      <c r="N35" s="757"/>
      <c r="O35" s="758"/>
      <c r="P35" s="1071"/>
    </row>
    <row r="36" spans="2:22" ht="27" customHeight="1" x14ac:dyDescent="0.2">
      <c r="B36" s="1593"/>
      <c r="C36" s="1608"/>
      <c r="D36" s="1609"/>
      <c r="E36" s="756" t="s">
        <v>545</v>
      </c>
      <c r="F36" s="757"/>
      <c r="G36" s="757"/>
      <c r="H36" s="757"/>
      <c r="I36" s="757"/>
      <c r="J36" s="757"/>
      <c r="K36" s="757"/>
      <c r="L36" s="757"/>
      <c r="M36" s="757"/>
      <c r="N36" s="757"/>
      <c r="O36" s="758"/>
      <c r="P36" s="1071"/>
    </row>
    <row r="37" spans="2:22" ht="27" customHeight="1" x14ac:dyDescent="0.2">
      <c r="B37" s="1611"/>
      <c r="C37" s="1017"/>
      <c r="D37" s="1610"/>
      <c r="E37" s="756" t="s">
        <v>2004</v>
      </c>
      <c r="F37" s="757"/>
      <c r="G37" s="757"/>
      <c r="H37" s="757"/>
      <c r="I37" s="757"/>
      <c r="J37" s="757"/>
      <c r="K37" s="757"/>
      <c r="L37" s="757"/>
      <c r="M37" s="757"/>
      <c r="N37" s="757"/>
      <c r="O37" s="758"/>
      <c r="P37" s="1072"/>
      <c r="R37" s="127" t="s">
        <v>2235</v>
      </c>
      <c r="S37" s="127" t="s">
        <v>2232</v>
      </c>
      <c r="T37" s="151"/>
    </row>
    <row r="38" spans="2:22" ht="103.5" customHeight="1" x14ac:dyDescent="0.2">
      <c r="B38" s="527" t="s">
        <v>2011</v>
      </c>
      <c r="C38" s="1618"/>
      <c r="D38" s="1619"/>
      <c r="E38" s="756" t="s">
        <v>2010</v>
      </c>
      <c r="F38" s="757"/>
      <c r="G38" s="757"/>
      <c r="H38" s="757"/>
      <c r="I38" s="757"/>
      <c r="J38" s="757"/>
      <c r="K38" s="757"/>
      <c r="L38" s="757"/>
      <c r="M38" s="757"/>
      <c r="N38" s="757"/>
      <c r="O38" s="758"/>
      <c r="P38" s="528">
        <f>IF(S38=1,0.1,0)</f>
        <v>0</v>
      </c>
      <c r="R38" s="547" t="b">
        <v>0</v>
      </c>
      <c r="S38" s="547">
        <f>IF(R38=TRUE,1,0)</f>
        <v>0</v>
      </c>
    </row>
    <row r="39" spans="2:22" ht="12" customHeight="1" x14ac:dyDescent="0.2">
      <c r="B39" s="305"/>
      <c r="C39" s="526"/>
      <c r="D39" s="526"/>
      <c r="E39" s="526"/>
      <c r="F39" s="526"/>
      <c r="G39" s="526"/>
      <c r="H39" s="526"/>
      <c r="I39" s="526"/>
      <c r="J39" s="526"/>
      <c r="K39" s="526"/>
      <c r="L39" s="526"/>
      <c r="M39" s="526"/>
      <c r="N39" s="526"/>
      <c r="O39" s="175"/>
      <c r="P39" s="270"/>
    </row>
    <row r="40" spans="2:22" ht="30" customHeight="1" x14ac:dyDescent="0.2">
      <c r="B40" s="864" t="s">
        <v>1779</v>
      </c>
      <c r="C40" s="1074"/>
      <c r="D40" s="1074"/>
      <c r="E40" s="1074"/>
      <c r="F40" s="1074"/>
      <c r="G40" s="1074"/>
      <c r="H40" s="1074"/>
      <c r="I40" s="1074"/>
      <c r="J40" s="1074"/>
      <c r="K40" s="1074"/>
      <c r="L40" s="1074"/>
      <c r="M40" s="1074"/>
      <c r="N40" s="933"/>
      <c r="O40" s="19" t="s">
        <v>1495</v>
      </c>
      <c r="P40" s="314" t="s">
        <v>1284</v>
      </c>
      <c r="S40" s="13" t="s">
        <v>1285</v>
      </c>
      <c r="T40" s="13" t="s">
        <v>1286</v>
      </c>
      <c r="U40" s="13" t="s">
        <v>1287</v>
      </c>
      <c r="V40" s="19" t="s">
        <v>1008</v>
      </c>
    </row>
    <row r="41" spans="2:22" ht="18" customHeight="1" x14ac:dyDescent="0.2">
      <c r="B41" s="791" t="s">
        <v>37</v>
      </c>
      <c r="C41" s="791"/>
      <c r="D41" s="791"/>
      <c r="E41" s="791"/>
      <c r="F41" s="791"/>
      <c r="G41" s="791"/>
      <c r="H41" s="791"/>
      <c r="I41" s="791"/>
      <c r="J41" s="791"/>
      <c r="K41" s="791"/>
      <c r="L41" s="755">
        <f>P4</f>
        <v>0</v>
      </c>
      <c r="M41" s="755"/>
      <c r="N41" s="755"/>
      <c r="O41" s="213"/>
      <c r="P41" s="245">
        <f>IF(AND(V41&gt;0,V41&lt;0.01),0.01,ROUND(V41,2))</f>
        <v>0</v>
      </c>
      <c r="S41" s="402">
        <f>LARGE($P$41:$P$50,1)</f>
        <v>0</v>
      </c>
      <c r="T41" s="402">
        <f>S41+S42*(1-S41)</f>
        <v>0</v>
      </c>
      <c r="U41" s="389">
        <f>ROUND(T41,2)</f>
        <v>0</v>
      </c>
      <c r="V41" s="365">
        <f>IF(O41="",L41,L41*O41)</f>
        <v>0</v>
      </c>
    </row>
    <row r="42" spans="2:22" ht="18" customHeight="1" x14ac:dyDescent="0.2">
      <c r="B42" s="761" t="s">
        <v>38</v>
      </c>
      <c r="C42" s="761"/>
      <c r="D42" s="761"/>
      <c r="E42" s="761"/>
      <c r="F42" s="761"/>
      <c r="G42" s="761"/>
      <c r="H42" s="761"/>
      <c r="I42" s="761"/>
      <c r="J42" s="761"/>
      <c r="K42" s="761"/>
      <c r="L42" s="755">
        <f>P8</f>
        <v>0</v>
      </c>
      <c r="M42" s="755"/>
      <c r="N42" s="755"/>
      <c r="O42" s="213"/>
      <c r="P42" s="245">
        <f t="shared" ref="P42:P50" si="0">IF(AND(V42&gt;0,V42&lt;0.01),0.01,ROUND(V42,2))</f>
        <v>0</v>
      </c>
      <c r="S42" s="402">
        <f>LARGE($P$41:$P$50,2)</f>
        <v>0</v>
      </c>
      <c r="T42" s="402">
        <f>U41+S43*(1-U41)</f>
        <v>0</v>
      </c>
      <c r="U42" s="389">
        <f>ROUND(T42,2)</f>
        <v>0</v>
      </c>
      <c r="V42" s="365">
        <f t="shared" ref="V42:V50" si="1">IF(O42="",L42,L42*O42)</f>
        <v>0</v>
      </c>
    </row>
    <row r="43" spans="2:22" ht="18" customHeight="1" x14ac:dyDescent="0.2">
      <c r="B43" s="756" t="s">
        <v>1583</v>
      </c>
      <c r="C43" s="757"/>
      <c r="D43" s="757"/>
      <c r="E43" s="757"/>
      <c r="F43" s="757"/>
      <c r="G43" s="757"/>
      <c r="H43" s="757"/>
      <c r="I43" s="757"/>
      <c r="J43" s="757"/>
      <c r="K43" s="758"/>
      <c r="L43" s="755">
        <f>P11</f>
        <v>0</v>
      </c>
      <c r="M43" s="755"/>
      <c r="N43" s="755"/>
      <c r="O43" s="213"/>
      <c r="P43" s="245">
        <f t="shared" si="0"/>
        <v>0</v>
      </c>
      <c r="S43" s="402">
        <f>LARGE($P$41:$P$50,3)</f>
        <v>0</v>
      </c>
      <c r="T43" s="402">
        <f t="shared" ref="T43:T49" si="2">U42+S44*(1-U42)</f>
        <v>0</v>
      </c>
      <c r="U43" s="389">
        <f t="shared" ref="U43:U49" si="3">ROUND(T43,2)</f>
        <v>0</v>
      </c>
      <c r="V43" s="365">
        <f t="shared" si="1"/>
        <v>0</v>
      </c>
    </row>
    <row r="44" spans="2:22" ht="18" customHeight="1" x14ac:dyDescent="0.2">
      <c r="B44" s="756" t="s">
        <v>1584</v>
      </c>
      <c r="C44" s="757"/>
      <c r="D44" s="757"/>
      <c r="E44" s="757"/>
      <c r="F44" s="757"/>
      <c r="G44" s="757"/>
      <c r="H44" s="757"/>
      <c r="I44" s="757"/>
      <c r="J44" s="757"/>
      <c r="K44" s="758"/>
      <c r="L44" s="755">
        <f>P12</f>
        <v>0</v>
      </c>
      <c r="M44" s="755"/>
      <c r="N44" s="755"/>
      <c r="O44" s="213"/>
      <c r="P44" s="245">
        <f>IF(AND(V44&gt;0,V44&lt;0.01),0.01,ROUND(V44,2))</f>
        <v>0</v>
      </c>
      <c r="S44" s="402">
        <f>LARGE($P$41:$P$50,4)</f>
        <v>0</v>
      </c>
      <c r="T44" s="402">
        <f t="shared" si="2"/>
        <v>0</v>
      </c>
      <c r="U44" s="389">
        <f t="shared" si="3"/>
        <v>0</v>
      </c>
      <c r="V44" s="365">
        <f t="shared" si="1"/>
        <v>0</v>
      </c>
    </row>
    <row r="45" spans="2:22" ht="18" customHeight="1" x14ac:dyDescent="0.2">
      <c r="B45" s="756" t="s">
        <v>39</v>
      </c>
      <c r="C45" s="757"/>
      <c r="D45" s="757"/>
      <c r="E45" s="757"/>
      <c r="F45" s="757"/>
      <c r="G45" s="757"/>
      <c r="H45" s="757"/>
      <c r="I45" s="757"/>
      <c r="J45" s="757"/>
      <c r="K45" s="758"/>
      <c r="L45" s="755">
        <f>P14</f>
        <v>0</v>
      </c>
      <c r="M45" s="755"/>
      <c r="N45" s="755"/>
      <c r="O45" s="213"/>
      <c r="P45" s="245">
        <f t="shared" si="0"/>
        <v>0</v>
      </c>
      <c r="S45" s="402">
        <f>LARGE($P$41:$P$50,5)</f>
        <v>0</v>
      </c>
      <c r="T45" s="402">
        <f t="shared" si="2"/>
        <v>0</v>
      </c>
      <c r="U45" s="389">
        <f t="shared" si="3"/>
        <v>0</v>
      </c>
      <c r="V45" s="365">
        <f t="shared" si="1"/>
        <v>0</v>
      </c>
    </row>
    <row r="46" spans="2:22" ht="18" customHeight="1" x14ac:dyDescent="0.2">
      <c r="B46" s="756" t="s">
        <v>40</v>
      </c>
      <c r="C46" s="757"/>
      <c r="D46" s="757"/>
      <c r="E46" s="757"/>
      <c r="F46" s="757"/>
      <c r="G46" s="757"/>
      <c r="H46" s="757"/>
      <c r="I46" s="757"/>
      <c r="J46" s="757"/>
      <c r="K46" s="758"/>
      <c r="L46" s="755">
        <f>P15</f>
        <v>0</v>
      </c>
      <c r="M46" s="755"/>
      <c r="N46" s="755"/>
      <c r="O46" s="213"/>
      <c r="P46" s="245">
        <f t="shared" si="0"/>
        <v>0</v>
      </c>
      <c r="S46" s="402">
        <f>LARGE($P$41:$P$50,6)</f>
        <v>0</v>
      </c>
      <c r="T46" s="402">
        <f t="shared" si="2"/>
        <v>0</v>
      </c>
      <c r="U46" s="389">
        <f t="shared" si="3"/>
        <v>0</v>
      </c>
      <c r="V46" s="365">
        <f t="shared" si="1"/>
        <v>0</v>
      </c>
    </row>
    <row r="47" spans="2:22" ht="18" customHeight="1" x14ac:dyDescent="0.2">
      <c r="B47" s="756" t="s">
        <v>41</v>
      </c>
      <c r="C47" s="757"/>
      <c r="D47" s="757"/>
      <c r="E47" s="757"/>
      <c r="F47" s="757"/>
      <c r="G47" s="757"/>
      <c r="H47" s="757"/>
      <c r="I47" s="757"/>
      <c r="J47" s="757"/>
      <c r="K47" s="758"/>
      <c r="L47" s="755">
        <f>P21</f>
        <v>0</v>
      </c>
      <c r="M47" s="755"/>
      <c r="N47" s="755"/>
      <c r="O47" s="213"/>
      <c r="P47" s="245">
        <f t="shared" si="0"/>
        <v>0</v>
      </c>
      <c r="S47" s="402">
        <f>LARGE($P$41:$P$50,7)</f>
        <v>0</v>
      </c>
      <c r="T47" s="402">
        <f t="shared" si="2"/>
        <v>0</v>
      </c>
      <c r="U47" s="389">
        <f t="shared" si="3"/>
        <v>0</v>
      </c>
      <c r="V47" s="365">
        <f t="shared" si="1"/>
        <v>0</v>
      </c>
    </row>
    <row r="48" spans="2:22" ht="18" customHeight="1" x14ac:dyDescent="0.2">
      <c r="B48" s="756" t="s">
        <v>42</v>
      </c>
      <c r="C48" s="757"/>
      <c r="D48" s="757"/>
      <c r="E48" s="757"/>
      <c r="F48" s="757"/>
      <c r="G48" s="757"/>
      <c r="H48" s="757"/>
      <c r="I48" s="757"/>
      <c r="J48" s="757"/>
      <c r="K48" s="758"/>
      <c r="L48" s="755">
        <f>P26</f>
        <v>0</v>
      </c>
      <c r="M48" s="755"/>
      <c r="N48" s="755"/>
      <c r="O48" s="213"/>
      <c r="P48" s="245">
        <f t="shared" si="0"/>
        <v>0</v>
      </c>
      <c r="S48" s="402">
        <f>LARGE($P$41:$P$50,8)</f>
        <v>0</v>
      </c>
      <c r="T48" s="402">
        <f t="shared" si="2"/>
        <v>0</v>
      </c>
      <c r="U48" s="389">
        <f t="shared" si="3"/>
        <v>0</v>
      </c>
      <c r="V48" s="365">
        <f t="shared" si="1"/>
        <v>0</v>
      </c>
    </row>
    <row r="49" spans="2:22" ht="18" customHeight="1" x14ac:dyDescent="0.2">
      <c r="B49" s="756" t="s">
        <v>2092</v>
      </c>
      <c r="C49" s="757"/>
      <c r="D49" s="757"/>
      <c r="E49" s="757"/>
      <c r="F49" s="757"/>
      <c r="G49" s="757"/>
      <c r="H49" s="757"/>
      <c r="I49" s="757"/>
      <c r="J49" s="757"/>
      <c r="K49" s="758"/>
      <c r="L49" s="755">
        <f>P31</f>
        <v>0</v>
      </c>
      <c r="M49" s="755"/>
      <c r="N49" s="755"/>
      <c r="O49" s="213"/>
      <c r="P49" s="245">
        <f t="shared" si="0"/>
        <v>0</v>
      </c>
      <c r="S49" s="402">
        <f>LARGE($P$41:$P$50,9)</f>
        <v>0</v>
      </c>
      <c r="T49" s="402">
        <f t="shared" si="2"/>
        <v>0</v>
      </c>
      <c r="U49" s="389">
        <f t="shared" si="3"/>
        <v>0</v>
      </c>
      <c r="V49" s="365">
        <f t="shared" si="1"/>
        <v>0</v>
      </c>
    </row>
    <row r="50" spans="2:22" ht="18" customHeight="1" x14ac:dyDescent="0.2">
      <c r="B50" s="742" t="s">
        <v>2005</v>
      </c>
      <c r="C50" s="743"/>
      <c r="D50" s="743"/>
      <c r="E50" s="743"/>
      <c r="F50" s="743"/>
      <c r="G50" s="743"/>
      <c r="H50" s="743"/>
      <c r="I50" s="743"/>
      <c r="J50" s="743"/>
      <c r="K50" s="744"/>
      <c r="L50" s="1620">
        <f>P38</f>
        <v>0</v>
      </c>
      <c r="M50" s="1621"/>
      <c r="N50" s="1622"/>
      <c r="O50" s="213"/>
      <c r="P50" s="245">
        <f t="shared" si="0"/>
        <v>0</v>
      </c>
      <c r="S50" s="402">
        <f>LARGE($P$41:$P$50,10)</f>
        <v>0</v>
      </c>
      <c r="T50" s="7"/>
      <c r="V50" s="365">
        <f t="shared" si="1"/>
        <v>0</v>
      </c>
    </row>
    <row r="51" spans="2:22" ht="18" customHeight="1" x14ac:dyDescent="0.2">
      <c r="B51" s="1019" t="s">
        <v>1263</v>
      </c>
      <c r="C51" s="1020"/>
      <c r="D51" s="1020"/>
      <c r="E51" s="1020"/>
      <c r="F51" s="1020"/>
      <c r="G51" s="1020"/>
      <c r="H51" s="1020"/>
      <c r="I51" s="1020"/>
      <c r="J51" s="1020"/>
      <c r="K51" s="1020"/>
      <c r="L51" s="1020"/>
      <c r="M51" s="1020"/>
      <c r="N51" s="1020"/>
      <c r="O51" s="1021"/>
      <c r="P51" s="247">
        <f>U49</f>
        <v>0</v>
      </c>
      <c r="T51" s="151"/>
      <c r="U51" s="234"/>
      <c r="V51" s="7"/>
    </row>
    <row r="52" spans="2:22" ht="33" customHeight="1" x14ac:dyDescent="0.25">
      <c r="B52" s="1037" t="s">
        <v>931</v>
      </c>
      <c r="C52" s="1037"/>
      <c r="D52" s="1037"/>
      <c r="E52" s="1037"/>
      <c r="F52" s="1037"/>
      <c r="G52" s="1037"/>
      <c r="H52" s="1037"/>
      <c r="I52" s="1037"/>
      <c r="J52" s="1037"/>
      <c r="K52" s="1037"/>
      <c r="L52" s="1037"/>
      <c r="M52" s="1037"/>
      <c r="N52" s="1037"/>
      <c r="O52" s="1037"/>
      <c r="P52" s="1037"/>
    </row>
    <row r="53" spans="2:22" x14ac:dyDescent="0.2">
      <c r="B53" s="244" t="s">
        <v>775</v>
      </c>
      <c r="C53" s="1294" t="str">
        <f>IF(U1&lt;&gt;"",U1,"")</f>
        <v>Go to PPD Worksheet</v>
      </c>
      <c r="D53" s="1294"/>
      <c r="E53" s="1294"/>
      <c r="F53" s="1294"/>
      <c r="G53" s="1294"/>
      <c r="H53" s="1294"/>
      <c r="I53" s="1464" t="str">
        <f>IF(T1&lt;&gt;"",T1,"")</f>
        <v/>
      </c>
      <c r="J53" s="1464"/>
      <c r="K53" s="1464"/>
      <c r="L53" s="1464"/>
      <c r="M53" s="1464"/>
      <c r="N53" s="1464"/>
      <c r="P53" s="15"/>
    </row>
    <row r="55" spans="2:22" hidden="1" x14ac:dyDescent="0.2">
      <c r="B55" s="2">
        <v>0.01</v>
      </c>
      <c r="C55" s="2">
        <v>0.99</v>
      </c>
    </row>
  </sheetData>
  <sheetProtection sheet="1" objects="1" scenarios="1"/>
  <mergeCells count="90">
    <mergeCell ref="B14:B15"/>
    <mergeCell ref="L48:N48"/>
    <mergeCell ref="L49:N49"/>
    <mergeCell ref="E28:O28"/>
    <mergeCell ref="E22:O22"/>
    <mergeCell ref="C29:D29"/>
    <mergeCell ref="C30:D30"/>
    <mergeCell ref="E19:O19"/>
    <mergeCell ref="E30:O30"/>
    <mergeCell ref="E25:O25"/>
    <mergeCell ref="E37:O37"/>
    <mergeCell ref="B51:O51"/>
    <mergeCell ref="B41:K41"/>
    <mergeCell ref="B42:K42"/>
    <mergeCell ref="B43:K43"/>
    <mergeCell ref="B45:K45"/>
    <mergeCell ref="L47:N47"/>
    <mergeCell ref="L46:N46"/>
    <mergeCell ref="B50:K50"/>
    <mergeCell ref="L50:N50"/>
    <mergeCell ref="P8:P10"/>
    <mergeCell ref="E10:O10"/>
    <mergeCell ref="B48:K48"/>
    <mergeCell ref="B47:K47"/>
    <mergeCell ref="B46:K46"/>
    <mergeCell ref="L41:N41"/>
    <mergeCell ref="L42:N42"/>
    <mergeCell ref="L43:N43"/>
    <mergeCell ref="L45:N45"/>
    <mergeCell ref="B40:N40"/>
    <mergeCell ref="B11:B12"/>
    <mergeCell ref="B44:K44"/>
    <mergeCell ref="L44:N44"/>
    <mergeCell ref="C38:D38"/>
    <mergeCell ref="E38:O38"/>
    <mergeCell ref="B20:B21"/>
    <mergeCell ref="B2:P2"/>
    <mergeCell ref="E31:O31"/>
    <mergeCell ref="C31:D37"/>
    <mergeCell ref="B31:B37"/>
    <mergeCell ref="E34:O34"/>
    <mergeCell ref="E35:O35"/>
    <mergeCell ref="E36:O36"/>
    <mergeCell ref="E8:O8"/>
    <mergeCell ref="C13:D13"/>
    <mergeCell ref="E15:O15"/>
    <mergeCell ref="C7:D7"/>
    <mergeCell ref="E7:O7"/>
    <mergeCell ref="C14:D14"/>
    <mergeCell ref="E13:O13"/>
    <mergeCell ref="E14:O14"/>
    <mergeCell ref="C11:D11"/>
    <mergeCell ref="C4:D4"/>
    <mergeCell ref="C5:D5"/>
    <mergeCell ref="C6:D6"/>
    <mergeCell ref="E4:O4"/>
    <mergeCell ref="E5:O5"/>
    <mergeCell ref="E6:O6"/>
    <mergeCell ref="C12:D12"/>
    <mergeCell ref="E11:O11"/>
    <mergeCell ref="C53:H53"/>
    <mergeCell ref="I53:N53"/>
    <mergeCell ref="B52:P52"/>
    <mergeCell ref="P21:P25"/>
    <mergeCell ref="E32:O32"/>
    <mergeCell ref="E33:O33"/>
    <mergeCell ref="B28:B29"/>
    <mergeCell ref="P31:P37"/>
    <mergeCell ref="B49:K49"/>
    <mergeCell ref="E29:O29"/>
    <mergeCell ref="C28:D28"/>
    <mergeCell ref="C26:D26"/>
    <mergeCell ref="E26:O26"/>
    <mergeCell ref="E24:O24"/>
    <mergeCell ref="M1:P1"/>
    <mergeCell ref="E1:K1"/>
    <mergeCell ref="P15:P19"/>
    <mergeCell ref="C21:D25"/>
    <mergeCell ref="C15:D19"/>
    <mergeCell ref="C8:D10"/>
    <mergeCell ref="E12:O12"/>
    <mergeCell ref="E9:O9"/>
    <mergeCell ref="E18:O18"/>
    <mergeCell ref="B3:P3"/>
    <mergeCell ref="E23:O23"/>
    <mergeCell ref="E16:O16"/>
    <mergeCell ref="E21:O21"/>
    <mergeCell ref="E17:O17"/>
    <mergeCell ref="C20:D20"/>
    <mergeCell ref="E20:O20"/>
  </mergeCells>
  <phoneticPr fontId="0" type="noConversion"/>
  <dataValidations xWindow="822" yWindow="458" count="3">
    <dataValidation type="decimal" allowBlank="1" showInputMessage="1" showErrorMessage="1" promptTitle="Apportionment (if any)" prompt="Enter percentage of impairment caused by the injury or illness. See OAR 436-035-0013." sqref="O41:O50" xr:uid="{00000000-0002-0000-1400-000000000000}">
      <formula1>$B$55</formula1>
      <formula2>$C$55</formula2>
    </dataValidation>
    <dataValidation type="decimal" operator="equal" allowBlank="1" showInputMessage="1" showErrorMessage="1" promptTitle="TAB" prompt="To return to top of worksheet." sqref="P53" xr:uid="{00000000-0002-0000-1400-000001000000}">
      <formula1>S53</formula1>
    </dataValidation>
    <dataValidation type="decimal" operator="equal" allowBlank="1" showInputMessage="1" showErrorMessage="1" sqref="A2" xr:uid="{00000000-0002-0000-1400-000002000000}">
      <formula1>S53</formula1>
    </dataValidation>
  </dataValidations>
  <hyperlinks>
    <hyperlink ref="B53" location="'Cranial Nerves-Brain'!A1" display="Return to top of sheet" xr:uid="{00000000-0004-0000-1400-000000000000}"/>
    <hyperlink ref="I53:N53" location="'PPD DOI on or after 2005'!A1" display="'PPD DOI on or after 2005'!A1" xr:uid="{00000000-0004-0000-1400-000001000000}"/>
    <hyperlink ref="C53:H53" location="'PPD DOI before 2005'!A1" display="'PPD DOI before 2005'!A1" xr:uid="{00000000-0004-0000-1400-000002000000}"/>
    <hyperlink ref="E7:O7" location="Vision!A1" display="Rate effects on vision under OAR 436-035-0260." xr:uid="{00000000-0004-0000-1400-000003000000}"/>
    <hyperlink ref="E6:O6" location="Vision!A1" display="Rate effects on vision under OAR 436-035-0260." xr:uid="{00000000-0004-0000-1400-000004000000}"/>
    <hyperlink ref="E5:O5" location="Vision!A1" display="Rate effects on vision under OAR 436-035-0260." xr:uid="{00000000-0004-0000-1400-000005000000}"/>
    <hyperlink ref="E13:O13" location="Vision!A1" display="Rate effects on vision under OAR 436-035-0260." xr:uid="{00000000-0004-0000-1400-000006000000}"/>
    <hyperlink ref="E20:O20" location="Hearing!A1" display="Effects on hearing are rated under OAR 436-035-0250." xr:uid="{00000000-0004-0000-1400-000007000000}"/>
    <hyperlink ref="E28:O28" location="'GI &amp; GU'!A1" display="Impairment of swallowing is determined under OAR 436-035-0420." xr:uid="{00000000-0004-0000-1400-000008000000}"/>
    <hyperlink ref="E29:O29" location="Respiratory!A1" display="Speech impairment is rated according to the classification in OAR 436-035-0385." xr:uid="{00000000-0004-0000-1400-000009000000}"/>
  </hyperlinks>
  <pageMargins left="0.75" right="0.75" top="0.66" bottom="0.69" header="0.5" footer="0.4"/>
  <pageSetup orientation="portrait" horizontalDpi="300" verticalDpi="300" r:id="rId1"/>
  <headerFooter alignWithMargins="0">
    <oddFooter>&amp;LCranial nerves/brain&amp;CPage &amp;P</oddFooter>
  </headerFooter>
  <drawing r:id="rId2"/>
  <legacyDrawing r:id="rId3"/>
  <oleObjects>
    <mc:AlternateContent xmlns:mc="http://schemas.openxmlformats.org/markup-compatibility/2006">
      <mc:Choice Requires="x14">
        <oleObject progId="Document" dvAspect="DVASPECT_ICON" shapeId="25624" r:id="rId4">
          <objectPr locked="0" defaultSize="0" autoPict="0" r:id="rId5">
            <anchor moveWithCells="1">
              <from>
                <xdr:col>1</xdr:col>
                <xdr:colOff>47625</xdr:colOff>
                <xdr:row>34</xdr:row>
                <xdr:rowOff>66675</xdr:rowOff>
              </from>
              <to>
                <xdr:col>1</xdr:col>
                <xdr:colOff>1076325</xdr:colOff>
                <xdr:row>36</xdr:row>
                <xdr:rowOff>200025</xdr:rowOff>
              </to>
            </anchor>
          </objectPr>
        </oleObject>
      </mc:Choice>
      <mc:Fallback>
        <oleObject progId="Document" dvAspect="DVASPECT_ICON" shapeId="25624" r:id="rId4"/>
      </mc:Fallback>
    </mc:AlternateContent>
  </oleObjects>
  <mc:AlternateContent xmlns:mc="http://schemas.openxmlformats.org/markup-compatibility/2006">
    <mc:Choice Requires="x14">
      <controls>
        <mc:AlternateContent xmlns:mc="http://schemas.openxmlformats.org/markup-compatibility/2006">
          <mc:Choice Requires="x14">
            <control shapeId="25601" r:id="rId6" name="Check Box 1">
              <controlPr defaultSize="0" autoFill="0" autoLine="0" autoPict="0">
                <anchor moveWithCells="1">
                  <from>
                    <xdr:col>2</xdr:col>
                    <xdr:colOff>66675</xdr:colOff>
                    <xdr:row>3</xdr:row>
                    <xdr:rowOff>104775</xdr:rowOff>
                  </from>
                  <to>
                    <xdr:col>4</xdr:col>
                    <xdr:colOff>47625</xdr:colOff>
                    <xdr:row>3</xdr:row>
                    <xdr:rowOff>323850</xdr:rowOff>
                  </to>
                </anchor>
              </controlPr>
            </control>
          </mc:Choice>
        </mc:AlternateContent>
        <mc:AlternateContent xmlns:mc="http://schemas.openxmlformats.org/markup-compatibility/2006">
          <mc:Choice Requires="x14">
            <control shapeId="25602" r:id="rId7" name="Check Box 2">
              <controlPr defaultSize="0" autoFill="0" autoLine="0" autoPict="0">
                <anchor moveWithCells="1">
                  <from>
                    <xdr:col>2</xdr:col>
                    <xdr:colOff>57150</xdr:colOff>
                    <xdr:row>13</xdr:row>
                    <xdr:rowOff>9525</xdr:rowOff>
                  </from>
                  <to>
                    <xdr:col>4</xdr:col>
                    <xdr:colOff>38100</xdr:colOff>
                    <xdr:row>14</xdr:row>
                    <xdr:rowOff>9525</xdr:rowOff>
                  </to>
                </anchor>
              </controlPr>
            </control>
          </mc:Choice>
        </mc:AlternateContent>
        <mc:AlternateContent xmlns:mc="http://schemas.openxmlformats.org/markup-compatibility/2006">
          <mc:Choice Requires="x14">
            <control shapeId="25603" r:id="rId8" name="Check Box 3">
              <controlPr defaultSize="0" autoFill="0" autoLine="0" autoPict="0">
                <anchor moveWithCells="1">
                  <from>
                    <xdr:col>2</xdr:col>
                    <xdr:colOff>57150</xdr:colOff>
                    <xdr:row>10</xdr:row>
                    <xdr:rowOff>76200</xdr:rowOff>
                  </from>
                  <to>
                    <xdr:col>4</xdr:col>
                    <xdr:colOff>38100</xdr:colOff>
                    <xdr:row>10</xdr:row>
                    <xdr:rowOff>295275</xdr:rowOff>
                  </to>
                </anchor>
              </controlPr>
            </control>
          </mc:Choice>
        </mc:AlternateContent>
        <mc:AlternateContent xmlns:mc="http://schemas.openxmlformats.org/markup-compatibility/2006">
          <mc:Choice Requires="x14">
            <control shapeId="25604" r:id="rId9" name="Check Box 4">
              <controlPr defaultSize="0" autoFill="0" autoLine="0" autoPict="0">
                <anchor moveWithCells="1">
                  <from>
                    <xdr:col>2</xdr:col>
                    <xdr:colOff>47625</xdr:colOff>
                    <xdr:row>25</xdr:row>
                    <xdr:rowOff>47625</xdr:rowOff>
                  </from>
                  <to>
                    <xdr:col>4</xdr:col>
                    <xdr:colOff>28575</xdr:colOff>
                    <xdr:row>25</xdr:row>
                    <xdr:rowOff>266700</xdr:rowOff>
                  </to>
                </anchor>
              </controlPr>
            </control>
          </mc:Choice>
        </mc:AlternateContent>
        <mc:AlternateContent xmlns:mc="http://schemas.openxmlformats.org/markup-compatibility/2006">
          <mc:Choice Requires="x14">
            <control shapeId="25634" r:id="rId10" name="Check Box 34">
              <controlPr defaultSize="0" autoFill="0" autoLine="0" autoPict="0">
                <anchor moveWithCells="1">
                  <from>
                    <xdr:col>2</xdr:col>
                    <xdr:colOff>57150</xdr:colOff>
                    <xdr:row>11</xdr:row>
                    <xdr:rowOff>76200</xdr:rowOff>
                  </from>
                  <to>
                    <xdr:col>4</xdr:col>
                    <xdr:colOff>38100</xdr:colOff>
                    <xdr:row>11</xdr:row>
                    <xdr:rowOff>295275</xdr:rowOff>
                  </to>
                </anchor>
              </controlPr>
            </control>
          </mc:Choice>
        </mc:AlternateContent>
        <mc:AlternateContent xmlns:mc="http://schemas.openxmlformats.org/markup-compatibility/2006">
          <mc:Choice Requires="x14">
            <control shapeId="26027" r:id="rId11" name="Check Box 427">
              <controlPr defaultSize="0" autoFill="0" autoLine="0" autoPict="0">
                <anchor moveWithCells="1">
                  <from>
                    <xdr:col>2</xdr:col>
                    <xdr:colOff>38100</xdr:colOff>
                    <xdr:row>37</xdr:row>
                    <xdr:rowOff>104775</xdr:rowOff>
                  </from>
                  <to>
                    <xdr:col>4</xdr:col>
                    <xdr:colOff>9525</xdr:colOff>
                    <xdr:row>37</xdr:row>
                    <xdr:rowOff>323850</xdr:rowOff>
                  </to>
                </anchor>
              </controlPr>
            </control>
          </mc:Choice>
        </mc:AlternateContent>
        <mc:AlternateContent xmlns:mc="http://schemas.openxmlformats.org/markup-compatibility/2006">
          <mc:Choice Requires="x14">
            <control shapeId="25613" r:id="rId12" name="Group Box 13">
              <controlPr defaultSize="0" autoFill="0" autoPict="0">
                <anchor moveWithCells="1" sizeWithCells="1">
                  <from>
                    <xdr:col>2</xdr:col>
                    <xdr:colOff>0</xdr:colOff>
                    <xdr:row>7</xdr:row>
                    <xdr:rowOff>0</xdr:rowOff>
                  </from>
                  <to>
                    <xdr:col>15</xdr:col>
                    <xdr:colOff>0</xdr:colOff>
                    <xdr:row>10</xdr:row>
                    <xdr:rowOff>0</xdr:rowOff>
                  </to>
                </anchor>
              </controlPr>
            </control>
          </mc:Choice>
        </mc:AlternateContent>
        <mc:AlternateContent xmlns:mc="http://schemas.openxmlformats.org/markup-compatibility/2006">
          <mc:Choice Requires="x14">
            <control shapeId="25614" r:id="rId13" name="Option Button 14">
              <controlPr defaultSize="0" autoFill="0" autoLine="0" autoPict="0">
                <anchor moveWithCells="1" sizeWithCells="1">
                  <from>
                    <xdr:col>2</xdr:col>
                    <xdr:colOff>57150</xdr:colOff>
                    <xdr:row>7</xdr:row>
                    <xdr:rowOff>114300</xdr:rowOff>
                  </from>
                  <to>
                    <xdr:col>4</xdr:col>
                    <xdr:colOff>19050</xdr:colOff>
                    <xdr:row>7</xdr:row>
                    <xdr:rowOff>333375</xdr:rowOff>
                  </to>
                </anchor>
              </controlPr>
            </control>
          </mc:Choice>
        </mc:AlternateContent>
        <mc:AlternateContent xmlns:mc="http://schemas.openxmlformats.org/markup-compatibility/2006">
          <mc:Choice Requires="x14">
            <control shapeId="25615" r:id="rId14" name="Option Button 15">
              <controlPr defaultSize="0" autoFill="0" autoLine="0" autoPict="0">
                <anchor moveWithCells="1" sizeWithCells="1">
                  <from>
                    <xdr:col>2</xdr:col>
                    <xdr:colOff>57150</xdr:colOff>
                    <xdr:row>8</xdr:row>
                    <xdr:rowOff>114300</xdr:rowOff>
                  </from>
                  <to>
                    <xdr:col>4</xdr:col>
                    <xdr:colOff>19050</xdr:colOff>
                    <xdr:row>8</xdr:row>
                    <xdr:rowOff>333375</xdr:rowOff>
                  </to>
                </anchor>
              </controlPr>
            </control>
          </mc:Choice>
        </mc:AlternateContent>
        <mc:AlternateContent xmlns:mc="http://schemas.openxmlformats.org/markup-compatibility/2006">
          <mc:Choice Requires="x14">
            <control shapeId="25616" r:id="rId15" name="Option Button 16">
              <controlPr defaultSize="0" autoFill="0" autoLine="0" autoPict="0">
                <anchor moveWithCells="1" sizeWithCells="1">
                  <from>
                    <xdr:col>2</xdr:col>
                    <xdr:colOff>57150</xdr:colOff>
                    <xdr:row>9</xdr:row>
                    <xdr:rowOff>114300</xdr:rowOff>
                  </from>
                  <to>
                    <xdr:col>4</xdr:col>
                    <xdr:colOff>19050</xdr:colOff>
                    <xdr:row>9</xdr:row>
                    <xdr:rowOff>333375</xdr:rowOff>
                  </to>
                </anchor>
              </controlPr>
            </control>
          </mc:Choice>
        </mc:AlternateContent>
        <mc:AlternateContent xmlns:mc="http://schemas.openxmlformats.org/markup-compatibility/2006">
          <mc:Choice Requires="x14">
            <control shapeId="25618" r:id="rId16" name="Group Box 18">
              <controlPr defaultSize="0" autoFill="0" autoPict="0">
                <anchor moveWithCells="1" sizeWithCells="1">
                  <from>
                    <xdr:col>2</xdr:col>
                    <xdr:colOff>0</xdr:colOff>
                    <xdr:row>20</xdr:row>
                    <xdr:rowOff>0</xdr:rowOff>
                  </from>
                  <to>
                    <xdr:col>15</xdr:col>
                    <xdr:colOff>9525</xdr:colOff>
                    <xdr:row>25</xdr:row>
                    <xdr:rowOff>0</xdr:rowOff>
                  </to>
                </anchor>
              </controlPr>
            </control>
          </mc:Choice>
        </mc:AlternateContent>
        <mc:AlternateContent xmlns:mc="http://schemas.openxmlformats.org/markup-compatibility/2006">
          <mc:Choice Requires="x14">
            <control shapeId="25619" r:id="rId17" name="Option Button 19">
              <controlPr defaultSize="0" autoFill="0" autoLine="0" autoPict="0">
                <anchor moveWithCells="1" sizeWithCells="1">
                  <from>
                    <xdr:col>2</xdr:col>
                    <xdr:colOff>57150</xdr:colOff>
                    <xdr:row>20</xdr:row>
                    <xdr:rowOff>66675</xdr:rowOff>
                  </from>
                  <to>
                    <xdr:col>4</xdr:col>
                    <xdr:colOff>19050</xdr:colOff>
                    <xdr:row>20</xdr:row>
                    <xdr:rowOff>333375</xdr:rowOff>
                  </to>
                </anchor>
              </controlPr>
            </control>
          </mc:Choice>
        </mc:AlternateContent>
        <mc:AlternateContent xmlns:mc="http://schemas.openxmlformats.org/markup-compatibility/2006">
          <mc:Choice Requires="x14">
            <control shapeId="25620" r:id="rId18" name="Option Button 20">
              <controlPr defaultSize="0" autoFill="0" autoLine="0" autoPict="0">
                <anchor moveWithCells="1" sizeWithCells="1">
                  <from>
                    <xdr:col>2</xdr:col>
                    <xdr:colOff>57150</xdr:colOff>
                    <xdr:row>21</xdr:row>
                    <xdr:rowOff>161925</xdr:rowOff>
                  </from>
                  <to>
                    <xdr:col>4</xdr:col>
                    <xdr:colOff>19050</xdr:colOff>
                    <xdr:row>21</xdr:row>
                    <xdr:rowOff>428625</xdr:rowOff>
                  </to>
                </anchor>
              </controlPr>
            </control>
          </mc:Choice>
        </mc:AlternateContent>
        <mc:AlternateContent xmlns:mc="http://schemas.openxmlformats.org/markup-compatibility/2006">
          <mc:Choice Requires="x14">
            <control shapeId="25621" r:id="rId19" name="Option Button 21">
              <controlPr defaultSize="0" autoFill="0" autoLine="0" autoPict="0">
                <anchor moveWithCells="1" sizeWithCells="1">
                  <from>
                    <xdr:col>2</xdr:col>
                    <xdr:colOff>57150</xdr:colOff>
                    <xdr:row>22</xdr:row>
                    <xdr:rowOff>133350</xdr:rowOff>
                  </from>
                  <to>
                    <xdr:col>4</xdr:col>
                    <xdr:colOff>19050</xdr:colOff>
                    <xdr:row>22</xdr:row>
                    <xdr:rowOff>400050</xdr:rowOff>
                  </to>
                </anchor>
              </controlPr>
            </control>
          </mc:Choice>
        </mc:AlternateContent>
        <mc:AlternateContent xmlns:mc="http://schemas.openxmlformats.org/markup-compatibility/2006">
          <mc:Choice Requires="x14">
            <control shapeId="25622" r:id="rId20" name="Option Button 22">
              <controlPr defaultSize="0" autoFill="0" autoLine="0" autoPict="0">
                <anchor moveWithCells="1" sizeWithCells="1">
                  <from>
                    <xdr:col>2</xdr:col>
                    <xdr:colOff>57150</xdr:colOff>
                    <xdr:row>22</xdr:row>
                    <xdr:rowOff>647700</xdr:rowOff>
                  </from>
                  <to>
                    <xdr:col>4</xdr:col>
                    <xdr:colOff>19050</xdr:colOff>
                    <xdr:row>23</xdr:row>
                    <xdr:rowOff>257175</xdr:rowOff>
                  </to>
                </anchor>
              </controlPr>
            </control>
          </mc:Choice>
        </mc:AlternateContent>
        <mc:AlternateContent xmlns:mc="http://schemas.openxmlformats.org/markup-compatibility/2006">
          <mc:Choice Requires="x14">
            <control shapeId="25623" r:id="rId21" name="Option Button 23">
              <controlPr defaultSize="0" autoFill="0" autoLine="0" autoPict="0">
                <anchor moveWithCells="1" sizeWithCells="1">
                  <from>
                    <xdr:col>2</xdr:col>
                    <xdr:colOff>57150</xdr:colOff>
                    <xdr:row>24</xdr:row>
                    <xdr:rowOff>38100</xdr:rowOff>
                  </from>
                  <to>
                    <xdr:col>4</xdr:col>
                    <xdr:colOff>19050</xdr:colOff>
                    <xdr:row>24</xdr:row>
                    <xdr:rowOff>304800</xdr:rowOff>
                  </to>
                </anchor>
              </controlPr>
            </control>
          </mc:Choice>
        </mc:AlternateContent>
        <mc:AlternateContent xmlns:mc="http://schemas.openxmlformats.org/markup-compatibility/2006">
          <mc:Choice Requires="x14">
            <control shapeId="25626" r:id="rId22" name="Group Box 26">
              <controlPr defaultSize="0" autoFill="0" autoPict="0">
                <anchor moveWithCells="1" sizeWithCells="1">
                  <from>
                    <xdr:col>2</xdr:col>
                    <xdr:colOff>0</xdr:colOff>
                    <xdr:row>30</xdr:row>
                    <xdr:rowOff>0</xdr:rowOff>
                  </from>
                  <to>
                    <xdr:col>3</xdr:col>
                    <xdr:colOff>152400</xdr:colOff>
                    <xdr:row>37</xdr:row>
                    <xdr:rowOff>0</xdr:rowOff>
                  </to>
                </anchor>
              </controlPr>
            </control>
          </mc:Choice>
        </mc:AlternateContent>
        <mc:AlternateContent xmlns:mc="http://schemas.openxmlformats.org/markup-compatibility/2006">
          <mc:Choice Requires="x14">
            <control shapeId="25627" r:id="rId23" name="Option Button 27">
              <controlPr defaultSize="0" autoFill="0" autoLine="0" autoPict="0">
                <anchor moveWithCells="1" sizeWithCells="1">
                  <from>
                    <xdr:col>2</xdr:col>
                    <xdr:colOff>28575</xdr:colOff>
                    <xdr:row>30</xdr:row>
                    <xdr:rowOff>152400</xdr:rowOff>
                  </from>
                  <to>
                    <xdr:col>4</xdr:col>
                    <xdr:colOff>9525</xdr:colOff>
                    <xdr:row>31</xdr:row>
                    <xdr:rowOff>28575</xdr:rowOff>
                  </to>
                </anchor>
              </controlPr>
            </control>
          </mc:Choice>
        </mc:AlternateContent>
        <mc:AlternateContent xmlns:mc="http://schemas.openxmlformats.org/markup-compatibility/2006">
          <mc:Choice Requires="x14">
            <control shapeId="25628" r:id="rId24" name="Option Button 28">
              <controlPr defaultSize="0" autoFill="0" autoLine="0" autoPict="0">
                <anchor moveWithCells="1" sizeWithCells="1">
                  <from>
                    <xdr:col>2</xdr:col>
                    <xdr:colOff>28575</xdr:colOff>
                    <xdr:row>31</xdr:row>
                    <xdr:rowOff>133350</xdr:rowOff>
                  </from>
                  <to>
                    <xdr:col>4</xdr:col>
                    <xdr:colOff>9525</xdr:colOff>
                    <xdr:row>32</xdr:row>
                    <xdr:rowOff>9525</xdr:rowOff>
                  </to>
                </anchor>
              </controlPr>
            </control>
          </mc:Choice>
        </mc:AlternateContent>
        <mc:AlternateContent xmlns:mc="http://schemas.openxmlformats.org/markup-compatibility/2006">
          <mc:Choice Requires="x14">
            <control shapeId="25629" r:id="rId25" name="Option Button 29">
              <controlPr defaultSize="0" autoFill="0" autoLine="0" autoPict="0">
                <anchor moveWithCells="1" sizeWithCells="1">
                  <from>
                    <xdr:col>2</xdr:col>
                    <xdr:colOff>28575</xdr:colOff>
                    <xdr:row>32</xdr:row>
                    <xdr:rowOff>142875</xdr:rowOff>
                  </from>
                  <to>
                    <xdr:col>4</xdr:col>
                    <xdr:colOff>9525</xdr:colOff>
                    <xdr:row>33</xdr:row>
                    <xdr:rowOff>19050</xdr:rowOff>
                  </to>
                </anchor>
              </controlPr>
            </control>
          </mc:Choice>
        </mc:AlternateContent>
        <mc:AlternateContent xmlns:mc="http://schemas.openxmlformats.org/markup-compatibility/2006">
          <mc:Choice Requires="x14">
            <control shapeId="25630" r:id="rId26" name="Option Button 30">
              <controlPr defaultSize="0" autoFill="0" autoLine="0" autoPict="0">
                <anchor moveWithCells="1" sizeWithCells="1">
                  <from>
                    <xdr:col>2</xdr:col>
                    <xdr:colOff>28575</xdr:colOff>
                    <xdr:row>33</xdr:row>
                    <xdr:rowOff>123825</xdr:rowOff>
                  </from>
                  <to>
                    <xdr:col>4</xdr:col>
                    <xdr:colOff>9525</xdr:colOff>
                    <xdr:row>34</xdr:row>
                    <xdr:rowOff>0</xdr:rowOff>
                  </to>
                </anchor>
              </controlPr>
            </control>
          </mc:Choice>
        </mc:AlternateContent>
        <mc:AlternateContent xmlns:mc="http://schemas.openxmlformats.org/markup-compatibility/2006">
          <mc:Choice Requires="x14">
            <control shapeId="25631" r:id="rId27" name="Option Button 31">
              <controlPr defaultSize="0" autoFill="0" autoLine="0" autoPict="0">
                <anchor moveWithCells="1" sizeWithCells="1">
                  <from>
                    <xdr:col>2</xdr:col>
                    <xdr:colOff>28575</xdr:colOff>
                    <xdr:row>34</xdr:row>
                    <xdr:rowOff>133350</xdr:rowOff>
                  </from>
                  <to>
                    <xdr:col>4</xdr:col>
                    <xdr:colOff>9525</xdr:colOff>
                    <xdr:row>35</xdr:row>
                    <xdr:rowOff>9525</xdr:rowOff>
                  </to>
                </anchor>
              </controlPr>
            </control>
          </mc:Choice>
        </mc:AlternateContent>
        <mc:AlternateContent xmlns:mc="http://schemas.openxmlformats.org/markup-compatibility/2006">
          <mc:Choice Requires="x14">
            <control shapeId="25632" r:id="rId28" name="Option Button 32">
              <controlPr defaultSize="0" autoFill="0" autoLine="0" autoPict="0">
                <anchor moveWithCells="1" sizeWithCells="1">
                  <from>
                    <xdr:col>2</xdr:col>
                    <xdr:colOff>28575</xdr:colOff>
                    <xdr:row>35</xdr:row>
                    <xdr:rowOff>104775</xdr:rowOff>
                  </from>
                  <to>
                    <xdr:col>4</xdr:col>
                    <xdr:colOff>9525</xdr:colOff>
                    <xdr:row>35</xdr:row>
                    <xdr:rowOff>323850</xdr:rowOff>
                  </to>
                </anchor>
              </controlPr>
            </control>
          </mc:Choice>
        </mc:AlternateContent>
        <mc:AlternateContent xmlns:mc="http://schemas.openxmlformats.org/markup-compatibility/2006">
          <mc:Choice Requires="x14">
            <control shapeId="25633" r:id="rId29" name="Option Button 33">
              <controlPr defaultSize="0" autoFill="0" autoLine="0" autoPict="0">
                <anchor moveWithCells="1" sizeWithCells="1">
                  <from>
                    <xdr:col>2</xdr:col>
                    <xdr:colOff>28575</xdr:colOff>
                    <xdr:row>36</xdr:row>
                    <xdr:rowOff>95250</xdr:rowOff>
                  </from>
                  <to>
                    <xdr:col>4</xdr:col>
                    <xdr:colOff>9525</xdr:colOff>
                    <xdr:row>36</xdr:row>
                    <xdr:rowOff>314325</xdr:rowOff>
                  </to>
                </anchor>
              </controlPr>
            </control>
          </mc:Choice>
        </mc:AlternateContent>
        <mc:AlternateContent xmlns:mc="http://schemas.openxmlformats.org/markup-compatibility/2006">
          <mc:Choice Requires="x14">
            <control shapeId="25606" r:id="rId30" name="Group Box 6">
              <controlPr defaultSize="0" autoFill="0" autoPict="0">
                <anchor moveWithCells="1" sizeWithCells="1">
                  <from>
                    <xdr:col>2</xdr:col>
                    <xdr:colOff>0</xdr:colOff>
                    <xdr:row>14</xdr:row>
                    <xdr:rowOff>0</xdr:rowOff>
                  </from>
                  <to>
                    <xdr:col>15</xdr:col>
                    <xdr:colOff>0</xdr:colOff>
                    <xdr:row>19</xdr:row>
                    <xdr:rowOff>0</xdr:rowOff>
                  </to>
                </anchor>
              </controlPr>
            </control>
          </mc:Choice>
        </mc:AlternateContent>
        <mc:AlternateContent xmlns:mc="http://schemas.openxmlformats.org/markup-compatibility/2006">
          <mc:Choice Requires="x14">
            <control shapeId="25607" r:id="rId31" name="Option Button 7">
              <controlPr defaultSize="0" autoFill="0" autoLine="0" autoPict="0">
                <anchor moveWithCells="1" sizeWithCells="1">
                  <from>
                    <xdr:col>2</xdr:col>
                    <xdr:colOff>66675</xdr:colOff>
                    <xdr:row>14</xdr:row>
                    <xdr:rowOff>104775</xdr:rowOff>
                  </from>
                  <to>
                    <xdr:col>4</xdr:col>
                    <xdr:colOff>19050</xdr:colOff>
                    <xdr:row>15</xdr:row>
                    <xdr:rowOff>0</xdr:rowOff>
                  </to>
                </anchor>
              </controlPr>
            </control>
          </mc:Choice>
        </mc:AlternateContent>
        <mc:AlternateContent xmlns:mc="http://schemas.openxmlformats.org/markup-compatibility/2006">
          <mc:Choice Requires="x14">
            <control shapeId="25608" r:id="rId32" name="Option Button 8">
              <controlPr defaultSize="0" autoFill="0" autoLine="0" autoPict="0">
                <anchor moveWithCells="1" sizeWithCells="1">
                  <from>
                    <xdr:col>2</xdr:col>
                    <xdr:colOff>66675</xdr:colOff>
                    <xdr:row>15</xdr:row>
                    <xdr:rowOff>104775</xdr:rowOff>
                  </from>
                  <to>
                    <xdr:col>4</xdr:col>
                    <xdr:colOff>19050</xdr:colOff>
                    <xdr:row>15</xdr:row>
                    <xdr:rowOff>295275</xdr:rowOff>
                  </to>
                </anchor>
              </controlPr>
            </control>
          </mc:Choice>
        </mc:AlternateContent>
        <mc:AlternateContent xmlns:mc="http://schemas.openxmlformats.org/markup-compatibility/2006">
          <mc:Choice Requires="x14">
            <control shapeId="25609" r:id="rId33" name="Option Button 9">
              <controlPr defaultSize="0" autoFill="0" autoLine="0" autoPict="0">
                <anchor moveWithCells="1" sizeWithCells="1">
                  <from>
                    <xdr:col>2</xdr:col>
                    <xdr:colOff>66675</xdr:colOff>
                    <xdr:row>16</xdr:row>
                    <xdr:rowOff>85725</xdr:rowOff>
                  </from>
                  <to>
                    <xdr:col>4</xdr:col>
                    <xdr:colOff>19050</xdr:colOff>
                    <xdr:row>16</xdr:row>
                    <xdr:rowOff>276225</xdr:rowOff>
                  </to>
                </anchor>
              </controlPr>
            </control>
          </mc:Choice>
        </mc:AlternateContent>
        <mc:AlternateContent xmlns:mc="http://schemas.openxmlformats.org/markup-compatibility/2006">
          <mc:Choice Requires="x14">
            <control shapeId="25610" r:id="rId34" name="Option Button 10">
              <controlPr defaultSize="0" autoFill="0" autoLine="0" autoPict="0">
                <anchor moveWithCells="1" sizeWithCells="1">
                  <from>
                    <xdr:col>2</xdr:col>
                    <xdr:colOff>66675</xdr:colOff>
                    <xdr:row>17</xdr:row>
                    <xdr:rowOff>76200</xdr:rowOff>
                  </from>
                  <to>
                    <xdr:col>4</xdr:col>
                    <xdr:colOff>19050</xdr:colOff>
                    <xdr:row>17</xdr:row>
                    <xdr:rowOff>266700</xdr:rowOff>
                  </to>
                </anchor>
              </controlPr>
            </control>
          </mc:Choice>
        </mc:AlternateContent>
        <mc:AlternateContent xmlns:mc="http://schemas.openxmlformats.org/markup-compatibility/2006">
          <mc:Choice Requires="x14">
            <control shapeId="25611" r:id="rId35" name="Option Button 11">
              <controlPr defaultSize="0" autoFill="0" autoLine="0" autoPict="0">
                <anchor moveWithCells="1" sizeWithCells="1">
                  <from>
                    <xdr:col>2</xdr:col>
                    <xdr:colOff>66675</xdr:colOff>
                    <xdr:row>18</xdr:row>
                    <xdr:rowOff>76200</xdr:rowOff>
                  </from>
                  <to>
                    <xdr:col>4</xdr:col>
                    <xdr:colOff>19050</xdr:colOff>
                    <xdr:row>18</xdr:row>
                    <xdr:rowOff>266700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FN19"/>
  <sheetViews>
    <sheetView showGridLines="0" zoomScale="120" zoomScaleNormal="120" workbookViewId="0"/>
  </sheetViews>
  <sheetFormatPr defaultColWidth="2.7109375" defaultRowHeight="12.75" x14ac:dyDescent="0.2"/>
  <cols>
    <col min="1" max="1" width="1.42578125" style="2" customWidth="1"/>
    <col min="2" max="2" width="18" style="2" customWidth="1"/>
    <col min="3" max="3" width="2.5703125" style="2" customWidth="1"/>
    <col min="4" max="4" width="2.28515625" style="2" customWidth="1"/>
    <col min="5" max="13" width="3.85546875" style="2" customWidth="1"/>
    <col min="14" max="14" width="4.85546875" style="2" customWidth="1"/>
    <col min="15" max="15" width="14.85546875" style="2" customWidth="1"/>
    <col min="16" max="16" width="9.5703125" style="2" customWidth="1"/>
    <col min="17" max="17" width="1.28515625" style="2" customWidth="1"/>
    <col min="18" max="18" width="17.85546875" style="2" hidden="1" customWidth="1"/>
    <col min="19" max="24" width="12.7109375" style="2" hidden="1" customWidth="1"/>
    <col min="25" max="130" width="2.7109375" style="2" hidden="1" customWidth="1"/>
    <col min="131" max="255" width="2.7109375" style="2" customWidth="1"/>
    <col min="256" max="16384" width="2.7109375" style="2"/>
  </cols>
  <sheetData>
    <row r="1" spans="2:170" ht="15" customHeight="1" x14ac:dyDescent="0.2">
      <c r="B1" s="10" t="s">
        <v>1697</v>
      </c>
      <c r="E1" s="732" t="str">
        <f>IF('Start here'!A6="","",'Start here'!A6)</f>
        <v/>
      </c>
      <c r="F1" s="736"/>
      <c r="G1" s="736"/>
      <c r="H1" s="736"/>
      <c r="I1" s="736"/>
      <c r="J1" s="736"/>
      <c r="K1" s="737"/>
      <c r="M1" s="732" t="str">
        <f>IF('Start here'!A7="","",'Start here'!A7)</f>
        <v/>
      </c>
      <c r="N1" s="736"/>
      <c r="O1" s="736"/>
      <c r="P1" s="737"/>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2">
      <c r="B2" s="777"/>
      <c r="C2" s="777"/>
      <c r="D2" s="777"/>
      <c r="E2" s="777"/>
      <c r="F2" s="777"/>
      <c r="G2" s="777"/>
      <c r="H2" s="777"/>
      <c r="I2" s="777"/>
      <c r="J2" s="777"/>
      <c r="K2" s="777"/>
      <c r="L2" s="777"/>
      <c r="M2" s="777"/>
      <c r="N2" s="777"/>
      <c r="O2" s="777"/>
      <c r="P2" s="777"/>
    </row>
    <row r="3" spans="2:170" ht="24" customHeight="1" x14ac:dyDescent="0.3">
      <c r="B3" s="905" t="s">
        <v>268</v>
      </c>
      <c r="C3" s="905"/>
      <c r="D3" s="905"/>
      <c r="E3" s="905"/>
      <c r="F3" s="905"/>
      <c r="G3" s="905"/>
      <c r="H3" s="905"/>
      <c r="I3" s="905"/>
      <c r="J3" s="905"/>
      <c r="K3" s="905"/>
      <c r="L3" s="905"/>
      <c r="M3" s="905"/>
      <c r="N3" s="905"/>
      <c r="O3" s="905"/>
      <c r="P3" s="905"/>
    </row>
    <row r="4" spans="2:170" ht="30" customHeight="1" x14ac:dyDescent="0.2">
      <c r="B4" s="756" t="s">
        <v>1279</v>
      </c>
      <c r="C4" s="757"/>
      <c r="D4" s="757"/>
      <c r="E4" s="757"/>
      <c r="F4" s="757"/>
      <c r="G4" s="757"/>
      <c r="H4" s="757"/>
      <c r="I4" s="757"/>
      <c r="J4" s="757"/>
      <c r="K4" s="757"/>
      <c r="L4" s="757"/>
      <c r="M4" s="757"/>
      <c r="N4" s="757"/>
      <c r="O4" s="757"/>
      <c r="P4" s="758"/>
    </row>
    <row r="5" spans="2:170" ht="30" customHeight="1" x14ac:dyDescent="0.2">
      <c r="B5" s="1592" t="s">
        <v>2014</v>
      </c>
      <c r="C5" s="1606"/>
      <c r="D5" s="1607"/>
      <c r="E5" s="756" t="s">
        <v>1262</v>
      </c>
      <c r="F5" s="757"/>
      <c r="G5" s="757"/>
      <c r="H5" s="757"/>
      <c r="I5" s="757"/>
      <c r="J5" s="757"/>
      <c r="K5" s="757"/>
      <c r="L5" s="757"/>
      <c r="M5" s="757"/>
      <c r="N5" s="757"/>
      <c r="O5" s="757"/>
      <c r="P5" s="427"/>
      <c r="R5" s="127" t="s">
        <v>2236</v>
      </c>
      <c r="S5" s="547">
        <v>1</v>
      </c>
    </row>
    <row r="6" spans="2:170" ht="30" customHeight="1" x14ac:dyDescent="0.2">
      <c r="B6" s="1593"/>
      <c r="C6" s="1608"/>
      <c r="D6" s="1609"/>
      <c r="E6" s="756" t="s">
        <v>2015</v>
      </c>
      <c r="F6" s="757"/>
      <c r="G6" s="757"/>
      <c r="H6" s="757"/>
      <c r="I6" s="757"/>
      <c r="J6" s="757"/>
      <c r="K6" s="757"/>
      <c r="L6" s="757"/>
      <c r="M6" s="757"/>
      <c r="N6" s="757"/>
      <c r="O6" s="757"/>
      <c r="P6" s="257"/>
    </row>
    <row r="7" spans="2:170" ht="30" customHeight="1" x14ac:dyDescent="0.2">
      <c r="B7" s="1593"/>
      <c r="C7" s="1608"/>
      <c r="D7" s="1609"/>
      <c r="E7" s="756" t="s">
        <v>2016</v>
      </c>
      <c r="F7" s="757"/>
      <c r="G7" s="757"/>
      <c r="H7" s="757"/>
      <c r="I7" s="757"/>
      <c r="J7" s="757"/>
      <c r="K7" s="757"/>
      <c r="L7" s="757"/>
      <c r="M7" s="757"/>
      <c r="N7" s="757"/>
      <c r="O7" s="757"/>
      <c r="P7" s="257"/>
    </row>
    <row r="8" spans="2:170" ht="30" customHeight="1" x14ac:dyDescent="0.2">
      <c r="B8" s="1593"/>
      <c r="C8" s="1608"/>
      <c r="D8" s="1609"/>
      <c r="E8" s="756" t="s">
        <v>2017</v>
      </c>
      <c r="F8" s="757"/>
      <c r="G8" s="757"/>
      <c r="H8" s="757"/>
      <c r="I8" s="757"/>
      <c r="J8" s="757"/>
      <c r="K8" s="757"/>
      <c r="L8" s="757"/>
      <c r="M8" s="757"/>
      <c r="N8" s="757"/>
      <c r="O8" s="757"/>
      <c r="P8" s="257"/>
    </row>
    <row r="9" spans="2:170" ht="40.5" customHeight="1" x14ac:dyDescent="0.2">
      <c r="B9" s="1593"/>
      <c r="C9" s="1608"/>
      <c r="D9" s="1609"/>
      <c r="E9" s="756" t="s">
        <v>2018</v>
      </c>
      <c r="F9" s="757"/>
      <c r="G9" s="757"/>
      <c r="H9" s="757"/>
      <c r="I9" s="757"/>
      <c r="J9" s="757"/>
      <c r="K9" s="757"/>
      <c r="L9" s="757"/>
      <c r="M9" s="757"/>
      <c r="N9" s="757"/>
      <c r="O9" s="757"/>
      <c r="P9" s="257"/>
    </row>
    <row r="10" spans="2:170" ht="30" customHeight="1" x14ac:dyDescent="0.2">
      <c r="B10" s="1611"/>
      <c r="C10" s="1608"/>
      <c r="D10" s="1609"/>
      <c r="E10" s="756" t="s">
        <v>2019</v>
      </c>
      <c r="F10" s="757"/>
      <c r="G10" s="757"/>
      <c r="H10" s="757"/>
      <c r="I10" s="757"/>
      <c r="J10" s="757"/>
      <c r="K10" s="757"/>
      <c r="L10" s="757"/>
      <c r="M10" s="757"/>
      <c r="N10" s="757"/>
      <c r="O10" s="757"/>
      <c r="P10" s="292">
        <f>IF(S5=2,0.15,IF(S5=3,0.35,IF(S5=4,0.5,IF(S5=5,0.75,IF(S5=6,0.95,0)))))</f>
        <v>0</v>
      </c>
      <c r="S10" s="912" t="s">
        <v>1008</v>
      </c>
    </row>
    <row r="11" spans="2:170" ht="20.25" customHeight="1" x14ac:dyDescent="0.2">
      <c r="B11" s="1427"/>
      <c r="C11" s="1044"/>
      <c r="D11" s="1044"/>
      <c r="E11" s="317"/>
      <c r="F11" s="317"/>
      <c r="G11" s="317"/>
      <c r="H11" s="317"/>
      <c r="I11" s="317"/>
      <c r="L11" s="865" t="s">
        <v>1008</v>
      </c>
      <c r="M11" s="865"/>
      <c r="N11" s="865"/>
      <c r="O11" s="866"/>
      <c r="P11" s="258"/>
      <c r="S11" s="912"/>
    </row>
    <row r="12" spans="2:170" ht="20.25" customHeight="1" x14ac:dyDescent="0.2">
      <c r="B12" s="215"/>
      <c r="C12" s="264"/>
      <c r="D12" s="264"/>
      <c r="E12" s="305"/>
      <c r="F12" s="212"/>
      <c r="G12" s="212"/>
      <c r="H12" s="212"/>
      <c r="I12" s="212"/>
      <c r="J12" s="212"/>
      <c r="K12" s="212"/>
      <c r="L12" s="1020" t="s">
        <v>1135</v>
      </c>
      <c r="M12" s="1020"/>
      <c r="N12" s="1020"/>
      <c r="O12" s="1021"/>
      <c r="P12" s="259">
        <f>IF(AND(S12&gt;0,S12&lt;0.01),0.01,ROUND(S12,2))</f>
        <v>0</v>
      </c>
      <c r="S12" s="146">
        <f>IF(P11="",P10,P10*P11)</f>
        <v>0</v>
      </c>
    </row>
    <row r="13" spans="2:170" ht="66.75" customHeight="1" x14ac:dyDescent="0.2">
      <c r="B13" s="749" t="s">
        <v>0</v>
      </c>
      <c r="C13" s="750"/>
      <c r="D13" s="750"/>
      <c r="E13" s="750"/>
      <c r="F13" s="750"/>
      <c r="G13" s="750"/>
      <c r="H13" s="750"/>
      <c r="I13" s="750"/>
      <c r="J13" s="750"/>
      <c r="K13" s="750"/>
      <c r="L13" s="750"/>
      <c r="M13" s="750"/>
      <c r="N13" s="750"/>
      <c r="O13" s="750"/>
      <c r="P13" s="751"/>
    </row>
    <row r="14" spans="2:170" ht="38.25" customHeight="1" x14ac:dyDescent="0.2">
      <c r="B14" s="818" t="s">
        <v>1302</v>
      </c>
      <c r="C14" s="698"/>
      <c r="D14" s="698"/>
      <c r="E14" s="698"/>
      <c r="F14" s="698"/>
      <c r="G14" s="698"/>
      <c r="H14" s="698"/>
      <c r="I14" s="698"/>
      <c r="J14" s="698"/>
      <c r="K14" s="698"/>
      <c r="L14" s="698"/>
      <c r="M14" s="698"/>
      <c r="N14" s="698"/>
      <c r="O14" s="698"/>
      <c r="P14" s="819"/>
    </row>
    <row r="15" spans="2:170" ht="27" customHeight="1" x14ac:dyDescent="0.2">
      <c r="B15" s="1078" t="s">
        <v>1303</v>
      </c>
      <c r="C15" s="1079"/>
      <c r="D15" s="1079"/>
      <c r="E15" s="1079"/>
      <c r="F15" s="1079"/>
      <c r="G15" s="1079"/>
      <c r="H15" s="1079"/>
      <c r="I15" s="1079"/>
      <c r="J15" s="1079"/>
      <c r="K15" s="1079"/>
      <c r="L15" s="1079"/>
      <c r="M15" s="1079"/>
      <c r="N15" s="1079"/>
      <c r="O15" s="1079"/>
      <c r="P15" s="1080"/>
    </row>
    <row r="16" spans="2:170" ht="30.75" customHeight="1" x14ac:dyDescent="0.25">
      <c r="B16" s="1037" t="s">
        <v>931</v>
      </c>
      <c r="C16" s="1037"/>
      <c r="D16" s="1037"/>
      <c r="E16" s="1037"/>
      <c r="F16" s="1037"/>
      <c r="G16" s="1037"/>
      <c r="H16" s="1037"/>
      <c r="I16" s="1037"/>
      <c r="J16" s="1037"/>
      <c r="K16" s="1037"/>
      <c r="L16" s="1037"/>
      <c r="M16" s="1037"/>
      <c r="N16" s="1037"/>
      <c r="O16" s="1037"/>
      <c r="P16" s="1037"/>
    </row>
    <row r="17" spans="2:14" x14ac:dyDescent="0.2">
      <c r="B17" s="244" t="s">
        <v>775</v>
      </c>
      <c r="C17" s="1294" t="str">
        <f>IF(U1&lt;&gt;"",U1,"")</f>
        <v>Go to PPD Worksheet</v>
      </c>
      <c r="D17" s="1294"/>
      <c r="E17" s="1294"/>
      <c r="F17" s="1294"/>
      <c r="G17" s="1294"/>
      <c r="H17" s="1294"/>
      <c r="I17" s="1464" t="str">
        <f>IF(T1&lt;&gt;"",T1,"")</f>
        <v/>
      </c>
      <c r="J17" s="1464"/>
      <c r="K17" s="1464"/>
      <c r="L17" s="1464"/>
      <c r="M17" s="1464"/>
      <c r="N17" s="1464"/>
    </row>
    <row r="19" spans="2:14" hidden="1" x14ac:dyDescent="0.2">
      <c r="B19" s="2">
        <v>0.01</v>
      </c>
      <c r="C19" s="2">
        <v>0.99</v>
      </c>
    </row>
  </sheetData>
  <sheetProtection sheet="1" objects="1" scenarios="1"/>
  <mergeCells count="23">
    <mergeCell ref="L12:O12"/>
    <mergeCell ref="B5:B10"/>
    <mergeCell ref="E5:O5"/>
    <mergeCell ref="E7:O7"/>
    <mergeCell ref="E8:O8"/>
    <mergeCell ref="B11:D11"/>
    <mergeCell ref="C17:H17"/>
    <mergeCell ref="I17:N17"/>
    <mergeCell ref="B15:P15"/>
    <mergeCell ref="B16:P16"/>
    <mergeCell ref="B13:P13"/>
    <mergeCell ref="B14:P14"/>
    <mergeCell ref="S10:S11"/>
    <mergeCell ref="E9:O9"/>
    <mergeCell ref="E1:K1"/>
    <mergeCell ref="M1:P1"/>
    <mergeCell ref="B4:P4"/>
    <mergeCell ref="B2:P2"/>
    <mergeCell ref="B3:P3"/>
    <mergeCell ref="E10:O10"/>
    <mergeCell ref="C5:D10"/>
    <mergeCell ref="E6:O6"/>
    <mergeCell ref="L11:O11"/>
  </mergeCells>
  <phoneticPr fontId="0" type="noConversion"/>
  <dataValidations xWindow="838" yWindow="601" count="1">
    <dataValidation type="decimal" allowBlank="1" showInputMessage="1" showErrorMessage="1" promptTitle="Apportionment (if any)" prompt="Enter percentage of impairment caused by the injury or illness. See OAR 436-035-0013." sqref="P11" xr:uid="{00000000-0002-0000-1500-000000000000}">
      <formula1>$B$19</formula1>
      <formula2>$C$19</formula2>
    </dataValidation>
  </dataValidations>
  <hyperlinks>
    <hyperlink ref="B17" location="'Spinal cord'!A1" display="Return to top of sheet" xr:uid="{00000000-0004-0000-1500-000000000000}"/>
    <hyperlink ref="I17:N17" location="'PPD DOI on or after 2005'!A1" display="'PPD DOI on or after 2005'!A1" xr:uid="{00000000-0004-0000-1500-000001000000}"/>
    <hyperlink ref="C17:H17" location="'PPD DOI before 2005'!A1" display="'PPD DOI before 2005'!A1" xr:uid="{00000000-0004-0000-1500-000002000000}"/>
    <hyperlink ref="B15:P15" location="'Cranial Nerves-Brain'!A1" display="Episodic neurological disorders are determined under OAR 436-035-0390(10)." xr:uid="{00000000-0004-0000-1500-000003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65" r:id="rId4" name="Group Box 1">
              <controlPr defaultSize="0" autoFill="0" autoPict="0">
                <anchor moveWithCells="1" sizeWithCells="1">
                  <from>
                    <xdr:col>2</xdr:col>
                    <xdr:colOff>0</xdr:colOff>
                    <xdr:row>4</xdr:row>
                    <xdr:rowOff>9525</xdr:rowOff>
                  </from>
                  <to>
                    <xdr:col>15</xdr:col>
                    <xdr:colOff>0</xdr:colOff>
                    <xdr:row>9</xdr:row>
                    <xdr:rowOff>361950</xdr:rowOff>
                  </to>
                </anchor>
              </controlPr>
            </control>
          </mc:Choice>
        </mc:AlternateContent>
        <mc:AlternateContent xmlns:mc="http://schemas.openxmlformats.org/markup-compatibility/2006">
          <mc:Choice Requires="x14">
            <control shapeId="36866" r:id="rId5" name="Option Button 2">
              <controlPr defaultSize="0" autoFill="0" autoLine="0" autoPict="0">
                <anchor moveWithCells="1" sizeWithCells="1">
                  <from>
                    <xdr:col>2</xdr:col>
                    <xdr:colOff>57150</xdr:colOff>
                    <xdr:row>4</xdr:row>
                    <xdr:rowOff>47625</xdr:rowOff>
                  </from>
                  <to>
                    <xdr:col>4</xdr:col>
                    <xdr:colOff>38100</xdr:colOff>
                    <xdr:row>4</xdr:row>
                    <xdr:rowOff>266700</xdr:rowOff>
                  </to>
                </anchor>
              </controlPr>
            </control>
          </mc:Choice>
        </mc:AlternateContent>
        <mc:AlternateContent xmlns:mc="http://schemas.openxmlformats.org/markup-compatibility/2006">
          <mc:Choice Requires="x14">
            <control shapeId="36867" r:id="rId6" name="Option Button 3">
              <controlPr defaultSize="0" autoFill="0" autoLine="0" autoPict="0">
                <anchor moveWithCells="1" sizeWithCells="1">
                  <from>
                    <xdr:col>2</xdr:col>
                    <xdr:colOff>57150</xdr:colOff>
                    <xdr:row>5</xdr:row>
                    <xdr:rowOff>76200</xdr:rowOff>
                  </from>
                  <to>
                    <xdr:col>4</xdr:col>
                    <xdr:colOff>38100</xdr:colOff>
                    <xdr:row>5</xdr:row>
                    <xdr:rowOff>295275</xdr:rowOff>
                  </to>
                </anchor>
              </controlPr>
            </control>
          </mc:Choice>
        </mc:AlternateContent>
        <mc:AlternateContent xmlns:mc="http://schemas.openxmlformats.org/markup-compatibility/2006">
          <mc:Choice Requires="x14">
            <control shapeId="36868" r:id="rId7" name="Option Button 4">
              <controlPr defaultSize="0" autoFill="0" autoLine="0" autoPict="0">
                <anchor moveWithCells="1" sizeWithCells="1">
                  <from>
                    <xdr:col>2</xdr:col>
                    <xdr:colOff>57150</xdr:colOff>
                    <xdr:row>6</xdr:row>
                    <xdr:rowOff>85725</xdr:rowOff>
                  </from>
                  <to>
                    <xdr:col>4</xdr:col>
                    <xdr:colOff>38100</xdr:colOff>
                    <xdr:row>6</xdr:row>
                    <xdr:rowOff>304800</xdr:rowOff>
                  </to>
                </anchor>
              </controlPr>
            </control>
          </mc:Choice>
        </mc:AlternateContent>
        <mc:AlternateContent xmlns:mc="http://schemas.openxmlformats.org/markup-compatibility/2006">
          <mc:Choice Requires="x14">
            <control shapeId="36869" r:id="rId8" name="Option Button 5">
              <controlPr defaultSize="0" autoFill="0" autoLine="0" autoPict="0">
                <anchor moveWithCells="1" sizeWithCells="1">
                  <from>
                    <xdr:col>2</xdr:col>
                    <xdr:colOff>57150</xdr:colOff>
                    <xdr:row>7</xdr:row>
                    <xdr:rowOff>95250</xdr:rowOff>
                  </from>
                  <to>
                    <xdr:col>4</xdr:col>
                    <xdr:colOff>38100</xdr:colOff>
                    <xdr:row>7</xdr:row>
                    <xdr:rowOff>314325</xdr:rowOff>
                  </to>
                </anchor>
              </controlPr>
            </control>
          </mc:Choice>
        </mc:AlternateContent>
        <mc:AlternateContent xmlns:mc="http://schemas.openxmlformats.org/markup-compatibility/2006">
          <mc:Choice Requires="x14">
            <control shapeId="36870" r:id="rId9" name="Option Button 6">
              <controlPr defaultSize="0" autoFill="0" autoLine="0" autoPict="0">
                <anchor moveWithCells="1" sizeWithCells="1">
                  <from>
                    <xdr:col>2</xdr:col>
                    <xdr:colOff>57150</xdr:colOff>
                    <xdr:row>8</xdr:row>
                    <xdr:rowOff>95250</xdr:rowOff>
                  </from>
                  <to>
                    <xdr:col>4</xdr:col>
                    <xdr:colOff>38100</xdr:colOff>
                    <xdr:row>8</xdr:row>
                    <xdr:rowOff>314325</xdr:rowOff>
                  </to>
                </anchor>
              </controlPr>
            </control>
          </mc:Choice>
        </mc:AlternateContent>
        <mc:AlternateContent xmlns:mc="http://schemas.openxmlformats.org/markup-compatibility/2006">
          <mc:Choice Requires="x14">
            <control shapeId="36871" r:id="rId10" name="Option Button 7">
              <controlPr defaultSize="0" autoFill="0" autoLine="0" autoPict="0">
                <anchor moveWithCells="1" sizeWithCells="1">
                  <from>
                    <xdr:col>2</xdr:col>
                    <xdr:colOff>57150</xdr:colOff>
                    <xdr:row>9</xdr:row>
                    <xdr:rowOff>76200</xdr:rowOff>
                  </from>
                  <to>
                    <xdr:col>4</xdr:col>
                    <xdr:colOff>38100</xdr:colOff>
                    <xdr:row>9</xdr:row>
                    <xdr:rowOff>295275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FN24"/>
  <sheetViews>
    <sheetView showGridLines="0" topLeftCell="A4" zoomScale="120" zoomScaleNormal="120" workbookViewId="0"/>
  </sheetViews>
  <sheetFormatPr defaultColWidth="1.5703125" defaultRowHeight="12.75" x14ac:dyDescent="0.2"/>
  <cols>
    <col min="1" max="1" width="1.42578125" style="2" customWidth="1"/>
    <col min="2" max="2" width="18" style="2" customWidth="1"/>
    <col min="3" max="3" width="2.5703125" style="2" customWidth="1"/>
    <col min="4" max="4" width="2.28515625" style="2" customWidth="1"/>
    <col min="5" max="11" width="3.85546875" style="2" customWidth="1"/>
    <col min="12" max="12" width="8.5703125" style="2" customWidth="1"/>
    <col min="13" max="13" width="5" style="2" customWidth="1"/>
    <col min="14" max="14" width="4.5703125" style="2" customWidth="1"/>
    <col min="15" max="15" width="8.85546875" style="2" customWidth="1"/>
    <col min="16" max="16" width="9.5703125" style="2" customWidth="1"/>
    <col min="17" max="17" width="1.28515625" style="2" customWidth="1"/>
    <col min="18" max="18" width="17.85546875" style="2" hidden="1" customWidth="1"/>
    <col min="19" max="19" width="12.7109375" style="2" hidden="1" customWidth="1"/>
    <col min="20" max="20" width="17.5703125" style="2" hidden="1" customWidth="1"/>
    <col min="21" max="21" width="15.42578125" style="2" hidden="1" customWidth="1"/>
    <col min="22" max="24" width="12.7109375" style="2" hidden="1" customWidth="1"/>
    <col min="25" max="130" width="1.5703125" style="2" hidden="1" customWidth="1"/>
    <col min="131" max="255" width="1.5703125" style="2" customWidth="1"/>
    <col min="256" max="16384" width="1.5703125" style="2"/>
  </cols>
  <sheetData>
    <row r="1" spans="2:170" ht="15" customHeight="1" x14ac:dyDescent="0.2">
      <c r="B1" s="10" t="s">
        <v>1697</v>
      </c>
      <c r="E1" s="732" t="str">
        <f>IF('Start here'!A6="","",'Start here'!A6)</f>
        <v/>
      </c>
      <c r="F1" s="736"/>
      <c r="G1" s="736"/>
      <c r="H1" s="736"/>
      <c r="I1" s="736"/>
      <c r="J1" s="736"/>
      <c r="K1" s="737"/>
      <c r="M1" s="732" t="str">
        <f>IF('Start here'!A7="","",'Start here'!A7)</f>
        <v/>
      </c>
      <c r="N1" s="736"/>
      <c r="O1" s="736"/>
      <c r="P1" s="737"/>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6" customHeight="1" x14ac:dyDescent="0.2">
      <c r="B2" s="777"/>
      <c r="C2" s="777"/>
      <c r="D2" s="777"/>
      <c r="E2" s="777"/>
      <c r="F2" s="777"/>
      <c r="G2" s="777"/>
      <c r="H2" s="777"/>
      <c r="I2" s="777"/>
      <c r="J2" s="777"/>
      <c r="K2" s="777"/>
      <c r="L2" s="777"/>
      <c r="M2" s="777"/>
      <c r="N2" s="777"/>
      <c r="O2" s="777"/>
      <c r="P2" s="777"/>
    </row>
    <row r="3" spans="2:170" ht="18.75" x14ac:dyDescent="0.3">
      <c r="B3" s="905" t="s">
        <v>1053</v>
      </c>
      <c r="C3" s="905"/>
      <c r="D3" s="905"/>
      <c r="E3" s="905"/>
      <c r="F3" s="905"/>
      <c r="G3" s="905"/>
      <c r="H3" s="905"/>
      <c r="I3" s="905"/>
      <c r="J3" s="905"/>
      <c r="K3" s="905"/>
      <c r="L3" s="905"/>
      <c r="M3" s="905"/>
      <c r="N3" s="905"/>
      <c r="O3" s="905"/>
      <c r="P3" s="905"/>
    </row>
    <row r="4" spans="2:170" ht="27" customHeight="1" x14ac:dyDescent="0.2">
      <c r="B4" s="372" t="s">
        <v>1927</v>
      </c>
      <c r="C4" s="319"/>
      <c r="D4" s="319"/>
      <c r="E4" s="319"/>
      <c r="F4" s="319"/>
      <c r="G4" s="319"/>
      <c r="H4" s="319"/>
      <c r="I4" s="319"/>
      <c r="J4" s="319"/>
      <c r="K4" s="319"/>
      <c r="L4" s="319"/>
      <c r="M4" s="911" t="s">
        <v>1495</v>
      </c>
      <c r="N4" s="911"/>
      <c r="O4" s="908"/>
      <c r="P4" s="929">
        <f>IF(AND(S6&gt;0,S6&lt;0.01),0.01,ROUND(S6,2))</f>
        <v>0</v>
      </c>
      <c r="R4" s="146" t="s">
        <v>2236</v>
      </c>
      <c r="S4" s="612">
        <v>1</v>
      </c>
      <c r="T4" s="58"/>
    </row>
    <row r="5" spans="2:170" ht="20.100000000000001" customHeight="1" x14ac:dyDescent="0.2">
      <c r="B5" s="256" t="s">
        <v>1928</v>
      </c>
      <c r="C5" s="261"/>
      <c r="D5" s="262"/>
      <c r="E5" s="262"/>
      <c r="F5" s="262"/>
      <c r="G5" s="262"/>
      <c r="H5" s="262"/>
      <c r="I5" s="262"/>
      <c r="J5" s="262"/>
      <c r="K5" s="262"/>
      <c r="L5" s="263"/>
      <c r="M5" s="1425"/>
      <c r="N5" s="1425"/>
      <c r="O5" s="255"/>
      <c r="P5" s="1071"/>
      <c r="S5" s="15"/>
      <c r="T5" s="58"/>
    </row>
    <row r="6" spans="2:170" ht="20.100000000000001" customHeight="1" x14ac:dyDescent="0.2">
      <c r="B6" s="180" t="s">
        <v>1929</v>
      </c>
      <c r="C6" s="253"/>
      <c r="D6" s="254"/>
      <c r="E6" s="254"/>
      <c r="F6" s="254"/>
      <c r="G6" s="254"/>
      <c r="H6" s="254"/>
      <c r="I6" s="254"/>
      <c r="J6" s="254"/>
      <c r="K6" s="254"/>
      <c r="L6" s="254"/>
      <c r="M6" s="1623">
        <f>IF(S4=2,0,IF(S4=3,0.06,IF(S4=4,0.11,IF(S4=5,0.2,IF(S4=6,0.29,IF(S4=7,0.38,0))))))</f>
        <v>0</v>
      </c>
      <c r="N6" s="1624"/>
      <c r="O6" s="208"/>
      <c r="P6" s="1072"/>
      <c r="R6" s="146" t="s">
        <v>2237</v>
      </c>
      <c r="S6" s="160">
        <f>IF(O6&gt;0,M6*O6,M6)</f>
        <v>0</v>
      </c>
    </row>
    <row r="7" spans="2:170" ht="27" customHeight="1" x14ac:dyDescent="0.2">
      <c r="B7" s="1019" t="s">
        <v>1930</v>
      </c>
      <c r="C7" s="1020"/>
      <c r="D7" s="1020"/>
      <c r="E7" s="1020"/>
      <c r="F7" s="1020"/>
      <c r="G7" s="1020"/>
      <c r="H7" s="1020"/>
      <c r="I7" s="1020"/>
      <c r="J7" s="1020"/>
      <c r="K7" s="1020"/>
      <c r="L7" s="1021"/>
      <c r="M7" s="426"/>
      <c r="N7" s="426"/>
      <c r="O7" s="428"/>
      <c r="P7" s="929">
        <f>IF(AND(S10&gt;0,S10&lt;0.01),0.01,ROUND(S10,2))</f>
        <v>0</v>
      </c>
    </row>
    <row r="8" spans="2:170" ht="20.100000000000001" customHeight="1" x14ac:dyDescent="0.25">
      <c r="B8" s="256" t="s">
        <v>1928</v>
      </c>
      <c r="C8" s="429"/>
      <c r="D8" s="430"/>
      <c r="E8" s="430"/>
      <c r="F8" s="430"/>
      <c r="G8" s="430"/>
      <c r="H8" s="430"/>
      <c r="I8" s="430"/>
      <c r="J8" s="430"/>
      <c r="K8" s="430"/>
      <c r="L8" s="431"/>
      <c r="M8" s="432"/>
      <c r="N8" s="433"/>
      <c r="O8" s="434"/>
      <c r="P8" s="1071"/>
      <c r="R8" s="146" t="s">
        <v>2236</v>
      </c>
      <c r="S8" s="612">
        <v>1</v>
      </c>
      <c r="T8" s="58"/>
    </row>
    <row r="9" spans="2:170" ht="20.100000000000001" customHeight="1" x14ac:dyDescent="0.2">
      <c r="B9" s="256" t="s">
        <v>1929</v>
      </c>
      <c r="C9" s="261"/>
      <c r="D9" s="262"/>
      <c r="E9" s="262"/>
      <c r="F9" s="262"/>
      <c r="G9" s="262"/>
      <c r="H9" s="262"/>
      <c r="I9" s="262"/>
      <c r="J9" s="262"/>
      <c r="K9" s="262"/>
      <c r="L9" s="263"/>
      <c r="M9" s="57"/>
      <c r="N9" s="57"/>
      <c r="O9" s="260"/>
      <c r="P9" s="1071"/>
      <c r="S9" s="15"/>
      <c r="T9" s="58"/>
    </row>
    <row r="10" spans="2:170" ht="20.100000000000001" customHeight="1" x14ac:dyDescent="0.2">
      <c r="B10" s="180" t="s">
        <v>1931</v>
      </c>
      <c r="C10" s="261"/>
      <c r="D10" s="262"/>
      <c r="E10" s="262"/>
      <c r="F10" s="262"/>
      <c r="G10" s="262"/>
      <c r="H10" s="262"/>
      <c r="I10" s="262"/>
      <c r="J10" s="262"/>
      <c r="K10" s="262"/>
      <c r="L10" s="263"/>
      <c r="M10" s="738">
        <f>IF(S8=2,0.06,IF(S8=3,0.23,IF(S8=4,0.35,IF(S8=5,0.5,IF(S8=6,0.66,IF(S8=7,0.81,0))))))</f>
        <v>0</v>
      </c>
      <c r="N10" s="740"/>
      <c r="O10" s="207"/>
      <c r="P10" s="1072"/>
      <c r="R10" s="146" t="s">
        <v>2237</v>
      </c>
      <c r="S10" s="160">
        <f>IF(O10&gt;0,M10*O10,M10)</f>
        <v>0</v>
      </c>
    </row>
    <row r="11" spans="2:170" ht="27" customHeight="1" x14ac:dyDescent="0.2">
      <c r="B11" s="372" t="s">
        <v>928</v>
      </c>
      <c r="C11" s="426"/>
      <c r="D11" s="426"/>
      <c r="E11" s="426"/>
      <c r="F11" s="426"/>
      <c r="G11" s="426"/>
      <c r="H11" s="426"/>
      <c r="I11" s="426"/>
      <c r="J11" s="426"/>
      <c r="K11" s="426"/>
      <c r="L11" s="426"/>
      <c r="M11" s="343"/>
      <c r="N11" s="343"/>
      <c r="O11" s="435"/>
      <c r="P11" s="929">
        <f>IF(AND(S14&gt;0,S14&lt;0.01),0.01,ROUND(S14,2))</f>
        <v>0</v>
      </c>
    </row>
    <row r="12" spans="2:170" ht="20.100000000000001" customHeight="1" x14ac:dyDescent="0.2">
      <c r="B12" s="256" t="s">
        <v>1928</v>
      </c>
      <c r="C12" s="261"/>
      <c r="D12" s="262"/>
      <c r="E12" s="262"/>
      <c r="F12" s="262"/>
      <c r="G12" s="262"/>
      <c r="H12" s="262"/>
      <c r="I12" s="262"/>
      <c r="J12" s="262"/>
      <c r="K12" s="262"/>
      <c r="L12" s="263"/>
      <c r="M12" s="268"/>
      <c r="N12" s="266"/>
      <c r="O12" s="269"/>
      <c r="P12" s="1071"/>
      <c r="R12" s="146" t="s">
        <v>2236</v>
      </c>
      <c r="S12" s="612">
        <v>1</v>
      </c>
      <c r="T12" s="58"/>
      <c r="U12" s="1105" t="s">
        <v>2238</v>
      </c>
      <c r="V12" s="365">
        <f>IF(S12=3,0.06,IF(S12=4,0.11,IF(S12=5,0.2,IF(S12=6,0.29,IF(S12=7,0.38,0)))))</f>
        <v>0</v>
      </c>
    </row>
    <row r="13" spans="2:170" ht="20.100000000000001" customHeight="1" x14ac:dyDescent="0.2">
      <c r="B13" s="256" t="s">
        <v>1929</v>
      </c>
      <c r="C13" s="261"/>
      <c r="D13" s="262"/>
      <c r="E13" s="262"/>
      <c r="F13" s="262"/>
      <c r="G13" s="262"/>
      <c r="H13" s="262"/>
      <c r="I13" s="262"/>
      <c r="J13" s="262"/>
      <c r="K13" s="262"/>
      <c r="L13" s="263"/>
      <c r="M13" s="268"/>
      <c r="N13" s="266"/>
      <c r="O13" s="269"/>
      <c r="P13" s="1071"/>
      <c r="S13" s="15"/>
      <c r="T13" s="58"/>
      <c r="U13" s="1105"/>
      <c r="V13" s="365">
        <f>IF(S12=8,0.5,IF(S12=9,0.63,IF(S12=10,0.75,IF(S12=11,0.9,0))))</f>
        <v>0</v>
      </c>
    </row>
    <row r="14" spans="2:170" ht="20.100000000000001" customHeight="1" x14ac:dyDescent="0.2">
      <c r="B14" s="256" t="s">
        <v>1931</v>
      </c>
      <c r="C14" s="261"/>
      <c r="D14" s="262"/>
      <c r="E14" s="262"/>
      <c r="F14" s="262"/>
      <c r="G14" s="262"/>
      <c r="H14" s="262"/>
      <c r="I14" s="262"/>
      <c r="J14" s="262"/>
      <c r="K14" s="262"/>
      <c r="L14" s="263"/>
      <c r="M14" s="215"/>
      <c r="N14" s="264"/>
      <c r="O14" s="265"/>
      <c r="P14" s="1071"/>
      <c r="R14" s="146" t="s">
        <v>2237</v>
      </c>
      <c r="S14" s="160">
        <f>IF(O15&gt;0,M15*O15,M15)</f>
        <v>0</v>
      </c>
      <c r="U14" s="1105"/>
      <c r="V14" s="389">
        <f>V12+V13</f>
        <v>0</v>
      </c>
    </row>
    <row r="15" spans="2:170" ht="20.100000000000001" customHeight="1" x14ac:dyDescent="0.2">
      <c r="B15" s="256" t="s">
        <v>929</v>
      </c>
      <c r="C15" s="261"/>
      <c r="D15" s="262"/>
      <c r="E15" s="262"/>
      <c r="F15" s="262"/>
      <c r="G15" s="262"/>
      <c r="H15" s="262"/>
      <c r="I15" s="262"/>
      <c r="J15" s="262"/>
      <c r="K15" s="262"/>
      <c r="L15" s="263"/>
      <c r="M15" s="738">
        <f>V14</f>
        <v>0</v>
      </c>
      <c r="N15" s="740"/>
      <c r="O15" s="207"/>
      <c r="P15" s="1072"/>
    </row>
    <row r="16" spans="2:170" ht="16.5" customHeight="1" x14ac:dyDescent="0.2">
      <c r="B16" s="749" t="s">
        <v>2020</v>
      </c>
      <c r="C16" s="697"/>
      <c r="D16" s="697"/>
      <c r="E16" s="697"/>
      <c r="F16" s="697"/>
      <c r="G16" s="697"/>
      <c r="H16" s="697"/>
      <c r="I16" s="697"/>
      <c r="J16" s="697"/>
      <c r="K16" s="697"/>
      <c r="L16" s="697"/>
      <c r="M16" s="697"/>
      <c r="N16" s="697"/>
      <c r="O16" s="1625"/>
      <c r="P16" s="1626">
        <f>V18</f>
        <v>0</v>
      </c>
      <c r="S16" s="146" t="s">
        <v>1284</v>
      </c>
      <c r="T16" s="13" t="s">
        <v>1285</v>
      </c>
      <c r="U16" s="662" t="s">
        <v>1286</v>
      </c>
      <c r="V16" s="13" t="s">
        <v>1287</v>
      </c>
    </row>
    <row r="17" spans="2:22" ht="12.75" customHeight="1" x14ac:dyDescent="0.2">
      <c r="B17" s="818"/>
      <c r="C17" s="697"/>
      <c r="D17" s="697"/>
      <c r="E17" s="697"/>
      <c r="F17" s="697"/>
      <c r="G17" s="697"/>
      <c r="H17" s="697"/>
      <c r="I17" s="697"/>
      <c r="J17" s="697"/>
      <c r="K17" s="697"/>
      <c r="L17" s="697"/>
      <c r="M17" s="697"/>
      <c r="N17" s="697"/>
      <c r="O17" s="1625"/>
      <c r="P17" s="1626"/>
      <c r="S17" s="389">
        <f>P4</f>
        <v>0</v>
      </c>
      <c r="T17" s="365">
        <f>LARGE($S$17:$S$19,1)</f>
        <v>0</v>
      </c>
      <c r="U17" s="402">
        <f>T17+T18*(1-T17)</f>
        <v>0</v>
      </c>
      <c r="V17" s="389">
        <f>ROUND(U17,2)</f>
        <v>0</v>
      </c>
    </row>
    <row r="18" spans="2:22" ht="14.25" customHeight="1" x14ac:dyDescent="0.2">
      <c r="B18" s="818"/>
      <c r="C18" s="697"/>
      <c r="D18" s="697"/>
      <c r="E18" s="697"/>
      <c r="F18" s="697"/>
      <c r="G18" s="697"/>
      <c r="H18" s="697"/>
      <c r="I18" s="697"/>
      <c r="J18" s="1044"/>
      <c r="K18" s="1044"/>
      <c r="L18" s="1044"/>
      <c r="M18" s="1044"/>
      <c r="N18" s="1044"/>
      <c r="O18" s="1428"/>
      <c r="P18" s="1626"/>
      <c r="S18" s="389">
        <f>P7</f>
        <v>0</v>
      </c>
      <c r="T18" s="365">
        <f>LARGE($S$17:$S$19,2)</f>
        <v>0</v>
      </c>
      <c r="U18" s="402">
        <f>V17+T19*(1-V17)</f>
        <v>0</v>
      </c>
      <c r="V18" s="389">
        <f>ROUND(U18,2)</f>
        <v>0</v>
      </c>
    </row>
    <row r="19" spans="2:22" ht="20.100000000000001" customHeight="1" x14ac:dyDescent="0.2">
      <c r="B19" s="818"/>
      <c r="C19" s="697"/>
      <c r="D19" s="697"/>
      <c r="E19" s="697"/>
      <c r="F19" s="697"/>
      <c r="G19" s="697"/>
      <c r="H19" s="697"/>
      <c r="I19" s="697"/>
      <c r="J19" s="1628" t="s">
        <v>930</v>
      </c>
      <c r="K19" s="1629"/>
      <c r="L19" s="1629"/>
      <c r="M19" s="1629"/>
      <c r="N19" s="1629"/>
      <c r="O19" s="1630"/>
      <c r="P19" s="1627"/>
      <c r="S19" s="389">
        <f>P11</f>
        <v>0</v>
      </c>
      <c r="T19" s="365">
        <f>LARGE($S$17:$S$19,3)</f>
        <v>0</v>
      </c>
    </row>
    <row r="20" spans="2:22" ht="30" customHeight="1" x14ac:dyDescent="0.25">
      <c r="B20" s="1037" t="s">
        <v>931</v>
      </c>
      <c r="C20" s="1037"/>
      <c r="D20" s="1037"/>
      <c r="E20" s="1037"/>
      <c r="F20" s="1037"/>
      <c r="G20" s="1037"/>
      <c r="H20" s="1037"/>
      <c r="I20" s="1037"/>
      <c r="J20" s="1037"/>
      <c r="K20" s="1037"/>
      <c r="L20" s="1037"/>
      <c r="M20" s="1037"/>
      <c r="N20" s="1037"/>
      <c r="O20" s="1037"/>
      <c r="P20" s="1037"/>
    </row>
    <row r="21" spans="2:22" ht="15" customHeight="1" x14ac:dyDescent="0.2">
      <c r="B21" s="244"/>
      <c r="C21" s="1294" t="str">
        <f>IF(U1&lt;&gt;"",U1,"")</f>
        <v>Go to PPD Worksheet</v>
      </c>
      <c r="D21" s="1294"/>
      <c r="E21" s="1294"/>
      <c r="F21" s="1294"/>
      <c r="G21" s="1294"/>
      <c r="H21" s="1294"/>
      <c r="I21" s="1464" t="str">
        <f>IF(T1&lt;&gt;"",T1,"")</f>
        <v/>
      </c>
      <c r="J21" s="1464"/>
      <c r="K21" s="1464"/>
      <c r="L21" s="1464"/>
      <c r="M21" s="1464"/>
      <c r="N21" s="1464"/>
    </row>
    <row r="24" spans="2:22" hidden="1" x14ac:dyDescent="0.2">
      <c r="B24" s="2">
        <v>0.01</v>
      </c>
      <c r="C24" s="2">
        <v>0.99</v>
      </c>
    </row>
  </sheetData>
  <sheetProtection sheet="1" objects="1" scenarios="1"/>
  <mergeCells count="22">
    <mergeCell ref="M15:N15"/>
    <mergeCell ref="P11:P15"/>
    <mergeCell ref="C21:H21"/>
    <mergeCell ref="I21:N21"/>
    <mergeCell ref="B20:P20"/>
    <mergeCell ref="B16:B19"/>
    <mergeCell ref="C16:I19"/>
    <mergeCell ref="J16:O18"/>
    <mergeCell ref="P16:P19"/>
    <mergeCell ref="J19:O19"/>
    <mergeCell ref="U12:U14"/>
    <mergeCell ref="E1:K1"/>
    <mergeCell ref="M1:P1"/>
    <mergeCell ref="B2:P2"/>
    <mergeCell ref="B3:P3"/>
    <mergeCell ref="M10:N10"/>
    <mergeCell ref="P4:P6"/>
    <mergeCell ref="M6:N6"/>
    <mergeCell ref="M4:O4"/>
    <mergeCell ref="M5:N5"/>
    <mergeCell ref="B7:L7"/>
    <mergeCell ref="P7:P10"/>
  </mergeCells>
  <phoneticPr fontId="0" type="noConversion"/>
  <dataValidations xWindow="618" yWindow="120" count="1">
    <dataValidation type="decimal" allowBlank="1" showInputMessage="1" showErrorMessage="1" promptTitle="Apportionment (if any)" prompt="Enter percentage of impairment caused by the injury or illness. See OAR 436-035-0013." sqref="O6 O10 O15" xr:uid="{00000000-0002-0000-1600-000000000000}">
      <formula1>$B$24</formula1>
      <formula2>$C$24</formula2>
    </dataValidation>
  </dataValidations>
  <hyperlinks>
    <hyperlink ref="I21:N21" location="'PPD DOI on or after 2005'!A1" display="'PPD DOI on or after 2005'!A1" xr:uid="{00000000-0004-0000-1600-000000000000}"/>
    <hyperlink ref="C21:H21" location="'PPD DOI before 2005'!A1" display="'PPD DOI before 2005'!A1" xr:uid="{00000000-0004-0000-16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32800" r:id="rId4">
          <objectPr locked="0" defaultSize="0" autoPict="0" r:id="rId5">
            <anchor moveWithCells="1">
              <from>
                <xdr:col>2</xdr:col>
                <xdr:colOff>19050</xdr:colOff>
                <xdr:row>15</xdr:row>
                <xdr:rowOff>9525</xdr:rowOff>
              </from>
              <to>
                <xdr:col>6</xdr:col>
                <xdr:colOff>161925</xdr:colOff>
                <xdr:row>18</xdr:row>
                <xdr:rowOff>200025</xdr:rowOff>
              </to>
            </anchor>
          </objectPr>
        </oleObject>
      </mc:Choice>
      <mc:Fallback>
        <oleObject progId="Document" dvAspect="DVASPECT_ICON" shapeId="32800" r:id="rId4"/>
      </mc:Fallback>
    </mc:AlternateContent>
  </oleObjects>
  <mc:AlternateContent xmlns:mc="http://schemas.openxmlformats.org/markup-compatibility/2006">
    <mc:Choice Requires="x14">
      <controls>
        <mc:AlternateContent xmlns:mc="http://schemas.openxmlformats.org/markup-compatibility/2006">
          <mc:Choice Requires="x14">
            <control shapeId="32787" r:id="rId6" name="Option Button 19">
              <controlPr defaultSize="0" autoFill="0" autoLine="0" autoPict="0">
                <anchor moveWithCells="1" sizeWithCells="1">
                  <from>
                    <xdr:col>11</xdr:col>
                    <xdr:colOff>152400</xdr:colOff>
                    <xdr:row>10</xdr:row>
                    <xdr:rowOff>19050</xdr:rowOff>
                  </from>
                  <to>
                    <xdr:col>11</xdr:col>
                    <xdr:colOff>504825</xdr:colOff>
                    <xdr:row>10</xdr:row>
                    <xdr:rowOff>257175</xdr:rowOff>
                  </to>
                </anchor>
              </controlPr>
            </control>
          </mc:Choice>
        </mc:AlternateContent>
        <mc:AlternateContent xmlns:mc="http://schemas.openxmlformats.org/markup-compatibility/2006">
          <mc:Choice Requires="x14">
            <control shapeId="32789" r:id="rId7" name="Group Box 21">
              <controlPr defaultSize="0" autoFill="0" autoPict="0">
                <anchor moveWithCells="1" sizeWithCells="1">
                  <from>
                    <xdr:col>1</xdr:col>
                    <xdr:colOff>0</xdr:colOff>
                    <xdr:row>10</xdr:row>
                    <xdr:rowOff>0</xdr:rowOff>
                  </from>
                  <to>
                    <xdr:col>12</xdr:col>
                    <xdr:colOff>0</xdr:colOff>
                    <xdr:row>15</xdr:row>
                    <xdr:rowOff>0</xdr:rowOff>
                  </to>
                </anchor>
              </controlPr>
            </control>
          </mc:Choice>
        </mc:AlternateContent>
        <mc:AlternateContent xmlns:mc="http://schemas.openxmlformats.org/markup-compatibility/2006">
          <mc:Choice Requires="x14">
            <control shapeId="32790" r:id="rId8" name="Option Button 22">
              <controlPr defaultSize="0" autoFill="0" autoLine="0" autoPict="0">
                <anchor moveWithCells="1" sizeWithCells="1">
                  <from>
                    <xdr:col>2</xdr:col>
                    <xdr:colOff>38100</xdr:colOff>
                    <xdr:row>10</xdr:row>
                    <xdr:rowOff>304800</xdr:rowOff>
                  </from>
                  <to>
                    <xdr:col>5</xdr:col>
                    <xdr:colOff>66675</xdr:colOff>
                    <xdr:row>11</xdr:row>
                    <xdr:rowOff>200025</xdr:rowOff>
                  </to>
                </anchor>
              </controlPr>
            </control>
          </mc:Choice>
        </mc:AlternateContent>
        <mc:AlternateContent xmlns:mc="http://schemas.openxmlformats.org/markup-compatibility/2006">
          <mc:Choice Requires="x14">
            <control shapeId="32791" r:id="rId9" name="Option Button 23">
              <controlPr defaultSize="0" autoFill="0" autoLine="0" autoPict="0">
                <anchor moveWithCells="1" sizeWithCells="1">
                  <from>
                    <xdr:col>5</xdr:col>
                    <xdr:colOff>238125</xdr:colOff>
                    <xdr:row>10</xdr:row>
                    <xdr:rowOff>304800</xdr:rowOff>
                  </from>
                  <to>
                    <xdr:col>8</xdr:col>
                    <xdr:colOff>85725</xdr:colOff>
                    <xdr:row>11</xdr:row>
                    <xdr:rowOff>200025</xdr:rowOff>
                  </to>
                </anchor>
              </controlPr>
            </control>
          </mc:Choice>
        </mc:AlternateContent>
        <mc:AlternateContent xmlns:mc="http://schemas.openxmlformats.org/markup-compatibility/2006">
          <mc:Choice Requires="x14">
            <control shapeId="32792" r:id="rId10" name="Option Button 24">
              <controlPr defaultSize="0" autoFill="0" autoLine="0" autoPict="0">
                <anchor moveWithCells="1" sizeWithCells="1">
                  <from>
                    <xdr:col>9</xdr:col>
                    <xdr:colOff>9525</xdr:colOff>
                    <xdr:row>10</xdr:row>
                    <xdr:rowOff>304800</xdr:rowOff>
                  </from>
                  <to>
                    <xdr:col>11</xdr:col>
                    <xdr:colOff>228600</xdr:colOff>
                    <xdr:row>11</xdr:row>
                    <xdr:rowOff>200025</xdr:rowOff>
                  </to>
                </anchor>
              </controlPr>
            </control>
          </mc:Choice>
        </mc:AlternateContent>
        <mc:AlternateContent xmlns:mc="http://schemas.openxmlformats.org/markup-compatibility/2006">
          <mc:Choice Requires="x14">
            <control shapeId="32793" r:id="rId11" name="Option Button 25">
              <controlPr defaultSize="0" autoFill="0" autoLine="0" autoPict="0">
                <anchor moveWithCells="1" sizeWithCells="1">
                  <from>
                    <xdr:col>2</xdr:col>
                    <xdr:colOff>38100</xdr:colOff>
                    <xdr:row>11</xdr:row>
                    <xdr:rowOff>209550</xdr:rowOff>
                  </from>
                  <to>
                    <xdr:col>5</xdr:col>
                    <xdr:colOff>66675</xdr:colOff>
                    <xdr:row>12</xdr:row>
                    <xdr:rowOff>200025</xdr:rowOff>
                  </to>
                </anchor>
              </controlPr>
            </control>
          </mc:Choice>
        </mc:AlternateContent>
        <mc:AlternateContent xmlns:mc="http://schemas.openxmlformats.org/markup-compatibility/2006">
          <mc:Choice Requires="x14">
            <control shapeId="32794" r:id="rId12" name="Option Button 26">
              <controlPr defaultSize="0" autoFill="0" autoLine="0" autoPict="0">
                <anchor moveWithCells="1" sizeWithCells="1">
                  <from>
                    <xdr:col>5</xdr:col>
                    <xdr:colOff>238125</xdr:colOff>
                    <xdr:row>11</xdr:row>
                    <xdr:rowOff>209550</xdr:rowOff>
                  </from>
                  <to>
                    <xdr:col>8</xdr:col>
                    <xdr:colOff>85725</xdr:colOff>
                    <xdr:row>12</xdr:row>
                    <xdr:rowOff>200025</xdr:rowOff>
                  </to>
                </anchor>
              </controlPr>
            </control>
          </mc:Choice>
        </mc:AlternateContent>
        <mc:AlternateContent xmlns:mc="http://schemas.openxmlformats.org/markup-compatibility/2006">
          <mc:Choice Requires="x14">
            <control shapeId="32795" r:id="rId13" name="Option Button 27">
              <controlPr defaultSize="0" autoFill="0" autoLine="0" autoPict="0">
                <anchor moveWithCells="1" sizeWithCells="1">
                  <from>
                    <xdr:col>9</xdr:col>
                    <xdr:colOff>9525</xdr:colOff>
                    <xdr:row>11</xdr:row>
                    <xdr:rowOff>209550</xdr:rowOff>
                  </from>
                  <to>
                    <xdr:col>11</xdr:col>
                    <xdr:colOff>228600</xdr:colOff>
                    <xdr:row>12</xdr:row>
                    <xdr:rowOff>200025</xdr:rowOff>
                  </to>
                </anchor>
              </controlPr>
            </control>
          </mc:Choice>
        </mc:AlternateContent>
        <mc:AlternateContent xmlns:mc="http://schemas.openxmlformats.org/markup-compatibility/2006">
          <mc:Choice Requires="x14">
            <control shapeId="32796" r:id="rId14" name="Option Button 28">
              <controlPr defaultSize="0" autoFill="0" autoLine="0" autoPict="0">
                <anchor moveWithCells="1" sizeWithCells="1">
                  <from>
                    <xdr:col>2</xdr:col>
                    <xdr:colOff>38100</xdr:colOff>
                    <xdr:row>12</xdr:row>
                    <xdr:rowOff>228600</xdr:rowOff>
                  </from>
                  <to>
                    <xdr:col>5</xdr:col>
                    <xdr:colOff>66675</xdr:colOff>
                    <xdr:row>13</xdr:row>
                    <xdr:rowOff>219075</xdr:rowOff>
                  </to>
                </anchor>
              </controlPr>
            </control>
          </mc:Choice>
        </mc:AlternateContent>
        <mc:AlternateContent xmlns:mc="http://schemas.openxmlformats.org/markup-compatibility/2006">
          <mc:Choice Requires="x14">
            <control shapeId="32797" r:id="rId15" name="Option Button 29">
              <controlPr defaultSize="0" autoFill="0" autoLine="0" autoPict="0">
                <anchor moveWithCells="1" sizeWithCells="1">
                  <from>
                    <xdr:col>5</xdr:col>
                    <xdr:colOff>238125</xdr:colOff>
                    <xdr:row>12</xdr:row>
                    <xdr:rowOff>228600</xdr:rowOff>
                  </from>
                  <to>
                    <xdr:col>8</xdr:col>
                    <xdr:colOff>85725</xdr:colOff>
                    <xdr:row>13</xdr:row>
                    <xdr:rowOff>219075</xdr:rowOff>
                  </to>
                </anchor>
              </controlPr>
            </control>
          </mc:Choice>
        </mc:AlternateContent>
        <mc:AlternateContent xmlns:mc="http://schemas.openxmlformats.org/markup-compatibility/2006">
          <mc:Choice Requires="x14">
            <control shapeId="32798" r:id="rId16" name="Option Button 30">
              <controlPr defaultSize="0" autoFill="0" autoLine="0" autoPict="0">
                <anchor moveWithCells="1" sizeWithCells="1">
                  <from>
                    <xdr:col>9</xdr:col>
                    <xdr:colOff>9525</xdr:colOff>
                    <xdr:row>12</xdr:row>
                    <xdr:rowOff>228600</xdr:rowOff>
                  </from>
                  <to>
                    <xdr:col>11</xdr:col>
                    <xdr:colOff>228600</xdr:colOff>
                    <xdr:row>13</xdr:row>
                    <xdr:rowOff>219075</xdr:rowOff>
                  </to>
                </anchor>
              </controlPr>
            </control>
          </mc:Choice>
        </mc:AlternateContent>
        <mc:AlternateContent xmlns:mc="http://schemas.openxmlformats.org/markup-compatibility/2006">
          <mc:Choice Requires="x14">
            <control shapeId="32799" r:id="rId17" name="Option Button 31">
              <controlPr defaultSize="0" autoFill="0" autoLine="0" autoPict="0">
                <anchor moveWithCells="1" sizeWithCells="1">
                  <from>
                    <xdr:col>2</xdr:col>
                    <xdr:colOff>38100</xdr:colOff>
                    <xdr:row>14</xdr:row>
                    <xdr:rowOff>0</xdr:rowOff>
                  </from>
                  <to>
                    <xdr:col>8</xdr:col>
                    <xdr:colOff>9525</xdr:colOff>
                    <xdr:row>14</xdr:row>
                    <xdr:rowOff>238125</xdr:rowOff>
                  </to>
                </anchor>
              </controlPr>
            </control>
          </mc:Choice>
        </mc:AlternateContent>
        <mc:AlternateContent xmlns:mc="http://schemas.openxmlformats.org/markup-compatibility/2006">
          <mc:Choice Requires="x14">
            <control shapeId="32778" r:id="rId18" name="Option Button 10">
              <controlPr defaultSize="0" autoFill="0" autoLine="0" autoPict="0">
                <anchor moveWithCells="1" sizeWithCells="1">
                  <from>
                    <xdr:col>11</xdr:col>
                    <xdr:colOff>161925</xdr:colOff>
                    <xdr:row>6</xdr:row>
                    <xdr:rowOff>19050</xdr:rowOff>
                  </from>
                  <to>
                    <xdr:col>11</xdr:col>
                    <xdr:colOff>523875</xdr:colOff>
                    <xdr:row>6</xdr:row>
                    <xdr:rowOff>257175</xdr:rowOff>
                  </to>
                </anchor>
              </controlPr>
            </control>
          </mc:Choice>
        </mc:AlternateContent>
        <mc:AlternateContent xmlns:mc="http://schemas.openxmlformats.org/markup-compatibility/2006">
          <mc:Choice Requires="x14">
            <control shapeId="32780" r:id="rId19" name="Group Box 12">
              <controlPr defaultSize="0" autoFill="0" autoPict="0">
                <anchor moveWithCells="1" sizeWithCells="1">
                  <from>
                    <xdr:col>1</xdr:col>
                    <xdr:colOff>0</xdr:colOff>
                    <xdr:row>6</xdr:row>
                    <xdr:rowOff>0</xdr:rowOff>
                  </from>
                  <to>
                    <xdr:col>12</xdr:col>
                    <xdr:colOff>0</xdr:colOff>
                    <xdr:row>10</xdr:row>
                    <xdr:rowOff>0</xdr:rowOff>
                  </to>
                </anchor>
              </controlPr>
            </control>
          </mc:Choice>
        </mc:AlternateContent>
        <mc:AlternateContent xmlns:mc="http://schemas.openxmlformats.org/markup-compatibility/2006">
          <mc:Choice Requires="x14">
            <control shapeId="32781" r:id="rId20" name="Option Button 13">
              <controlPr defaultSize="0" autoFill="0" autoLine="0" autoPict="0">
                <anchor moveWithCells="1" sizeWithCells="1">
                  <from>
                    <xdr:col>2</xdr:col>
                    <xdr:colOff>38100</xdr:colOff>
                    <xdr:row>7</xdr:row>
                    <xdr:rowOff>219075</xdr:rowOff>
                  </from>
                  <to>
                    <xdr:col>5</xdr:col>
                    <xdr:colOff>66675</xdr:colOff>
                    <xdr:row>8</xdr:row>
                    <xdr:rowOff>209550</xdr:rowOff>
                  </to>
                </anchor>
              </controlPr>
            </control>
          </mc:Choice>
        </mc:AlternateContent>
        <mc:AlternateContent xmlns:mc="http://schemas.openxmlformats.org/markup-compatibility/2006">
          <mc:Choice Requires="x14">
            <control shapeId="32782" r:id="rId21" name="Option Button 14">
              <controlPr defaultSize="0" autoFill="0" autoLine="0" autoPict="0">
                <anchor moveWithCells="1" sizeWithCells="1">
                  <from>
                    <xdr:col>5</xdr:col>
                    <xdr:colOff>238125</xdr:colOff>
                    <xdr:row>7</xdr:row>
                    <xdr:rowOff>219075</xdr:rowOff>
                  </from>
                  <to>
                    <xdr:col>8</xdr:col>
                    <xdr:colOff>85725</xdr:colOff>
                    <xdr:row>8</xdr:row>
                    <xdr:rowOff>209550</xdr:rowOff>
                  </to>
                </anchor>
              </controlPr>
            </control>
          </mc:Choice>
        </mc:AlternateContent>
        <mc:AlternateContent xmlns:mc="http://schemas.openxmlformats.org/markup-compatibility/2006">
          <mc:Choice Requires="x14">
            <control shapeId="32783" r:id="rId22" name="Option Button 15">
              <controlPr defaultSize="0" autoFill="0" autoLine="0" autoPict="0">
                <anchor moveWithCells="1" sizeWithCells="1">
                  <from>
                    <xdr:col>9</xdr:col>
                    <xdr:colOff>9525</xdr:colOff>
                    <xdr:row>7</xdr:row>
                    <xdr:rowOff>219075</xdr:rowOff>
                  </from>
                  <to>
                    <xdr:col>11</xdr:col>
                    <xdr:colOff>228600</xdr:colOff>
                    <xdr:row>8</xdr:row>
                    <xdr:rowOff>209550</xdr:rowOff>
                  </to>
                </anchor>
              </controlPr>
            </control>
          </mc:Choice>
        </mc:AlternateContent>
        <mc:AlternateContent xmlns:mc="http://schemas.openxmlformats.org/markup-compatibility/2006">
          <mc:Choice Requires="x14">
            <control shapeId="32784" r:id="rId23" name="Option Button 16">
              <controlPr defaultSize="0" autoFill="0" autoLine="0" autoPict="0">
                <anchor moveWithCells="1" sizeWithCells="1">
                  <from>
                    <xdr:col>2</xdr:col>
                    <xdr:colOff>38100</xdr:colOff>
                    <xdr:row>8</xdr:row>
                    <xdr:rowOff>247650</xdr:rowOff>
                  </from>
                  <to>
                    <xdr:col>5</xdr:col>
                    <xdr:colOff>66675</xdr:colOff>
                    <xdr:row>9</xdr:row>
                    <xdr:rowOff>238125</xdr:rowOff>
                  </to>
                </anchor>
              </controlPr>
            </control>
          </mc:Choice>
        </mc:AlternateContent>
        <mc:AlternateContent xmlns:mc="http://schemas.openxmlformats.org/markup-compatibility/2006">
          <mc:Choice Requires="x14">
            <control shapeId="32785" r:id="rId24" name="Option Button 17">
              <controlPr defaultSize="0" autoFill="0" autoLine="0" autoPict="0">
                <anchor moveWithCells="1" sizeWithCells="1">
                  <from>
                    <xdr:col>5</xdr:col>
                    <xdr:colOff>238125</xdr:colOff>
                    <xdr:row>8</xdr:row>
                    <xdr:rowOff>247650</xdr:rowOff>
                  </from>
                  <to>
                    <xdr:col>8</xdr:col>
                    <xdr:colOff>85725</xdr:colOff>
                    <xdr:row>9</xdr:row>
                    <xdr:rowOff>238125</xdr:rowOff>
                  </to>
                </anchor>
              </controlPr>
            </control>
          </mc:Choice>
        </mc:AlternateContent>
        <mc:AlternateContent xmlns:mc="http://schemas.openxmlformats.org/markup-compatibility/2006">
          <mc:Choice Requires="x14">
            <control shapeId="32786" r:id="rId25" name="Option Button 18">
              <controlPr defaultSize="0" autoFill="0" autoLine="0" autoPict="0">
                <anchor moveWithCells="1" sizeWithCells="1">
                  <from>
                    <xdr:col>9</xdr:col>
                    <xdr:colOff>9525</xdr:colOff>
                    <xdr:row>8</xdr:row>
                    <xdr:rowOff>247650</xdr:rowOff>
                  </from>
                  <to>
                    <xdr:col>11</xdr:col>
                    <xdr:colOff>228600</xdr:colOff>
                    <xdr:row>9</xdr:row>
                    <xdr:rowOff>238125</xdr:rowOff>
                  </to>
                </anchor>
              </controlPr>
            </control>
          </mc:Choice>
        </mc:AlternateContent>
        <mc:AlternateContent xmlns:mc="http://schemas.openxmlformats.org/markup-compatibility/2006">
          <mc:Choice Requires="x14">
            <control shapeId="32801" r:id="rId26" name="Option Button 33">
              <controlPr defaultSize="0" autoFill="0" autoLine="0" autoPict="0">
                <anchor moveWithCells="1" sizeWithCells="1">
                  <from>
                    <xdr:col>2</xdr:col>
                    <xdr:colOff>38100</xdr:colOff>
                    <xdr:row>6</xdr:row>
                    <xdr:rowOff>304800</xdr:rowOff>
                  </from>
                  <to>
                    <xdr:col>9</xdr:col>
                    <xdr:colOff>47625</xdr:colOff>
                    <xdr:row>7</xdr:row>
                    <xdr:rowOff>200025</xdr:rowOff>
                  </to>
                </anchor>
              </controlPr>
            </control>
          </mc:Choice>
        </mc:AlternateContent>
        <mc:AlternateContent xmlns:mc="http://schemas.openxmlformats.org/markup-compatibility/2006">
          <mc:Choice Requires="x14">
            <control shapeId="32769" r:id="rId27" name="Option Button 1">
              <controlPr defaultSize="0" autoFill="0" autoLine="0" autoPict="0">
                <anchor moveWithCells="1" sizeWithCells="1">
                  <from>
                    <xdr:col>11</xdr:col>
                    <xdr:colOff>133350</xdr:colOff>
                    <xdr:row>3</xdr:row>
                    <xdr:rowOff>28575</xdr:rowOff>
                  </from>
                  <to>
                    <xdr:col>11</xdr:col>
                    <xdr:colOff>504825</xdr:colOff>
                    <xdr:row>3</xdr:row>
                    <xdr:rowOff>247650</xdr:rowOff>
                  </to>
                </anchor>
              </controlPr>
            </control>
          </mc:Choice>
        </mc:AlternateContent>
        <mc:AlternateContent xmlns:mc="http://schemas.openxmlformats.org/markup-compatibility/2006">
          <mc:Choice Requires="x14">
            <control shapeId="32771" r:id="rId28" name="Group Box 3">
              <controlPr defaultSize="0" autoFill="0" autoPict="0">
                <anchor moveWithCells="1" sizeWithCells="1">
                  <from>
                    <xdr:col>1</xdr:col>
                    <xdr:colOff>0</xdr:colOff>
                    <xdr:row>3</xdr:row>
                    <xdr:rowOff>0</xdr:rowOff>
                  </from>
                  <to>
                    <xdr:col>12</xdr:col>
                    <xdr:colOff>0</xdr:colOff>
                    <xdr:row>6</xdr:row>
                    <xdr:rowOff>0</xdr:rowOff>
                  </to>
                </anchor>
              </controlPr>
            </control>
          </mc:Choice>
        </mc:AlternateContent>
        <mc:AlternateContent xmlns:mc="http://schemas.openxmlformats.org/markup-compatibility/2006">
          <mc:Choice Requires="x14">
            <control shapeId="32772" r:id="rId29" name="Option Button 4">
              <controlPr defaultSize="0" autoFill="0" autoLine="0" autoPict="0">
                <anchor moveWithCells="1" sizeWithCells="1">
                  <from>
                    <xdr:col>2</xdr:col>
                    <xdr:colOff>38100</xdr:colOff>
                    <xdr:row>4</xdr:row>
                    <xdr:rowOff>19050</xdr:rowOff>
                  </from>
                  <to>
                    <xdr:col>5</xdr:col>
                    <xdr:colOff>66675</xdr:colOff>
                    <xdr:row>4</xdr:row>
                    <xdr:rowOff>238125</xdr:rowOff>
                  </to>
                </anchor>
              </controlPr>
            </control>
          </mc:Choice>
        </mc:AlternateContent>
        <mc:AlternateContent xmlns:mc="http://schemas.openxmlformats.org/markup-compatibility/2006">
          <mc:Choice Requires="x14">
            <control shapeId="32773" r:id="rId30" name="Option Button 5">
              <controlPr defaultSize="0" autoFill="0" autoLine="0" autoPict="0">
                <anchor moveWithCells="1" sizeWithCells="1">
                  <from>
                    <xdr:col>5</xdr:col>
                    <xdr:colOff>238125</xdr:colOff>
                    <xdr:row>4</xdr:row>
                    <xdr:rowOff>19050</xdr:rowOff>
                  </from>
                  <to>
                    <xdr:col>8</xdr:col>
                    <xdr:colOff>76200</xdr:colOff>
                    <xdr:row>4</xdr:row>
                    <xdr:rowOff>238125</xdr:rowOff>
                  </to>
                </anchor>
              </controlPr>
            </control>
          </mc:Choice>
        </mc:AlternateContent>
        <mc:AlternateContent xmlns:mc="http://schemas.openxmlformats.org/markup-compatibility/2006">
          <mc:Choice Requires="x14">
            <control shapeId="32774" r:id="rId31" name="Option Button 6">
              <controlPr defaultSize="0" autoFill="0" autoLine="0" autoPict="0">
                <anchor moveWithCells="1" sizeWithCells="1">
                  <from>
                    <xdr:col>9</xdr:col>
                    <xdr:colOff>0</xdr:colOff>
                    <xdr:row>4</xdr:row>
                    <xdr:rowOff>19050</xdr:rowOff>
                  </from>
                  <to>
                    <xdr:col>11</xdr:col>
                    <xdr:colOff>219075</xdr:colOff>
                    <xdr:row>4</xdr:row>
                    <xdr:rowOff>238125</xdr:rowOff>
                  </to>
                </anchor>
              </controlPr>
            </control>
          </mc:Choice>
        </mc:AlternateContent>
        <mc:AlternateContent xmlns:mc="http://schemas.openxmlformats.org/markup-compatibility/2006">
          <mc:Choice Requires="x14">
            <control shapeId="32775" r:id="rId32" name="Option Button 7">
              <controlPr defaultSize="0" autoFill="0" autoLine="0" autoPict="0">
                <anchor moveWithCells="1" sizeWithCells="1">
                  <from>
                    <xdr:col>2</xdr:col>
                    <xdr:colOff>38100</xdr:colOff>
                    <xdr:row>5</xdr:row>
                    <xdr:rowOff>19050</xdr:rowOff>
                  </from>
                  <to>
                    <xdr:col>5</xdr:col>
                    <xdr:colOff>66675</xdr:colOff>
                    <xdr:row>5</xdr:row>
                    <xdr:rowOff>238125</xdr:rowOff>
                  </to>
                </anchor>
              </controlPr>
            </control>
          </mc:Choice>
        </mc:AlternateContent>
        <mc:AlternateContent xmlns:mc="http://schemas.openxmlformats.org/markup-compatibility/2006">
          <mc:Choice Requires="x14">
            <control shapeId="32776" r:id="rId33" name="Option Button 8">
              <controlPr defaultSize="0" autoFill="0" autoLine="0" autoPict="0">
                <anchor moveWithCells="1" sizeWithCells="1">
                  <from>
                    <xdr:col>5</xdr:col>
                    <xdr:colOff>238125</xdr:colOff>
                    <xdr:row>5</xdr:row>
                    <xdr:rowOff>19050</xdr:rowOff>
                  </from>
                  <to>
                    <xdr:col>8</xdr:col>
                    <xdr:colOff>76200</xdr:colOff>
                    <xdr:row>5</xdr:row>
                    <xdr:rowOff>238125</xdr:rowOff>
                  </to>
                </anchor>
              </controlPr>
            </control>
          </mc:Choice>
        </mc:AlternateContent>
        <mc:AlternateContent xmlns:mc="http://schemas.openxmlformats.org/markup-compatibility/2006">
          <mc:Choice Requires="x14">
            <control shapeId="32777" r:id="rId34" name="Option Button 9">
              <controlPr defaultSize="0" autoFill="0" autoLine="0" autoPict="0">
                <anchor moveWithCells="1" sizeWithCells="1">
                  <from>
                    <xdr:col>9</xdr:col>
                    <xdr:colOff>0</xdr:colOff>
                    <xdr:row>5</xdr:row>
                    <xdr:rowOff>19050</xdr:rowOff>
                  </from>
                  <to>
                    <xdr:col>11</xdr:col>
                    <xdr:colOff>219075</xdr:colOff>
                    <xdr:row>5</xdr:row>
                    <xdr:rowOff>238125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FN26"/>
  <sheetViews>
    <sheetView showGridLines="0" zoomScale="120" zoomScaleNormal="120" workbookViewId="0"/>
  </sheetViews>
  <sheetFormatPr defaultColWidth="2.28515625" defaultRowHeight="12.75" x14ac:dyDescent="0.2"/>
  <cols>
    <col min="1" max="1" width="1.42578125" style="2" customWidth="1"/>
    <col min="2" max="2" width="18" style="2" customWidth="1"/>
    <col min="3" max="3" width="2.5703125" style="2" customWidth="1"/>
    <col min="4" max="4" width="2.28515625" style="2" customWidth="1"/>
    <col min="5" max="13" width="3.85546875" style="2" customWidth="1"/>
    <col min="14" max="14" width="4.85546875" style="2" customWidth="1"/>
    <col min="15" max="15" width="14.85546875" style="2" customWidth="1"/>
    <col min="16" max="16" width="9.5703125" style="2" customWidth="1"/>
    <col min="17" max="17" width="1.28515625" style="2" customWidth="1"/>
    <col min="18" max="18" width="18.5703125" style="2" hidden="1" customWidth="1"/>
    <col min="19" max="19" width="9" style="2" hidden="1" customWidth="1"/>
    <col min="20" max="20" width="11" style="2" hidden="1" customWidth="1"/>
    <col min="21" max="21" width="10.140625" style="2" hidden="1" customWidth="1"/>
    <col min="22" max="22" width="8.42578125" style="2" hidden="1" customWidth="1"/>
    <col min="23" max="23" width="8.7109375" style="2" hidden="1" customWidth="1"/>
    <col min="24" max="24" width="8.140625" style="2" hidden="1" customWidth="1"/>
    <col min="25" max="130" width="2.28515625" style="2" hidden="1" customWidth="1"/>
    <col min="131" max="255" width="2.28515625" style="2" customWidth="1"/>
    <col min="256" max="16384" width="2.28515625" style="2"/>
  </cols>
  <sheetData>
    <row r="1" spans="2:170" ht="15" customHeight="1" x14ac:dyDescent="0.2">
      <c r="B1" s="10" t="s">
        <v>1697</v>
      </c>
      <c r="E1" s="732" t="str">
        <f>IF('Start here'!A6="","",'Start here'!A6)</f>
        <v/>
      </c>
      <c r="F1" s="736"/>
      <c r="G1" s="736"/>
      <c r="H1" s="736"/>
      <c r="I1" s="736"/>
      <c r="J1" s="736"/>
      <c r="K1" s="737"/>
      <c r="M1" s="732" t="str">
        <f>IF('Start here'!A7="","",'Start here'!A7)</f>
        <v/>
      </c>
      <c r="N1" s="736"/>
      <c r="O1" s="736"/>
      <c r="P1" s="737"/>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2">
      <c r="B2" s="777"/>
      <c r="C2" s="777"/>
      <c r="D2" s="777"/>
      <c r="E2" s="777"/>
      <c r="F2" s="777"/>
      <c r="G2" s="777"/>
      <c r="H2" s="777"/>
      <c r="I2" s="777"/>
      <c r="J2" s="777"/>
      <c r="K2" s="777"/>
      <c r="L2" s="777"/>
      <c r="M2" s="777"/>
      <c r="N2" s="777"/>
      <c r="O2" s="777"/>
      <c r="P2" s="777"/>
    </row>
    <row r="3" spans="2:170" ht="24" customHeight="1" x14ac:dyDescent="0.3">
      <c r="B3" s="905" t="s">
        <v>1308</v>
      </c>
      <c r="C3" s="905"/>
      <c r="D3" s="905"/>
      <c r="E3" s="905"/>
      <c r="F3" s="905"/>
      <c r="G3" s="905"/>
      <c r="H3" s="905"/>
      <c r="I3" s="905"/>
      <c r="J3" s="905"/>
      <c r="K3" s="905"/>
      <c r="L3" s="905"/>
      <c r="M3" s="905"/>
      <c r="N3" s="905"/>
      <c r="O3" s="905"/>
      <c r="P3" s="905"/>
    </row>
    <row r="4" spans="2:170" ht="21" customHeight="1" x14ac:dyDescent="0.2">
      <c r="B4" s="411" t="s">
        <v>120</v>
      </c>
      <c r="C4" s="1641"/>
      <c r="D4" s="1642"/>
      <c r="E4" s="761" t="s">
        <v>1262</v>
      </c>
      <c r="F4" s="761"/>
      <c r="G4" s="761"/>
      <c r="H4" s="761"/>
      <c r="I4" s="761"/>
      <c r="J4" s="761"/>
      <c r="K4" s="761"/>
      <c r="L4" s="761"/>
      <c r="M4" s="761"/>
      <c r="N4" s="761"/>
      <c r="O4" s="761"/>
      <c r="P4" s="929">
        <f>IF(S5=3,0.3,IF(S5=4,0.7,IF(S5=5,0.85,0)))</f>
        <v>0</v>
      </c>
    </row>
    <row r="5" spans="2:170" ht="45.75" customHeight="1" x14ac:dyDescent="0.2">
      <c r="B5" s="415"/>
      <c r="C5" s="1643"/>
      <c r="D5" s="1644"/>
      <c r="E5" s="756" t="s">
        <v>2022</v>
      </c>
      <c r="F5" s="757"/>
      <c r="G5" s="757"/>
      <c r="H5" s="757"/>
      <c r="I5" s="757"/>
      <c r="J5" s="757"/>
      <c r="K5" s="757"/>
      <c r="L5" s="757"/>
      <c r="M5" s="757"/>
      <c r="N5" s="757"/>
      <c r="O5" s="758"/>
      <c r="P5" s="1071"/>
      <c r="R5" s="146" t="s">
        <v>2236</v>
      </c>
      <c r="S5" s="547">
        <v>1</v>
      </c>
    </row>
    <row r="6" spans="2:170" ht="40.5" customHeight="1" x14ac:dyDescent="0.2">
      <c r="B6" s="415"/>
      <c r="C6" s="1643"/>
      <c r="D6" s="1644"/>
      <c r="E6" s="756" t="s">
        <v>2021</v>
      </c>
      <c r="F6" s="757"/>
      <c r="G6" s="757"/>
      <c r="H6" s="757"/>
      <c r="I6" s="757"/>
      <c r="J6" s="757"/>
      <c r="K6" s="757"/>
      <c r="L6" s="757"/>
      <c r="M6" s="757"/>
      <c r="N6" s="757"/>
      <c r="O6" s="758"/>
      <c r="P6" s="1071"/>
    </row>
    <row r="7" spans="2:170" ht="65.25" customHeight="1" x14ac:dyDescent="0.2">
      <c r="B7" s="415"/>
      <c r="C7" s="1643"/>
      <c r="D7" s="1644"/>
      <c r="E7" s="756" t="s">
        <v>2024</v>
      </c>
      <c r="F7" s="757"/>
      <c r="G7" s="757"/>
      <c r="H7" s="757"/>
      <c r="I7" s="757"/>
      <c r="J7" s="757"/>
      <c r="K7" s="757"/>
      <c r="L7" s="757"/>
      <c r="M7" s="757"/>
      <c r="N7" s="757"/>
      <c r="O7" s="758"/>
      <c r="P7" s="1071"/>
    </row>
    <row r="8" spans="2:170" ht="66" customHeight="1" x14ac:dyDescent="0.2">
      <c r="B8" s="425"/>
      <c r="C8" s="1645"/>
      <c r="D8" s="1646"/>
      <c r="E8" s="756" t="s">
        <v>2023</v>
      </c>
      <c r="F8" s="757"/>
      <c r="G8" s="757"/>
      <c r="H8" s="757"/>
      <c r="I8" s="757"/>
      <c r="J8" s="757"/>
      <c r="K8" s="757"/>
      <c r="L8" s="757"/>
      <c r="M8" s="757"/>
      <c r="N8" s="757"/>
      <c r="O8" s="758"/>
      <c r="P8" s="1072"/>
    </row>
    <row r="9" spans="2:170" ht="21" customHeight="1" x14ac:dyDescent="0.2">
      <c r="B9" s="1631" t="s">
        <v>1</v>
      </c>
      <c r="C9" s="1633"/>
      <c r="D9" s="1634"/>
      <c r="E9" s="756" t="s">
        <v>1262</v>
      </c>
      <c r="F9" s="757"/>
      <c r="G9" s="757"/>
      <c r="H9" s="757"/>
      <c r="I9" s="757"/>
      <c r="J9" s="757"/>
      <c r="K9" s="757"/>
      <c r="L9" s="757"/>
      <c r="M9" s="757"/>
      <c r="N9" s="757"/>
      <c r="O9" s="758"/>
      <c r="P9" s="929">
        <f>IF(S9=2,0.05,IF(S9=3,0.2,IF(S9=4,0.4,IF(S9=5,0.73,0))))</f>
        <v>0</v>
      </c>
      <c r="R9" s="146" t="s">
        <v>2236</v>
      </c>
      <c r="S9" s="547">
        <v>1</v>
      </c>
    </row>
    <row r="10" spans="2:170" ht="44.1" customHeight="1" x14ac:dyDescent="0.2">
      <c r="B10" s="1632"/>
      <c r="C10" s="1635"/>
      <c r="D10" s="1636"/>
      <c r="E10" s="761" t="s">
        <v>2025</v>
      </c>
      <c r="F10" s="761"/>
      <c r="G10" s="761"/>
      <c r="H10" s="761"/>
      <c r="I10" s="761"/>
      <c r="J10" s="761"/>
      <c r="K10" s="761"/>
      <c r="L10" s="761"/>
      <c r="M10" s="761"/>
      <c r="N10" s="761"/>
      <c r="O10" s="761"/>
      <c r="P10" s="1071"/>
      <c r="R10" s="664"/>
    </row>
    <row r="11" spans="2:170" ht="44.1" customHeight="1" x14ac:dyDescent="0.2">
      <c r="B11" s="436"/>
      <c r="C11" s="1635"/>
      <c r="D11" s="1636"/>
      <c r="E11" s="761" t="s">
        <v>2026</v>
      </c>
      <c r="F11" s="761"/>
      <c r="G11" s="761"/>
      <c r="H11" s="761"/>
      <c r="I11" s="761"/>
      <c r="J11" s="761"/>
      <c r="K11" s="761"/>
      <c r="L11" s="761"/>
      <c r="M11" s="761"/>
      <c r="N11" s="761"/>
      <c r="O11" s="761"/>
      <c r="P11" s="1071"/>
    </row>
    <row r="12" spans="2:170" ht="44.1" customHeight="1" x14ac:dyDescent="0.2">
      <c r="B12" s="436"/>
      <c r="C12" s="1635"/>
      <c r="D12" s="1636"/>
      <c r="E12" s="761" t="s">
        <v>2027</v>
      </c>
      <c r="F12" s="761"/>
      <c r="G12" s="761"/>
      <c r="H12" s="761"/>
      <c r="I12" s="761"/>
      <c r="J12" s="761"/>
      <c r="K12" s="761"/>
      <c r="L12" s="761"/>
      <c r="M12" s="761"/>
      <c r="N12" s="761"/>
      <c r="O12" s="761"/>
      <c r="P12" s="1071"/>
    </row>
    <row r="13" spans="2:170" ht="44.1" customHeight="1" x14ac:dyDescent="0.2">
      <c r="B13" s="437"/>
      <c r="C13" s="1637"/>
      <c r="D13" s="1638"/>
      <c r="E13" s="761" t="s">
        <v>2028</v>
      </c>
      <c r="F13" s="761"/>
      <c r="G13" s="761"/>
      <c r="H13" s="761"/>
      <c r="I13" s="761"/>
      <c r="J13" s="761"/>
      <c r="K13" s="761"/>
      <c r="L13" s="761"/>
      <c r="M13" s="761"/>
      <c r="N13" s="761"/>
      <c r="O13" s="761"/>
      <c r="P13" s="1072"/>
    </row>
    <row r="14" spans="2:170" ht="24" customHeight="1" x14ac:dyDescent="0.2">
      <c r="B14" s="411" t="s">
        <v>122</v>
      </c>
      <c r="C14" s="1640"/>
      <c r="D14" s="1640"/>
      <c r="E14" s="761" t="s">
        <v>1262</v>
      </c>
      <c r="F14" s="761"/>
      <c r="G14" s="761"/>
      <c r="H14" s="761"/>
      <c r="I14" s="761"/>
      <c r="J14" s="761"/>
      <c r="K14" s="761"/>
      <c r="L14" s="761"/>
      <c r="M14" s="761"/>
      <c r="N14" s="761"/>
      <c r="O14" s="761"/>
      <c r="P14" s="929">
        <f>IF(S14=2,0.05,0)</f>
        <v>0</v>
      </c>
      <c r="R14" s="146" t="s">
        <v>2236</v>
      </c>
      <c r="S14" s="547">
        <v>1</v>
      </c>
    </row>
    <row r="15" spans="2:170" ht="82.5" customHeight="1" x14ac:dyDescent="0.2">
      <c r="B15" s="425"/>
      <c r="C15" s="1640"/>
      <c r="D15" s="1640"/>
      <c r="E15" s="756" t="s">
        <v>1560</v>
      </c>
      <c r="F15" s="757"/>
      <c r="G15" s="757"/>
      <c r="H15" s="757"/>
      <c r="I15" s="757"/>
      <c r="J15" s="757"/>
      <c r="K15" s="757"/>
      <c r="L15" s="757"/>
      <c r="M15" s="757"/>
      <c r="N15" s="757"/>
      <c r="O15" s="758"/>
      <c r="P15" s="1072"/>
      <c r="R15" s="664"/>
    </row>
    <row r="16" spans="2:170" ht="19.5" customHeight="1" x14ac:dyDescent="0.2">
      <c r="C16" s="1639"/>
      <c r="D16" s="1639"/>
      <c r="E16" s="1639"/>
      <c r="F16" s="1639"/>
      <c r="G16" s="1639"/>
      <c r="H16" s="1639"/>
      <c r="I16" s="1639"/>
      <c r="J16" s="1639"/>
      <c r="K16" s="1639"/>
      <c r="L16" s="1639"/>
      <c r="M16" s="1639"/>
      <c r="N16" s="1639"/>
      <c r="O16" s="1639"/>
    </row>
    <row r="17" spans="2:23" ht="19.5" customHeight="1" x14ac:dyDescent="0.2">
      <c r="C17" s="175"/>
      <c r="D17" s="175"/>
      <c r="E17" s="175"/>
      <c r="F17" s="175"/>
      <c r="G17" s="175"/>
      <c r="H17" s="175"/>
      <c r="I17" s="175"/>
      <c r="J17" s="175"/>
      <c r="K17" s="175"/>
      <c r="L17" s="175"/>
      <c r="M17" s="175"/>
      <c r="N17" s="175"/>
      <c r="O17" s="175"/>
    </row>
    <row r="18" spans="2:23" ht="30" customHeight="1" x14ac:dyDescent="0.2">
      <c r="B18" s="864" t="s">
        <v>1779</v>
      </c>
      <c r="C18" s="865"/>
      <c r="D18" s="865"/>
      <c r="E18" s="865"/>
      <c r="F18" s="865"/>
      <c r="G18" s="865"/>
      <c r="H18" s="865"/>
      <c r="I18" s="865"/>
      <c r="J18" s="865"/>
      <c r="K18" s="865"/>
      <c r="L18" s="865"/>
      <c r="M18" s="865"/>
      <c r="N18" s="866"/>
      <c r="O18" s="19" t="s">
        <v>1495</v>
      </c>
      <c r="P18" s="314" t="s">
        <v>1284</v>
      </c>
      <c r="R18" s="127" t="s">
        <v>2234</v>
      </c>
      <c r="T18" s="146" t="s">
        <v>1284</v>
      </c>
      <c r="U18" s="13" t="s">
        <v>1285</v>
      </c>
      <c r="V18" s="662" t="s">
        <v>1286</v>
      </c>
      <c r="W18" s="13" t="s">
        <v>1287</v>
      </c>
    </row>
    <row r="19" spans="2:23" ht="19.5" customHeight="1" x14ac:dyDescent="0.2">
      <c r="B19" s="791" t="s">
        <v>120</v>
      </c>
      <c r="C19" s="791"/>
      <c r="D19" s="791"/>
      <c r="E19" s="791"/>
      <c r="F19" s="791"/>
      <c r="G19" s="791"/>
      <c r="H19" s="791"/>
      <c r="I19" s="791"/>
      <c r="J19" s="791"/>
      <c r="K19" s="791"/>
      <c r="L19" s="914">
        <f>P4</f>
        <v>0</v>
      </c>
      <c r="M19" s="914"/>
      <c r="N19" s="914"/>
      <c r="O19" s="213"/>
      <c r="P19" s="245">
        <f>IF(AND(R19&gt;0,R19&lt;0.01),0.01,ROUND(R19,2))</f>
        <v>0</v>
      </c>
      <c r="R19" s="550">
        <f>IF(O19&gt;0,L19*O19,L19)</f>
        <v>0</v>
      </c>
      <c r="S19" s="234"/>
      <c r="T19" s="389">
        <f>P19</f>
        <v>0</v>
      </c>
      <c r="U19" s="365">
        <f>LARGE($T$19:$T$21,1)</f>
        <v>0</v>
      </c>
      <c r="V19" s="402">
        <f>U19+U20*(1-U19)</f>
        <v>0</v>
      </c>
      <c r="W19" s="389">
        <f>ROUND(V19,2)</f>
        <v>0</v>
      </c>
    </row>
    <row r="20" spans="2:23" ht="19.5" customHeight="1" x14ac:dyDescent="0.2">
      <c r="B20" s="761" t="s">
        <v>121</v>
      </c>
      <c r="C20" s="761"/>
      <c r="D20" s="761"/>
      <c r="E20" s="761"/>
      <c r="F20" s="761"/>
      <c r="G20" s="761"/>
      <c r="H20" s="761"/>
      <c r="I20" s="761"/>
      <c r="J20" s="761"/>
      <c r="K20" s="761"/>
      <c r="L20" s="914">
        <f>P9</f>
        <v>0</v>
      </c>
      <c r="M20" s="914"/>
      <c r="N20" s="914"/>
      <c r="O20" s="213"/>
      <c r="P20" s="245">
        <f>IF(AND(R20&gt;0,R20&lt;0.01),0.01,ROUND(R20,2))</f>
        <v>0</v>
      </c>
      <c r="R20" s="550">
        <f>IF(O20&gt;0,L20*O20,L20)</f>
        <v>0</v>
      </c>
      <c r="S20" s="234"/>
      <c r="T20" s="389">
        <f>P20</f>
        <v>0</v>
      </c>
      <c r="U20" s="365">
        <f>LARGE($T$19:$T$21,2)</f>
        <v>0</v>
      </c>
      <c r="V20" s="402">
        <f>W19+U21*(1-W19)</f>
        <v>0</v>
      </c>
      <c r="W20" s="389">
        <f>ROUND(V20,2)</f>
        <v>0</v>
      </c>
    </row>
    <row r="21" spans="2:23" ht="19.5" customHeight="1" x14ac:dyDescent="0.2">
      <c r="B21" s="756" t="s">
        <v>122</v>
      </c>
      <c r="C21" s="757"/>
      <c r="D21" s="757"/>
      <c r="E21" s="757"/>
      <c r="F21" s="757"/>
      <c r="G21" s="757"/>
      <c r="H21" s="757"/>
      <c r="I21" s="757"/>
      <c r="J21" s="757"/>
      <c r="K21" s="758"/>
      <c r="L21" s="914">
        <f>P14</f>
        <v>0</v>
      </c>
      <c r="M21" s="914"/>
      <c r="N21" s="914"/>
      <c r="O21" s="213"/>
      <c r="P21" s="245">
        <f>IF(AND(R21&gt;0,R21&lt;0.01),0.01,ROUND(R21,2))</f>
        <v>0</v>
      </c>
      <c r="R21" s="550">
        <f>IF(O21&gt;0,L21*O21,L21)</f>
        <v>0</v>
      </c>
      <c r="S21" s="234"/>
      <c r="T21" s="389">
        <f>P21</f>
        <v>0</v>
      </c>
      <c r="U21" s="365">
        <f>LARGE($T$19:$T$21,3)</f>
        <v>0</v>
      </c>
    </row>
    <row r="22" spans="2:23" ht="21" customHeight="1" x14ac:dyDescent="0.2">
      <c r="B22" s="1387" t="s">
        <v>123</v>
      </c>
      <c r="C22" s="1388"/>
      <c r="D22" s="1388"/>
      <c r="E22" s="1388"/>
      <c r="F22" s="1388"/>
      <c r="G22" s="1388"/>
      <c r="H22" s="1388"/>
      <c r="I22" s="1388"/>
      <c r="J22" s="1388"/>
      <c r="K22" s="1388"/>
      <c r="L22" s="1388"/>
      <c r="M22" s="1388"/>
      <c r="N22" s="1388"/>
      <c r="O22" s="1389"/>
      <c r="P22" s="247">
        <f>W20</f>
        <v>0</v>
      </c>
    </row>
    <row r="23" spans="2:23" ht="30" customHeight="1" x14ac:dyDescent="0.25">
      <c r="B23" s="1037" t="s">
        <v>931</v>
      </c>
      <c r="C23" s="1037"/>
      <c r="D23" s="1037"/>
      <c r="E23" s="1037"/>
      <c r="F23" s="1037"/>
      <c r="G23" s="1037"/>
      <c r="H23" s="1037"/>
      <c r="I23" s="1037"/>
      <c r="J23" s="1037"/>
      <c r="K23" s="1037"/>
      <c r="L23" s="1037"/>
      <c r="M23" s="1037"/>
      <c r="N23" s="1037"/>
      <c r="O23" s="1037"/>
      <c r="P23" s="1037"/>
    </row>
    <row r="24" spans="2:23" x14ac:dyDescent="0.2">
      <c r="B24" s="244" t="s">
        <v>775</v>
      </c>
      <c r="C24" s="1294" t="str">
        <f>IF(U1&lt;&gt;"",U1,"")</f>
        <v>Go to PPD Worksheet</v>
      </c>
      <c r="D24" s="1294"/>
      <c r="E24" s="1294"/>
      <c r="F24" s="1294"/>
      <c r="G24" s="1294"/>
      <c r="H24" s="1294"/>
      <c r="I24" s="1464" t="str">
        <f>IF(T1&lt;&gt;"",T1,"")</f>
        <v/>
      </c>
      <c r="J24" s="1464"/>
      <c r="K24" s="1464"/>
      <c r="L24" s="1464"/>
      <c r="M24" s="1464"/>
      <c r="N24" s="1464"/>
    </row>
    <row r="26" spans="2:23" hidden="1" x14ac:dyDescent="0.2">
      <c r="B26" s="2">
        <v>0.01</v>
      </c>
      <c r="C26" s="2">
        <v>0.99</v>
      </c>
    </row>
  </sheetData>
  <sheetProtection sheet="1" objects="1" scenarios="1"/>
  <mergeCells count="35">
    <mergeCell ref="E1:K1"/>
    <mergeCell ref="M1:P1"/>
    <mergeCell ref="B2:P2"/>
    <mergeCell ref="B3:P3"/>
    <mergeCell ref="C14:D15"/>
    <mergeCell ref="E12:O12"/>
    <mergeCell ref="P4:P8"/>
    <mergeCell ref="P9:P13"/>
    <mergeCell ref="E15:O15"/>
    <mergeCell ref="E14:O14"/>
    <mergeCell ref="P14:P15"/>
    <mergeCell ref="E9:O9"/>
    <mergeCell ref="E10:O10"/>
    <mergeCell ref="C4:D8"/>
    <mergeCell ref="E4:O4"/>
    <mergeCell ref="E5:O5"/>
    <mergeCell ref="C24:H24"/>
    <mergeCell ref="I24:N24"/>
    <mergeCell ref="B19:K19"/>
    <mergeCell ref="L19:N19"/>
    <mergeCell ref="B20:K20"/>
    <mergeCell ref="L20:N20"/>
    <mergeCell ref="B23:P23"/>
    <mergeCell ref="B22:O22"/>
    <mergeCell ref="B21:K21"/>
    <mergeCell ref="L21:N21"/>
    <mergeCell ref="B18:N18"/>
    <mergeCell ref="E6:O6"/>
    <mergeCell ref="E7:O7"/>
    <mergeCell ref="E8:O8"/>
    <mergeCell ref="B9:B10"/>
    <mergeCell ref="C9:D13"/>
    <mergeCell ref="C16:O16"/>
    <mergeCell ref="E11:O11"/>
    <mergeCell ref="E13:O13"/>
  </mergeCells>
  <phoneticPr fontId="0" type="noConversion"/>
  <dataValidations xWindow="289" yWindow="167" count="1">
    <dataValidation type="decimal" allowBlank="1" showInputMessage="1" showErrorMessage="1" promptTitle="Apportionment (if any)" prompt="Enter percentage of impairment caused by the injury or illness. See OAR 436-035-0013." sqref="O19:O21" xr:uid="{00000000-0002-0000-1700-000000000000}">
      <formula1>$B$26</formula1>
      <formula2>$C$26</formula2>
    </dataValidation>
  </dataValidations>
  <hyperlinks>
    <hyperlink ref="B24" location="Hematopoietic!A1" display="Return to top of sheet" xr:uid="{00000000-0004-0000-1700-000000000000}"/>
    <hyperlink ref="I24:N24" location="'PPD DOI on or after 2005'!A1" display="'PPD DOI on or after 2005'!A1" xr:uid="{00000000-0004-0000-1700-000001000000}"/>
    <hyperlink ref="C24:H24" location="'PPD DOI before 2005'!A1" display="'PPD DOI before 2005'!A1" xr:uid="{00000000-0004-0000-1700-000002000000}"/>
  </hyperlinks>
  <pageMargins left="0.75" right="0.75" top="0.87" bottom="1.02" header="0.5" footer="0.5"/>
  <pageSetup orientation="portrait" horizontalDpi="300" verticalDpi="300" r:id="rId1"/>
  <headerFooter alignWithMargins="0">
    <oddFooter>&amp;LHematopoietic System&amp;CPage &amp;P</oddFooter>
  </headerFooter>
  <rowBreaks count="1" manualBreakCount="1">
    <brk id="1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Group Box 1">
              <controlPr defaultSize="0" autoFill="0" autoPict="0">
                <anchor moveWithCells="1">
                  <from>
                    <xdr:col>2</xdr:col>
                    <xdr:colOff>0</xdr:colOff>
                    <xdr:row>2</xdr:row>
                    <xdr:rowOff>295275</xdr:rowOff>
                  </from>
                  <to>
                    <xdr:col>14</xdr:col>
                    <xdr:colOff>962025</xdr:colOff>
                    <xdr:row>8</xdr:row>
                    <xdr:rowOff>0</xdr:rowOff>
                  </to>
                </anchor>
              </controlPr>
            </control>
          </mc:Choice>
        </mc:AlternateContent>
        <mc:AlternateContent xmlns:mc="http://schemas.openxmlformats.org/markup-compatibility/2006">
          <mc:Choice Requires="x14">
            <control shapeId="29698" r:id="rId5" name="Option Button 2">
              <controlPr defaultSize="0" autoFill="0" autoLine="0" autoPict="0">
                <anchor moveWithCells="1">
                  <from>
                    <xdr:col>2</xdr:col>
                    <xdr:colOff>76200</xdr:colOff>
                    <xdr:row>3</xdr:row>
                    <xdr:rowOff>47625</xdr:rowOff>
                  </from>
                  <to>
                    <xdr:col>4</xdr:col>
                    <xdr:colOff>57150</xdr:colOff>
                    <xdr:row>4</xdr:row>
                    <xdr:rowOff>9525</xdr:rowOff>
                  </to>
                </anchor>
              </controlPr>
            </control>
          </mc:Choice>
        </mc:AlternateContent>
        <mc:AlternateContent xmlns:mc="http://schemas.openxmlformats.org/markup-compatibility/2006">
          <mc:Choice Requires="x14">
            <control shapeId="29699" r:id="rId6" name="Option Button 3">
              <controlPr defaultSize="0" autoFill="0" autoLine="0" autoPict="0">
                <anchor moveWithCells="1">
                  <from>
                    <xdr:col>2</xdr:col>
                    <xdr:colOff>76200</xdr:colOff>
                    <xdr:row>4</xdr:row>
                    <xdr:rowOff>180975</xdr:rowOff>
                  </from>
                  <to>
                    <xdr:col>4</xdr:col>
                    <xdr:colOff>57150</xdr:colOff>
                    <xdr:row>4</xdr:row>
                    <xdr:rowOff>400050</xdr:rowOff>
                  </to>
                </anchor>
              </controlPr>
            </control>
          </mc:Choice>
        </mc:AlternateContent>
        <mc:AlternateContent xmlns:mc="http://schemas.openxmlformats.org/markup-compatibility/2006">
          <mc:Choice Requires="x14">
            <control shapeId="29700" r:id="rId7" name="Option Button 4">
              <controlPr defaultSize="0" autoFill="0" autoLine="0" autoPict="0">
                <anchor moveWithCells="1">
                  <from>
                    <xdr:col>2</xdr:col>
                    <xdr:colOff>76200</xdr:colOff>
                    <xdr:row>5</xdr:row>
                    <xdr:rowOff>142875</xdr:rowOff>
                  </from>
                  <to>
                    <xdr:col>4</xdr:col>
                    <xdr:colOff>57150</xdr:colOff>
                    <xdr:row>5</xdr:row>
                    <xdr:rowOff>390525</xdr:rowOff>
                  </to>
                </anchor>
              </controlPr>
            </control>
          </mc:Choice>
        </mc:AlternateContent>
        <mc:AlternateContent xmlns:mc="http://schemas.openxmlformats.org/markup-compatibility/2006">
          <mc:Choice Requires="x14">
            <control shapeId="29701" r:id="rId8" name="Option Button 5">
              <controlPr defaultSize="0" autoFill="0" autoLine="0" autoPict="0">
                <anchor moveWithCells="1">
                  <from>
                    <xdr:col>2</xdr:col>
                    <xdr:colOff>76200</xdr:colOff>
                    <xdr:row>6</xdr:row>
                    <xdr:rowOff>333375</xdr:rowOff>
                  </from>
                  <to>
                    <xdr:col>4</xdr:col>
                    <xdr:colOff>57150</xdr:colOff>
                    <xdr:row>6</xdr:row>
                    <xdr:rowOff>552450</xdr:rowOff>
                  </to>
                </anchor>
              </controlPr>
            </control>
          </mc:Choice>
        </mc:AlternateContent>
        <mc:AlternateContent xmlns:mc="http://schemas.openxmlformats.org/markup-compatibility/2006">
          <mc:Choice Requires="x14">
            <control shapeId="29702" r:id="rId9" name="Group Box 6">
              <controlPr defaultSize="0" autoFill="0" autoPict="0">
                <anchor moveWithCells="1">
                  <from>
                    <xdr:col>2</xdr:col>
                    <xdr:colOff>0</xdr:colOff>
                    <xdr:row>8</xdr:row>
                    <xdr:rowOff>0</xdr:rowOff>
                  </from>
                  <to>
                    <xdr:col>14</xdr:col>
                    <xdr:colOff>962025</xdr:colOff>
                    <xdr:row>13</xdr:row>
                    <xdr:rowOff>9525</xdr:rowOff>
                  </to>
                </anchor>
              </controlPr>
            </control>
          </mc:Choice>
        </mc:AlternateContent>
        <mc:AlternateContent xmlns:mc="http://schemas.openxmlformats.org/markup-compatibility/2006">
          <mc:Choice Requires="x14">
            <control shapeId="29703" r:id="rId10" name="Option Button 7">
              <controlPr defaultSize="0" autoFill="0" autoLine="0" autoPict="0">
                <anchor moveWithCells="1">
                  <from>
                    <xdr:col>2</xdr:col>
                    <xdr:colOff>57150</xdr:colOff>
                    <xdr:row>8</xdr:row>
                    <xdr:rowOff>28575</xdr:rowOff>
                  </from>
                  <to>
                    <xdr:col>4</xdr:col>
                    <xdr:colOff>38100</xdr:colOff>
                    <xdr:row>8</xdr:row>
                    <xdr:rowOff>247650</xdr:rowOff>
                  </to>
                </anchor>
              </controlPr>
            </control>
          </mc:Choice>
        </mc:AlternateContent>
        <mc:AlternateContent xmlns:mc="http://schemas.openxmlformats.org/markup-compatibility/2006">
          <mc:Choice Requires="x14">
            <control shapeId="29704" r:id="rId11" name="Option Button 8">
              <controlPr defaultSize="0" autoFill="0" autoLine="0" autoPict="0">
                <anchor moveWithCells="1">
                  <from>
                    <xdr:col>2</xdr:col>
                    <xdr:colOff>66675</xdr:colOff>
                    <xdr:row>9</xdr:row>
                    <xdr:rowOff>161925</xdr:rowOff>
                  </from>
                  <to>
                    <xdr:col>4</xdr:col>
                    <xdr:colOff>47625</xdr:colOff>
                    <xdr:row>10</xdr:row>
                    <xdr:rowOff>0</xdr:rowOff>
                  </to>
                </anchor>
              </controlPr>
            </control>
          </mc:Choice>
        </mc:AlternateContent>
        <mc:AlternateContent xmlns:mc="http://schemas.openxmlformats.org/markup-compatibility/2006">
          <mc:Choice Requires="x14">
            <control shapeId="29705" r:id="rId12" name="Option Button 9">
              <controlPr defaultSize="0" autoFill="0" autoLine="0" autoPict="0">
                <anchor moveWithCells="1">
                  <from>
                    <xdr:col>2</xdr:col>
                    <xdr:colOff>66675</xdr:colOff>
                    <xdr:row>10</xdr:row>
                    <xdr:rowOff>161925</xdr:rowOff>
                  </from>
                  <to>
                    <xdr:col>4</xdr:col>
                    <xdr:colOff>47625</xdr:colOff>
                    <xdr:row>10</xdr:row>
                    <xdr:rowOff>381000</xdr:rowOff>
                  </to>
                </anchor>
              </controlPr>
            </control>
          </mc:Choice>
        </mc:AlternateContent>
        <mc:AlternateContent xmlns:mc="http://schemas.openxmlformats.org/markup-compatibility/2006">
          <mc:Choice Requires="x14">
            <control shapeId="29706" r:id="rId13" name="Option Button 10">
              <controlPr defaultSize="0" autoFill="0" autoLine="0" autoPict="0">
                <anchor moveWithCells="1">
                  <from>
                    <xdr:col>2</xdr:col>
                    <xdr:colOff>66675</xdr:colOff>
                    <xdr:row>11</xdr:row>
                    <xdr:rowOff>171450</xdr:rowOff>
                  </from>
                  <to>
                    <xdr:col>4</xdr:col>
                    <xdr:colOff>47625</xdr:colOff>
                    <xdr:row>11</xdr:row>
                    <xdr:rowOff>390525</xdr:rowOff>
                  </to>
                </anchor>
              </controlPr>
            </control>
          </mc:Choice>
        </mc:AlternateContent>
        <mc:AlternateContent xmlns:mc="http://schemas.openxmlformats.org/markup-compatibility/2006">
          <mc:Choice Requires="x14">
            <control shapeId="29707" r:id="rId14" name="Option Button 11">
              <controlPr defaultSize="0" autoFill="0" autoLine="0" autoPict="0">
                <anchor moveWithCells="1">
                  <from>
                    <xdr:col>2</xdr:col>
                    <xdr:colOff>66675</xdr:colOff>
                    <xdr:row>12</xdr:row>
                    <xdr:rowOff>180975</xdr:rowOff>
                  </from>
                  <to>
                    <xdr:col>4</xdr:col>
                    <xdr:colOff>47625</xdr:colOff>
                    <xdr:row>12</xdr:row>
                    <xdr:rowOff>400050</xdr:rowOff>
                  </to>
                </anchor>
              </controlPr>
            </control>
          </mc:Choice>
        </mc:AlternateContent>
        <mc:AlternateContent xmlns:mc="http://schemas.openxmlformats.org/markup-compatibility/2006">
          <mc:Choice Requires="x14">
            <control shapeId="29708" r:id="rId15" name="Group Box 12">
              <controlPr defaultSize="0" autoFill="0" autoPict="0">
                <anchor moveWithCells="1">
                  <from>
                    <xdr:col>2</xdr:col>
                    <xdr:colOff>0</xdr:colOff>
                    <xdr:row>13</xdr:row>
                    <xdr:rowOff>9525</xdr:rowOff>
                  </from>
                  <to>
                    <xdr:col>14</xdr:col>
                    <xdr:colOff>962025</xdr:colOff>
                    <xdr:row>15</xdr:row>
                    <xdr:rowOff>9525</xdr:rowOff>
                  </to>
                </anchor>
              </controlPr>
            </control>
          </mc:Choice>
        </mc:AlternateContent>
        <mc:AlternateContent xmlns:mc="http://schemas.openxmlformats.org/markup-compatibility/2006">
          <mc:Choice Requires="x14">
            <control shapeId="29709" r:id="rId16" name="Option Button 13">
              <controlPr defaultSize="0" autoFill="0" autoLine="0" autoPict="0">
                <anchor moveWithCells="1">
                  <from>
                    <xdr:col>2</xdr:col>
                    <xdr:colOff>57150</xdr:colOff>
                    <xdr:row>13</xdr:row>
                    <xdr:rowOff>57150</xdr:rowOff>
                  </from>
                  <to>
                    <xdr:col>4</xdr:col>
                    <xdr:colOff>38100</xdr:colOff>
                    <xdr:row>13</xdr:row>
                    <xdr:rowOff>276225</xdr:rowOff>
                  </to>
                </anchor>
              </controlPr>
            </control>
          </mc:Choice>
        </mc:AlternateContent>
        <mc:AlternateContent xmlns:mc="http://schemas.openxmlformats.org/markup-compatibility/2006">
          <mc:Choice Requires="x14">
            <control shapeId="29710" r:id="rId17" name="Option Button 14">
              <controlPr defaultSize="0" autoFill="0" autoLine="0" autoPict="0">
                <anchor moveWithCells="1">
                  <from>
                    <xdr:col>2</xdr:col>
                    <xdr:colOff>57150</xdr:colOff>
                    <xdr:row>14</xdr:row>
                    <xdr:rowOff>400050</xdr:rowOff>
                  </from>
                  <to>
                    <xdr:col>4</xdr:col>
                    <xdr:colOff>38100</xdr:colOff>
                    <xdr:row>15</xdr:row>
                    <xdr:rowOff>9525</xdr:rowOff>
                  </to>
                </anchor>
              </controlPr>
            </control>
          </mc:Choice>
        </mc:AlternateContent>
        <mc:AlternateContent xmlns:mc="http://schemas.openxmlformats.org/markup-compatibility/2006">
          <mc:Choice Requires="x14">
            <control shapeId="29711" r:id="rId18" name="Option Button 15">
              <controlPr defaultSize="0" autoFill="0" autoLine="0" autoPict="0">
                <anchor moveWithCells="1">
                  <from>
                    <xdr:col>2</xdr:col>
                    <xdr:colOff>76200</xdr:colOff>
                    <xdr:row>7</xdr:row>
                    <xdr:rowOff>333375</xdr:rowOff>
                  </from>
                  <to>
                    <xdr:col>4</xdr:col>
                    <xdr:colOff>57150</xdr:colOff>
                    <xdr:row>7</xdr:row>
                    <xdr:rowOff>552450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N84"/>
  <sheetViews>
    <sheetView showGridLines="0" zoomScale="120" zoomScaleNormal="120" workbookViewId="0"/>
  </sheetViews>
  <sheetFormatPr defaultColWidth="3" defaultRowHeight="12.75" x14ac:dyDescent="0.2"/>
  <cols>
    <col min="1" max="1" width="1.42578125" style="2" customWidth="1"/>
    <col min="2" max="2" width="18" style="2" customWidth="1"/>
    <col min="3" max="3" width="2.5703125" style="2" customWidth="1"/>
    <col min="4" max="4" width="2.28515625" style="2" customWidth="1"/>
    <col min="5" max="13" width="3.85546875" style="2" customWidth="1"/>
    <col min="14" max="14" width="4" style="2" customWidth="1"/>
    <col min="15" max="15" width="12.42578125" style="2" customWidth="1"/>
    <col min="16" max="16" width="11.28515625" style="2" customWidth="1"/>
    <col min="17" max="17" width="4" style="2" customWidth="1"/>
    <col min="18" max="18" width="18.42578125" style="2" hidden="1" customWidth="1"/>
    <col min="19" max="19" width="10.85546875" style="2" hidden="1" customWidth="1"/>
    <col min="20" max="20" width="14" style="2" hidden="1" customWidth="1"/>
    <col min="21" max="21" width="17.42578125" style="2" hidden="1" customWidth="1"/>
    <col min="22" max="22" width="13" style="2" hidden="1" customWidth="1"/>
    <col min="23" max="23" width="11.85546875" style="2" hidden="1" customWidth="1"/>
    <col min="24" max="130" width="3" style="2" hidden="1" customWidth="1"/>
    <col min="131" max="255" width="3" style="2" customWidth="1"/>
    <col min="256" max="16384" width="3" style="2"/>
  </cols>
  <sheetData>
    <row r="1" spans="1:170" ht="15" customHeight="1" x14ac:dyDescent="0.2">
      <c r="B1" s="10" t="s">
        <v>1697</v>
      </c>
      <c r="E1" s="732" t="str">
        <f>IF('Start here'!A6="","",'Start here'!A6)</f>
        <v/>
      </c>
      <c r="F1" s="736"/>
      <c r="G1" s="736"/>
      <c r="H1" s="736"/>
      <c r="I1" s="736"/>
      <c r="J1" s="736"/>
      <c r="K1" s="737"/>
      <c r="M1" s="732" t="str">
        <f>IF('Start here'!A7="","",'Start here'!A7)</f>
        <v/>
      </c>
      <c r="N1" s="736"/>
      <c r="O1" s="736"/>
      <c r="P1" s="737"/>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2">
      <c r="A2" s="15"/>
      <c r="B2" s="777"/>
      <c r="C2" s="777"/>
      <c r="D2" s="777"/>
      <c r="E2" s="777"/>
      <c r="F2" s="777"/>
      <c r="G2" s="777"/>
      <c r="H2" s="777"/>
      <c r="I2" s="777"/>
      <c r="J2" s="777"/>
      <c r="K2" s="777"/>
      <c r="L2" s="777"/>
      <c r="M2" s="777"/>
      <c r="N2" s="777"/>
      <c r="O2" s="777"/>
      <c r="P2" s="777"/>
    </row>
    <row r="3" spans="1:170" ht="24" customHeight="1" x14ac:dyDescent="0.3">
      <c r="B3" s="905" t="s">
        <v>1431</v>
      </c>
      <c r="C3" s="905"/>
      <c r="D3" s="905"/>
      <c r="E3" s="905"/>
      <c r="F3" s="905"/>
      <c r="G3" s="905"/>
      <c r="H3" s="905"/>
      <c r="I3" s="905"/>
      <c r="J3" s="905"/>
      <c r="K3" s="905"/>
      <c r="L3" s="905"/>
      <c r="M3" s="905"/>
      <c r="N3" s="905"/>
      <c r="O3" s="905"/>
      <c r="P3" s="905"/>
    </row>
    <row r="4" spans="1:170" ht="21" customHeight="1" x14ac:dyDescent="0.2">
      <c r="B4" s="1592" t="s">
        <v>1432</v>
      </c>
      <c r="C4" s="1641"/>
      <c r="D4" s="1642"/>
      <c r="E4" s="761" t="s">
        <v>1262</v>
      </c>
      <c r="F4" s="761"/>
      <c r="G4" s="761"/>
      <c r="H4" s="761"/>
      <c r="I4" s="761"/>
      <c r="J4" s="761"/>
      <c r="K4" s="761"/>
      <c r="L4" s="761"/>
      <c r="M4" s="761"/>
      <c r="N4" s="761"/>
      <c r="O4" s="761"/>
      <c r="P4" s="929">
        <f>IF(S4=2,0.08,IF(S4=3,0.25,IF(S4=4,0.5,0)))</f>
        <v>0</v>
      </c>
      <c r="R4" s="146" t="s">
        <v>2236</v>
      </c>
      <c r="S4" s="547">
        <v>1</v>
      </c>
    </row>
    <row r="5" spans="1:170" ht="21" customHeight="1" x14ac:dyDescent="0.2">
      <c r="B5" s="1593"/>
      <c r="C5" s="1643"/>
      <c r="D5" s="1644"/>
      <c r="E5" s="756" t="s">
        <v>118</v>
      </c>
      <c r="F5" s="757"/>
      <c r="G5" s="757"/>
      <c r="H5" s="757"/>
      <c r="I5" s="757"/>
      <c r="J5" s="757"/>
      <c r="K5" s="757"/>
      <c r="L5" s="757"/>
      <c r="M5" s="757"/>
      <c r="N5" s="757"/>
      <c r="O5" s="758"/>
      <c r="P5" s="1071"/>
      <c r="R5" s="58"/>
    </row>
    <row r="6" spans="1:170" ht="21" customHeight="1" x14ac:dyDescent="0.2">
      <c r="B6" s="1593"/>
      <c r="C6" s="1643"/>
      <c r="D6" s="1644"/>
      <c r="E6" s="756" t="s">
        <v>119</v>
      </c>
      <c r="F6" s="757"/>
      <c r="G6" s="757"/>
      <c r="H6" s="757"/>
      <c r="I6" s="757"/>
      <c r="J6" s="757"/>
      <c r="K6" s="757"/>
      <c r="L6" s="757"/>
      <c r="M6" s="757"/>
      <c r="N6" s="757"/>
      <c r="O6" s="758"/>
      <c r="P6" s="1071"/>
    </row>
    <row r="7" spans="1:170" ht="28.5" customHeight="1" x14ac:dyDescent="0.2">
      <c r="B7" s="1611"/>
      <c r="C7" s="1643"/>
      <c r="D7" s="1644"/>
      <c r="E7" s="756" t="s">
        <v>1734</v>
      </c>
      <c r="F7" s="757"/>
      <c r="G7" s="757"/>
      <c r="H7" s="757"/>
      <c r="I7" s="757"/>
      <c r="J7" s="757"/>
      <c r="K7" s="757"/>
      <c r="L7" s="757"/>
      <c r="M7" s="757"/>
      <c r="N7" s="757"/>
      <c r="O7" s="758"/>
      <c r="P7" s="1072"/>
    </row>
    <row r="8" spans="1:170" ht="21.75" customHeight="1" x14ac:dyDescent="0.2">
      <c r="B8" s="1631" t="s">
        <v>104</v>
      </c>
      <c r="C8" s="1633"/>
      <c r="D8" s="1634"/>
      <c r="E8" s="761" t="s">
        <v>1262</v>
      </c>
      <c r="F8" s="761"/>
      <c r="G8" s="761"/>
      <c r="H8" s="761"/>
      <c r="I8" s="761"/>
      <c r="J8" s="761"/>
      <c r="K8" s="761"/>
      <c r="L8" s="761"/>
      <c r="M8" s="761"/>
      <c r="N8" s="761"/>
      <c r="O8" s="761"/>
      <c r="P8" s="929">
        <f>IF(S8=2,0.03,IF(S8=3,0.15,IF(S8=4,0.35,IF(S8=5,0.63,0))))</f>
        <v>0</v>
      </c>
      <c r="R8" s="146" t="s">
        <v>2236</v>
      </c>
      <c r="S8" s="547">
        <v>1</v>
      </c>
    </row>
    <row r="9" spans="1:170" ht="69" customHeight="1" x14ac:dyDescent="0.2">
      <c r="B9" s="1632"/>
      <c r="C9" s="1635"/>
      <c r="D9" s="1636"/>
      <c r="E9" s="761" t="s">
        <v>2029</v>
      </c>
      <c r="F9" s="761"/>
      <c r="G9" s="761"/>
      <c r="H9" s="761"/>
      <c r="I9" s="761"/>
      <c r="J9" s="761"/>
      <c r="K9" s="761"/>
      <c r="L9" s="761"/>
      <c r="M9" s="761"/>
      <c r="N9" s="761"/>
      <c r="O9" s="761"/>
      <c r="P9" s="1071"/>
      <c r="R9" s="664"/>
    </row>
    <row r="10" spans="1:170" ht="79.5" customHeight="1" x14ac:dyDescent="0.2">
      <c r="B10" s="1632"/>
      <c r="C10" s="1635"/>
      <c r="D10" s="1636"/>
      <c r="E10" s="761" t="s">
        <v>2097</v>
      </c>
      <c r="F10" s="761"/>
      <c r="G10" s="761"/>
      <c r="H10" s="761"/>
      <c r="I10" s="761"/>
      <c r="J10" s="761"/>
      <c r="K10" s="761"/>
      <c r="L10" s="761"/>
      <c r="M10" s="761"/>
      <c r="N10" s="761"/>
      <c r="O10" s="761"/>
      <c r="P10" s="1071"/>
    </row>
    <row r="11" spans="1:170" ht="80.25" customHeight="1" x14ac:dyDescent="0.2">
      <c r="B11" s="438"/>
      <c r="C11" s="1635"/>
      <c r="D11" s="1636"/>
      <c r="E11" s="761" t="s">
        <v>2098</v>
      </c>
      <c r="F11" s="761"/>
      <c r="G11" s="761"/>
      <c r="H11" s="761"/>
      <c r="I11" s="761"/>
      <c r="J11" s="761"/>
      <c r="K11" s="761"/>
      <c r="L11" s="761"/>
      <c r="M11" s="761"/>
      <c r="N11" s="761"/>
      <c r="O11" s="761"/>
      <c r="P11" s="1071"/>
    </row>
    <row r="12" spans="1:170" ht="82.5" customHeight="1" x14ac:dyDescent="0.2">
      <c r="B12" s="439"/>
      <c r="C12" s="1637"/>
      <c r="D12" s="1638"/>
      <c r="E12" s="761" t="s">
        <v>2030</v>
      </c>
      <c r="F12" s="761"/>
      <c r="G12" s="761"/>
      <c r="H12" s="761"/>
      <c r="I12" s="761"/>
      <c r="J12" s="761"/>
      <c r="K12" s="761"/>
      <c r="L12" s="761"/>
      <c r="M12" s="761"/>
      <c r="N12" s="761"/>
      <c r="O12" s="761"/>
      <c r="P12" s="1072"/>
    </row>
    <row r="13" spans="1:170" ht="21" customHeight="1" x14ac:dyDescent="0.2">
      <c r="B13" s="1592" t="s">
        <v>288</v>
      </c>
      <c r="C13" s="1633"/>
      <c r="D13" s="1634"/>
      <c r="E13" s="761" t="s">
        <v>1262</v>
      </c>
      <c r="F13" s="761"/>
      <c r="G13" s="761"/>
      <c r="H13" s="761"/>
      <c r="I13" s="761"/>
      <c r="J13" s="761"/>
      <c r="K13" s="761"/>
      <c r="L13" s="761"/>
      <c r="M13" s="761"/>
      <c r="N13" s="761"/>
      <c r="O13" s="761"/>
      <c r="P13" s="929">
        <f>IF(S13=2,0.03,IF(S13=3,0.15,IF(S13=4,0.3,IF(S13=5,0.5,0))))</f>
        <v>0</v>
      </c>
      <c r="R13" s="146" t="s">
        <v>2236</v>
      </c>
      <c r="S13" s="547">
        <v>1</v>
      </c>
    </row>
    <row r="14" spans="1:170" ht="81" customHeight="1" x14ac:dyDescent="0.2">
      <c r="B14" s="1632"/>
      <c r="C14" s="1635"/>
      <c r="D14" s="1636"/>
      <c r="E14" s="756" t="s">
        <v>1594</v>
      </c>
      <c r="F14" s="757"/>
      <c r="G14" s="757"/>
      <c r="H14" s="757"/>
      <c r="I14" s="757"/>
      <c r="J14" s="757"/>
      <c r="K14" s="757"/>
      <c r="L14" s="757"/>
      <c r="M14" s="757"/>
      <c r="N14" s="757"/>
      <c r="O14" s="758"/>
      <c r="P14" s="831"/>
      <c r="R14" s="664"/>
    </row>
    <row r="15" spans="1:170" ht="79.5" customHeight="1" x14ac:dyDescent="0.2">
      <c r="B15" s="415"/>
      <c r="C15" s="1635"/>
      <c r="D15" s="1636"/>
      <c r="E15" s="756" t="s">
        <v>1747</v>
      </c>
      <c r="F15" s="757"/>
      <c r="G15" s="757"/>
      <c r="H15" s="757"/>
      <c r="I15" s="757"/>
      <c r="J15" s="757"/>
      <c r="K15" s="757"/>
      <c r="L15" s="757"/>
      <c r="M15" s="757"/>
      <c r="N15" s="757"/>
      <c r="O15" s="758"/>
      <c r="P15" s="831"/>
    </row>
    <row r="16" spans="1:170" ht="93" customHeight="1" x14ac:dyDescent="0.2">
      <c r="B16" s="415"/>
      <c r="C16" s="1635"/>
      <c r="D16" s="1636"/>
      <c r="E16" s="756" t="s">
        <v>166</v>
      </c>
      <c r="F16" s="757"/>
      <c r="G16" s="757"/>
      <c r="H16" s="757"/>
      <c r="I16" s="757"/>
      <c r="J16" s="757"/>
      <c r="K16" s="757"/>
      <c r="L16" s="757"/>
      <c r="M16" s="757"/>
      <c r="N16" s="757"/>
      <c r="O16" s="758"/>
      <c r="P16" s="831"/>
    </row>
    <row r="17" spans="2:20" ht="106.5" customHeight="1" x14ac:dyDescent="0.2">
      <c r="B17" s="425"/>
      <c r="C17" s="1637"/>
      <c r="D17" s="1638"/>
      <c r="E17" s="756" t="s">
        <v>2044</v>
      </c>
      <c r="F17" s="757"/>
      <c r="G17" s="757"/>
      <c r="H17" s="757"/>
      <c r="I17" s="757"/>
      <c r="J17" s="757"/>
      <c r="K17" s="757"/>
      <c r="L17" s="757"/>
      <c r="M17" s="757"/>
      <c r="N17" s="757"/>
      <c r="O17" s="758"/>
      <c r="P17" s="832"/>
    </row>
    <row r="18" spans="2:20" ht="21" customHeight="1" x14ac:dyDescent="0.2">
      <c r="B18" s="1592" t="s">
        <v>1548</v>
      </c>
      <c r="C18" s="1633"/>
      <c r="D18" s="1634"/>
      <c r="E18" s="761" t="s">
        <v>1262</v>
      </c>
      <c r="F18" s="761"/>
      <c r="G18" s="761"/>
      <c r="H18" s="761"/>
      <c r="I18" s="761"/>
      <c r="J18" s="761"/>
      <c r="K18" s="761"/>
      <c r="L18" s="761"/>
      <c r="M18" s="761"/>
      <c r="N18" s="761"/>
      <c r="O18" s="761"/>
      <c r="P18" s="929">
        <f>IF(S18=2,0.03,IF(S18=3,0.13,IF(S18=4,0.23,0)))</f>
        <v>0</v>
      </c>
      <c r="R18" s="146" t="s">
        <v>2236</v>
      </c>
      <c r="S18" s="547">
        <v>1</v>
      </c>
    </row>
    <row r="19" spans="2:20" ht="57" customHeight="1" x14ac:dyDescent="0.2">
      <c r="B19" s="1632"/>
      <c r="C19" s="1635"/>
      <c r="D19" s="1636"/>
      <c r="E19" s="756" t="s">
        <v>2099</v>
      </c>
      <c r="F19" s="757"/>
      <c r="G19" s="757"/>
      <c r="H19" s="757"/>
      <c r="I19" s="757"/>
      <c r="J19" s="757"/>
      <c r="K19" s="757"/>
      <c r="L19" s="757"/>
      <c r="M19" s="757"/>
      <c r="N19" s="757"/>
      <c r="O19" s="758"/>
      <c r="P19" s="1071"/>
      <c r="R19" s="664"/>
    </row>
    <row r="20" spans="2:20" ht="78" customHeight="1" x14ac:dyDescent="0.2">
      <c r="B20" s="440"/>
      <c r="C20" s="1635"/>
      <c r="D20" s="1636"/>
      <c r="E20" s="756" t="s">
        <v>1626</v>
      </c>
      <c r="F20" s="1155"/>
      <c r="G20" s="1155"/>
      <c r="H20" s="1155"/>
      <c r="I20" s="1155"/>
      <c r="J20" s="1155"/>
      <c r="K20" s="1155"/>
      <c r="L20" s="1155"/>
      <c r="M20" s="1155"/>
      <c r="N20" s="1155"/>
      <c r="O20" s="1156"/>
      <c r="P20" s="1071"/>
    </row>
    <row r="21" spans="2:20" ht="69.75" customHeight="1" x14ac:dyDescent="0.2">
      <c r="B21" s="441"/>
      <c r="C21" s="1637"/>
      <c r="D21" s="1638"/>
      <c r="E21" s="756" t="s">
        <v>459</v>
      </c>
      <c r="F21" s="757"/>
      <c r="G21" s="757"/>
      <c r="H21" s="757"/>
      <c r="I21" s="757"/>
      <c r="J21" s="757"/>
      <c r="K21" s="757"/>
      <c r="L21" s="757"/>
      <c r="M21" s="757"/>
      <c r="N21" s="757"/>
      <c r="O21" s="758"/>
      <c r="P21" s="1072"/>
    </row>
    <row r="22" spans="2:20" ht="21" customHeight="1" x14ac:dyDescent="0.2">
      <c r="B22" s="1592" t="s">
        <v>1549</v>
      </c>
      <c r="C22" s="1633"/>
      <c r="D22" s="1634"/>
      <c r="E22" s="761" t="s">
        <v>1262</v>
      </c>
      <c r="F22" s="761"/>
      <c r="G22" s="761"/>
      <c r="H22" s="761"/>
      <c r="I22" s="761"/>
      <c r="J22" s="761"/>
      <c r="K22" s="761"/>
      <c r="L22" s="761"/>
      <c r="M22" s="761"/>
      <c r="N22" s="761"/>
      <c r="O22" s="761"/>
      <c r="P22" s="929">
        <f>IF(S22=2,0.05,IF(S22=3,0.2,IF(S22=4,0.4,IF(S22=5,0.75,0))))</f>
        <v>0</v>
      </c>
      <c r="R22" s="146" t="s">
        <v>2236</v>
      </c>
      <c r="S22" s="547">
        <v>1</v>
      </c>
    </row>
    <row r="23" spans="2:20" ht="93" customHeight="1" x14ac:dyDescent="0.2">
      <c r="B23" s="1632"/>
      <c r="C23" s="1635"/>
      <c r="D23" s="1636"/>
      <c r="E23" s="756" t="s">
        <v>2031</v>
      </c>
      <c r="F23" s="757"/>
      <c r="G23" s="757"/>
      <c r="H23" s="757"/>
      <c r="I23" s="757"/>
      <c r="J23" s="757"/>
      <c r="K23" s="757"/>
      <c r="L23" s="757"/>
      <c r="M23" s="757"/>
      <c r="N23" s="757"/>
      <c r="O23" s="758"/>
      <c r="P23" s="1071"/>
      <c r="R23" s="664"/>
    </row>
    <row r="24" spans="2:20" ht="78" customHeight="1" x14ac:dyDescent="0.2">
      <c r="B24" s="415"/>
      <c r="C24" s="1635"/>
      <c r="D24" s="1636"/>
      <c r="E24" s="756" t="s">
        <v>2158</v>
      </c>
      <c r="F24" s="757"/>
      <c r="G24" s="757"/>
      <c r="H24" s="757"/>
      <c r="I24" s="757"/>
      <c r="J24" s="757"/>
      <c r="K24" s="757"/>
      <c r="L24" s="757"/>
      <c r="M24" s="757"/>
      <c r="N24" s="757"/>
      <c r="O24" s="758"/>
      <c r="P24" s="1071"/>
    </row>
    <row r="25" spans="2:20" ht="68.25" customHeight="1" x14ac:dyDescent="0.2">
      <c r="B25" s="415"/>
      <c r="C25" s="1635"/>
      <c r="D25" s="1636"/>
      <c r="E25" s="756" t="s">
        <v>2032</v>
      </c>
      <c r="F25" s="757"/>
      <c r="G25" s="757"/>
      <c r="H25" s="757"/>
      <c r="I25" s="757"/>
      <c r="J25" s="757"/>
      <c r="K25" s="757"/>
      <c r="L25" s="757"/>
      <c r="M25" s="757"/>
      <c r="N25" s="757"/>
      <c r="O25" s="758"/>
      <c r="P25" s="1071"/>
    </row>
    <row r="26" spans="2:20" ht="70.5" customHeight="1" x14ac:dyDescent="0.2">
      <c r="B26" s="425"/>
      <c r="C26" s="1637"/>
      <c r="D26" s="1638"/>
      <c r="E26" s="756" t="s">
        <v>2033</v>
      </c>
      <c r="F26" s="757"/>
      <c r="G26" s="757"/>
      <c r="H26" s="757"/>
      <c r="I26" s="757"/>
      <c r="J26" s="757"/>
      <c r="K26" s="757"/>
      <c r="L26" s="757"/>
      <c r="M26" s="757"/>
      <c r="N26" s="757"/>
      <c r="O26" s="758"/>
      <c r="P26" s="1072"/>
    </row>
    <row r="27" spans="2:20" ht="21" customHeight="1" x14ac:dyDescent="0.2">
      <c r="B27" s="267" t="s">
        <v>609</v>
      </c>
      <c r="C27" s="1648"/>
      <c r="D27" s="1649"/>
      <c r="E27" s="756" t="s">
        <v>610</v>
      </c>
      <c r="F27" s="757"/>
      <c r="G27" s="757"/>
      <c r="H27" s="757"/>
      <c r="I27" s="757"/>
      <c r="J27" s="757"/>
      <c r="K27" s="757"/>
      <c r="L27" s="757"/>
      <c r="M27" s="757"/>
      <c r="N27" s="757"/>
      <c r="O27" s="758"/>
      <c r="P27" s="21">
        <f>IF(T27=1,0.5,0)</f>
        <v>0</v>
      </c>
      <c r="R27" s="127" t="s">
        <v>2235</v>
      </c>
      <c r="S27" s="547" t="b">
        <v>0</v>
      </c>
      <c r="T27" s="306">
        <f>IF(S27=TRUE,1,0)</f>
        <v>0</v>
      </c>
    </row>
    <row r="28" spans="2:20" ht="21" customHeight="1" x14ac:dyDescent="0.2">
      <c r="B28" s="1592" t="s">
        <v>1834</v>
      </c>
      <c r="C28" s="1633"/>
      <c r="D28" s="1634"/>
      <c r="E28" s="761" t="s">
        <v>1262</v>
      </c>
      <c r="F28" s="761"/>
      <c r="G28" s="761"/>
      <c r="H28" s="761"/>
      <c r="I28" s="761"/>
      <c r="J28" s="761"/>
      <c r="K28" s="761"/>
      <c r="L28" s="761"/>
      <c r="M28" s="761"/>
      <c r="N28" s="761"/>
      <c r="O28" s="761"/>
      <c r="P28" s="929">
        <f>IF(S28=2,0.05,IF(S28=3,0.2,IF(S28=4,0.4,IF(S28=5,0.75,0))))</f>
        <v>0</v>
      </c>
      <c r="R28" s="146" t="s">
        <v>2236</v>
      </c>
      <c r="S28" s="547">
        <v>1</v>
      </c>
    </row>
    <row r="29" spans="2:20" ht="21" customHeight="1" x14ac:dyDescent="0.2">
      <c r="B29" s="1632"/>
      <c r="C29" s="1635"/>
      <c r="D29" s="1636"/>
      <c r="E29" s="756" t="s">
        <v>2045</v>
      </c>
      <c r="F29" s="757"/>
      <c r="G29" s="757"/>
      <c r="H29" s="757"/>
      <c r="I29" s="757"/>
      <c r="J29" s="757"/>
      <c r="K29" s="757"/>
      <c r="L29" s="757"/>
      <c r="M29" s="757"/>
      <c r="N29" s="757"/>
      <c r="O29" s="758"/>
      <c r="P29" s="1071"/>
      <c r="R29" s="664"/>
    </row>
    <row r="30" spans="2:20" ht="27" customHeight="1" x14ac:dyDescent="0.2">
      <c r="B30" s="1632"/>
      <c r="C30" s="1635"/>
      <c r="D30" s="1636"/>
      <c r="E30" s="756" t="s">
        <v>2046</v>
      </c>
      <c r="F30" s="757"/>
      <c r="G30" s="757"/>
      <c r="H30" s="757"/>
      <c r="I30" s="757"/>
      <c r="J30" s="757"/>
      <c r="K30" s="757"/>
      <c r="L30" s="757"/>
      <c r="M30" s="757"/>
      <c r="N30" s="757"/>
      <c r="O30" s="758"/>
      <c r="P30" s="1071"/>
    </row>
    <row r="31" spans="2:20" ht="27" customHeight="1" x14ac:dyDescent="0.2">
      <c r="B31" s="415"/>
      <c r="C31" s="1635"/>
      <c r="D31" s="1636"/>
      <c r="E31" s="756" t="s">
        <v>2047</v>
      </c>
      <c r="F31" s="757"/>
      <c r="G31" s="757"/>
      <c r="H31" s="757"/>
      <c r="I31" s="757"/>
      <c r="J31" s="757"/>
      <c r="K31" s="757"/>
      <c r="L31" s="757"/>
      <c r="M31" s="757"/>
      <c r="N31" s="757"/>
      <c r="O31" s="758"/>
      <c r="P31" s="1071"/>
    </row>
    <row r="32" spans="2:20" ht="27" customHeight="1" x14ac:dyDescent="0.2">
      <c r="B32" s="425"/>
      <c r="C32" s="1637"/>
      <c r="D32" s="1638"/>
      <c r="E32" s="756" t="s">
        <v>2048</v>
      </c>
      <c r="F32" s="757"/>
      <c r="G32" s="757"/>
      <c r="H32" s="757"/>
      <c r="I32" s="757"/>
      <c r="J32" s="757"/>
      <c r="K32" s="757"/>
      <c r="L32" s="757"/>
      <c r="M32" s="757"/>
      <c r="N32" s="757"/>
      <c r="O32" s="758"/>
      <c r="P32" s="1072"/>
    </row>
    <row r="33" spans="2:28" ht="21" customHeight="1" x14ac:dyDescent="0.2">
      <c r="B33" s="1592" t="s">
        <v>1550</v>
      </c>
      <c r="C33" s="1633"/>
      <c r="D33" s="1634"/>
      <c r="E33" s="761" t="s">
        <v>1262</v>
      </c>
      <c r="F33" s="761"/>
      <c r="G33" s="761"/>
      <c r="H33" s="761"/>
      <c r="I33" s="761"/>
      <c r="J33" s="761"/>
      <c r="K33" s="761"/>
      <c r="L33" s="761"/>
      <c r="M33" s="761"/>
      <c r="N33" s="761"/>
      <c r="O33" s="761"/>
      <c r="P33" s="929">
        <f>IF(S33=2,0.05,IF(S33=3,0.23,IF(S33=4,0.48,IF(S33=5,0.78,0))))</f>
        <v>0</v>
      </c>
      <c r="R33" s="146" t="s">
        <v>2236</v>
      </c>
      <c r="S33" s="547">
        <v>1</v>
      </c>
    </row>
    <row r="34" spans="2:28" ht="69.75" customHeight="1" x14ac:dyDescent="0.2">
      <c r="B34" s="1632"/>
      <c r="C34" s="1635"/>
      <c r="D34" s="1636"/>
      <c r="E34" s="756" t="s">
        <v>2034</v>
      </c>
      <c r="F34" s="757"/>
      <c r="G34" s="757"/>
      <c r="H34" s="757"/>
      <c r="I34" s="757"/>
      <c r="J34" s="757"/>
      <c r="K34" s="757"/>
      <c r="L34" s="757"/>
      <c r="M34" s="757"/>
      <c r="N34" s="757"/>
      <c r="O34" s="758"/>
      <c r="P34" s="1071"/>
      <c r="R34" s="664"/>
    </row>
    <row r="35" spans="2:28" ht="94.5" customHeight="1" x14ac:dyDescent="0.2">
      <c r="B35" s="415"/>
      <c r="C35" s="1635"/>
      <c r="D35" s="1636"/>
      <c r="E35" s="756" t="s">
        <v>2035</v>
      </c>
      <c r="F35" s="757"/>
      <c r="G35" s="757"/>
      <c r="H35" s="757"/>
      <c r="I35" s="757"/>
      <c r="J35" s="757"/>
      <c r="K35" s="757"/>
      <c r="L35" s="757"/>
      <c r="M35" s="757"/>
      <c r="N35" s="757"/>
      <c r="O35" s="758"/>
      <c r="P35" s="1071"/>
    </row>
    <row r="36" spans="2:28" ht="93.75" customHeight="1" x14ac:dyDescent="0.2">
      <c r="B36" s="415"/>
      <c r="C36" s="1635"/>
      <c r="D36" s="1636"/>
      <c r="E36" s="756" t="s">
        <v>2036</v>
      </c>
      <c r="F36" s="757"/>
      <c r="G36" s="757"/>
      <c r="H36" s="757"/>
      <c r="I36" s="757"/>
      <c r="J36" s="757"/>
      <c r="K36" s="757"/>
      <c r="L36" s="757"/>
      <c r="M36" s="757"/>
      <c r="N36" s="757"/>
      <c r="O36" s="758"/>
      <c r="P36" s="1071"/>
    </row>
    <row r="37" spans="2:28" ht="93" customHeight="1" x14ac:dyDescent="0.2">
      <c r="B37" s="425"/>
      <c r="C37" s="1637"/>
      <c r="D37" s="1638"/>
      <c r="E37" s="756" t="s">
        <v>2037</v>
      </c>
      <c r="F37" s="757"/>
      <c r="G37" s="757"/>
      <c r="H37" s="757"/>
      <c r="I37" s="757"/>
      <c r="J37" s="757"/>
      <c r="K37" s="757"/>
      <c r="L37" s="757"/>
      <c r="M37" s="757"/>
      <c r="N37" s="757"/>
      <c r="O37" s="758"/>
      <c r="P37" s="1072"/>
    </row>
    <row r="38" spans="2:28" ht="21" customHeight="1" x14ac:dyDescent="0.2">
      <c r="B38" s="267" t="s">
        <v>1908</v>
      </c>
      <c r="C38" s="1648"/>
      <c r="D38" s="1649"/>
      <c r="E38" s="756" t="s">
        <v>1908</v>
      </c>
      <c r="F38" s="757"/>
      <c r="G38" s="757"/>
      <c r="H38" s="757"/>
      <c r="I38" s="757"/>
      <c r="J38" s="757"/>
      <c r="K38" s="757"/>
      <c r="L38" s="757"/>
      <c r="M38" s="757"/>
      <c r="N38" s="757"/>
      <c r="O38" s="758"/>
      <c r="P38" s="21">
        <f>IF(T38=1,0.1,0)</f>
        <v>0</v>
      </c>
      <c r="R38" s="127" t="s">
        <v>2235</v>
      </c>
      <c r="S38" s="547" t="b">
        <v>0</v>
      </c>
      <c r="T38" s="306">
        <f>IF(S38=TRUE,1,0)</f>
        <v>0</v>
      </c>
    </row>
    <row r="39" spans="2:28" ht="21" customHeight="1" x14ac:dyDescent="0.2">
      <c r="B39" s="1592" t="s">
        <v>1909</v>
      </c>
      <c r="C39" s="1633"/>
      <c r="D39" s="1634"/>
      <c r="E39" s="756" t="s">
        <v>1262</v>
      </c>
      <c r="F39" s="757"/>
      <c r="G39" s="757"/>
      <c r="H39" s="757"/>
      <c r="I39" s="757"/>
      <c r="J39" s="757"/>
      <c r="K39" s="757"/>
      <c r="L39" s="757"/>
      <c r="M39" s="757"/>
      <c r="N39" s="757"/>
      <c r="O39" s="758"/>
      <c r="P39" s="929">
        <f>IF(S39=2,0.1,IF(S39=3,0.1,IF(S39=4,0.15,0)))</f>
        <v>0</v>
      </c>
      <c r="R39" s="146" t="s">
        <v>2236</v>
      </c>
      <c r="S39" s="547">
        <v>1</v>
      </c>
    </row>
    <row r="40" spans="2:28" ht="21" customHeight="1" x14ac:dyDescent="0.2">
      <c r="B40" s="1632"/>
      <c r="C40" s="1635"/>
      <c r="D40" s="1636"/>
      <c r="E40" s="756" t="s">
        <v>1910</v>
      </c>
      <c r="F40" s="757"/>
      <c r="G40" s="757"/>
      <c r="H40" s="757"/>
      <c r="I40" s="757"/>
      <c r="J40" s="757"/>
      <c r="K40" s="757"/>
      <c r="L40" s="757"/>
      <c r="M40" s="757"/>
      <c r="N40" s="757"/>
      <c r="O40" s="758"/>
      <c r="P40" s="1071"/>
      <c r="R40" s="664"/>
    </row>
    <row r="41" spans="2:28" ht="21" customHeight="1" x14ac:dyDescent="0.2">
      <c r="B41" s="415"/>
      <c r="C41" s="1635"/>
      <c r="D41" s="1636"/>
      <c r="E41" s="756" t="s">
        <v>1911</v>
      </c>
      <c r="F41" s="757"/>
      <c r="G41" s="757"/>
      <c r="H41" s="757"/>
      <c r="I41" s="757"/>
      <c r="J41" s="757"/>
      <c r="K41" s="757"/>
      <c r="L41" s="757"/>
      <c r="M41" s="757"/>
      <c r="N41" s="757"/>
      <c r="O41" s="758"/>
      <c r="P41" s="1071"/>
    </row>
    <row r="42" spans="2:28" ht="21" customHeight="1" x14ac:dyDescent="0.2">
      <c r="B42" s="425"/>
      <c r="C42" s="1637"/>
      <c r="D42" s="1638"/>
      <c r="E42" s="756" t="s">
        <v>1912</v>
      </c>
      <c r="F42" s="757"/>
      <c r="G42" s="757"/>
      <c r="H42" s="757"/>
      <c r="I42" s="757"/>
      <c r="J42" s="757"/>
      <c r="K42" s="757"/>
      <c r="L42" s="757"/>
      <c r="M42" s="757"/>
      <c r="N42" s="757"/>
      <c r="O42" s="758"/>
      <c r="P42" s="1072"/>
    </row>
    <row r="43" spans="2:28" ht="21" customHeight="1" x14ac:dyDescent="0.2">
      <c r="B43" s="1592" t="s">
        <v>821</v>
      </c>
      <c r="C43" s="1633"/>
      <c r="D43" s="1634"/>
      <c r="E43" s="761" t="s">
        <v>1262</v>
      </c>
      <c r="F43" s="761"/>
      <c r="G43" s="761"/>
      <c r="H43" s="761"/>
      <c r="I43" s="761"/>
      <c r="J43" s="761"/>
      <c r="K43" s="761"/>
      <c r="L43" s="761"/>
      <c r="M43" s="761"/>
      <c r="N43" s="761"/>
      <c r="O43" s="761"/>
      <c r="P43" s="929">
        <f>IF(S43=2,0.05,IF(S43=3,0.18,IF(S43=4,0.3,IF(S43=5,0.5,0))))</f>
        <v>0</v>
      </c>
      <c r="R43" s="146" t="s">
        <v>2236</v>
      </c>
      <c r="S43" s="547">
        <v>1</v>
      </c>
    </row>
    <row r="44" spans="2:28" ht="42" customHeight="1" x14ac:dyDescent="0.2">
      <c r="B44" s="1632"/>
      <c r="C44" s="1635"/>
      <c r="D44" s="1636"/>
      <c r="E44" s="756" t="s">
        <v>2049</v>
      </c>
      <c r="F44" s="757"/>
      <c r="G44" s="757"/>
      <c r="H44" s="757"/>
      <c r="I44" s="757"/>
      <c r="J44" s="757"/>
      <c r="K44" s="757"/>
      <c r="L44" s="757"/>
      <c r="M44" s="757"/>
      <c r="N44" s="757"/>
      <c r="O44" s="758"/>
      <c r="P44" s="1071"/>
      <c r="R44" s="664"/>
    </row>
    <row r="45" spans="2:28" ht="39.75" customHeight="1" x14ac:dyDescent="0.2">
      <c r="B45" s="415"/>
      <c r="C45" s="1635"/>
      <c r="D45" s="1636"/>
      <c r="E45" s="756" t="s">
        <v>2050</v>
      </c>
      <c r="F45" s="757"/>
      <c r="G45" s="757"/>
      <c r="H45" s="757"/>
      <c r="I45" s="757"/>
      <c r="J45" s="757"/>
      <c r="K45" s="757"/>
      <c r="L45" s="757"/>
      <c r="M45" s="757"/>
      <c r="N45" s="757"/>
      <c r="O45" s="758"/>
      <c r="P45" s="1071"/>
    </row>
    <row r="46" spans="2:28" ht="32.25" customHeight="1" x14ac:dyDescent="0.2">
      <c r="B46" s="415"/>
      <c r="C46" s="1635"/>
      <c r="D46" s="1636"/>
      <c r="E46" s="756" t="s">
        <v>2051</v>
      </c>
      <c r="F46" s="757"/>
      <c r="G46" s="757"/>
      <c r="H46" s="757"/>
      <c r="I46" s="757"/>
      <c r="J46" s="757"/>
      <c r="K46" s="757"/>
      <c r="L46" s="757"/>
      <c r="M46" s="757"/>
      <c r="N46" s="757"/>
      <c r="O46" s="758"/>
      <c r="P46" s="1071"/>
    </row>
    <row r="47" spans="2:28" ht="30" customHeight="1" x14ac:dyDescent="0.2">
      <c r="B47" s="425"/>
      <c r="C47" s="1637"/>
      <c r="D47" s="1638"/>
      <c r="E47" s="756" t="s">
        <v>2052</v>
      </c>
      <c r="F47" s="757"/>
      <c r="G47" s="757"/>
      <c r="H47" s="757"/>
      <c r="I47" s="757"/>
      <c r="J47" s="757"/>
      <c r="K47" s="757"/>
      <c r="L47" s="757"/>
      <c r="M47" s="757"/>
      <c r="N47" s="757"/>
      <c r="O47" s="758"/>
      <c r="P47" s="1072"/>
      <c r="Y47" s="7"/>
      <c r="Z47" s="30"/>
      <c r="AA47" s="234"/>
      <c r="AB47" s="7"/>
    </row>
    <row r="48" spans="2:28" ht="21" customHeight="1" x14ac:dyDescent="0.2">
      <c r="B48" s="1592" t="s">
        <v>1551</v>
      </c>
      <c r="C48" s="1633"/>
      <c r="D48" s="1634"/>
      <c r="E48" s="761" t="s">
        <v>1262</v>
      </c>
      <c r="F48" s="761"/>
      <c r="G48" s="761"/>
      <c r="H48" s="761"/>
      <c r="I48" s="761"/>
      <c r="J48" s="761"/>
      <c r="K48" s="761"/>
      <c r="L48" s="761"/>
      <c r="M48" s="761"/>
      <c r="N48" s="761"/>
      <c r="O48" s="761"/>
      <c r="P48" s="929">
        <f>IF(S48=2,0.03,IF(S48=3,0.15,0))</f>
        <v>0</v>
      </c>
      <c r="R48" s="146" t="s">
        <v>2236</v>
      </c>
      <c r="S48" s="547">
        <v>1</v>
      </c>
      <c r="Y48" s="7"/>
      <c r="Z48" s="30"/>
      <c r="AA48" s="234"/>
      <c r="AB48" s="7"/>
    </row>
    <row r="49" spans="2:28" ht="27" customHeight="1" x14ac:dyDescent="0.2">
      <c r="B49" s="1593"/>
      <c r="C49" s="1635"/>
      <c r="D49" s="1636"/>
      <c r="E49" s="756" t="s">
        <v>2053</v>
      </c>
      <c r="F49" s="757"/>
      <c r="G49" s="757"/>
      <c r="H49" s="757"/>
      <c r="I49" s="757"/>
      <c r="J49" s="757"/>
      <c r="K49" s="757"/>
      <c r="L49" s="757"/>
      <c r="M49" s="757"/>
      <c r="N49" s="757"/>
      <c r="O49" s="758"/>
      <c r="P49" s="1071"/>
      <c r="Y49" s="7"/>
      <c r="Z49" s="30"/>
      <c r="AA49" s="234"/>
      <c r="AB49" s="7"/>
    </row>
    <row r="50" spans="2:28" ht="27" customHeight="1" x14ac:dyDescent="0.2">
      <c r="B50" s="1611"/>
      <c r="C50" s="1637"/>
      <c r="D50" s="1638"/>
      <c r="E50" s="749" t="s">
        <v>2054</v>
      </c>
      <c r="F50" s="750"/>
      <c r="G50" s="750"/>
      <c r="H50" s="750"/>
      <c r="I50" s="750"/>
      <c r="J50" s="750"/>
      <c r="K50" s="750"/>
      <c r="L50" s="750"/>
      <c r="M50" s="750"/>
      <c r="N50" s="750"/>
      <c r="O50" s="751"/>
      <c r="P50" s="1072"/>
      <c r="Y50" s="7"/>
      <c r="Z50" s="30"/>
      <c r="AA50" s="234"/>
      <c r="AB50" s="7"/>
    </row>
    <row r="51" spans="2:28" ht="21" customHeight="1" x14ac:dyDescent="0.2">
      <c r="B51" s="1592" t="s">
        <v>1552</v>
      </c>
      <c r="C51" s="1648"/>
      <c r="D51" s="1649"/>
      <c r="E51" s="761" t="s">
        <v>1262</v>
      </c>
      <c r="F51" s="761"/>
      <c r="G51" s="761"/>
      <c r="H51" s="761"/>
      <c r="I51" s="761"/>
      <c r="J51" s="761"/>
      <c r="K51" s="761"/>
      <c r="L51" s="761"/>
      <c r="M51" s="761"/>
      <c r="N51" s="761"/>
      <c r="O51" s="761"/>
      <c r="P51" s="929">
        <f>S53+S54+S55</f>
        <v>0</v>
      </c>
      <c r="R51" s="146" t="s">
        <v>2236</v>
      </c>
      <c r="S51" s="547">
        <v>1</v>
      </c>
      <c r="Y51" s="7"/>
      <c r="Z51" s="30"/>
      <c r="AA51" s="234"/>
      <c r="AB51" s="7"/>
    </row>
    <row r="52" spans="2:28" ht="27" customHeight="1" x14ac:dyDescent="0.2">
      <c r="B52" s="1593"/>
      <c r="C52" s="249"/>
      <c r="D52" s="250"/>
      <c r="E52" s="749" t="s">
        <v>2038</v>
      </c>
      <c r="F52" s="750"/>
      <c r="G52" s="750"/>
      <c r="H52" s="750"/>
      <c r="I52" s="750"/>
      <c r="J52" s="750"/>
      <c r="K52" s="750"/>
      <c r="L52" s="750"/>
      <c r="M52" s="750"/>
      <c r="N52" s="750"/>
      <c r="O52" s="751"/>
      <c r="P52" s="1071"/>
      <c r="R52" s="664"/>
      <c r="Y52" s="7"/>
      <c r="Z52" s="30"/>
      <c r="AA52" s="234"/>
      <c r="AB52" s="7"/>
    </row>
    <row r="53" spans="2:28" ht="21" customHeight="1" x14ac:dyDescent="0.2">
      <c r="B53" s="1593"/>
      <c r="C53" s="249"/>
      <c r="D53" s="250"/>
      <c r="E53" s="1652" t="s">
        <v>1903</v>
      </c>
      <c r="F53" s="1653"/>
      <c r="G53" s="1653"/>
      <c r="H53" s="1653"/>
      <c r="I53" s="1653"/>
      <c r="J53" s="1653"/>
      <c r="K53" s="1653"/>
      <c r="L53" s="1653"/>
      <c r="M53" s="1653"/>
      <c r="N53" s="1653"/>
      <c r="O53" s="1654"/>
      <c r="P53" s="1071"/>
      <c r="R53" s="1647" t="s">
        <v>2238</v>
      </c>
      <c r="S53" s="365">
        <f>IF(S51=2,0.12,IF(S51=3,0.08,IF(S51=4,0.04,0)))</f>
        <v>0</v>
      </c>
      <c r="W53" s="151"/>
      <c r="Y53" s="7"/>
      <c r="Z53" s="30"/>
      <c r="AA53" s="234"/>
      <c r="AB53" s="7"/>
    </row>
    <row r="54" spans="2:28" ht="27" customHeight="1" x14ac:dyDescent="0.2">
      <c r="B54" s="1593"/>
      <c r="C54" s="249"/>
      <c r="D54" s="250"/>
      <c r="E54" s="749" t="s">
        <v>2039</v>
      </c>
      <c r="F54" s="750"/>
      <c r="G54" s="750"/>
      <c r="H54" s="750"/>
      <c r="I54" s="750"/>
      <c r="J54" s="750"/>
      <c r="K54" s="750"/>
      <c r="L54" s="750"/>
      <c r="M54" s="750"/>
      <c r="N54" s="750"/>
      <c r="O54" s="751"/>
      <c r="P54" s="1071"/>
      <c r="R54" s="1647"/>
      <c r="S54" s="365">
        <f>IF(S51=5,0.21,IF(S51=6,0.14,IF(S51=7,0.07,0)))</f>
        <v>0</v>
      </c>
      <c r="Y54" s="7"/>
      <c r="Z54" s="30"/>
      <c r="AA54" s="234"/>
      <c r="AB54" s="7"/>
    </row>
    <row r="55" spans="2:28" ht="21" customHeight="1" x14ac:dyDescent="0.2">
      <c r="B55" s="415"/>
      <c r="C55" s="249"/>
      <c r="D55" s="250"/>
      <c r="E55" s="1652" t="s">
        <v>1903</v>
      </c>
      <c r="F55" s="1653"/>
      <c r="G55" s="1653"/>
      <c r="H55" s="1653"/>
      <c r="I55" s="1653"/>
      <c r="J55" s="1653"/>
      <c r="K55" s="1653"/>
      <c r="L55" s="1653"/>
      <c r="M55" s="1653"/>
      <c r="N55" s="1653"/>
      <c r="O55" s="1654"/>
      <c r="P55" s="1071"/>
      <c r="R55" s="1647"/>
      <c r="S55" s="365">
        <f>IF(S51=8,0.3,IF(S51=9,0.2,IF(S51=10,0.1,0)))</f>
        <v>0</v>
      </c>
      <c r="W55" s="151"/>
      <c r="Y55" s="7"/>
      <c r="Z55" s="30"/>
      <c r="AA55" s="234"/>
      <c r="AB55" s="7"/>
    </row>
    <row r="56" spans="2:28" ht="27" customHeight="1" x14ac:dyDescent="0.2">
      <c r="B56" s="415"/>
      <c r="C56" s="249"/>
      <c r="D56" s="250"/>
      <c r="E56" s="749" t="s">
        <v>2040</v>
      </c>
      <c r="F56" s="750"/>
      <c r="G56" s="750"/>
      <c r="H56" s="750"/>
      <c r="I56" s="750"/>
      <c r="J56" s="750"/>
      <c r="K56" s="750"/>
      <c r="L56" s="750"/>
      <c r="M56" s="750"/>
      <c r="N56" s="750"/>
      <c r="O56" s="751"/>
      <c r="P56" s="1071"/>
      <c r="Y56" s="7"/>
      <c r="Z56" s="30"/>
      <c r="AA56" s="234"/>
      <c r="AB56" s="7"/>
    </row>
    <row r="57" spans="2:28" ht="21" customHeight="1" x14ac:dyDescent="0.2">
      <c r="B57" s="425"/>
      <c r="C57" s="251"/>
      <c r="D57" s="252"/>
      <c r="E57" s="1652" t="s">
        <v>1903</v>
      </c>
      <c r="F57" s="1653"/>
      <c r="G57" s="1653"/>
      <c r="H57" s="1653"/>
      <c r="I57" s="1653"/>
      <c r="J57" s="1653"/>
      <c r="K57" s="1653"/>
      <c r="L57" s="1653"/>
      <c r="M57" s="1653"/>
      <c r="N57" s="1653"/>
      <c r="O57" s="1654"/>
      <c r="P57" s="1072"/>
      <c r="Y57" s="7"/>
      <c r="Z57" s="30"/>
      <c r="AA57" s="234"/>
      <c r="AB57" s="7"/>
    </row>
    <row r="58" spans="2:28" ht="21" customHeight="1" x14ac:dyDescent="0.2">
      <c r="B58" s="1592" t="s">
        <v>551</v>
      </c>
      <c r="C58" s="1633"/>
      <c r="D58" s="1634"/>
      <c r="E58" s="761" t="s">
        <v>1262</v>
      </c>
      <c r="F58" s="761"/>
      <c r="G58" s="761"/>
      <c r="H58" s="761"/>
      <c r="I58" s="761"/>
      <c r="J58" s="761"/>
      <c r="K58" s="761"/>
      <c r="L58" s="761"/>
      <c r="M58" s="761"/>
      <c r="N58" s="761"/>
      <c r="O58" s="761"/>
      <c r="P58" s="929">
        <f>IF(S58=2,0.08,IF(S58=3,0.2,IF(S58=4,0.32,0)))</f>
        <v>0</v>
      </c>
      <c r="R58" s="146" t="s">
        <v>2236</v>
      </c>
      <c r="S58" s="547">
        <v>1</v>
      </c>
      <c r="Y58" s="7"/>
      <c r="Z58" s="30"/>
      <c r="AA58" s="234"/>
      <c r="AB58" s="7"/>
    </row>
    <row r="59" spans="2:28" ht="78" customHeight="1" x14ac:dyDescent="0.2">
      <c r="B59" s="1632"/>
      <c r="C59" s="1635"/>
      <c r="D59" s="1636"/>
      <c r="E59" s="756" t="s">
        <v>2041</v>
      </c>
      <c r="F59" s="757"/>
      <c r="G59" s="757"/>
      <c r="H59" s="757"/>
      <c r="I59" s="757"/>
      <c r="J59" s="757"/>
      <c r="K59" s="757"/>
      <c r="L59" s="757"/>
      <c r="M59" s="757"/>
      <c r="N59" s="757"/>
      <c r="O59" s="758"/>
      <c r="P59" s="1071"/>
      <c r="R59" s="664"/>
      <c r="Y59" s="7"/>
      <c r="Z59" s="30"/>
      <c r="AA59" s="234"/>
      <c r="AB59" s="7"/>
    </row>
    <row r="60" spans="2:28" ht="43.5" customHeight="1" x14ac:dyDescent="0.2">
      <c r="B60" s="415"/>
      <c r="C60" s="1635"/>
      <c r="D60" s="1636"/>
      <c r="E60" s="756" t="s">
        <v>2042</v>
      </c>
      <c r="F60" s="757"/>
      <c r="G60" s="757"/>
      <c r="H60" s="757"/>
      <c r="I60" s="757"/>
      <c r="J60" s="757"/>
      <c r="K60" s="757"/>
      <c r="L60" s="757"/>
      <c r="M60" s="757"/>
      <c r="N60" s="757"/>
      <c r="O60" s="758"/>
      <c r="P60" s="1071"/>
      <c r="Y60" s="7"/>
      <c r="Z60" s="30"/>
    </row>
    <row r="61" spans="2:28" ht="70.5" customHeight="1" x14ac:dyDescent="0.2">
      <c r="B61" s="425"/>
      <c r="C61" s="1637"/>
      <c r="D61" s="1638"/>
      <c r="E61" s="756" t="s">
        <v>2043</v>
      </c>
      <c r="F61" s="757"/>
      <c r="G61" s="757"/>
      <c r="H61" s="757"/>
      <c r="I61" s="757"/>
      <c r="J61" s="757"/>
      <c r="K61" s="757"/>
      <c r="L61" s="757"/>
      <c r="M61" s="757"/>
      <c r="N61" s="757"/>
      <c r="O61" s="758"/>
      <c r="P61" s="1072"/>
    </row>
    <row r="62" spans="2:28" ht="12" customHeight="1" x14ac:dyDescent="0.2">
      <c r="B62" s="343"/>
      <c r="C62" s="41"/>
      <c r="D62" s="41"/>
      <c r="E62" s="39"/>
      <c r="F62" s="39"/>
      <c r="G62" s="39"/>
      <c r="H62" s="39"/>
      <c r="I62" s="39"/>
      <c r="J62" s="39"/>
      <c r="K62" s="39"/>
      <c r="L62" s="39"/>
      <c r="M62" s="39"/>
      <c r="N62" s="39"/>
      <c r="O62" s="39"/>
      <c r="P62" s="217"/>
    </row>
    <row r="63" spans="2:28" ht="12" customHeight="1" x14ac:dyDescent="0.25">
      <c r="B63" s="1651"/>
      <c r="C63" s="1651"/>
      <c r="D63" s="1651"/>
      <c r="E63" s="1651"/>
      <c r="F63" s="1651"/>
      <c r="G63" s="1651"/>
      <c r="H63" s="1651"/>
      <c r="I63" s="1651"/>
      <c r="J63" s="1651"/>
      <c r="K63" s="1651"/>
      <c r="L63" s="1651"/>
      <c r="M63" s="1651"/>
      <c r="N63" s="1651"/>
      <c r="O63" s="1651"/>
      <c r="P63" s="1651"/>
    </row>
    <row r="64" spans="2:28" ht="30" customHeight="1" x14ac:dyDescent="0.2">
      <c r="B64" s="864" t="s">
        <v>1779</v>
      </c>
      <c r="C64" s="865"/>
      <c r="D64" s="865"/>
      <c r="E64" s="865"/>
      <c r="F64" s="865"/>
      <c r="G64" s="865"/>
      <c r="H64" s="865"/>
      <c r="I64" s="865"/>
      <c r="J64" s="865"/>
      <c r="K64" s="865"/>
      <c r="L64" s="865"/>
      <c r="M64" s="865"/>
      <c r="N64" s="866"/>
      <c r="O64" s="19" t="s">
        <v>1495</v>
      </c>
      <c r="P64" s="314" t="s">
        <v>1284</v>
      </c>
      <c r="R64" s="146" t="s">
        <v>1284</v>
      </c>
      <c r="S64" s="13" t="s">
        <v>1285</v>
      </c>
      <c r="T64" s="13" t="s">
        <v>1286</v>
      </c>
      <c r="U64" s="13" t="s">
        <v>1287</v>
      </c>
      <c r="V64" s="19" t="s">
        <v>2234</v>
      </c>
    </row>
    <row r="65" spans="2:22" ht="19.5" customHeight="1" x14ac:dyDescent="0.2">
      <c r="B65" s="791" t="s">
        <v>1118</v>
      </c>
      <c r="C65" s="791"/>
      <c r="D65" s="791"/>
      <c r="E65" s="791"/>
      <c r="F65" s="791"/>
      <c r="G65" s="791"/>
      <c r="H65" s="791"/>
      <c r="I65" s="791"/>
      <c r="J65" s="791"/>
      <c r="K65" s="791"/>
      <c r="L65" s="755">
        <f>P4</f>
        <v>0</v>
      </c>
      <c r="M65" s="755"/>
      <c r="N65" s="755"/>
      <c r="O65" s="208"/>
      <c r="P65" s="245">
        <f t="shared" ref="P65:P78" si="0">IF(AND(V65&gt;0,V65&lt;0.01),0.01,ROUND(V65,2))</f>
        <v>0</v>
      </c>
      <c r="R65" s="389">
        <f t="shared" ref="R65:R78" si="1">P65</f>
        <v>0</v>
      </c>
      <c r="S65" s="365">
        <f>LARGE($R$65:$R$78,1)</f>
        <v>0</v>
      </c>
      <c r="T65" s="402">
        <f>S65+S66*(1-S65)</f>
        <v>0</v>
      </c>
      <c r="U65" s="389">
        <f t="shared" ref="U65:U77" si="2">ROUND(T65,2)</f>
        <v>0</v>
      </c>
      <c r="V65" s="550">
        <f t="shared" ref="V65:V78" si="3">IF(O65&gt;0,L65*O65,L65)</f>
        <v>0</v>
      </c>
    </row>
    <row r="66" spans="2:22" ht="19.5" customHeight="1" x14ac:dyDescent="0.2">
      <c r="B66" s="761" t="s">
        <v>1119</v>
      </c>
      <c r="C66" s="761"/>
      <c r="D66" s="761"/>
      <c r="E66" s="761"/>
      <c r="F66" s="761"/>
      <c r="G66" s="761"/>
      <c r="H66" s="761"/>
      <c r="I66" s="761"/>
      <c r="J66" s="761"/>
      <c r="K66" s="761"/>
      <c r="L66" s="755">
        <f>P8</f>
        <v>0</v>
      </c>
      <c r="M66" s="755"/>
      <c r="N66" s="755"/>
      <c r="O66" s="208"/>
      <c r="P66" s="245">
        <f t="shared" si="0"/>
        <v>0</v>
      </c>
      <c r="R66" s="389">
        <f t="shared" si="1"/>
        <v>0</v>
      </c>
      <c r="S66" s="365">
        <f>LARGE($R$65:$R$78,2)</f>
        <v>0</v>
      </c>
      <c r="T66" s="402">
        <f t="shared" ref="T66:T77" si="4">U65+S67*(1-U65)</f>
        <v>0</v>
      </c>
      <c r="U66" s="389">
        <f t="shared" si="2"/>
        <v>0</v>
      </c>
      <c r="V66" s="550">
        <f t="shared" si="3"/>
        <v>0</v>
      </c>
    </row>
    <row r="67" spans="2:22" ht="19.5" customHeight="1" x14ac:dyDescent="0.2">
      <c r="B67" s="756" t="s">
        <v>1790</v>
      </c>
      <c r="C67" s="757"/>
      <c r="D67" s="757"/>
      <c r="E67" s="757"/>
      <c r="F67" s="757"/>
      <c r="G67" s="757"/>
      <c r="H67" s="757"/>
      <c r="I67" s="757"/>
      <c r="J67" s="757"/>
      <c r="K67" s="758"/>
      <c r="L67" s="755">
        <f>P13</f>
        <v>0</v>
      </c>
      <c r="M67" s="755"/>
      <c r="N67" s="755"/>
      <c r="O67" s="208"/>
      <c r="P67" s="245">
        <f t="shared" si="0"/>
        <v>0</v>
      </c>
      <c r="R67" s="389">
        <f t="shared" si="1"/>
        <v>0</v>
      </c>
      <c r="S67" s="365">
        <f>LARGE($R$65:$R$78,3)</f>
        <v>0</v>
      </c>
      <c r="T67" s="402">
        <f t="shared" si="4"/>
        <v>0</v>
      </c>
      <c r="U67" s="389">
        <f t="shared" si="2"/>
        <v>0</v>
      </c>
      <c r="V67" s="550">
        <f t="shared" si="3"/>
        <v>0</v>
      </c>
    </row>
    <row r="68" spans="2:22" ht="19.5" customHeight="1" x14ac:dyDescent="0.2">
      <c r="B68" s="756" t="s">
        <v>1791</v>
      </c>
      <c r="C68" s="757"/>
      <c r="D68" s="757"/>
      <c r="E68" s="757"/>
      <c r="F68" s="757"/>
      <c r="G68" s="757"/>
      <c r="H68" s="757"/>
      <c r="I68" s="757"/>
      <c r="J68" s="757"/>
      <c r="K68" s="758"/>
      <c r="L68" s="755">
        <f>P18</f>
        <v>0</v>
      </c>
      <c r="M68" s="755"/>
      <c r="N68" s="755"/>
      <c r="O68" s="208"/>
      <c r="P68" s="245">
        <f t="shared" si="0"/>
        <v>0</v>
      </c>
      <c r="R68" s="389">
        <f t="shared" si="1"/>
        <v>0</v>
      </c>
      <c r="S68" s="365">
        <f>LARGE($R$65:$R$78,4)</f>
        <v>0</v>
      </c>
      <c r="T68" s="402">
        <f t="shared" si="4"/>
        <v>0</v>
      </c>
      <c r="U68" s="389">
        <f t="shared" si="2"/>
        <v>0</v>
      </c>
      <c r="V68" s="550">
        <f t="shared" si="3"/>
        <v>0</v>
      </c>
    </row>
    <row r="69" spans="2:22" ht="19.5" customHeight="1" x14ac:dyDescent="0.2">
      <c r="B69" s="756" t="s">
        <v>1792</v>
      </c>
      <c r="C69" s="757"/>
      <c r="D69" s="757"/>
      <c r="E69" s="757"/>
      <c r="F69" s="757"/>
      <c r="G69" s="757"/>
      <c r="H69" s="757"/>
      <c r="I69" s="757"/>
      <c r="J69" s="757"/>
      <c r="K69" s="758"/>
      <c r="L69" s="755">
        <f>P22</f>
        <v>0</v>
      </c>
      <c r="M69" s="755"/>
      <c r="N69" s="755"/>
      <c r="O69" s="208"/>
      <c r="P69" s="245">
        <f t="shared" si="0"/>
        <v>0</v>
      </c>
      <c r="R69" s="389">
        <f t="shared" si="1"/>
        <v>0</v>
      </c>
      <c r="S69" s="365">
        <f>LARGE($R$65:$R$78,5)</f>
        <v>0</v>
      </c>
      <c r="T69" s="402">
        <f t="shared" si="4"/>
        <v>0</v>
      </c>
      <c r="U69" s="389">
        <f t="shared" si="2"/>
        <v>0</v>
      </c>
      <c r="V69" s="550">
        <f t="shared" si="3"/>
        <v>0</v>
      </c>
    </row>
    <row r="70" spans="2:22" ht="19.5" customHeight="1" x14ac:dyDescent="0.2">
      <c r="B70" s="756" t="s">
        <v>609</v>
      </c>
      <c r="C70" s="757"/>
      <c r="D70" s="757"/>
      <c r="E70" s="757"/>
      <c r="F70" s="757"/>
      <c r="G70" s="757"/>
      <c r="H70" s="757"/>
      <c r="I70" s="757"/>
      <c r="J70" s="757"/>
      <c r="K70" s="758"/>
      <c r="L70" s="755">
        <f>P27</f>
        <v>0</v>
      </c>
      <c r="M70" s="755"/>
      <c r="N70" s="755"/>
      <c r="O70" s="208"/>
      <c r="P70" s="245">
        <f t="shared" si="0"/>
        <v>0</v>
      </c>
      <c r="R70" s="389">
        <f t="shared" si="1"/>
        <v>0</v>
      </c>
      <c r="S70" s="365">
        <f>LARGE($R$65:$R$78,6)</f>
        <v>0</v>
      </c>
      <c r="T70" s="402">
        <f t="shared" si="4"/>
        <v>0</v>
      </c>
      <c r="U70" s="389">
        <f t="shared" si="2"/>
        <v>0</v>
      </c>
      <c r="V70" s="550">
        <f t="shared" si="3"/>
        <v>0</v>
      </c>
    </row>
    <row r="71" spans="2:22" ht="19.5" customHeight="1" x14ac:dyDescent="0.2">
      <c r="B71" s="756" t="s">
        <v>1793</v>
      </c>
      <c r="C71" s="757"/>
      <c r="D71" s="757"/>
      <c r="E71" s="757"/>
      <c r="F71" s="757"/>
      <c r="G71" s="757"/>
      <c r="H71" s="757"/>
      <c r="I71" s="757"/>
      <c r="J71" s="757"/>
      <c r="K71" s="758"/>
      <c r="L71" s="755">
        <f>P28</f>
        <v>0</v>
      </c>
      <c r="M71" s="755"/>
      <c r="N71" s="755"/>
      <c r="O71" s="208"/>
      <c r="P71" s="245">
        <f t="shared" si="0"/>
        <v>0</v>
      </c>
      <c r="R71" s="389">
        <f t="shared" si="1"/>
        <v>0</v>
      </c>
      <c r="S71" s="365">
        <f>LARGE($R$65:$R$78,7)</f>
        <v>0</v>
      </c>
      <c r="T71" s="402">
        <f t="shared" si="4"/>
        <v>0</v>
      </c>
      <c r="U71" s="389">
        <f t="shared" si="2"/>
        <v>0</v>
      </c>
      <c r="V71" s="550">
        <f t="shared" si="3"/>
        <v>0</v>
      </c>
    </row>
    <row r="72" spans="2:22" ht="19.5" customHeight="1" x14ac:dyDescent="0.2">
      <c r="B72" s="756" t="s">
        <v>1794</v>
      </c>
      <c r="C72" s="757"/>
      <c r="D72" s="757"/>
      <c r="E72" s="757"/>
      <c r="F72" s="757"/>
      <c r="G72" s="757"/>
      <c r="H72" s="757"/>
      <c r="I72" s="757"/>
      <c r="J72" s="757"/>
      <c r="K72" s="758"/>
      <c r="L72" s="755">
        <f>P33</f>
        <v>0</v>
      </c>
      <c r="M72" s="755"/>
      <c r="N72" s="755"/>
      <c r="O72" s="208"/>
      <c r="P72" s="245">
        <f t="shared" si="0"/>
        <v>0</v>
      </c>
      <c r="R72" s="389">
        <f t="shared" si="1"/>
        <v>0</v>
      </c>
      <c r="S72" s="365">
        <f>LARGE($R$65:$R$78,8)</f>
        <v>0</v>
      </c>
      <c r="T72" s="402">
        <f t="shared" si="4"/>
        <v>0</v>
      </c>
      <c r="U72" s="389">
        <f t="shared" si="2"/>
        <v>0</v>
      </c>
      <c r="V72" s="550">
        <f t="shared" si="3"/>
        <v>0</v>
      </c>
    </row>
    <row r="73" spans="2:22" ht="19.5" customHeight="1" x14ac:dyDescent="0.2">
      <c r="B73" s="756" t="s">
        <v>1908</v>
      </c>
      <c r="C73" s="757"/>
      <c r="D73" s="757"/>
      <c r="E73" s="757"/>
      <c r="F73" s="757"/>
      <c r="G73" s="757"/>
      <c r="H73" s="757"/>
      <c r="I73" s="757"/>
      <c r="J73" s="757"/>
      <c r="K73" s="758"/>
      <c r="L73" s="755">
        <f>P38</f>
        <v>0</v>
      </c>
      <c r="M73" s="755"/>
      <c r="N73" s="755"/>
      <c r="O73" s="208"/>
      <c r="P73" s="245">
        <f t="shared" si="0"/>
        <v>0</v>
      </c>
      <c r="R73" s="389">
        <f t="shared" si="1"/>
        <v>0</v>
      </c>
      <c r="S73" s="365">
        <f>LARGE($R$65:$R$78,9)</f>
        <v>0</v>
      </c>
      <c r="T73" s="402">
        <f t="shared" si="4"/>
        <v>0</v>
      </c>
      <c r="U73" s="389">
        <f t="shared" si="2"/>
        <v>0</v>
      </c>
      <c r="V73" s="550">
        <f t="shared" si="3"/>
        <v>0</v>
      </c>
    </row>
    <row r="74" spans="2:22" ht="19.5" customHeight="1" x14ac:dyDescent="0.2">
      <c r="B74" s="756" t="s">
        <v>1799</v>
      </c>
      <c r="C74" s="757"/>
      <c r="D74" s="757"/>
      <c r="E74" s="757"/>
      <c r="F74" s="757"/>
      <c r="G74" s="757"/>
      <c r="H74" s="757"/>
      <c r="I74" s="757"/>
      <c r="J74" s="757"/>
      <c r="K74" s="758"/>
      <c r="L74" s="755">
        <f>P39</f>
        <v>0</v>
      </c>
      <c r="M74" s="755"/>
      <c r="N74" s="755"/>
      <c r="O74" s="208"/>
      <c r="P74" s="245">
        <f t="shared" si="0"/>
        <v>0</v>
      </c>
      <c r="R74" s="389">
        <f t="shared" si="1"/>
        <v>0</v>
      </c>
      <c r="S74" s="365">
        <f>LARGE($R$65:$R$78,10)</f>
        <v>0</v>
      </c>
      <c r="T74" s="402">
        <f t="shared" si="4"/>
        <v>0</v>
      </c>
      <c r="U74" s="389">
        <f t="shared" si="2"/>
        <v>0</v>
      </c>
      <c r="V74" s="550">
        <f t="shared" si="3"/>
        <v>0</v>
      </c>
    </row>
    <row r="75" spans="2:22" ht="19.5" customHeight="1" x14ac:dyDescent="0.2">
      <c r="B75" s="756" t="s">
        <v>1795</v>
      </c>
      <c r="C75" s="757"/>
      <c r="D75" s="757"/>
      <c r="E75" s="757"/>
      <c r="F75" s="757"/>
      <c r="G75" s="757"/>
      <c r="H75" s="757"/>
      <c r="I75" s="757"/>
      <c r="J75" s="757"/>
      <c r="K75" s="758"/>
      <c r="L75" s="755">
        <f>P43</f>
        <v>0</v>
      </c>
      <c r="M75" s="755"/>
      <c r="N75" s="755"/>
      <c r="O75" s="208"/>
      <c r="P75" s="245">
        <f t="shared" si="0"/>
        <v>0</v>
      </c>
      <c r="R75" s="389">
        <f t="shared" si="1"/>
        <v>0</v>
      </c>
      <c r="S75" s="365">
        <f>LARGE($R$65:$R$78,11)</f>
        <v>0</v>
      </c>
      <c r="T75" s="402">
        <f t="shared" si="4"/>
        <v>0</v>
      </c>
      <c r="U75" s="389">
        <f t="shared" si="2"/>
        <v>0</v>
      </c>
      <c r="V75" s="550">
        <f t="shared" si="3"/>
        <v>0</v>
      </c>
    </row>
    <row r="76" spans="2:22" ht="19.5" customHeight="1" x14ac:dyDescent="0.2">
      <c r="B76" s="756" t="s">
        <v>1796</v>
      </c>
      <c r="C76" s="757"/>
      <c r="D76" s="757"/>
      <c r="E76" s="757"/>
      <c r="F76" s="757"/>
      <c r="G76" s="757"/>
      <c r="H76" s="757"/>
      <c r="I76" s="757"/>
      <c r="J76" s="757"/>
      <c r="K76" s="758"/>
      <c r="L76" s="755">
        <f>P48</f>
        <v>0</v>
      </c>
      <c r="M76" s="755"/>
      <c r="N76" s="755"/>
      <c r="O76" s="208"/>
      <c r="P76" s="245">
        <f t="shared" si="0"/>
        <v>0</v>
      </c>
      <c r="R76" s="389">
        <f t="shared" si="1"/>
        <v>0</v>
      </c>
      <c r="S76" s="365">
        <f>LARGE($R$65:$R$78,12)</f>
        <v>0</v>
      </c>
      <c r="T76" s="402">
        <f t="shared" si="4"/>
        <v>0</v>
      </c>
      <c r="U76" s="389">
        <f t="shared" si="2"/>
        <v>0</v>
      </c>
      <c r="V76" s="550">
        <f t="shared" si="3"/>
        <v>0</v>
      </c>
    </row>
    <row r="77" spans="2:22" ht="19.5" customHeight="1" x14ac:dyDescent="0.2">
      <c r="B77" s="756" t="s">
        <v>1797</v>
      </c>
      <c r="C77" s="757"/>
      <c r="D77" s="757"/>
      <c r="E77" s="757"/>
      <c r="F77" s="757"/>
      <c r="G77" s="757"/>
      <c r="H77" s="757"/>
      <c r="I77" s="757"/>
      <c r="J77" s="757"/>
      <c r="K77" s="758"/>
      <c r="L77" s="755">
        <f>P51</f>
        <v>0</v>
      </c>
      <c r="M77" s="755"/>
      <c r="N77" s="755"/>
      <c r="O77" s="208"/>
      <c r="P77" s="245">
        <f t="shared" si="0"/>
        <v>0</v>
      </c>
      <c r="R77" s="389">
        <f t="shared" si="1"/>
        <v>0</v>
      </c>
      <c r="S77" s="365">
        <f>LARGE($R$65:$R$78,13)</f>
        <v>0</v>
      </c>
      <c r="T77" s="402">
        <f t="shared" si="4"/>
        <v>0</v>
      </c>
      <c r="U77" s="389">
        <f t="shared" si="2"/>
        <v>0</v>
      </c>
      <c r="V77" s="550">
        <f t="shared" si="3"/>
        <v>0</v>
      </c>
    </row>
    <row r="78" spans="2:22" ht="19.5" customHeight="1" x14ac:dyDescent="0.2">
      <c r="B78" s="756" t="s">
        <v>1798</v>
      </c>
      <c r="C78" s="757"/>
      <c r="D78" s="757"/>
      <c r="E78" s="757"/>
      <c r="F78" s="757"/>
      <c r="G78" s="757"/>
      <c r="H78" s="757"/>
      <c r="I78" s="757"/>
      <c r="J78" s="757"/>
      <c r="K78" s="758"/>
      <c r="L78" s="755">
        <f>P58</f>
        <v>0</v>
      </c>
      <c r="M78" s="755"/>
      <c r="N78" s="755"/>
      <c r="O78" s="208"/>
      <c r="P78" s="245">
        <f t="shared" si="0"/>
        <v>0</v>
      </c>
      <c r="R78" s="389">
        <f t="shared" si="1"/>
        <v>0</v>
      </c>
      <c r="S78" s="365">
        <f>LARGE($R$65:$R$78,14)</f>
        <v>0</v>
      </c>
      <c r="V78" s="550">
        <f t="shared" si="3"/>
        <v>0</v>
      </c>
    </row>
    <row r="79" spans="2:22" ht="19.5" customHeight="1" x14ac:dyDescent="0.2">
      <c r="B79" s="1019" t="s">
        <v>1491</v>
      </c>
      <c r="C79" s="1020"/>
      <c r="D79" s="1020"/>
      <c r="E79" s="1020"/>
      <c r="F79" s="1020"/>
      <c r="G79" s="1020"/>
      <c r="H79" s="1020"/>
      <c r="I79" s="1020"/>
      <c r="J79" s="1020"/>
      <c r="K79" s="1020"/>
      <c r="L79" s="1020"/>
      <c r="M79" s="1020"/>
      <c r="N79" s="1020"/>
      <c r="O79" s="1021"/>
      <c r="P79" s="247">
        <f>U77</f>
        <v>0</v>
      </c>
    </row>
    <row r="80" spans="2:22" ht="30.75" customHeight="1" x14ac:dyDescent="0.25">
      <c r="B80" s="1037" t="s">
        <v>931</v>
      </c>
      <c r="C80" s="1037"/>
      <c r="D80" s="1037"/>
      <c r="E80" s="1037"/>
      <c r="F80" s="1037"/>
      <c r="G80" s="1037"/>
      <c r="H80" s="1037"/>
      <c r="I80" s="1037"/>
      <c r="J80" s="1037"/>
      <c r="K80" s="1037"/>
      <c r="L80" s="1037"/>
      <c r="M80" s="1037"/>
      <c r="N80" s="1037"/>
      <c r="O80" s="1037"/>
      <c r="P80" s="1037"/>
    </row>
    <row r="81" spans="2:16" x14ac:dyDescent="0.2">
      <c r="B81" s="587" t="s">
        <v>775</v>
      </c>
      <c r="C81" s="1650" t="str">
        <f>IF(U1&lt;&gt;"",U1,"")</f>
        <v>Go to PPD Worksheet</v>
      </c>
      <c r="D81" s="1650"/>
      <c r="E81" s="1650"/>
      <c r="F81" s="1650"/>
      <c r="G81" s="1650"/>
      <c r="H81" s="1650"/>
      <c r="I81" s="1464" t="str">
        <f>IF(T1&lt;&gt;"",T1,"")</f>
        <v/>
      </c>
      <c r="J81" s="1464"/>
      <c r="K81" s="1464"/>
      <c r="L81" s="1464"/>
      <c r="M81" s="1464"/>
      <c r="N81" s="1464"/>
      <c r="P81" s="15"/>
    </row>
    <row r="84" spans="2:16" hidden="1" x14ac:dyDescent="0.2">
      <c r="B84" s="2">
        <v>0.01</v>
      </c>
      <c r="C84" s="2">
        <v>0.99</v>
      </c>
    </row>
  </sheetData>
  <sheetProtection sheet="1" objects="1" scenarios="1"/>
  <mergeCells count="135">
    <mergeCell ref="B68:K68"/>
    <mergeCell ref="L68:N68"/>
    <mergeCell ref="B64:N64"/>
    <mergeCell ref="P48:P50"/>
    <mergeCell ref="E48:O48"/>
    <mergeCell ref="E49:O49"/>
    <mergeCell ref="E55:O55"/>
    <mergeCell ref="E52:O52"/>
    <mergeCell ref="E51:O51"/>
    <mergeCell ref="B66:K66"/>
    <mergeCell ref="L66:N66"/>
    <mergeCell ref="B48:B50"/>
    <mergeCell ref="E54:O54"/>
    <mergeCell ref="E53:O53"/>
    <mergeCell ref="C48:D50"/>
    <mergeCell ref="L77:N77"/>
    <mergeCell ref="B72:K72"/>
    <mergeCell ref="B76:K76"/>
    <mergeCell ref="B78:K78"/>
    <mergeCell ref="L78:N78"/>
    <mergeCell ref="B77:K77"/>
    <mergeCell ref="L70:N70"/>
    <mergeCell ref="B71:K71"/>
    <mergeCell ref="L71:N71"/>
    <mergeCell ref="E1:K1"/>
    <mergeCell ref="M1:P1"/>
    <mergeCell ref="B67:K67"/>
    <mergeCell ref="L67:N67"/>
    <mergeCell ref="P33:P37"/>
    <mergeCell ref="P51:P57"/>
    <mergeCell ref="E35:O35"/>
    <mergeCell ref="P39:P42"/>
    <mergeCell ref="P43:P47"/>
    <mergeCell ref="C38:D38"/>
    <mergeCell ref="P28:P32"/>
    <mergeCell ref="C28:D32"/>
    <mergeCell ref="E32:O32"/>
    <mergeCell ref="E30:O30"/>
    <mergeCell ref="E31:O31"/>
    <mergeCell ref="E29:O29"/>
    <mergeCell ref="C27:D27"/>
    <mergeCell ref="B33:B34"/>
    <mergeCell ref="L65:N65"/>
    <mergeCell ref="C58:D61"/>
    <mergeCell ref="E39:O39"/>
    <mergeCell ref="E50:O50"/>
    <mergeCell ref="C39:D42"/>
    <mergeCell ref="E45:O45"/>
    <mergeCell ref="B2:P2"/>
    <mergeCell ref="B3:P3"/>
    <mergeCell ref="C4:D7"/>
    <mergeCell ref="E4:O4"/>
    <mergeCell ref="E5:O5"/>
    <mergeCell ref="E6:O6"/>
    <mergeCell ref="E7:O7"/>
    <mergeCell ref="B4:B7"/>
    <mergeCell ref="P4:P7"/>
    <mergeCell ref="B8:B10"/>
    <mergeCell ref="E15:O15"/>
    <mergeCell ref="E16:O16"/>
    <mergeCell ref="E17:O17"/>
    <mergeCell ref="C13:D17"/>
    <mergeCell ref="E8:O8"/>
    <mergeCell ref="E13:O13"/>
    <mergeCell ref="C8:D12"/>
    <mergeCell ref="E9:O9"/>
    <mergeCell ref="E14:O14"/>
    <mergeCell ref="B13:B14"/>
    <mergeCell ref="P8:P12"/>
    <mergeCell ref="E10:O10"/>
    <mergeCell ref="E11:O11"/>
    <mergeCell ref="E12:O12"/>
    <mergeCell ref="E33:O33"/>
    <mergeCell ref="E34:O34"/>
    <mergeCell ref="E21:O21"/>
    <mergeCell ref="P13:P17"/>
    <mergeCell ref="E27:O27"/>
    <mergeCell ref="P22:P26"/>
    <mergeCell ref="P18:P21"/>
    <mergeCell ref="E18:O18"/>
    <mergeCell ref="E19:O19"/>
    <mergeCell ref="E20:O20"/>
    <mergeCell ref="E22:O22"/>
    <mergeCell ref="E23:O23"/>
    <mergeCell ref="E25:O25"/>
    <mergeCell ref="E26:O26"/>
    <mergeCell ref="E28:O28"/>
    <mergeCell ref="E24:O24"/>
    <mergeCell ref="C81:H81"/>
    <mergeCell ref="I81:N81"/>
    <mergeCell ref="E56:O56"/>
    <mergeCell ref="E58:O58"/>
    <mergeCell ref="E59:O59"/>
    <mergeCell ref="E60:O60"/>
    <mergeCell ref="E61:O61"/>
    <mergeCell ref="B63:P63"/>
    <mergeCell ref="B75:K75"/>
    <mergeCell ref="B73:K73"/>
    <mergeCell ref="P58:P61"/>
    <mergeCell ref="E57:O57"/>
    <mergeCell ref="B74:K74"/>
    <mergeCell ref="L73:N73"/>
    <mergeCell ref="L74:N74"/>
    <mergeCell ref="B69:K69"/>
    <mergeCell ref="L69:N69"/>
    <mergeCell ref="B70:K70"/>
    <mergeCell ref="B65:K65"/>
    <mergeCell ref="B79:O79"/>
    <mergeCell ref="B80:P80"/>
    <mergeCell ref="L72:N72"/>
    <mergeCell ref="L75:N75"/>
    <mergeCell ref="L76:N76"/>
    <mergeCell ref="R53:R55"/>
    <mergeCell ref="C18:D21"/>
    <mergeCell ref="C22:D26"/>
    <mergeCell ref="E44:O44"/>
    <mergeCell ref="E40:O40"/>
    <mergeCell ref="E41:O41"/>
    <mergeCell ref="B43:B44"/>
    <mergeCell ref="B51:B54"/>
    <mergeCell ref="B58:B59"/>
    <mergeCell ref="E36:O36"/>
    <mergeCell ref="E42:O42"/>
    <mergeCell ref="C43:D47"/>
    <mergeCell ref="E46:O46"/>
    <mergeCell ref="E47:O47"/>
    <mergeCell ref="E37:O37"/>
    <mergeCell ref="E38:O38"/>
    <mergeCell ref="C33:D37"/>
    <mergeCell ref="B18:B19"/>
    <mergeCell ref="B22:B23"/>
    <mergeCell ref="B28:B30"/>
    <mergeCell ref="B39:B40"/>
    <mergeCell ref="C51:D51"/>
    <mergeCell ref="E43:O43"/>
  </mergeCells>
  <phoneticPr fontId="0" type="noConversion"/>
  <dataValidations xWindow="373" yWindow="254" count="4">
    <dataValidation type="decimal" allowBlank="1" showInputMessage="1" showErrorMessage="1" promptTitle="Apportionment (if any)" prompt="Enter percentage of impairment caused by the injury or illness. See OAR 436-035-0013." sqref="O65:O78" xr:uid="{00000000-0002-0000-1800-000000000000}">
      <formula1>$B$84</formula1>
      <formula2>$C$84</formula2>
    </dataValidation>
    <dataValidation type="decimal" operator="equal" allowBlank="1" showInputMessage="1" showErrorMessage="1" promptTitle="TAB" prompt="To return to the top of the worksheet." sqref="P81" xr:uid="{00000000-0002-0000-1800-000001000000}">
      <formula1>R81</formula1>
    </dataValidation>
    <dataValidation type="decimal" operator="equal" allowBlank="1" showInputMessage="1" showErrorMessage="1" sqref="A2" xr:uid="{00000000-0002-0000-1800-000002000000}">
      <formula1>R81</formula1>
    </dataValidation>
    <dataValidation type="decimal" operator="equal" allowBlank="1" showInputMessage="1" showErrorMessage="1" sqref="A3" xr:uid="{00000000-0002-0000-1800-000003000000}">
      <formula1>R81</formula1>
    </dataValidation>
  </dataValidations>
  <hyperlinks>
    <hyperlink ref="B81" location="'GI &amp; GU'!A1" display="Return to top of sheet" xr:uid="{00000000-0004-0000-1800-000000000000}"/>
    <hyperlink ref="I81:N81" location="'PPD DOI on or after 2005'!A1" display="'PPD DOI on or after 2005'!A1" xr:uid="{00000000-0004-0000-1800-000001000000}"/>
    <hyperlink ref="C81:H81" location="'PPD DOI before 2005'!A1" display="'PPD DOI before 2005'!A1" xr:uid="{00000000-0004-0000-1800-000002000000}"/>
  </hyperlinks>
  <pageMargins left="0.75" right="0.75" top="1" bottom="1" header="0.5" footer="0.5"/>
  <pageSetup orientation="portrait" horizontalDpi="300" verticalDpi="300" r:id="rId1"/>
  <headerFooter alignWithMargins="0">
    <oddFooter>&amp;LGastrointestinal and Genitourinary Systems&amp;CPage &amp;P</oddFooter>
  </headerFooter>
  <rowBreaks count="5" manualBreakCount="5">
    <brk id="12" max="16383" man="1"/>
    <brk id="21" max="16383" man="1"/>
    <brk id="32" max="16383" man="1"/>
    <brk id="47" max="16383" man="1"/>
    <brk id="62" max="16383" man="1"/>
  </rowBreaks>
  <drawing r:id="rId2"/>
  <legacyDrawing r:id="rId3"/>
  <oleObjects>
    <mc:AlternateContent xmlns:mc="http://schemas.openxmlformats.org/markup-compatibility/2006">
      <mc:Choice Requires="x14">
        <oleObject progId="Document" dvAspect="DVASPECT_ICON" shapeId="28678" r:id="rId4">
          <objectPr locked="0" defaultSize="0" r:id="rId5">
            <anchor moveWithCells="1">
              <from>
                <xdr:col>1</xdr:col>
                <xdr:colOff>114300</xdr:colOff>
                <xdr:row>10</xdr:row>
                <xdr:rowOff>114300</xdr:rowOff>
              </from>
              <to>
                <xdr:col>1</xdr:col>
                <xdr:colOff>1190625</xdr:colOff>
                <xdr:row>10</xdr:row>
                <xdr:rowOff>923925</xdr:rowOff>
              </to>
            </anchor>
          </objectPr>
        </oleObject>
      </mc:Choice>
      <mc:Fallback>
        <oleObject progId="Document" dvAspect="DVASPECT_ICON" shapeId="28678" r:id="rId4"/>
      </mc:Fallback>
    </mc:AlternateContent>
  </oleObjects>
  <mc:AlternateContent xmlns:mc="http://schemas.openxmlformats.org/markup-compatibility/2006">
    <mc:Choice Requires="x14">
      <controls>
        <mc:AlternateContent xmlns:mc="http://schemas.openxmlformats.org/markup-compatibility/2006">
          <mc:Choice Requires="x14">
            <control shapeId="28673" r:id="rId6" name="Group Box 1">
              <controlPr defaultSize="0" autoFill="0" autoPict="0">
                <anchor moveWithCells="1">
                  <from>
                    <xdr:col>2</xdr:col>
                    <xdr:colOff>0</xdr:colOff>
                    <xdr:row>2</xdr:row>
                    <xdr:rowOff>295275</xdr:rowOff>
                  </from>
                  <to>
                    <xdr:col>14</xdr:col>
                    <xdr:colOff>800100</xdr:colOff>
                    <xdr:row>6</xdr:row>
                    <xdr:rowOff>352425</xdr:rowOff>
                  </to>
                </anchor>
              </controlPr>
            </control>
          </mc:Choice>
        </mc:AlternateContent>
        <mc:AlternateContent xmlns:mc="http://schemas.openxmlformats.org/markup-compatibility/2006">
          <mc:Choice Requires="x14">
            <control shapeId="28674" r:id="rId7" name="Option Button 2">
              <controlPr defaultSize="0" autoFill="0" autoLine="0" autoPict="0">
                <anchor moveWithCells="1">
                  <from>
                    <xdr:col>2</xdr:col>
                    <xdr:colOff>47625</xdr:colOff>
                    <xdr:row>3</xdr:row>
                    <xdr:rowOff>28575</xdr:rowOff>
                  </from>
                  <to>
                    <xdr:col>4</xdr:col>
                    <xdr:colOff>28575</xdr:colOff>
                    <xdr:row>3</xdr:row>
                    <xdr:rowOff>247650</xdr:rowOff>
                  </to>
                </anchor>
              </controlPr>
            </control>
          </mc:Choice>
        </mc:AlternateContent>
        <mc:AlternateContent xmlns:mc="http://schemas.openxmlformats.org/markup-compatibility/2006">
          <mc:Choice Requires="x14">
            <control shapeId="28675" r:id="rId8" name="Option Button 3">
              <controlPr defaultSize="0" autoFill="0" autoLine="0" autoPict="0">
                <anchor moveWithCells="1">
                  <from>
                    <xdr:col>2</xdr:col>
                    <xdr:colOff>47625</xdr:colOff>
                    <xdr:row>4</xdr:row>
                    <xdr:rowOff>19050</xdr:rowOff>
                  </from>
                  <to>
                    <xdr:col>4</xdr:col>
                    <xdr:colOff>28575</xdr:colOff>
                    <xdr:row>4</xdr:row>
                    <xdr:rowOff>238125</xdr:rowOff>
                  </to>
                </anchor>
              </controlPr>
            </control>
          </mc:Choice>
        </mc:AlternateContent>
        <mc:AlternateContent xmlns:mc="http://schemas.openxmlformats.org/markup-compatibility/2006">
          <mc:Choice Requires="x14">
            <control shapeId="28676" r:id="rId9" name="Option Button 4">
              <controlPr defaultSize="0" autoFill="0" autoLine="0" autoPict="0">
                <anchor moveWithCells="1">
                  <from>
                    <xdr:col>2</xdr:col>
                    <xdr:colOff>47625</xdr:colOff>
                    <xdr:row>5</xdr:row>
                    <xdr:rowOff>19050</xdr:rowOff>
                  </from>
                  <to>
                    <xdr:col>4</xdr:col>
                    <xdr:colOff>28575</xdr:colOff>
                    <xdr:row>5</xdr:row>
                    <xdr:rowOff>238125</xdr:rowOff>
                  </to>
                </anchor>
              </controlPr>
            </control>
          </mc:Choice>
        </mc:AlternateContent>
        <mc:AlternateContent xmlns:mc="http://schemas.openxmlformats.org/markup-compatibility/2006">
          <mc:Choice Requires="x14">
            <control shapeId="28677" r:id="rId10" name="Option Button 5">
              <controlPr defaultSize="0" autoFill="0" autoLine="0" autoPict="0">
                <anchor moveWithCells="1">
                  <from>
                    <xdr:col>2</xdr:col>
                    <xdr:colOff>57150</xdr:colOff>
                    <xdr:row>6</xdr:row>
                    <xdr:rowOff>66675</xdr:rowOff>
                  </from>
                  <to>
                    <xdr:col>4</xdr:col>
                    <xdr:colOff>38100</xdr:colOff>
                    <xdr:row>6</xdr:row>
                    <xdr:rowOff>285750</xdr:rowOff>
                  </to>
                </anchor>
              </controlPr>
            </control>
          </mc:Choice>
        </mc:AlternateContent>
        <mc:AlternateContent xmlns:mc="http://schemas.openxmlformats.org/markup-compatibility/2006">
          <mc:Choice Requires="x14">
            <control shapeId="28679" r:id="rId11" name="Check Box 7">
              <controlPr defaultSize="0" autoFill="0" autoLine="0" autoPict="0">
                <anchor moveWithCells="1">
                  <from>
                    <xdr:col>2</xdr:col>
                    <xdr:colOff>66675</xdr:colOff>
                    <xdr:row>26</xdr:row>
                    <xdr:rowOff>38100</xdr:rowOff>
                  </from>
                  <to>
                    <xdr:col>4</xdr:col>
                    <xdr:colOff>47625</xdr:colOff>
                    <xdr:row>26</xdr:row>
                    <xdr:rowOff>257175</xdr:rowOff>
                  </to>
                </anchor>
              </controlPr>
            </control>
          </mc:Choice>
        </mc:AlternateContent>
        <mc:AlternateContent xmlns:mc="http://schemas.openxmlformats.org/markup-compatibility/2006">
          <mc:Choice Requires="x14">
            <control shapeId="28680" r:id="rId12" name="Check Box 8">
              <controlPr defaultSize="0" autoFill="0" autoLine="0" autoPict="0">
                <anchor moveWithCells="1">
                  <from>
                    <xdr:col>2</xdr:col>
                    <xdr:colOff>57150</xdr:colOff>
                    <xdr:row>37</xdr:row>
                    <xdr:rowOff>57150</xdr:rowOff>
                  </from>
                  <to>
                    <xdr:col>4</xdr:col>
                    <xdr:colOff>38100</xdr:colOff>
                    <xdr:row>38</xdr:row>
                    <xdr:rowOff>9525</xdr:rowOff>
                  </to>
                </anchor>
              </controlPr>
            </control>
          </mc:Choice>
        </mc:AlternateContent>
        <mc:AlternateContent xmlns:mc="http://schemas.openxmlformats.org/markup-compatibility/2006">
          <mc:Choice Requires="x14">
            <control shapeId="28681" r:id="rId13" name="Group Box 9">
              <controlPr defaultSize="0" autoFill="0" autoPict="0">
                <anchor moveWithCells="1">
                  <from>
                    <xdr:col>2</xdr:col>
                    <xdr:colOff>0</xdr:colOff>
                    <xdr:row>7</xdr:row>
                    <xdr:rowOff>9525</xdr:rowOff>
                  </from>
                  <to>
                    <xdr:col>14</xdr:col>
                    <xdr:colOff>800100</xdr:colOff>
                    <xdr:row>11</xdr:row>
                    <xdr:rowOff>1038225</xdr:rowOff>
                  </to>
                </anchor>
              </controlPr>
            </control>
          </mc:Choice>
        </mc:AlternateContent>
        <mc:AlternateContent xmlns:mc="http://schemas.openxmlformats.org/markup-compatibility/2006">
          <mc:Choice Requires="x14">
            <control shapeId="28682" r:id="rId14" name="Option Button 10">
              <controlPr defaultSize="0" autoFill="0" autoLine="0" autoPict="0">
                <anchor moveWithCells="1">
                  <from>
                    <xdr:col>2</xdr:col>
                    <xdr:colOff>57150</xdr:colOff>
                    <xdr:row>7</xdr:row>
                    <xdr:rowOff>47625</xdr:rowOff>
                  </from>
                  <to>
                    <xdr:col>4</xdr:col>
                    <xdr:colOff>38100</xdr:colOff>
                    <xdr:row>7</xdr:row>
                    <xdr:rowOff>266700</xdr:rowOff>
                  </to>
                </anchor>
              </controlPr>
            </control>
          </mc:Choice>
        </mc:AlternateContent>
        <mc:AlternateContent xmlns:mc="http://schemas.openxmlformats.org/markup-compatibility/2006">
          <mc:Choice Requires="x14">
            <control shapeId="28683" r:id="rId15" name="Option Button 11">
              <controlPr defaultSize="0" autoFill="0" autoLine="0" autoPict="0">
                <anchor moveWithCells="1">
                  <from>
                    <xdr:col>2</xdr:col>
                    <xdr:colOff>57150</xdr:colOff>
                    <xdr:row>8</xdr:row>
                    <xdr:rowOff>323850</xdr:rowOff>
                  </from>
                  <to>
                    <xdr:col>4</xdr:col>
                    <xdr:colOff>38100</xdr:colOff>
                    <xdr:row>8</xdr:row>
                    <xdr:rowOff>542925</xdr:rowOff>
                  </to>
                </anchor>
              </controlPr>
            </control>
          </mc:Choice>
        </mc:AlternateContent>
        <mc:AlternateContent xmlns:mc="http://schemas.openxmlformats.org/markup-compatibility/2006">
          <mc:Choice Requires="x14">
            <control shapeId="28684" r:id="rId16" name="Option Button 12">
              <controlPr defaultSize="0" autoFill="0" autoLine="0" autoPict="0">
                <anchor moveWithCells="1">
                  <from>
                    <xdr:col>2</xdr:col>
                    <xdr:colOff>57150</xdr:colOff>
                    <xdr:row>9</xdr:row>
                    <xdr:rowOff>361950</xdr:rowOff>
                  </from>
                  <to>
                    <xdr:col>4</xdr:col>
                    <xdr:colOff>38100</xdr:colOff>
                    <xdr:row>9</xdr:row>
                    <xdr:rowOff>581025</xdr:rowOff>
                  </to>
                </anchor>
              </controlPr>
            </control>
          </mc:Choice>
        </mc:AlternateContent>
        <mc:AlternateContent xmlns:mc="http://schemas.openxmlformats.org/markup-compatibility/2006">
          <mc:Choice Requires="x14">
            <control shapeId="28685" r:id="rId17" name="Option Button 13">
              <controlPr defaultSize="0" autoFill="0" autoLine="0" autoPict="0">
                <anchor moveWithCells="1">
                  <from>
                    <xdr:col>2</xdr:col>
                    <xdr:colOff>57150</xdr:colOff>
                    <xdr:row>10</xdr:row>
                    <xdr:rowOff>428625</xdr:rowOff>
                  </from>
                  <to>
                    <xdr:col>4</xdr:col>
                    <xdr:colOff>38100</xdr:colOff>
                    <xdr:row>10</xdr:row>
                    <xdr:rowOff>647700</xdr:rowOff>
                  </to>
                </anchor>
              </controlPr>
            </control>
          </mc:Choice>
        </mc:AlternateContent>
        <mc:AlternateContent xmlns:mc="http://schemas.openxmlformats.org/markup-compatibility/2006">
          <mc:Choice Requires="x14">
            <control shapeId="28686" r:id="rId18" name="Option Button 14">
              <controlPr defaultSize="0" autoFill="0" autoLine="0" autoPict="0">
                <anchor moveWithCells="1">
                  <from>
                    <xdr:col>2</xdr:col>
                    <xdr:colOff>57150</xdr:colOff>
                    <xdr:row>11</xdr:row>
                    <xdr:rowOff>428625</xdr:rowOff>
                  </from>
                  <to>
                    <xdr:col>4</xdr:col>
                    <xdr:colOff>38100</xdr:colOff>
                    <xdr:row>11</xdr:row>
                    <xdr:rowOff>647700</xdr:rowOff>
                  </to>
                </anchor>
              </controlPr>
            </control>
          </mc:Choice>
        </mc:AlternateContent>
        <mc:AlternateContent xmlns:mc="http://schemas.openxmlformats.org/markup-compatibility/2006">
          <mc:Choice Requires="x14">
            <control shapeId="28687" r:id="rId19" name="Group Box 15">
              <controlPr defaultSize="0" autoFill="0" autoPict="0">
                <anchor moveWithCells="1">
                  <from>
                    <xdr:col>2</xdr:col>
                    <xdr:colOff>0</xdr:colOff>
                    <xdr:row>12</xdr:row>
                    <xdr:rowOff>9525</xdr:rowOff>
                  </from>
                  <to>
                    <xdr:col>14</xdr:col>
                    <xdr:colOff>800100</xdr:colOff>
                    <xdr:row>17</xdr:row>
                    <xdr:rowOff>9525</xdr:rowOff>
                  </to>
                </anchor>
              </controlPr>
            </control>
          </mc:Choice>
        </mc:AlternateContent>
        <mc:AlternateContent xmlns:mc="http://schemas.openxmlformats.org/markup-compatibility/2006">
          <mc:Choice Requires="x14">
            <control shapeId="28688" r:id="rId20" name="Option Button 16">
              <controlPr defaultSize="0" autoFill="0" autoLine="0" autoPict="0">
                <anchor moveWithCells="1">
                  <from>
                    <xdr:col>2</xdr:col>
                    <xdr:colOff>57150</xdr:colOff>
                    <xdr:row>12</xdr:row>
                    <xdr:rowOff>47625</xdr:rowOff>
                  </from>
                  <to>
                    <xdr:col>4</xdr:col>
                    <xdr:colOff>38100</xdr:colOff>
                    <xdr:row>13</xdr:row>
                    <xdr:rowOff>0</xdr:rowOff>
                  </to>
                </anchor>
              </controlPr>
            </control>
          </mc:Choice>
        </mc:AlternateContent>
        <mc:AlternateContent xmlns:mc="http://schemas.openxmlformats.org/markup-compatibility/2006">
          <mc:Choice Requires="x14">
            <control shapeId="28689" r:id="rId21" name="Option Button 17">
              <controlPr defaultSize="0" autoFill="0" autoLine="0" autoPict="0">
                <anchor moveWithCells="1">
                  <from>
                    <xdr:col>2</xdr:col>
                    <xdr:colOff>57150</xdr:colOff>
                    <xdr:row>13</xdr:row>
                    <xdr:rowOff>428625</xdr:rowOff>
                  </from>
                  <to>
                    <xdr:col>4</xdr:col>
                    <xdr:colOff>38100</xdr:colOff>
                    <xdr:row>13</xdr:row>
                    <xdr:rowOff>647700</xdr:rowOff>
                  </to>
                </anchor>
              </controlPr>
            </control>
          </mc:Choice>
        </mc:AlternateContent>
        <mc:AlternateContent xmlns:mc="http://schemas.openxmlformats.org/markup-compatibility/2006">
          <mc:Choice Requires="x14">
            <control shapeId="28690" r:id="rId22" name="Option Button 18">
              <controlPr defaultSize="0" autoFill="0" autoLine="0" autoPict="0">
                <anchor moveWithCells="1">
                  <from>
                    <xdr:col>2</xdr:col>
                    <xdr:colOff>57150</xdr:colOff>
                    <xdr:row>14</xdr:row>
                    <xdr:rowOff>390525</xdr:rowOff>
                  </from>
                  <to>
                    <xdr:col>4</xdr:col>
                    <xdr:colOff>38100</xdr:colOff>
                    <xdr:row>14</xdr:row>
                    <xdr:rowOff>609600</xdr:rowOff>
                  </to>
                </anchor>
              </controlPr>
            </control>
          </mc:Choice>
        </mc:AlternateContent>
        <mc:AlternateContent xmlns:mc="http://schemas.openxmlformats.org/markup-compatibility/2006">
          <mc:Choice Requires="x14">
            <control shapeId="28691" r:id="rId23" name="Option Button 19">
              <controlPr defaultSize="0" autoFill="0" autoLine="0" autoPict="0">
                <anchor moveWithCells="1">
                  <from>
                    <xdr:col>2</xdr:col>
                    <xdr:colOff>57150</xdr:colOff>
                    <xdr:row>15</xdr:row>
                    <xdr:rowOff>466725</xdr:rowOff>
                  </from>
                  <to>
                    <xdr:col>4</xdr:col>
                    <xdr:colOff>38100</xdr:colOff>
                    <xdr:row>15</xdr:row>
                    <xdr:rowOff>685800</xdr:rowOff>
                  </to>
                </anchor>
              </controlPr>
            </control>
          </mc:Choice>
        </mc:AlternateContent>
        <mc:AlternateContent xmlns:mc="http://schemas.openxmlformats.org/markup-compatibility/2006">
          <mc:Choice Requires="x14">
            <control shapeId="28692" r:id="rId24" name="Option Button 20">
              <controlPr defaultSize="0" autoFill="0" autoLine="0" autoPict="0">
                <anchor moveWithCells="1">
                  <from>
                    <xdr:col>2</xdr:col>
                    <xdr:colOff>57150</xdr:colOff>
                    <xdr:row>16</xdr:row>
                    <xdr:rowOff>600075</xdr:rowOff>
                  </from>
                  <to>
                    <xdr:col>4</xdr:col>
                    <xdr:colOff>38100</xdr:colOff>
                    <xdr:row>16</xdr:row>
                    <xdr:rowOff>819150</xdr:rowOff>
                  </to>
                </anchor>
              </controlPr>
            </control>
          </mc:Choice>
        </mc:AlternateContent>
        <mc:AlternateContent xmlns:mc="http://schemas.openxmlformats.org/markup-compatibility/2006">
          <mc:Choice Requires="x14">
            <control shapeId="28693" r:id="rId25" name="Group Box 21">
              <controlPr defaultSize="0" autoFill="0" autoPict="0">
                <anchor moveWithCells="1">
                  <from>
                    <xdr:col>2</xdr:col>
                    <xdr:colOff>0</xdr:colOff>
                    <xdr:row>17</xdr:row>
                    <xdr:rowOff>9525</xdr:rowOff>
                  </from>
                  <to>
                    <xdr:col>14</xdr:col>
                    <xdr:colOff>800100</xdr:colOff>
                    <xdr:row>21</xdr:row>
                    <xdr:rowOff>19050</xdr:rowOff>
                  </to>
                </anchor>
              </controlPr>
            </control>
          </mc:Choice>
        </mc:AlternateContent>
        <mc:AlternateContent xmlns:mc="http://schemas.openxmlformats.org/markup-compatibility/2006">
          <mc:Choice Requires="x14">
            <control shapeId="28694" r:id="rId26" name="Option Button 22">
              <controlPr defaultSize="0" autoFill="0" autoLine="0" autoPict="0">
                <anchor moveWithCells="1">
                  <from>
                    <xdr:col>2</xdr:col>
                    <xdr:colOff>57150</xdr:colOff>
                    <xdr:row>17</xdr:row>
                    <xdr:rowOff>47625</xdr:rowOff>
                  </from>
                  <to>
                    <xdr:col>4</xdr:col>
                    <xdr:colOff>38100</xdr:colOff>
                    <xdr:row>18</xdr:row>
                    <xdr:rowOff>0</xdr:rowOff>
                  </to>
                </anchor>
              </controlPr>
            </control>
          </mc:Choice>
        </mc:AlternateContent>
        <mc:AlternateContent xmlns:mc="http://schemas.openxmlformats.org/markup-compatibility/2006">
          <mc:Choice Requires="x14">
            <control shapeId="28695" r:id="rId27" name="Option Button 23">
              <controlPr defaultSize="0" autoFill="0" autoLine="0" autoPict="0">
                <anchor moveWithCells="1">
                  <from>
                    <xdr:col>2</xdr:col>
                    <xdr:colOff>57150</xdr:colOff>
                    <xdr:row>18</xdr:row>
                    <xdr:rowOff>276225</xdr:rowOff>
                  </from>
                  <to>
                    <xdr:col>4</xdr:col>
                    <xdr:colOff>38100</xdr:colOff>
                    <xdr:row>18</xdr:row>
                    <xdr:rowOff>495300</xdr:rowOff>
                  </to>
                </anchor>
              </controlPr>
            </control>
          </mc:Choice>
        </mc:AlternateContent>
        <mc:AlternateContent xmlns:mc="http://schemas.openxmlformats.org/markup-compatibility/2006">
          <mc:Choice Requires="x14">
            <control shapeId="28696" r:id="rId28" name="Option Button 24">
              <controlPr defaultSize="0" autoFill="0" autoLine="0" autoPict="0">
                <anchor moveWithCells="1">
                  <from>
                    <xdr:col>2</xdr:col>
                    <xdr:colOff>57150</xdr:colOff>
                    <xdr:row>19</xdr:row>
                    <xdr:rowOff>390525</xdr:rowOff>
                  </from>
                  <to>
                    <xdr:col>4</xdr:col>
                    <xdr:colOff>38100</xdr:colOff>
                    <xdr:row>19</xdr:row>
                    <xdr:rowOff>609600</xdr:rowOff>
                  </to>
                </anchor>
              </controlPr>
            </control>
          </mc:Choice>
        </mc:AlternateContent>
        <mc:AlternateContent xmlns:mc="http://schemas.openxmlformats.org/markup-compatibility/2006">
          <mc:Choice Requires="x14">
            <control shapeId="28697" r:id="rId29" name="Option Button 25">
              <controlPr defaultSize="0" autoFill="0" autoLine="0" autoPict="0">
                <anchor moveWithCells="1">
                  <from>
                    <xdr:col>2</xdr:col>
                    <xdr:colOff>57150</xdr:colOff>
                    <xdr:row>20</xdr:row>
                    <xdr:rowOff>333375</xdr:rowOff>
                  </from>
                  <to>
                    <xdr:col>4</xdr:col>
                    <xdr:colOff>38100</xdr:colOff>
                    <xdr:row>20</xdr:row>
                    <xdr:rowOff>552450</xdr:rowOff>
                  </to>
                </anchor>
              </controlPr>
            </control>
          </mc:Choice>
        </mc:AlternateContent>
        <mc:AlternateContent xmlns:mc="http://schemas.openxmlformats.org/markup-compatibility/2006">
          <mc:Choice Requires="x14">
            <control shapeId="28698" r:id="rId30" name="Group Box 26">
              <controlPr defaultSize="0" autoFill="0" autoPict="0">
                <anchor moveWithCells="1">
                  <from>
                    <xdr:col>2</xdr:col>
                    <xdr:colOff>0</xdr:colOff>
                    <xdr:row>21</xdr:row>
                    <xdr:rowOff>19050</xdr:rowOff>
                  </from>
                  <to>
                    <xdr:col>14</xdr:col>
                    <xdr:colOff>800100</xdr:colOff>
                    <xdr:row>26</xdr:row>
                    <xdr:rowOff>0</xdr:rowOff>
                  </to>
                </anchor>
              </controlPr>
            </control>
          </mc:Choice>
        </mc:AlternateContent>
        <mc:AlternateContent xmlns:mc="http://schemas.openxmlformats.org/markup-compatibility/2006">
          <mc:Choice Requires="x14">
            <control shapeId="28699" r:id="rId31" name="Option Button 27">
              <controlPr defaultSize="0" autoFill="0" autoLine="0" autoPict="0">
                <anchor moveWithCells="1">
                  <from>
                    <xdr:col>2</xdr:col>
                    <xdr:colOff>57150</xdr:colOff>
                    <xdr:row>21</xdr:row>
                    <xdr:rowOff>57150</xdr:rowOff>
                  </from>
                  <to>
                    <xdr:col>4</xdr:col>
                    <xdr:colOff>38100</xdr:colOff>
                    <xdr:row>22</xdr:row>
                    <xdr:rowOff>9525</xdr:rowOff>
                  </to>
                </anchor>
              </controlPr>
            </control>
          </mc:Choice>
        </mc:AlternateContent>
        <mc:AlternateContent xmlns:mc="http://schemas.openxmlformats.org/markup-compatibility/2006">
          <mc:Choice Requires="x14">
            <control shapeId="28700" r:id="rId32" name="Option Button 28">
              <controlPr defaultSize="0" autoFill="0" autoLine="0" autoPict="0">
                <anchor moveWithCells="1">
                  <from>
                    <xdr:col>2</xdr:col>
                    <xdr:colOff>57150</xdr:colOff>
                    <xdr:row>22</xdr:row>
                    <xdr:rowOff>504825</xdr:rowOff>
                  </from>
                  <to>
                    <xdr:col>4</xdr:col>
                    <xdr:colOff>38100</xdr:colOff>
                    <xdr:row>22</xdr:row>
                    <xdr:rowOff>723900</xdr:rowOff>
                  </to>
                </anchor>
              </controlPr>
            </control>
          </mc:Choice>
        </mc:AlternateContent>
        <mc:AlternateContent xmlns:mc="http://schemas.openxmlformats.org/markup-compatibility/2006">
          <mc:Choice Requires="x14">
            <control shapeId="28701" r:id="rId33" name="Option Button 29">
              <controlPr defaultSize="0" autoFill="0" autoLine="0" autoPict="0">
                <anchor moveWithCells="1">
                  <from>
                    <xdr:col>2</xdr:col>
                    <xdr:colOff>57150</xdr:colOff>
                    <xdr:row>23</xdr:row>
                    <xdr:rowOff>323850</xdr:rowOff>
                  </from>
                  <to>
                    <xdr:col>4</xdr:col>
                    <xdr:colOff>38100</xdr:colOff>
                    <xdr:row>23</xdr:row>
                    <xdr:rowOff>542925</xdr:rowOff>
                  </to>
                </anchor>
              </controlPr>
            </control>
          </mc:Choice>
        </mc:AlternateContent>
        <mc:AlternateContent xmlns:mc="http://schemas.openxmlformats.org/markup-compatibility/2006">
          <mc:Choice Requires="x14">
            <control shapeId="28702" r:id="rId34" name="Option Button 30">
              <controlPr defaultSize="0" autoFill="0" autoLine="0" autoPict="0">
                <anchor moveWithCells="1">
                  <from>
                    <xdr:col>2</xdr:col>
                    <xdr:colOff>57150</xdr:colOff>
                    <xdr:row>24</xdr:row>
                    <xdr:rowOff>342900</xdr:rowOff>
                  </from>
                  <to>
                    <xdr:col>4</xdr:col>
                    <xdr:colOff>38100</xdr:colOff>
                    <xdr:row>24</xdr:row>
                    <xdr:rowOff>561975</xdr:rowOff>
                  </to>
                </anchor>
              </controlPr>
            </control>
          </mc:Choice>
        </mc:AlternateContent>
        <mc:AlternateContent xmlns:mc="http://schemas.openxmlformats.org/markup-compatibility/2006">
          <mc:Choice Requires="x14">
            <control shapeId="28703" r:id="rId35" name="Option Button 31">
              <controlPr defaultSize="0" autoFill="0" autoLine="0" autoPict="0">
                <anchor moveWithCells="1">
                  <from>
                    <xdr:col>2</xdr:col>
                    <xdr:colOff>57150</xdr:colOff>
                    <xdr:row>25</xdr:row>
                    <xdr:rowOff>361950</xdr:rowOff>
                  </from>
                  <to>
                    <xdr:col>4</xdr:col>
                    <xdr:colOff>38100</xdr:colOff>
                    <xdr:row>25</xdr:row>
                    <xdr:rowOff>581025</xdr:rowOff>
                  </to>
                </anchor>
              </controlPr>
            </control>
          </mc:Choice>
        </mc:AlternateContent>
        <mc:AlternateContent xmlns:mc="http://schemas.openxmlformats.org/markup-compatibility/2006">
          <mc:Choice Requires="x14">
            <control shapeId="28704" r:id="rId36" name="Group Box 32">
              <controlPr defaultSize="0" autoFill="0" autoPict="0">
                <anchor moveWithCells="1">
                  <from>
                    <xdr:col>2</xdr:col>
                    <xdr:colOff>0</xdr:colOff>
                    <xdr:row>27</xdr:row>
                    <xdr:rowOff>19050</xdr:rowOff>
                  </from>
                  <to>
                    <xdr:col>14</xdr:col>
                    <xdr:colOff>800100</xdr:colOff>
                    <xdr:row>32</xdr:row>
                    <xdr:rowOff>19050</xdr:rowOff>
                  </to>
                </anchor>
              </controlPr>
            </control>
          </mc:Choice>
        </mc:AlternateContent>
        <mc:AlternateContent xmlns:mc="http://schemas.openxmlformats.org/markup-compatibility/2006">
          <mc:Choice Requires="x14">
            <control shapeId="28705" r:id="rId37" name="Option Button 33">
              <controlPr defaultSize="0" autoFill="0" autoLine="0" autoPict="0">
                <anchor moveWithCells="1">
                  <from>
                    <xdr:col>2</xdr:col>
                    <xdr:colOff>66675</xdr:colOff>
                    <xdr:row>27</xdr:row>
                    <xdr:rowOff>66675</xdr:rowOff>
                  </from>
                  <to>
                    <xdr:col>4</xdr:col>
                    <xdr:colOff>47625</xdr:colOff>
                    <xdr:row>28</xdr:row>
                    <xdr:rowOff>28575</xdr:rowOff>
                  </to>
                </anchor>
              </controlPr>
            </control>
          </mc:Choice>
        </mc:AlternateContent>
        <mc:AlternateContent xmlns:mc="http://schemas.openxmlformats.org/markup-compatibility/2006">
          <mc:Choice Requires="x14">
            <control shapeId="28706" r:id="rId38" name="Option Button 34">
              <controlPr defaultSize="0" autoFill="0" autoLine="0" autoPict="0">
                <anchor moveWithCells="1">
                  <from>
                    <xdr:col>2</xdr:col>
                    <xdr:colOff>66675</xdr:colOff>
                    <xdr:row>28</xdr:row>
                    <xdr:rowOff>47625</xdr:rowOff>
                  </from>
                  <to>
                    <xdr:col>4</xdr:col>
                    <xdr:colOff>47625</xdr:colOff>
                    <xdr:row>29</xdr:row>
                    <xdr:rowOff>0</xdr:rowOff>
                  </to>
                </anchor>
              </controlPr>
            </control>
          </mc:Choice>
        </mc:AlternateContent>
        <mc:AlternateContent xmlns:mc="http://schemas.openxmlformats.org/markup-compatibility/2006">
          <mc:Choice Requires="x14">
            <control shapeId="28707" r:id="rId39" name="Option Button 35">
              <controlPr defaultSize="0" autoFill="0" autoLine="0" autoPict="0">
                <anchor moveWithCells="1">
                  <from>
                    <xdr:col>2</xdr:col>
                    <xdr:colOff>66675</xdr:colOff>
                    <xdr:row>29</xdr:row>
                    <xdr:rowOff>76200</xdr:rowOff>
                  </from>
                  <to>
                    <xdr:col>4</xdr:col>
                    <xdr:colOff>47625</xdr:colOff>
                    <xdr:row>29</xdr:row>
                    <xdr:rowOff>295275</xdr:rowOff>
                  </to>
                </anchor>
              </controlPr>
            </control>
          </mc:Choice>
        </mc:AlternateContent>
        <mc:AlternateContent xmlns:mc="http://schemas.openxmlformats.org/markup-compatibility/2006">
          <mc:Choice Requires="x14">
            <control shapeId="28708" r:id="rId40" name="Option Button 36">
              <controlPr defaultSize="0" autoFill="0" autoLine="0" autoPict="0">
                <anchor moveWithCells="1">
                  <from>
                    <xdr:col>2</xdr:col>
                    <xdr:colOff>66675</xdr:colOff>
                    <xdr:row>30</xdr:row>
                    <xdr:rowOff>76200</xdr:rowOff>
                  </from>
                  <to>
                    <xdr:col>4</xdr:col>
                    <xdr:colOff>47625</xdr:colOff>
                    <xdr:row>30</xdr:row>
                    <xdr:rowOff>295275</xdr:rowOff>
                  </to>
                </anchor>
              </controlPr>
            </control>
          </mc:Choice>
        </mc:AlternateContent>
        <mc:AlternateContent xmlns:mc="http://schemas.openxmlformats.org/markup-compatibility/2006">
          <mc:Choice Requires="x14">
            <control shapeId="28709" r:id="rId41" name="Option Button 37">
              <controlPr defaultSize="0" autoFill="0" autoLine="0" autoPict="0">
                <anchor moveWithCells="1">
                  <from>
                    <xdr:col>2</xdr:col>
                    <xdr:colOff>66675</xdr:colOff>
                    <xdr:row>31</xdr:row>
                    <xdr:rowOff>85725</xdr:rowOff>
                  </from>
                  <to>
                    <xdr:col>4</xdr:col>
                    <xdr:colOff>47625</xdr:colOff>
                    <xdr:row>31</xdr:row>
                    <xdr:rowOff>304800</xdr:rowOff>
                  </to>
                </anchor>
              </controlPr>
            </control>
          </mc:Choice>
        </mc:AlternateContent>
        <mc:AlternateContent xmlns:mc="http://schemas.openxmlformats.org/markup-compatibility/2006">
          <mc:Choice Requires="x14">
            <control shapeId="28710" r:id="rId42" name="Group Box 38">
              <controlPr defaultSize="0" autoFill="0" autoPict="0">
                <anchor moveWithCells="1">
                  <from>
                    <xdr:col>2</xdr:col>
                    <xdr:colOff>0</xdr:colOff>
                    <xdr:row>32</xdr:row>
                    <xdr:rowOff>19050</xdr:rowOff>
                  </from>
                  <to>
                    <xdr:col>14</xdr:col>
                    <xdr:colOff>800100</xdr:colOff>
                    <xdr:row>37</xdr:row>
                    <xdr:rowOff>28575</xdr:rowOff>
                  </to>
                </anchor>
              </controlPr>
            </control>
          </mc:Choice>
        </mc:AlternateContent>
        <mc:AlternateContent xmlns:mc="http://schemas.openxmlformats.org/markup-compatibility/2006">
          <mc:Choice Requires="x14">
            <control shapeId="28711" r:id="rId43" name="Option Button 39">
              <controlPr defaultSize="0" autoFill="0" autoLine="0" autoPict="0">
                <anchor moveWithCells="1">
                  <from>
                    <xdr:col>2</xdr:col>
                    <xdr:colOff>66675</xdr:colOff>
                    <xdr:row>32</xdr:row>
                    <xdr:rowOff>66675</xdr:rowOff>
                  </from>
                  <to>
                    <xdr:col>4</xdr:col>
                    <xdr:colOff>47625</xdr:colOff>
                    <xdr:row>33</xdr:row>
                    <xdr:rowOff>28575</xdr:rowOff>
                  </to>
                </anchor>
              </controlPr>
            </control>
          </mc:Choice>
        </mc:AlternateContent>
        <mc:AlternateContent xmlns:mc="http://schemas.openxmlformats.org/markup-compatibility/2006">
          <mc:Choice Requires="x14">
            <control shapeId="28712" r:id="rId44" name="Option Button 40">
              <controlPr defaultSize="0" autoFill="0" autoLine="0" autoPict="0">
                <anchor moveWithCells="1">
                  <from>
                    <xdr:col>2</xdr:col>
                    <xdr:colOff>66675</xdr:colOff>
                    <xdr:row>33</xdr:row>
                    <xdr:rowOff>352425</xdr:rowOff>
                  </from>
                  <to>
                    <xdr:col>4</xdr:col>
                    <xdr:colOff>47625</xdr:colOff>
                    <xdr:row>33</xdr:row>
                    <xdr:rowOff>571500</xdr:rowOff>
                  </to>
                </anchor>
              </controlPr>
            </control>
          </mc:Choice>
        </mc:AlternateContent>
        <mc:AlternateContent xmlns:mc="http://schemas.openxmlformats.org/markup-compatibility/2006">
          <mc:Choice Requires="x14">
            <control shapeId="28713" r:id="rId45" name="Option Button 41">
              <controlPr defaultSize="0" autoFill="0" autoLine="0" autoPict="0">
                <anchor moveWithCells="1">
                  <from>
                    <xdr:col>2</xdr:col>
                    <xdr:colOff>66675</xdr:colOff>
                    <xdr:row>34</xdr:row>
                    <xdr:rowOff>514350</xdr:rowOff>
                  </from>
                  <to>
                    <xdr:col>4</xdr:col>
                    <xdr:colOff>47625</xdr:colOff>
                    <xdr:row>34</xdr:row>
                    <xdr:rowOff>733425</xdr:rowOff>
                  </to>
                </anchor>
              </controlPr>
            </control>
          </mc:Choice>
        </mc:AlternateContent>
        <mc:AlternateContent xmlns:mc="http://schemas.openxmlformats.org/markup-compatibility/2006">
          <mc:Choice Requires="x14">
            <control shapeId="28714" r:id="rId46" name="Option Button 42">
              <controlPr defaultSize="0" autoFill="0" autoLine="0" autoPict="0">
                <anchor moveWithCells="1">
                  <from>
                    <xdr:col>2</xdr:col>
                    <xdr:colOff>66675</xdr:colOff>
                    <xdr:row>35</xdr:row>
                    <xdr:rowOff>514350</xdr:rowOff>
                  </from>
                  <to>
                    <xdr:col>4</xdr:col>
                    <xdr:colOff>47625</xdr:colOff>
                    <xdr:row>35</xdr:row>
                    <xdr:rowOff>733425</xdr:rowOff>
                  </to>
                </anchor>
              </controlPr>
            </control>
          </mc:Choice>
        </mc:AlternateContent>
        <mc:AlternateContent xmlns:mc="http://schemas.openxmlformats.org/markup-compatibility/2006">
          <mc:Choice Requires="x14">
            <control shapeId="28715" r:id="rId47" name="Option Button 43">
              <controlPr defaultSize="0" autoFill="0" autoLine="0" autoPict="0">
                <anchor moveWithCells="1">
                  <from>
                    <xdr:col>2</xdr:col>
                    <xdr:colOff>66675</xdr:colOff>
                    <xdr:row>36</xdr:row>
                    <xdr:rowOff>514350</xdr:rowOff>
                  </from>
                  <to>
                    <xdr:col>4</xdr:col>
                    <xdr:colOff>47625</xdr:colOff>
                    <xdr:row>36</xdr:row>
                    <xdr:rowOff>733425</xdr:rowOff>
                  </to>
                </anchor>
              </controlPr>
            </control>
          </mc:Choice>
        </mc:AlternateContent>
        <mc:AlternateContent xmlns:mc="http://schemas.openxmlformats.org/markup-compatibility/2006">
          <mc:Choice Requires="x14">
            <control shapeId="28716" r:id="rId48" name="Group Box 44">
              <controlPr defaultSize="0" autoFill="0" autoPict="0">
                <anchor moveWithCells="1">
                  <from>
                    <xdr:col>2</xdr:col>
                    <xdr:colOff>0</xdr:colOff>
                    <xdr:row>38</xdr:row>
                    <xdr:rowOff>28575</xdr:rowOff>
                  </from>
                  <to>
                    <xdr:col>14</xdr:col>
                    <xdr:colOff>800100</xdr:colOff>
                    <xdr:row>42</xdr:row>
                    <xdr:rowOff>47625</xdr:rowOff>
                  </to>
                </anchor>
              </controlPr>
            </control>
          </mc:Choice>
        </mc:AlternateContent>
        <mc:AlternateContent xmlns:mc="http://schemas.openxmlformats.org/markup-compatibility/2006">
          <mc:Choice Requires="x14">
            <control shapeId="28717" r:id="rId49" name="Option Button 45">
              <controlPr defaultSize="0" autoFill="0" autoLine="0" autoPict="0">
                <anchor moveWithCells="1">
                  <from>
                    <xdr:col>2</xdr:col>
                    <xdr:colOff>66675</xdr:colOff>
                    <xdr:row>38</xdr:row>
                    <xdr:rowOff>76200</xdr:rowOff>
                  </from>
                  <to>
                    <xdr:col>4</xdr:col>
                    <xdr:colOff>47625</xdr:colOff>
                    <xdr:row>39</xdr:row>
                    <xdr:rowOff>38100</xdr:rowOff>
                  </to>
                </anchor>
              </controlPr>
            </control>
          </mc:Choice>
        </mc:AlternateContent>
        <mc:AlternateContent xmlns:mc="http://schemas.openxmlformats.org/markup-compatibility/2006">
          <mc:Choice Requires="x14">
            <control shapeId="28718" r:id="rId50" name="Option Button 46">
              <controlPr defaultSize="0" autoFill="0" autoLine="0" autoPict="0">
                <anchor moveWithCells="1">
                  <from>
                    <xdr:col>2</xdr:col>
                    <xdr:colOff>66675</xdr:colOff>
                    <xdr:row>39</xdr:row>
                    <xdr:rowOff>57150</xdr:rowOff>
                  </from>
                  <to>
                    <xdr:col>4</xdr:col>
                    <xdr:colOff>47625</xdr:colOff>
                    <xdr:row>40</xdr:row>
                    <xdr:rowOff>9525</xdr:rowOff>
                  </to>
                </anchor>
              </controlPr>
            </control>
          </mc:Choice>
        </mc:AlternateContent>
        <mc:AlternateContent xmlns:mc="http://schemas.openxmlformats.org/markup-compatibility/2006">
          <mc:Choice Requires="x14">
            <control shapeId="28719" r:id="rId51" name="Option Button 47">
              <controlPr defaultSize="0" autoFill="0" autoLine="0" autoPict="0">
                <anchor moveWithCells="1">
                  <from>
                    <xdr:col>2</xdr:col>
                    <xdr:colOff>66675</xdr:colOff>
                    <xdr:row>40</xdr:row>
                    <xdr:rowOff>57150</xdr:rowOff>
                  </from>
                  <to>
                    <xdr:col>4</xdr:col>
                    <xdr:colOff>47625</xdr:colOff>
                    <xdr:row>41</xdr:row>
                    <xdr:rowOff>9525</xdr:rowOff>
                  </to>
                </anchor>
              </controlPr>
            </control>
          </mc:Choice>
        </mc:AlternateContent>
        <mc:AlternateContent xmlns:mc="http://schemas.openxmlformats.org/markup-compatibility/2006">
          <mc:Choice Requires="x14">
            <control shapeId="28720" r:id="rId52" name="Option Button 48">
              <controlPr defaultSize="0" autoFill="0" autoLine="0" autoPict="0">
                <anchor moveWithCells="1">
                  <from>
                    <xdr:col>2</xdr:col>
                    <xdr:colOff>66675</xdr:colOff>
                    <xdr:row>41</xdr:row>
                    <xdr:rowOff>57150</xdr:rowOff>
                  </from>
                  <to>
                    <xdr:col>4</xdr:col>
                    <xdr:colOff>47625</xdr:colOff>
                    <xdr:row>42</xdr:row>
                    <xdr:rowOff>9525</xdr:rowOff>
                  </to>
                </anchor>
              </controlPr>
            </control>
          </mc:Choice>
        </mc:AlternateContent>
        <mc:AlternateContent xmlns:mc="http://schemas.openxmlformats.org/markup-compatibility/2006">
          <mc:Choice Requires="x14">
            <control shapeId="28721" r:id="rId53" name="Group Box 49">
              <controlPr defaultSize="0" autoFill="0" autoPict="0">
                <anchor moveWithCells="1">
                  <from>
                    <xdr:col>2</xdr:col>
                    <xdr:colOff>0</xdr:colOff>
                    <xdr:row>42</xdr:row>
                    <xdr:rowOff>47625</xdr:rowOff>
                  </from>
                  <to>
                    <xdr:col>14</xdr:col>
                    <xdr:colOff>800100</xdr:colOff>
                    <xdr:row>47</xdr:row>
                    <xdr:rowOff>57150</xdr:rowOff>
                  </to>
                </anchor>
              </controlPr>
            </control>
          </mc:Choice>
        </mc:AlternateContent>
        <mc:AlternateContent xmlns:mc="http://schemas.openxmlformats.org/markup-compatibility/2006">
          <mc:Choice Requires="x14">
            <control shapeId="28722" r:id="rId54" name="Option Button 50">
              <controlPr defaultSize="0" autoFill="0" autoLine="0" autoPict="0">
                <anchor moveWithCells="1">
                  <from>
                    <xdr:col>2</xdr:col>
                    <xdr:colOff>66675</xdr:colOff>
                    <xdr:row>42</xdr:row>
                    <xdr:rowOff>95250</xdr:rowOff>
                  </from>
                  <to>
                    <xdr:col>4</xdr:col>
                    <xdr:colOff>47625</xdr:colOff>
                    <xdr:row>43</xdr:row>
                    <xdr:rowOff>47625</xdr:rowOff>
                  </to>
                </anchor>
              </controlPr>
            </control>
          </mc:Choice>
        </mc:AlternateContent>
        <mc:AlternateContent xmlns:mc="http://schemas.openxmlformats.org/markup-compatibility/2006">
          <mc:Choice Requires="x14">
            <control shapeId="28723" r:id="rId55" name="Option Button 51">
              <controlPr defaultSize="0" autoFill="0" autoLine="0" autoPict="0">
                <anchor moveWithCells="1">
                  <from>
                    <xdr:col>2</xdr:col>
                    <xdr:colOff>66675</xdr:colOff>
                    <xdr:row>43</xdr:row>
                    <xdr:rowOff>209550</xdr:rowOff>
                  </from>
                  <to>
                    <xdr:col>4</xdr:col>
                    <xdr:colOff>47625</xdr:colOff>
                    <xdr:row>43</xdr:row>
                    <xdr:rowOff>428625</xdr:rowOff>
                  </to>
                </anchor>
              </controlPr>
            </control>
          </mc:Choice>
        </mc:AlternateContent>
        <mc:AlternateContent xmlns:mc="http://schemas.openxmlformats.org/markup-compatibility/2006">
          <mc:Choice Requires="x14">
            <control shapeId="28724" r:id="rId56" name="Option Button 52">
              <controlPr defaultSize="0" autoFill="0" autoLine="0" autoPict="0">
                <anchor moveWithCells="1">
                  <from>
                    <xdr:col>2</xdr:col>
                    <xdr:colOff>66675</xdr:colOff>
                    <xdr:row>44</xdr:row>
                    <xdr:rowOff>190500</xdr:rowOff>
                  </from>
                  <to>
                    <xdr:col>4</xdr:col>
                    <xdr:colOff>47625</xdr:colOff>
                    <xdr:row>44</xdr:row>
                    <xdr:rowOff>409575</xdr:rowOff>
                  </to>
                </anchor>
              </controlPr>
            </control>
          </mc:Choice>
        </mc:AlternateContent>
        <mc:AlternateContent xmlns:mc="http://schemas.openxmlformats.org/markup-compatibility/2006">
          <mc:Choice Requires="x14">
            <control shapeId="28725" r:id="rId57" name="Option Button 53">
              <controlPr defaultSize="0" autoFill="0" autoLine="0" autoPict="0">
                <anchor moveWithCells="1">
                  <from>
                    <xdr:col>2</xdr:col>
                    <xdr:colOff>66675</xdr:colOff>
                    <xdr:row>45</xdr:row>
                    <xdr:rowOff>142875</xdr:rowOff>
                  </from>
                  <to>
                    <xdr:col>4</xdr:col>
                    <xdr:colOff>47625</xdr:colOff>
                    <xdr:row>45</xdr:row>
                    <xdr:rowOff>361950</xdr:rowOff>
                  </to>
                </anchor>
              </controlPr>
            </control>
          </mc:Choice>
        </mc:AlternateContent>
        <mc:AlternateContent xmlns:mc="http://schemas.openxmlformats.org/markup-compatibility/2006">
          <mc:Choice Requires="x14">
            <control shapeId="28726" r:id="rId58" name="Option Button 54">
              <controlPr defaultSize="0" autoFill="0" autoLine="0" autoPict="0">
                <anchor moveWithCells="1">
                  <from>
                    <xdr:col>2</xdr:col>
                    <xdr:colOff>66675</xdr:colOff>
                    <xdr:row>46</xdr:row>
                    <xdr:rowOff>133350</xdr:rowOff>
                  </from>
                  <to>
                    <xdr:col>4</xdr:col>
                    <xdr:colOff>47625</xdr:colOff>
                    <xdr:row>46</xdr:row>
                    <xdr:rowOff>352425</xdr:rowOff>
                  </to>
                </anchor>
              </controlPr>
            </control>
          </mc:Choice>
        </mc:AlternateContent>
        <mc:AlternateContent xmlns:mc="http://schemas.openxmlformats.org/markup-compatibility/2006">
          <mc:Choice Requires="x14">
            <control shapeId="28727" r:id="rId59" name="Group Box 55">
              <controlPr defaultSize="0" autoFill="0" autoPict="0">
                <anchor moveWithCells="1">
                  <from>
                    <xdr:col>2</xdr:col>
                    <xdr:colOff>0</xdr:colOff>
                    <xdr:row>47</xdr:row>
                    <xdr:rowOff>57150</xdr:rowOff>
                  </from>
                  <to>
                    <xdr:col>14</xdr:col>
                    <xdr:colOff>800100</xdr:colOff>
                    <xdr:row>50</xdr:row>
                    <xdr:rowOff>57150</xdr:rowOff>
                  </to>
                </anchor>
              </controlPr>
            </control>
          </mc:Choice>
        </mc:AlternateContent>
        <mc:AlternateContent xmlns:mc="http://schemas.openxmlformats.org/markup-compatibility/2006">
          <mc:Choice Requires="x14">
            <control shapeId="28728" r:id="rId60" name="Option Button 56">
              <controlPr defaultSize="0" autoFill="0" autoLine="0" autoPict="0">
                <anchor moveWithCells="1">
                  <from>
                    <xdr:col>2</xdr:col>
                    <xdr:colOff>57150</xdr:colOff>
                    <xdr:row>47</xdr:row>
                    <xdr:rowOff>95250</xdr:rowOff>
                  </from>
                  <to>
                    <xdr:col>4</xdr:col>
                    <xdr:colOff>38100</xdr:colOff>
                    <xdr:row>48</xdr:row>
                    <xdr:rowOff>47625</xdr:rowOff>
                  </to>
                </anchor>
              </controlPr>
            </control>
          </mc:Choice>
        </mc:AlternateContent>
        <mc:AlternateContent xmlns:mc="http://schemas.openxmlformats.org/markup-compatibility/2006">
          <mc:Choice Requires="x14">
            <control shapeId="28729" r:id="rId61" name="Option Button 57">
              <controlPr defaultSize="0" autoFill="0" autoLine="0" autoPict="0">
                <anchor moveWithCells="1">
                  <from>
                    <xdr:col>2</xdr:col>
                    <xdr:colOff>57150</xdr:colOff>
                    <xdr:row>48</xdr:row>
                    <xdr:rowOff>133350</xdr:rowOff>
                  </from>
                  <to>
                    <xdr:col>4</xdr:col>
                    <xdr:colOff>38100</xdr:colOff>
                    <xdr:row>49</xdr:row>
                    <xdr:rowOff>9525</xdr:rowOff>
                  </to>
                </anchor>
              </controlPr>
            </control>
          </mc:Choice>
        </mc:AlternateContent>
        <mc:AlternateContent xmlns:mc="http://schemas.openxmlformats.org/markup-compatibility/2006">
          <mc:Choice Requires="x14">
            <control shapeId="28730" r:id="rId62" name="Option Button 58">
              <controlPr defaultSize="0" autoFill="0" autoLine="0" autoPict="0">
                <anchor moveWithCells="1">
                  <from>
                    <xdr:col>2</xdr:col>
                    <xdr:colOff>57150</xdr:colOff>
                    <xdr:row>49</xdr:row>
                    <xdr:rowOff>104775</xdr:rowOff>
                  </from>
                  <to>
                    <xdr:col>4</xdr:col>
                    <xdr:colOff>38100</xdr:colOff>
                    <xdr:row>49</xdr:row>
                    <xdr:rowOff>323850</xdr:rowOff>
                  </to>
                </anchor>
              </controlPr>
            </control>
          </mc:Choice>
        </mc:AlternateContent>
        <mc:AlternateContent xmlns:mc="http://schemas.openxmlformats.org/markup-compatibility/2006">
          <mc:Choice Requires="x14">
            <control shapeId="28731" r:id="rId63" name="Group Box 59">
              <controlPr defaultSize="0" autoFill="0" autoPict="0">
                <anchor moveWithCells="1">
                  <from>
                    <xdr:col>2</xdr:col>
                    <xdr:colOff>0</xdr:colOff>
                    <xdr:row>50</xdr:row>
                    <xdr:rowOff>28575</xdr:rowOff>
                  </from>
                  <to>
                    <xdr:col>14</xdr:col>
                    <xdr:colOff>800100</xdr:colOff>
                    <xdr:row>57</xdr:row>
                    <xdr:rowOff>19050</xdr:rowOff>
                  </to>
                </anchor>
              </controlPr>
            </control>
          </mc:Choice>
        </mc:AlternateContent>
        <mc:AlternateContent xmlns:mc="http://schemas.openxmlformats.org/markup-compatibility/2006">
          <mc:Choice Requires="x14">
            <control shapeId="28732" r:id="rId64" name="Option Button 60">
              <controlPr defaultSize="0" autoFill="0" autoLine="0" autoPict="0">
                <anchor moveWithCells="1">
                  <from>
                    <xdr:col>2</xdr:col>
                    <xdr:colOff>47625</xdr:colOff>
                    <xdr:row>50</xdr:row>
                    <xdr:rowOff>66675</xdr:rowOff>
                  </from>
                  <to>
                    <xdr:col>4</xdr:col>
                    <xdr:colOff>28575</xdr:colOff>
                    <xdr:row>51</xdr:row>
                    <xdr:rowOff>19050</xdr:rowOff>
                  </to>
                </anchor>
              </controlPr>
            </control>
          </mc:Choice>
        </mc:AlternateContent>
        <mc:AlternateContent xmlns:mc="http://schemas.openxmlformats.org/markup-compatibility/2006">
          <mc:Choice Requires="x14">
            <control shapeId="28733" r:id="rId65" name="Option Button 61">
              <controlPr defaultSize="0" autoFill="0" autoLine="0" autoPict="0">
                <anchor moveWithCells="1">
                  <from>
                    <xdr:col>5</xdr:col>
                    <xdr:colOff>200025</xdr:colOff>
                    <xdr:row>52</xdr:row>
                    <xdr:rowOff>76200</xdr:rowOff>
                  </from>
                  <to>
                    <xdr:col>6</xdr:col>
                    <xdr:colOff>238125</xdr:colOff>
                    <xdr:row>53</xdr:row>
                    <xdr:rowOff>28575</xdr:rowOff>
                  </to>
                </anchor>
              </controlPr>
            </control>
          </mc:Choice>
        </mc:AlternateContent>
        <mc:AlternateContent xmlns:mc="http://schemas.openxmlformats.org/markup-compatibility/2006">
          <mc:Choice Requires="x14">
            <control shapeId="28734" r:id="rId66" name="Option Button 62">
              <controlPr defaultSize="0" autoFill="0" autoLine="0" autoPict="0">
                <anchor moveWithCells="1">
                  <from>
                    <xdr:col>9</xdr:col>
                    <xdr:colOff>114300</xdr:colOff>
                    <xdr:row>52</xdr:row>
                    <xdr:rowOff>76200</xdr:rowOff>
                  </from>
                  <to>
                    <xdr:col>10</xdr:col>
                    <xdr:colOff>161925</xdr:colOff>
                    <xdr:row>53</xdr:row>
                    <xdr:rowOff>28575</xdr:rowOff>
                  </to>
                </anchor>
              </controlPr>
            </control>
          </mc:Choice>
        </mc:AlternateContent>
        <mc:AlternateContent xmlns:mc="http://schemas.openxmlformats.org/markup-compatibility/2006">
          <mc:Choice Requires="x14">
            <control shapeId="28735" r:id="rId67" name="Option Button 63">
              <controlPr defaultSize="0" autoFill="0" autoLine="0" autoPict="0">
                <anchor moveWithCells="1">
                  <from>
                    <xdr:col>12</xdr:col>
                    <xdr:colOff>238125</xdr:colOff>
                    <xdr:row>52</xdr:row>
                    <xdr:rowOff>76200</xdr:rowOff>
                  </from>
                  <to>
                    <xdr:col>14</xdr:col>
                    <xdr:colOff>19050</xdr:colOff>
                    <xdr:row>53</xdr:row>
                    <xdr:rowOff>28575</xdr:rowOff>
                  </to>
                </anchor>
              </controlPr>
            </control>
          </mc:Choice>
        </mc:AlternateContent>
        <mc:AlternateContent xmlns:mc="http://schemas.openxmlformats.org/markup-compatibility/2006">
          <mc:Choice Requires="x14">
            <control shapeId="28736" r:id="rId68" name="Option Button 64">
              <controlPr defaultSize="0" autoFill="0" autoLine="0" autoPict="0">
                <anchor moveWithCells="1">
                  <from>
                    <xdr:col>5</xdr:col>
                    <xdr:colOff>200025</xdr:colOff>
                    <xdr:row>54</xdr:row>
                    <xdr:rowOff>76200</xdr:rowOff>
                  </from>
                  <to>
                    <xdr:col>6</xdr:col>
                    <xdr:colOff>238125</xdr:colOff>
                    <xdr:row>55</xdr:row>
                    <xdr:rowOff>28575</xdr:rowOff>
                  </to>
                </anchor>
              </controlPr>
            </control>
          </mc:Choice>
        </mc:AlternateContent>
        <mc:AlternateContent xmlns:mc="http://schemas.openxmlformats.org/markup-compatibility/2006">
          <mc:Choice Requires="x14">
            <control shapeId="28737" r:id="rId69" name="Option Button 65">
              <controlPr defaultSize="0" autoFill="0" autoLine="0" autoPict="0">
                <anchor moveWithCells="1">
                  <from>
                    <xdr:col>9</xdr:col>
                    <xdr:colOff>114300</xdr:colOff>
                    <xdr:row>54</xdr:row>
                    <xdr:rowOff>76200</xdr:rowOff>
                  </from>
                  <to>
                    <xdr:col>10</xdr:col>
                    <xdr:colOff>161925</xdr:colOff>
                    <xdr:row>55</xdr:row>
                    <xdr:rowOff>28575</xdr:rowOff>
                  </to>
                </anchor>
              </controlPr>
            </control>
          </mc:Choice>
        </mc:AlternateContent>
        <mc:AlternateContent xmlns:mc="http://schemas.openxmlformats.org/markup-compatibility/2006">
          <mc:Choice Requires="x14">
            <control shapeId="28738" r:id="rId70" name="Option Button 66">
              <controlPr defaultSize="0" autoFill="0" autoLine="0" autoPict="0">
                <anchor moveWithCells="1">
                  <from>
                    <xdr:col>12</xdr:col>
                    <xdr:colOff>238125</xdr:colOff>
                    <xdr:row>54</xdr:row>
                    <xdr:rowOff>76200</xdr:rowOff>
                  </from>
                  <to>
                    <xdr:col>14</xdr:col>
                    <xdr:colOff>19050</xdr:colOff>
                    <xdr:row>55</xdr:row>
                    <xdr:rowOff>28575</xdr:rowOff>
                  </to>
                </anchor>
              </controlPr>
            </control>
          </mc:Choice>
        </mc:AlternateContent>
        <mc:AlternateContent xmlns:mc="http://schemas.openxmlformats.org/markup-compatibility/2006">
          <mc:Choice Requires="x14">
            <control shapeId="28739" r:id="rId71" name="Option Button 67">
              <controlPr defaultSize="0" autoFill="0" autoLine="0" autoPict="0">
                <anchor moveWithCells="1">
                  <from>
                    <xdr:col>5</xdr:col>
                    <xdr:colOff>200025</xdr:colOff>
                    <xdr:row>56</xdr:row>
                    <xdr:rowOff>66675</xdr:rowOff>
                  </from>
                  <to>
                    <xdr:col>6</xdr:col>
                    <xdr:colOff>238125</xdr:colOff>
                    <xdr:row>57</xdr:row>
                    <xdr:rowOff>19050</xdr:rowOff>
                  </to>
                </anchor>
              </controlPr>
            </control>
          </mc:Choice>
        </mc:AlternateContent>
        <mc:AlternateContent xmlns:mc="http://schemas.openxmlformats.org/markup-compatibility/2006">
          <mc:Choice Requires="x14">
            <control shapeId="28740" r:id="rId72" name="Option Button 68">
              <controlPr defaultSize="0" autoFill="0" autoLine="0" autoPict="0">
                <anchor moveWithCells="1">
                  <from>
                    <xdr:col>9</xdr:col>
                    <xdr:colOff>114300</xdr:colOff>
                    <xdr:row>56</xdr:row>
                    <xdr:rowOff>66675</xdr:rowOff>
                  </from>
                  <to>
                    <xdr:col>10</xdr:col>
                    <xdr:colOff>161925</xdr:colOff>
                    <xdr:row>57</xdr:row>
                    <xdr:rowOff>19050</xdr:rowOff>
                  </to>
                </anchor>
              </controlPr>
            </control>
          </mc:Choice>
        </mc:AlternateContent>
        <mc:AlternateContent xmlns:mc="http://schemas.openxmlformats.org/markup-compatibility/2006">
          <mc:Choice Requires="x14">
            <control shapeId="28741" r:id="rId73" name="Option Button 69">
              <controlPr defaultSize="0" autoFill="0" autoLine="0" autoPict="0">
                <anchor moveWithCells="1">
                  <from>
                    <xdr:col>12</xdr:col>
                    <xdr:colOff>238125</xdr:colOff>
                    <xdr:row>56</xdr:row>
                    <xdr:rowOff>66675</xdr:rowOff>
                  </from>
                  <to>
                    <xdr:col>14</xdr:col>
                    <xdr:colOff>19050</xdr:colOff>
                    <xdr:row>57</xdr:row>
                    <xdr:rowOff>19050</xdr:rowOff>
                  </to>
                </anchor>
              </controlPr>
            </control>
          </mc:Choice>
        </mc:AlternateContent>
        <mc:AlternateContent xmlns:mc="http://schemas.openxmlformats.org/markup-compatibility/2006">
          <mc:Choice Requires="x14">
            <control shapeId="28742" r:id="rId74" name="Group Box 70">
              <controlPr defaultSize="0" autoFill="0" autoPict="0">
                <anchor moveWithCells="1">
                  <from>
                    <xdr:col>2</xdr:col>
                    <xdr:colOff>0</xdr:colOff>
                    <xdr:row>57</xdr:row>
                    <xdr:rowOff>19050</xdr:rowOff>
                  </from>
                  <to>
                    <xdr:col>14</xdr:col>
                    <xdr:colOff>800100</xdr:colOff>
                    <xdr:row>61</xdr:row>
                    <xdr:rowOff>9525</xdr:rowOff>
                  </to>
                </anchor>
              </controlPr>
            </control>
          </mc:Choice>
        </mc:AlternateContent>
        <mc:AlternateContent xmlns:mc="http://schemas.openxmlformats.org/markup-compatibility/2006">
          <mc:Choice Requires="x14">
            <control shapeId="28743" r:id="rId75" name="Option Button 71">
              <controlPr defaultSize="0" autoFill="0" autoLine="0" autoPict="0">
                <anchor moveWithCells="1">
                  <from>
                    <xdr:col>2</xdr:col>
                    <xdr:colOff>57150</xdr:colOff>
                    <xdr:row>57</xdr:row>
                    <xdr:rowOff>104775</xdr:rowOff>
                  </from>
                  <to>
                    <xdr:col>4</xdr:col>
                    <xdr:colOff>38100</xdr:colOff>
                    <xdr:row>58</xdr:row>
                    <xdr:rowOff>66675</xdr:rowOff>
                  </to>
                </anchor>
              </controlPr>
            </control>
          </mc:Choice>
        </mc:AlternateContent>
        <mc:AlternateContent xmlns:mc="http://schemas.openxmlformats.org/markup-compatibility/2006">
          <mc:Choice Requires="x14">
            <control shapeId="28744" r:id="rId76" name="Option Button 72">
              <controlPr defaultSize="0" autoFill="0" autoLine="0" autoPict="0">
                <anchor moveWithCells="1">
                  <from>
                    <xdr:col>2</xdr:col>
                    <xdr:colOff>57150</xdr:colOff>
                    <xdr:row>58</xdr:row>
                    <xdr:rowOff>466725</xdr:rowOff>
                  </from>
                  <to>
                    <xdr:col>4</xdr:col>
                    <xdr:colOff>38100</xdr:colOff>
                    <xdr:row>58</xdr:row>
                    <xdr:rowOff>685800</xdr:rowOff>
                  </to>
                </anchor>
              </controlPr>
            </control>
          </mc:Choice>
        </mc:AlternateContent>
        <mc:AlternateContent xmlns:mc="http://schemas.openxmlformats.org/markup-compatibility/2006">
          <mc:Choice Requires="x14">
            <control shapeId="28745" r:id="rId77" name="Option Button 73">
              <controlPr defaultSize="0" autoFill="0" autoLine="0" autoPict="0">
                <anchor moveWithCells="1">
                  <from>
                    <xdr:col>2</xdr:col>
                    <xdr:colOff>57150</xdr:colOff>
                    <xdr:row>59</xdr:row>
                    <xdr:rowOff>247650</xdr:rowOff>
                  </from>
                  <to>
                    <xdr:col>4</xdr:col>
                    <xdr:colOff>38100</xdr:colOff>
                    <xdr:row>59</xdr:row>
                    <xdr:rowOff>466725</xdr:rowOff>
                  </to>
                </anchor>
              </controlPr>
            </control>
          </mc:Choice>
        </mc:AlternateContent>
        <mc:AlternateContent xmlns:mc="http://schemas.openxmlformats.org/markup-compatibility/2006">
          <mc:Choice Requires="x14">
            <control shapeId="28746" r:id="rId78" name="Option Button 74">
              <controlPr defaultSize="0" autoFill="0" autoLine="0" autoPict="0">
                <anchor moveWithCells="1">
                  <from>
                    <xdr:col>2</xdr:col>
                    <xdr:colOff>57150</xdr:colOff>
                    <xdr:row>60</xdr:row>
                    <xdr:rowOff>400050</xdr:rowOff>
                  </from>
                  <to>
                    <xdr:col>4</xdr:col>
                    <xdr:colOff>38100</xdr:colOff>
                    <xdr:row>60</xdr:row>
                    <xdr:rowOff>619125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N59"/>
  <sheetViews>
    <sheetView showGridLines="0" zoomScale="120" zoomScaleNormal="120" workbookViewId="0"/>
  </sheetViews>
  <sheetFormatPr defaultColWidth="2.28515625" defaultRowHeight="12.75" x14ac:dyDescent="0.2"/>
  <cols>
    <col min="1" max="1" width="1.42578125" style="2" customWidth="1"/>
    <col min="2" max="2" width="18" style="2" customWidth="1"/>
    <col min="3" max="3" width="2.5703125" style="2" customWidth="1"/>
    <col min="4" max="4" width="2.28515625" style="2" customWidth="1"/>
    <col min="5" max="10" width="3.85546875" style="2" customWidth="1"/>
    <col min="11" max="11" width="6.42578125" style="2" customWidth="1"/>
    <col min="12" max="13" width="3.85546875" style="2" customWidth="1"/>
    <col min="14" max="14" width="4.42578125" style="2" customWidth="1"/>
    <col min="15" max="15" width="12.7109375" style="2" customWidth="1"/>
    <col min="16" max="16" width="11" style="2" customWidth="1"/>
    <col min="17" max="17" width="0.42578125" style="2" customWidth="1"/>
    <col min="18" max="18" width="17.42578125" style="2" hidden="1" customWidth="1"/>
    <col min="19" max="19" width="11.42578125" style="2" hidden="1" customWidth="1"/>
    <col min="20" max="20" width="15" style="2" hidden="1" customWidth="1"/>
    <col min="21" max="21" width="17.5703125" style="2" hidden="1" customWidth="1"/>
    <col min="22" max="22" width="11.85546875" style="2" hidden="1" customWidth="1"/>
    <col min="23" max="23" width="10.42578125" style="2" hidden="1" customWidth="1"/>
    <col min="24" max="130" width="2.28515625" style="2" hidden="1" customWidth="1"/>
    <col min="131" max="255" width="2.28515625" style="2" customWidth="1"/>
    <col min="256" max="16384" width="2.28515625" style="2"/>
  </cols>
  <sheetData>
    <row r="1" spans="2:170" ht="15" customHeight="1" x14ac:dyDescent="0.2">
      <c r="B1" s="10" t="s">
        <v>1697</v>
      </c>
      <c r="E1" s="732" t="str">
        <f>IF('Start here'!A6="","",'Start here'!A6)</f>
        <v/>
      </c>
      <c r="F1" s="736"/>
      <c r="G1" s="736"/>
      <c r="H1" s="736"/>
      <c r="I1" s="736"/>
      <c r="J1" s="736"/>
      <c r="K1" s="737"/>
      <c r="M1" s="732" t="str">
        <f>IF('Start here'!A7="","",'Start here'!A7)</f>
        <v/>
      </c>
      <c r="N1" s="736"/>
      <c r="O1" s="736"/>
      <c r="P1" s="737"/>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1.25" customHeight="1" x14ac:dyDescent="0.2">
      <c r="B2" s="777"/>
      <c r="C2" s="777"/>
      <c r="D2" s="777"/>
      <c r="E2" s="777"/>
      <c r="F2" s="777"/>
      <c r="G2" s="777"/>
      <c r="H2" s="777"/>
      <c r="I2" s="777"/>
      <c r="J2" s="777"/>
      <c r="K2" s="777"/>
      <c r="L2" s="777"/>
      <c r="M2" s="777"/>
      <c r="N2" s="777"/>
      <c r="O2" s="777"/>
      <c r="P2" s="777"/>
    </row>
    <row r="3" spans="2:170" ht="24" customHeight="1" x14ac:dyDescent="0.3">
      <c r="B3" s="905" t="s">
        <v>1887</v>
      </c>
      <c r="C3" s="905"/>
      <c r="D3" s="905"/>
      <c r="E3" s="905"/>
      <c r="F3" s="905"/>
      <c r="G3" s="905"/>
      <c r="H3" s="905"/>
      <c r="I3" s="905"/>
      <c r="J3" s="905"/>
      <c r="K3" s="905"/>
      <c r="L3" s="905"/>
      <c r="M3" s="905"/>
      <c r="N3" s="905"/>
      <c r="O3" s="905"/>
      <c r="P3" s="905"/>
    </row>
    <row r="4" spans="2:170" ht="21" customHeight="1" x14ac:dyDescent="0.2">
      <c r="B4" s="1592" t="s">
        <v>1553</v>
      </c>
      <c r="C4" s="1641"/>
      <c r="D4" s="1642"/>
      <c r="E4" s="761" t="s">
        <v>1262</v>
      </c>
      <c r="F4" s="761"/>
      <c r="G4" s="761"/>
      <c r="H4" s="761"/>
      <c r="I4" s="761"/>
      <c r="J4" s="761"/>
      <c r="K4" s="761"/>
      <c r="L4" s="761"/>
      <c r="M4" s="761"/>
      <c r="N4" s="761"/>
      <c r="O4" s="761"/>
      <c r="P4" s="929">
        <f>IF(S4=2,0.05,IF(S4=3,0.18,IF(S4=4,0.38,0)))</f>
        <v>0</v>
      </c>
      <c r="R4" s="146" t="s">
        <v>2236</v>
      </c>
      <c r="S4" s="547">
        <v>1</v>
      </c>
    </row>
    <row r="5" spans="2:170" ht="27" customHeight="1" x14ac:dyDescent="0.2">
      <c r="B5" s="1593"/>
      <c r="C5" s="1643"/>
      <c r="D5" s="1644"/>
      <c r="E5" s="756" t="s">
        <v>2055</v>
      </c>
      <c r="F5" s="757"/>
      <c r="G5" s="757"/>
      <c r="H5" s="757"/>
      <c r="I5" s="757"/>
      <c r="J5" s="757"/>
      <c r="K5" s="757"/>
      <c r="L5" s="757"/>
      <c r="M5" s="757"/>
      <c r="N5" s="757"/>
      <c r="O5" s="758"/>
      <c r="P5" s="1071"/>
    </row>
    <row r="6" spans="2:170" ht="27" customHeight="1" x14ac:dyDescent="0.2">
      <c r="B6" s="1593"/>
      <c r="C6" s="1643"/>
      <c r="D6" s="1644"/>
      <c r="E6" s="756" t="s">
        <v>2056</v>
      </c>
      <c r="F6" s="757"/>
      <c r="G6" s="757"/>
      <c r="H6" s="757"/>
      <c r="I6" s="757"/>
      <c r="J6" s="757"/>
      <c r="K6" s="757"/>
      <c r="L6" s="757"/>
      <c r="M6" s="757"/>
      <c r="N6" s="757"/>
      <c r="O6" s="758"/>
      <c r="P6" s="1071"/>
    </row>
    <row r="7" spans="2:170" ht="27" customHeight="1" x14ac:dyDescent="0.2">
      <c r="B7" s="1611"/>
      <c r="C7" s="1643"/>
      <c r="D7" s="1644"/>
      <c r="E7" s="756" t="s">
        <v>2057</v>
      </c>
      <c r="F7" s="757"/>
      <c r="G7" s="757"/>
      <c r="H7" s="757"/>
      <c r="I7" s="757"/>
      <c r="J7" s="757"/>
      <c r="K7" s="757"/>
      <c r="L7" s="757"/>
      <c r="M7" s="757"/>
      <c r="N7" s="757"/>
      <c r="O7" s="758"/>
      <c r="P7" s="1072"/>
    </row>
    <row r="8" spans="2:170" ht="21" customHeight="1" x14ac:dyDescent="0.2">
      <c r="B8" s="1657" t="s">
        <v>2160</v>
      </c>
      <c r="C8" s="1633"/>
      <c r="D8" s="1634"/>
      <c r="E8" s="761" t="s">
        <v>1262</v>
      </c>
      <c r="F8" s="761"/>
      <c r="G8" s="761"/>
      <c r="H8" s="761"/>
      <c r="I8" s="761"/>
      <c r="J8" s="761"/>
      <c r="K8" s="761"/>
      <c r="L8" s="761"/>
      <c r="M8" s="761"/>
      <c r="N8" s="761"/>
      <c r="O8" s="761"/>
      <c r="P8" s="929">
        <f>IF(S8=2,0.05,IF(S8=3,0.18,0))</f>
        <v>0</v>
      </c>
      <c r="R8" s="146" t="s">
        <v>2236</v>
      </c>
      <c r="S8" s="547">
        <v>1</v>
      </c>
    </row>
    <row r="9" spans="2:170" ht="66.75" customHeight="1" x14ac:dyDescent="0.2">
      <c r="B9" s="1658"/>
      <c r="C9" s="1635"/>
      <c r="D9" s="1636"/>
      <c r="E9" s="761" t="s">
        <v>2058</v>
      </c>
      <c r="F9" s="761"/>
      <c r="G9" s="761"/>
      <c r="H9" s="761"/>
      <c r="I9" s="761"/>
      <c r="J9" s="761"/>
      <c r="K9" s="761"/>
      <c r="L9" s="761"/>
      <c r="M9" s="761"/>
      <c r="N9" s="761"/>
      <c r="O9" s="761"/>
      <c r="P9" s="1071"/>
    </row>
    <row r="10" spans="2:170" ht="81" customHeight="1" x14ac:dyDescent="0.2">
      <c r="B10" s="438"/>
      <c r="C10" s="1635"/>
      <c r="D10" s="1636"/>
      <c r="E10" s="761" t="s">
        <v>2059</v>
      </c>
      <c r="F10" s="761"/>
      <c r="G10" s="761"/>
      <c r="H10" s="761"/>
      <c r="I10" s="761"/>
      <c r="J10" s="761"/>
      <c r="K10" s="761"/>
      <c r="L10" s="761"/>
      <c r="M10" s="761"/>
      <c r="N10" s="761"/>
      <c r="O10" s="761"/>
      <c r="P10" s="1071"/>
    </row>
    <row r="11" spans="2:170" ht="21" customHeight="1" x14ac:dyDescent="0.2">
      <c r="B11" s="1592" t="s">
        <v>2</v>
      </c>
      <c r="C11" s="1633"/>
      <c r="D11" s="1634"/>
      <c r="E11" s="761" t="s">
        <v>1262</v>
      </c>
      <c r="F11" s="761"/>
      <c r="G11" s="761"/>
      <c r="H11" s="761"/>
      <c r="I11" s="761"/>
      <c r="J11" s="761"/>
      <c r="K11" s="761"/>
      <c r="L11" s="761"/>
      <c r="M11" s="761"/>
      <c r="N11" s="761"/>
      <c r="O11" s="761"/>
      <c r="P11" s="929">
        <f>IF(S11=2,0.05,IF(S11=3,0.18,IF(S11=4,0.78,0)))</f>
        <v>0</v>
      </c>
      <c r="R11" s="146" t="s">
        <v>2236</v>
      </c>
      <c r="S11" s="547">
        <v>1</v>
      </c>
    </row>
    <row r="12" spans="2:170" ht="28.5" customHeight="1" x14ac:dyDescent="0.2">
      <c r="B12" s="1593"/>
      <c r="C12" s="1635"/>
      <c r="D12" s="1636"/>
      <c r="E12" s="756" t="s">
        <v>2060</v>
      </c>
      <c r="F12" s="757"/>
      <c r="G12" s="757"/>
      <c r="H12" s="757"/>
      <c r="I12" s="757"/>
      <c r="J12" s="757"/>
      <c r="K12" s="757"/>
      <c r="L12" s="757"/>
      <c r="M12" s="757"/>
      <c r="N12" s="757"/>
      <c r="O12" s="758"/>
      <c r="P12" s="1071"/>
    </row>
    <row r="13" spans="2:170" ht="27" customHeight="1" x14ac:dyDescent="0.2">
      <c r="B13" s="1593"/>
      <c r="C13" s="1635"/>
      <c r="D13" s="1636"/>
      <c r="E13" s="756" t="s">
        <v>2061</v>
      </c>
      <c r="F13" s="757"/>
      <c r="G13" s="757"/>
      <c r="H13" s="757"/>
      <c r="I13" s="757"/>
      <c r="J13" s="757"/>
      <c r="K13" s="757"/>
      <c r="L13" s="757"/>
      <c r="M13" s="757"/>
      <c r="N13" s="757"/>
      <c r="O13" s="758"/>
      <c r="P13" s="1071"/>
    </row>
    <row r="14" spans="2:170" ht="27" customHeight="1" x14ac:dyDescent="0.2">
      <c r="B14" s="1611"/>
      <c r="C14" s="1635"/>
      <c r="D14" s="1636"/>
      <c r="E14" s="756" t="s">
        <v>2062</v>
      </c>
      <c r="F14" s="757"/>
      <c r="G14" s="757"/>
      <c r="H14" s="757"/>
      <c r="I14" s="757"/>
      <c r="J14" s="757"/>
      <c r="K14" s="757"/>
      <c r="L14" s="757"/>
      <c r="M14" s="757"/>
      <c r="N14" s="757"/>
      <c r="O14" s="758"/>
      <c r="P14" s="1072"/>
    </row>
    <row r="15" spans="2:170" ht="21" customHeight="1" x14ac:dyDescent="0.2">
      <c r="B15" s="1592" t="s">
        <v>1554</v>
      </c>
      <c r="C15" s="1635"/>
      <c r="D15" s="1636"/>
      <c r="E15" s="756" t="s">
        <v>1262</v>
      </c>
      <c r="F15" s="757"/>
      <c r="G15" s="757"/>
      <c r="H15" s="757"/>
      <c r="I15" s="757"/>
      <c r="J15" s="757"/>
      <c r="K15" s="757"/>
      <c r="L15" s="757"/>
      <c r="M15" s="757"/>
      <c r="N15" s="757"/>
      <c r="O15" s="758"/>
      <c r="P15" s="1071">
        <f>IF(S15=2,0.03,IF(S15=3,0.15,0))</f>
        <v>0</v>
      </c>
      <c r="R15" s="146" t="s">
        <v>2236</v>
      </c>
      <c r="S15" s="547">
        <v>1</v>
      </c>
    </row>
    <row r="16" spans="2:170" ht="21" customHeight="1" x14ac:dyDescent="0.2">
      <c r="B16" s="1593"/>
      <c r="C16" s="1635"/>
      <c r="D16" s="1636"/>
      <c r="E16" s="761" t="s">
        <v>2064</v>
      </c>
      <c r="F16" s="761"/>
      <c r="G16" s="761"/>
      <c r="H16" s="761"/>
      <c r="I16" s="761"/>
      <c r="J16" s="761"/>
      <c r="K16" s="761"/>
      <c r="L16" s="761"/>
      <c r="M16" s="761"/>
      <c r="N16" s="761"/>
      <c r="O16" s="761"/>
      <c r="P16" s="1071"/>
    </row>
    <row r="17" spans="2:19" ht="27" customHeight="1" x14ac:dyDescent="0.2">
      <c r="B17" s="1593"/>
      <c r="C17" s="1635"/>
      <c r="D17" s="1636"/>
      <c r="E17" s="756" t="s">
        <v>2063</v>
      </c>
      <c r="F17" s="757"/>
      <c r="G17" s="757"/>
      <c r="H17" s="757"/>
      <c r="I17" s="757"/>
      <c r="J17" s="757"/>
      <c r="K17" s="757"/>
      <c r="L17" s="757"/>
      <c r="M17" s="757"/>
      <c r="N17" s="757"/>
      <c r="O17" s="758"/>
      <c r="P17" s="1071"/>
    </row>
    <row r="18" spans="2:19" ht="21" customHeight="1" x14ac:dyDescent="0.2">
      <c r="B18" s="1592" t="s">
        <v>3</v>
      </c>
      <c r="C18" s="1633"/>
      <c r="D18" s="1634"/>
      <c r="E18" s="761" t="s">
        <v>1262</v>
      </c>
      <c r="F18" s="761"/>
      <c r="G18" s="761"/>
      <c r="H18" s="761"/>
      <c r="I18" s="761"/>
      <c r="J18" s="761"/>
      <c r="K18" s="761"/>
      <c r="L18" s="761"/>
      <c r="M18" s="761"/>
      <c r="N18" s="761"/>
      <c r="O18" s="761"/>
      <c r="P18" s="929">
        <f>IF(S18=2,0.05,IF(S18=3,0.33,IF(S18=4,0.78,0)))</f>
        <v>0</v>
      </c>
      <c r="R18" s="146" t="s">
        <v>2236</v>
      </c>
      <c r="S18" s="547">
        <v>1</v>
      </c>
    </row>
    <row r="19" spans="2:19" ht="26.25" customHeight="1" x14ac:dyDescent="0.2">
      <c r="B19" s="1593"/>
      <c r="C19" s="1635"/>
      <c r="D19" s="1636"/>
      <c r="E19" s="756" t="s">
        <v>2060</v>
      </c>
      <c r="F19" s="757"/>
      <c r="G19" s="757"/>
      <c r="H19" s="757"/>
      <c r="I19" s="757"/>
      <c r="J19" s="757"/>
      <c r="K19" s="757"/>
      <c r="L19" s="757"/>
      <c r="M19" s="757"/>
      <c r="N19" s="757"/>
      <c r="O19" s="758"/>
      <c r="P19" s="1071"/>
    </row>
    <row r="20" spans="2:19" ht="27" customHeight="1" x14ac:dyDescent="0.2">
      <c r="B20" s="1593"/>
      <c r="C20" s="1635"/>
      <c r="D20" s="1636"/>
      <c r="E20" s="756" t="s">
        <v>2065</v>
      </c>
      <c r="F20" s="757"/>
      <c r="G20" s="757"/>
      <c r="H20" s="757"/>
      <c r="I20" s="757"/>
      <c r="J20" s="757"/>
      <c r="K20" s="757"/>
      <c r="L20" s="757"/>
      <c r="M20" s="757"/>
      <c r="N20" s="757"/>
      <c r="O20" s="758"/>
      <c r="P20" s="1071"/>
    </row>
    <row r="21" spans="2:19" ht="27" customHeight="1" x14ac:dyDescent="0.2">
      <c r="B21" s="1593"/>
      <c r="C21" s="1635"/>
      <c r="D21" s="1636"/>
      <c r="E21" s="756" t="s">
        <v>2066</v>
      </c>
      <c r="F21" s="757"/>
      <c r="G21" s="757"/>
      <c r="H21" s="757"/>
      <c r="I21" s="757"/>
      <c r="J21" s="757"/>
      <c r="K21" s="757"/>
      <c r="L21" s="757"/>
      <c r="M21" s="757"/>
      <c r="N21" s="757"/>
      <c r="O21" s="758"/>
      <c r="P21" s="1071"/>
    </row>
    <row r="22" spans="2:19" ht="21" customHeight="1" x14ac:dyDescent="0.2">
      <c r="B22" s="1592" t="s">
        <v>4</v>
      </c>
      <c r="C22" s="1633"/>
      <c r="D22" s="1634"/>
      <c r="E22" s="761" t="s">
        <v>1262</v>
      </c>
      <c r="F22" s="761"/>
      <c r="G22" s="761"/>
      <c r="H22" s="761"/>
      <c r="I22" s="761"/>
      <c r="J22" s="761"/>
      <c r="K22" s="761"/>
      <c r="L22" s="761"/>
      <c r="M22" s="761"/>
      <c r="N22" s="761"/>
      <c r="O22" s="761"/>
      <c r="P22" s="929">
        <f>IF(S22=2,0.05,IF(S22=3,0.33,IF(S22=4,0.78,0)))</f>
        <v>0</v>
      </c>
      <c r="R22" s="146" t="s">
        <v>2236</v>
      </c>
      <c r="S22" s="547">
        <v>1</v>
      </c>
    </row>
    <row r="23" spans="2:19" ht="27" customHeight="1" x14ac:dyDescent="0.2">
      <c r="B23" s="1593"/>
      <c r="C23" s="1635"/>
      <c r="D23" s="1636"/>
      <c r="E23" s="756" t="s">
        <v>2067</v>
      </c>
      <c r="F23" s="757"/>
      <c r="G23" s="757"/>
      <c r="H23" s="757"/>
      <c r="I23" s="757"/>
      <c r="J23" s="757"/>
      <c r="K23" s="757"/>
      <c r="L23" s="757"/>
      <c r="M23" s="757"/>
      <c r="N23" s="757"/>
      <c r="O23" s="758"/>
      <c r="P23" s="1071"/>
    </row>
    <row r="24" spans="2:19" ht="27" customHeight="1" x14ac:dyDescent="0.2">
      <c r="B24" s="1593"/>
      <c r="C24" s="1635"/>
      <c r="D24" s="1636"/>
      <c r="E24" s="756" t="s">
        <v>2068</v>
      </c>
      <c r="F24" s="757"/>
      <c r="G24" s="757"/>
      <c r="H24" s="757"/>
      <c r="I24" s="757"/>
      <c r="J24" s="757"/>
      <c r="K24" s="757"/>
      <c r="L24" s="757"/>
      <c r="M24" s="757"/>
      <c r="N24" s="757"/>
      <c r="O24" s="758"/>
      <c r="P24" s="1071"/>
    </row>
    <row r="25" spans="2:19" ht="26.25" customHeight="1" x14ac:dyDescent="0.2">
      <c r="B25" s="1611"/>
      <c r="C25" s="1637"/>
      <c r="D25" s="1638"/>
      <c r="E25" s="756" t="s">
        <v>2069</v>
      </c>
      <c r="F25" s="757"/>
      <c r="G25" s="757"/>
      <c r="H25" s="757"/>
      <c r="I25" s="757"/>
      <c r="J25" s="757"/>
      <c r="K25" s="757"/>
      <c r="L25" s="757"/>
      <c r="M25" s="757"/>
      <c r="N25" s="757"/>
      <c r="O25" s="758"/>
      <c r="P25" s="1072"/>
    </row>
    <row r="26" spans="2:19" ht="21" customHeight="1" x14ac:dyDescent="0.2">
      <c r="B26" s="1592" t="s">
        <v>1555</v>
      </c>
      <c r="C26" s="1633"/>
      <c r="D26" s="1634"/>
      <c r="E26" s="761" t="s">
        <v>1262</v>
      </c>
      <c r="F26" s="761"/>
      <c r="G26" s="761"/>
      <c r="H26" s="761"/>
      <c r="I26" s="761"/>
      <c r="J26" s="761"/>
      <c r="K26" s="761"/>
      <c r="L26" s="761"/>
      <c r="M26" s="761"/>
      <c r="N26" s="761"/>
      <c r="O26" s="761"/>
      <c r="P26" s="929">
        <f>IF(S26=2,0.05,IF(S26=3,0.33,IF(S26=4,0.78,0)))</f>
        <v>0</v>
      </c>
      <c r="R26" s="146" t="s">
        <v>2236</v>
      </c>
      <c r="S26" s="547">
        <v>1</v>
      </c>
    </row>
    <row r="27" spans="2:19" ht="27" customHeight="1" x14ac:dyDescent="0.2">
      <c r="B27" s="1593"/>
      <c r="C27" s="1635"/>
      <c r="D27" s="1636"/>
      <c r="E27" s="756" t="s">
        <v>2070</v>
      </c>
      <c r="F27" s="757"/>
      <c r="G27" s="757"/>
      <c r="H27" s="757"/>
      <c r="I27" s="757"/>
      <c r="J27" s="757"/>
      <c r="K27" s="757"/>
      <c r="L27" s="757"/>
      <c r="M27" s="757"/>
      <c r="N27" s="757"/>
      <c r="O27" s="758"/>
      <c r="P27" s="1071"/>
    </row>
    <row r="28" spans="2:19" ht="40.5" customHeight="1" x14ac:dyDescent="0.2">
      <c r="B28" s="1593"/>
      <c r="C28" s="1635"/>
      <c r="D28" s="1636"/>
      <c r="E28" s="756" t="s">
        <v>2071</v>
      </c>
      <c r="F28" s="757"/>
      <c r="G28" s="757"/>
      <c r="H28" s="757"/>
      <c r="I28" s="757"/>
      <c r="J28" s="757"/>
      <c r="K28" s="757"/>
      <c r="L28" s="757"/>
      <c r="M28" s="757"/>
      <c r="N28" s="757"/>
      <c r="O28" s="758"/>
      <c r="P28" s="1071"/>
    </row>
    <row r="29" spans="2:19" ht="39.75" customHeight="1" x14ac:dyDescent="0.2">
      <c r="B29" s="1593"/>
      <c r="C29" s="1635"/>
      <c r="D29" s="1636"/>
      <c r="E29" s="756" t="s">
        <v>2072</v>
      </c>
      <c r="F29" s="757"/>
      <c r="G29" s="757"/>
      <c r="H29" s="757"/>
      <c r="I29" s="757"/>
      <c r="J29" s="757"/>
      <c r="K29" s="757"/>
      <c r="L29" s="757"/>
      <c r="M29" s="757"/>
      <c r="N29" s="757"/>
      <c r="O29" s="758"/>
      <c r="P29" s="1071"/>
    </row>
    <row r="30" spans="2:19" ht="21" customHeight="1" x14ac:dyDescent="0.2">
      <c r="B30" s="1655" t="s">
        <v>2159</v>
      </c>
      <c r="C30" s="1633"/>
      <c r="D30" s="1634"/>
      <c r="E30" s="756" t="s">
        <v>1262</v>
      </c>
      <c r="F30" s="757"/>
      <c r="G30" s="757"/>
      <c r="H30" s="757"/>
      <c r="I30" s="757"/>
      <c r="J30" s="757"/>
      <c r="K30" s="757"/>
      <c r="L30" s="757"/>
      <c r="M30" s="757"/>
      <c r="N30" s="757"/>
      <c r="O30" s="758"/>
      <c r="P30" s="929">
        <f>IF(S30=2,0.03,IF(S30=3,0.08,IF(S30=4,0.18,IF(S30=5,0.33,0))))</f>
        <v>0</v>
      </c>
      <c r="R30" s="146" t="s">
        <v>2236</v>
      </c>
      <c r="S30" s="547">
        <v>1</v>
      </c>
    </row>
    <row r="31" spans="2:19" ht="52.5" customHeight="1" x14ac:dyDescent="0.2">
      <c r="B31" s="1656"/>
      <c r="C31" s="1635"/>
      <c r="D31" s="1636"/>
      <c r="E31" s="761" t="s">
        <v>2073</v>
      </c>
      <c r="F31" s="761"/>
      <c r="G31" s="761"/>
      <c r="H31" s="761"/>
      <c r="I31" s="761"/>
      <c r="J31" s="761"/>
      <c r="K31" s="761"/>
      <c r="L31" s="761"/>
      <c r="M31" s="761"/>
      <c r="N31" s="761"/>
      <c r="O31" s="761"/>
      <c r="P31" s="1071"/>
    </row>
    <row r="32" spans="2:19" ht="70.5" customHeight="1" x14ac:dyDescent="0.2">
      <c r="B32" s="1656"/>
      <c r="C32" s="1635"/>
      <c r="D32" s="1636"/>
      <c r="E32" s="756" t="s">
        <v>2074</v>
      </c>
      <c r="F32" s="757"/>
      <c r="G32" s="757"/>
      <c r="H32" s="757"/>
      <c r="I32" s="757"/>
      <c r="J32" s="757"/>
      <c r="K32" s="757"/>
      <c r="L32" s="757"/>
      <c r="M32" s="757"/>
      <c r="N32" s="757"/>
      <c r="O32" s="758"/>
      <c r="P32" s="1071"/>
    </row>
    <row r="33" spans="1:23" ht="34.5" customHeight="1" x14ac:dyDescent="0.2">
      <c r="B33" s="415"/>
      <c r="C33" s="1635"/>
      <c r="D33" s="1636"/>
      <c r="E33" s="756" t="s">
        <v>2075</v>
      </c>
      <c r="F33" s="757"/>
      <c r="G33" s="757"/>
      <c r="H33" s="757"/>
      <c r="I33" s="757"/>
      <c r="J33" s="757"/>
      <c r="K33" s="757"/>
      <c r="L33" s="757"/>
      <c r="M33" s="757"/>
      <c r="N33" s="757"/>
      <c r="O33" s="758"/>
      <c r="P33" s="1071"/>
    </row>
    <row r="34" spans="1:23" ht="55.5" customHeight="1" x14ac:dyDescent="0.2">
      <c r="B34" s="425"/>
      <c r="C34" s="1637"/>
      <c r="D34" s="1638"/>
      <c r="E34" s="756" t="s">
        <v>2076</v>
      </c>
      <c r="F34" s="757"/>
      <c r="G34" s="757"/>
      <c r="H34" s="757"/>
      <c r="I34" s="757"/>
      <c r="J34" s="757"/>
      <c r="K34" s="757"/>
      <c r="L34" s="757"/>
      <c r="M34" s="757"/>
      <c r="N34" s="757"/>
      <c r="O34" s="758"/>
      <c r="P34" s="1072"/>
    </row>
    <row r="35" spans="1:23" ht="21" customHeight="1" x14ac:dyDescent="0.2">
      <c r="B35" s="1592" t="s">
        <v>925</v>
      </c>
      <c r="C35" s="1633"/>
      <c r="D35" s="1634"/>
      <c r="E35" s="761" t="s">
        <v>1262</v>
      </c>
      <c r="F35" s="761"/>
      <c r="G35" s="761"/>
      <c r="H35" s="761"/>
      <c r="I35" s="761"/>
      <c r="J35" s="761"/>
      <c r="K35" s="761"/>
      <c r="L35" s="761"/>
      <c r="M35" s="761"/>
      <c r="N35" s="761"/>
      <c r="O35" s="761"/>
      <c r="P35" s="929">
        <f>IF(S35=3,0.28,0)</f>
        <v>0</v>
      </c>
      <c r="R35" s="146" t="s">
        <v>2236</v>
      </c>
      <c r="S35" s="547">
        <v>1</v>
      </c>
    </row>
    <row r="36" spans="1:23" ht="39" customHeight="1" x14ac:dyDescent="0.2">
      <c r="B36" s="1632"/>
      <c r="C36" s="1635"/>
      <c r="D36" s="1636"/>
      <c r="E36" s="756" t="s">
        <v>2077</v>
      </c>
      <c r="F36" s="757"/>
      <c r="G36" s="757"/>
      <c r="H36" s="757"/>
      <c r="I36" s="757"/>
      <c r="J36" s="757"/>
      <c r="K36" s="757"/>
      <c r="L36" s="757"/>
      <c r="M36" s="757"/>
      <c r="N36" s="757"/>
      <c r="O36" s="758"/>
      <c r="P36" s="1071"/>
    </row>
    <row r="37" spans="1:23" ht="43.5" customHeight="1" x14ac:dyDescent="0.2">
      <c r="B37" s="415"/>
      <c r="C37" s="1635"/>
      <c r="D37" s="1636"/>
      <c r="E37" s="756" t="s">
        <v>2078</v>
      </c>
      <c r="F37" s="757"/>
      <c r="G37" s="757"/>
      <c r="H37" s="757"/>
      <c r="I37" s="757"/>
      <c r="J37" s="757"/>
      <c r="K37" s="757"/>
      <c r="L37" s="757"/>
      <c r="M37" s="757"/>
      <c r="N37" s="757"/>
      <c r="O37" s="758"/>
      <c r="P37" s="1071"/>
    </row>
    <row r="38" spans="1:23" ht="21" customHeight="1" x14ac:dyDescent="0.2">
      <c r="B38" s="1592" t="s">
        <v>1556</v>
      </c>
      <c r="C38" s="1633"/>
      <c r="D38" s="1634"/>
      <c r="E38" s="761" t="s">
        <v>1262</v>
      </c>
      <c r="F38" s="761"/>
      <c r="G38" s="761"/>
      <c r="H38" s="761"/>
      <c r="I38" s="761"/>
      <c r="J38" s="761"/>
      <c r="K38" s="761"/>
      <c r="L38" s="761"/>
      <c r="M38" s="761"/>
      <c r="N38" s="761"/>
      <c r="O38" s="761"/>
      <c r="P38" s="929">
        <f>IF(S38=2,0.03,IF(S38=3,0.05,0))</f>
        <v>0</v>
      </c>
      <c r="R38" s="146" t="s">
        <v>2236</v>
      </c>
      <c r="S38" s="547">
        <v>1</v>
      </c>
    </row>
    <row r="39" spans="1:23" ht="27" customHeight="1" x14ac:dyDescent="0.2">
      <c r="B39" s="1632"/>
      <c r="C39" s="1635"/>
      <c r="D39" s="1636"/>
      <c r="E39" s="756" t="s">
        <v>2079</v>
      </c>
      <c r="F39" s="757"/>
      <c r="G39" s="757"/>
      <c r="H39" s="757"/>
      <c r="I39" s="757"/>
      <c r="J39" s="757"/>
      <c r="K39" s="757"/>
      <c r="L39" s="757"/>
      <c r="M39" s="757"/>
      <c r="N39" s="757"/>
      <c r="O39" s="758"/>
      <c r="P39" s="1071"/>
    </row>
    <row r="40" spans="1:23" ht="27" customHeight="1" x14ac:dyDescent="0.2">
      <c r="B40" s="425"/>
      <c r="C40" s="1637"/>
      <c r="D40" s="1638"/>
      <c r="E40" s="756" t="s">
        <v>2080</v>
      </c>
      <c r="F40" s="757"/>
      <c r="G40" s="757"/>
      <c r="H40" s="757"/>
      <c r="I40" s="757"/>
      <c r="J40" s="757"/>
      <c r="K40" s="757"/>
      <c r="L40" s="757"/>
      <c r="M40" s="757"/>
      <c r="N40" s="757"/>
      <c r="O40" s="758"/>
      <c r="P40" s="1072"/>
    </row>
    <row r="41" spans="1:23" ht="18" customHeight="1" x14ac:dyDescent="0.2">
      <c r="A41" s="777"/>
      <c r="B41" s="777"/>
      <c r="C41" s="777"/>
      <c r="D41" s="777"/>
      <c r="E41" s="777"/>
      <c r="F41" s="777"/>
      <c r="G41" s="777"/>
      <c r="H41" s="777"/>
      <c r="I41" s="777"/>
      <c r="J41" s="777"/>
      <c r="K41" s="777"/>
      <c r="L41" s="777"/>
      <c r="M41" s="777"/>
      <c r="N41" s="777"/>
      <c r="O41" s="777"/>
      <c r="P41" s="777"/>
      <c r="T41" s="7"/>
      <c r="U41" s="151"/>
    </row>
    <row r="42" spans="1:23" ht="27" customHeight="1" x14ac:dyDescent="0.2">
      <c r="B42" s="864" t="s">
        <v>1779</v>
      </c>
      <c r="C42" s="865"/>
      <c r="D42" s="865"/>
      <c r="E42" s="865"/>
      <c r="F42" s="865"/>
      <c r="G42" s="865"/>
      <c r="H42" s="865"/>
      <c r="I42" s="865"/>
      <c r="J42" s="865"/>
      <c r="K42" s="865"/>
      <c r="L42" s="865"/>
      <c r="M42" s="865"/>
      <c r="N42" s="866"/>
      <c r="O42" s="268" t="s">
        <v>1495</v>
      </c>
      <c r="P42" s="314" t="s">
        <v>1284</v>
      </c>
      <c r="R42" s="127" t="s">
        <v>2234</v>
      </c>
      <c r="T42" s="146" t="s">
        <v>1284</v>
      </c>
      <c r="U42" s="13" t="s">
        <v>1285</v>
      </c>
      <c r="V42" s="13" t="s">
        <v>1286</v>
      </c>
      <c r="W42" s="13" t="s">
        <v>1287</v>
      </c>
    </row>
    <row r="43" spans="1:23" ht="19.5" customHeight="1" x14ac:dyDescent="0.2">
      <c r="B43" s="791" t="s">
        <v>304</v>
      </c>
      <c r="C43" s="791"/>
      <c r="D43" s="791"/>
      <c r="E43" s="791"/>
      <c r="F43" s="791"/>
      <c r="G43" s="791"/>
      <c r="H43" s="791"/>
      <c r="I43" s="791"/>
      <c r="J43" s="791"/>
      <c r="K43" s="791"/>
      <c r="L43" s="755">
        <f>P4</f>
        <v>0</v>
      </c>
      <c r="M43" s="755"/>
      <c r="N43" s="755"/>
      <c r="O43" s="207"/>
      <c r="P43" s="245">
        <f>IF(AND(R43&gt;0,R43&lt;0.01),0.01,ROUND(R43,2))</f>
        <v>0</v>
      </c>
      <c r="R43" s="550">
        <f>IF(O43&gt;0,L43*O43,L43)</f>
        <v>0</v>
      </c>
      <c r="S43" s="7"/>
      <c r="T43" s="389">
        <f>P43</f>
        <v>0</v>
      </c>
      <c r="U43" s="365">
        <f>LARGE($T$43:$T$52,1)</f>
        <v>0</v>
      </c>
      <c r="V43" s="402">
        <f>U43+U44*(1-U43)</f>
        <v>0</v>
      </c>
      <c r="W43" s="389">
        <f t="shared" ref="W43:W51" si="0">ROUND(V43,2)</f>
        <v>0</v>
      </c>
    </row>
    <row r="44" spans="1:23" ht="19.5" customHeight="1" x14ac:dyDescent="0.2">
      <c r="B44" s="761" t="s">
        <v>312</v>
      </c>
      <c r="C44" s="761"/>
      <c r="D44" s="761"/>
      <c r="E44" s="761"/>
      <c r="F44" s="761"/>
      <c r="G44" s="761"/>
      <c r="H44" s="761"/>
      <c r="I44" s="761"/>
      <c r="J44" s="761"/>
      <c r="K44" s="761"/>
      <c r="L44" s="755">
        <f>P8</f>
        <v>0</v>
      </c>
      <c r="M44" s="755"/>
      <c r="N44" s="755"/>
      <c r="O44" s="207"/>
      <c r="P44" s="245">
        <f t="shared" ref="P44:P52" si="1">IF(AND(R44&gt;0,R44&lt;0.01),0.01,ROUND(R44,2))</f>
        <v>0</v>
      </c>
      <c r="R44" s="550">
        <f t="shared" ref="R44:R52" si="2">IF(O44&gt;0,L44*O44,L44)</f>
        <v>0</v>
      </c>
      <c r="S44" s="7"/>
      <c r="T44" s="389">
        <f t="shared" ref="T44:T52" si="3">P44</f>
        <v>0</v>
      </c>
      <c r="U44" s="365">
        <f>LARGE($T$43:$T$52,2)</f>
        <v>0</v>
      </c>
      <c r="V44" s="402">
        <f t="shared" ref="V44:V51" si="4">W43+U45*(1-W43)</f>
        <v>0</v>
      </c>
      <c r="W44" s="389">
        <f t="shared" si="0"/>
        <v>0</v>
      </c>
    </row>
    <row r="45" spans="1:23" ht="19.5" customHeight="1" x14ac:dyDescent="0.2">
      <c r="B45" s="761" t="s">
        <v>305</v>
      </c>
      <c r="C45" s="761"/>
      <c r="D45" s="761"/>
      <c r="E45" s="761"/>
      <c r="F45" s="761"/>
      <c r="G45" s="761"/>
      <c r="H45" s="761"/>
      <c r="I45" s="761"/>
      <c r="J45" s="761"/>
      <c r="K45" s="761"/>
      <c r="L45" s="755">
        <f>P11</f>
        <v>0</v>
      </c>
      <c r="M45" s="755"/>
      <c r="N45" s="755"/>
      <c r="O45" s="207"/>
      <c r="P45" s="245">
        <f t="shared" si="1"/>
        <v>0</v>
      </c>
      <c r="R45" s="550">
        <f t="shared" si="2"/>
        <v>0</v>
      </c>
      <c r="S45" s="7"/>
      <c r="T45" s="389">
        <f t="shared" si="3"/>
        <v>0</v>
      </c>
      <c r="U45" s="365">
        <f>LARGE($T$43:$T$52,3)</f>
        <v>0</v>
      </c>
      <c r="V45" s="402">
        <f t="shared" si="4"/>
        <v>0</v>
      </c>
      <c r="W45" s="389">
        <f t="shared" si="0"/>
        <v>0</v>
      </c>
    </row>
    <row r="46" spans="1:23" ht="19.5" customHeight="1" x14ac:dyDescent="0.2">
      <c r="B46" s="761" t="s">
        <v>306</v>
      </c>
      <c r="C46" s="761"/>
      <c r="D46" s="761"/>
      <c r="E46" s="761"/>
      <c r="F46" s="761"/>
      <c r="G46" s="761"/>
      <c r="H46" s="761"/>
      <c r="I46" s="761"/>
      <c r="J46" s="761"/>
      <c r="K46" s="761"/>
      <c r="L46" s="755">
        <f>P15</f>
        <v>0</v>
      </c>
      <c r="M46" s="755"/>
      <c r="N46" s="755"/>
      <c r="O46" s="207"/>
      <c r="P46" s="245">
        <f t="shared" si="1"/>
        <v>0</v>
      </c>
      <c r="R46" s="550">
        <f t="shared" si="2"/>
        <v>0</v>
      </c>
      <c r="S46" s="7"/>
      <c r="T46" s="389">
        <f t="shared" si="3"/>
        <v>0</v>
      </c>
      <c r="U46" s="365">
        <f>LARGE($T$43:$T$52,4)</f>
        <v>0</v>
      </c>
      <c r="V46" s="402">
        <f t="shared" si="4"/>
        <v>0</v>
      </c>
      <c r="W46" s="389">
        <f t="shared" si="0"/>
        <v>0</v>
      </c>
    </row>
    <row r="47" spans="1:23" ht="19.5" customHeight="1" x14ac:dyDescent="0.2">
      <c r="B47" s="761" t="s">
        <v>307</v>
      </c>
      <c r="C47" s="761"/>
      <c r="D47" s="761"/>
      <c r="E47" s="761"/>
      <c r="F47" s="761"/>
      <c r="G47" s="761"/>
      <c r="H47" s="761"/>
      <c r="I47" s="761"/>
      <c r="J47" s="761"/>
      <c r="K47" s="761"/>
      <c r="L47" s="755">
        <f>P18</f>
        <v>0</v>
      </c>
      <c r="M47" s="755"/>
      <c r="N47" s="755"/>
      <c r="O47" s="207"/>
      <c r="P47" s="245">
        <f t="shared" si="1"/>
        <v>0</v>
      </c>
      <c r="R47" s="550">
        <f t="shared" si="2"/>
        <v>0</v>
      </c>
      <c r="S47" s="7"/>
      <c r="T47" s="389">
        <f t="shared" si="3"/>
        <v>0</v>
      </c>
      <c r="U47" s="365">
        <f>LARGE($T$43:$T$52,5)</f>
        <v>0</v>
      </c>
      <c r="V47" s="402">
        <f t="shared" si="4"/>
        <v>0</v>
      </c>
      <c r="W47" s="389">
        <f t="shared" si="0"/>
        <v>0</v>
      </c>
    </row>
    <row r="48" spans="1:23" ht="19.5" customHeight="1" x14ac:dyDescent="0.2">
      <c r="B48" s="761" t="s">
        <v>308</v>
      </c>
      <c r="C48" s="761"/>
      <c r="D48" s="761"/>
      <c r="E48" s="761"/>
      <c r="F48" s="761"/>
      <c r="G48" s="761"/>
      <c r="H48" s="761"/>
      <c r="I48" s="761"/>
      <c r="J48" s="761"/>
      <c r="K48" s="761"/>
      <c r="L48" s="755">
        <f>P22</f>
        <v>0</v>
      </c>
      <c r="M48" s="755"/>
      <c r="N48" s="755"/>
      <c r="O48" s="207"/>
      <c r="P48" s="245">
        <f t="shared" si="1"/>
        <v>0</v>
      </c>
      <c r="R48" s="550">
        <f t="shared" si="2"/>
        <v>0</v>
      </c>
      <c r="S48" s="7"/>
      <c r="T48" s="389">
        <f t="shared" si="3"/>
        <v>0</v>
      </c>
      <c r="U48" s="365">
        <f>LARGE($T$43:$T$52,6)</f>
        <v>0</v>
      </c>
      <c r="V48" s="402">
        <f t="shared" si="4"/>
        <v>0</v>
      </c>
      <c r="W48" s="389">
        <f t="shared" si="0"/>
        <v>0</v>
      </c>
    </row>
    <row r="49" spans="2:23" ht="19.5" customHeight="1" x14ac:dyDescent="0.2">
      <c r="B49" s="761" t="s">
        <v>309</v>
      </c>
      <c r="C49" s="761"/>
      <c r="D49" s="761"/>
      <c r="E49" s="761"/>
      <c r="F49" s="761"/>
      <c r="G49" s="761"/>
      <c r="H49" s="761"/>
      <c r="I49" s="761"/>
      <c r="J49" s="761"/>
      <c r="K49" s="761"/>
      <c r="L49" s="755">
        <f>P26</f>
        <v>0</v>
      </c>
      <c r="M49" s="755"/>
      <c r="N49" s="755"/>
      <c r="O49" s="207"/>
      <c r="P49" s="245">
        <f t="shared" si="1"/>
        <v>0</v>
      </c>
      <c r="R49" s="550">
        <f t="shared" si="2"/>
        <v>0</v>
      </c>
      <c r="S49" s="7"/>
      <c r="T49" s="389">
        <f t="shared" si="3"/>
        <v>0</v>
      </c>
      <c r="U49" s="365">
        <f>LARGE($T$43:$T$52,7)</f>
        <v>0</v>
      </c>
      <c r="V49" s="402">
        <f t="shared" si="4"/>
        <v>0</v>
      </c>
      <c r="W49" s="389">
        <f t="shared" si="0"/>
        <v>0</v>
      </c>
    </row>
    <row r="50" spans="2:23" ht="19.5" customHeight="1" x14ac:dyDescent="0.2">
      <c r="B50" s="761" t="s">
        <v>310</v>
      </c>
      <c r="C50" s="761"/>
      <c r="D50" s="761"/>
      <c r="E50" s="761"/>
      <c r="F50" s="761"/>
      <c r="G50" s="761"/>
      <c r="H50" s="761"/>
      <c r="I50" s="761"/>
      <c r="J50" s="761"/>
      <c r="K50" s="761"/>
      <c r="L50" s="755">
        <f>P30</f>
        <v>0</v>
      </c>
      <c r="M50" s="755"/>
      <c r="N50" s="755"/>
      <c r="O50" s="207"/>
      <c r="P50" s="245">
        <f t="shared" si="1"/>
        <v>0</v>
      </c>
      <c r="R50" s="550">
        <f t="shared" si="2"/>
        <v>0</v>
      </c>
      <c r="S50" s="7"/>
      <c r="T50" s="389">
        <f t="shared" si="3"/>
        <v>0</v>
      </c>
      <c r="U50" s="365">
        <f>LARGE($T$43:$T$52,8)</f>
        <v>0</v>
      </c>
      <c r="V50" s="402">
        <f t="shared" si="4"/>
        <v>0</v>
      </c>
      <c r="W50" s="389">
        <f t="shared" si="0"/>
        <v>0</v>
      </c>
    </row>
    <row r="51" spans="2:23" ht="19.5" customHeight="1" x14ac:dyDescent="0.2">
      <c r="B51" s="761" t="s">
        <v>311</v>
      </c>
      <c r="C51" s="761"/>
      <c r="D51" s="761"/>
      <c r="E51" s="761"/>
      <c r="F51" s="761"/>
      <c r="G51" s="761"/>
      <c r="H51" s="761"/>
      <c r="I51" s="761"/>
      <c r="J51" s="761"/>
      <c r="K51" s="761"/>
      <c r="L51" s="755">
        <f>P35</f>
        <v>0</v>
      </c>
      <c r="M51" s="755"/>
      <c r="N51" s="755"/>
      <c r="O51" s="207"/>
      <c r="P51" s="245">
        <f t="shared" si="1"/>
        <v>0</v>
      </c>
      <c r="R51" s="550">
        <f t="shared" si="2"/>
        <v>0</v>
      </c>
      <c r="S51" s="7"/>
      <c r="T51" s="389">
        <f t="shared" si="3"/>
        <v>0</v>
      </c>
      <c r="U51" s="365">
        <f>LARGE($T$43:$T$52,9)</f>
        <v>0</v>
      </c>
      <c r="V51" s="402">
        <f t="shared" si="4"/>
        <v>0</v>
      </c>
      <c r="W51" s="389">
        <f t="shared" si="0"/>
        <v>0</v>
      </c>
    </row>
    <row r="52" spans="2:23" ht="19.5" customHeight="1" x14ac:dyDescent="0.2">
      <c r="B52" s="761" t="s">
        <v>313</v>
      </c>
      <c r="C52" s="761"/>
      <c r="D52" s="761"/>
      <c r="E52" s="761"/>
      <c r="F52" s="761"/>
      <c r="G52" s="761"/>
      <c r="H52" s="761"/>
      <c r="I52" s="761"/>
      <c r="J52" s="761"/>
      <c r="K52" s="761"/>
      <c r="L52" s="755">
        <f>P38</f>
        <v>0</v>
      </c>
      <c r="M52" s="755"/>
      <c r="N52" s="755"/>
      <c r="O52" s="207"/>
      <c r="P52" s="245">
        <f t="shared" si="1"/>
        <v>0</v>
      </c>
      <c r="R52" s="550">
        <f t="shared" si="2"/>
        <v>0</v>
      </c>
      <c r="S52" s="7"/>
      <c r="T52" s="389">
        <f t="shared" si="3"/>
        <v>0</v>
      </c>
      <c r="U52" s="365">
        <f>LARGE($T$43:$T$52,10)</f>
        <v>0</v>
      </c>
    </row>
    <row r="53" spans="2:23" ht="21" customHeight="1" x14ac:dyDescent="0.2">
      <c r="B53" s="353"/>
      <c r="C53" s="218"/>
      <c r="D53" s="218"/>
      <c r="E53" s="218"/>
      <c r="F53" s="218"/>
      <c r="G53" s="218"/>
      <c r="H53" s="218"/>
      <c r="I53" s="218"/>
      <c r="J53" s="317"/>
      <c r="K53" s="246" t="s">
        <v>1508</v>
      </c>
      <c r="L53" s="218"/>
      <c r="M53" s="218"/>
      <c r="N53" s="218"/>
      <c r="O53" s="219"/>
      <c r="P53" s="247">
        <f>W51</f>
        <v>0</v>
      </c>
    </row>
    <row r="54" spans="2:23" ht="30.75" customHeight="1" x14ac:dyDescent="0.25">
      <c r="B54" s="1037" t="s">
        <v>931</v>
      </c>
      <c r="C54" s="1037"/>
      <c r="D54" s="1037"/>
      <c r="E54" s="1037"/>
      <c r="F54" s="1037"/>
      <c r="G54" s="1037"/>
      <c r="H54" s="1037"/>
      <c r="I54" s="1037"/>
      <c r="J54" s="1037"/>
      <c r="K54" s="1037"/>
      <c r="L54" s="1037"/>
      <c r="M54" s="1037"/>
      <c r="N54" s="1037"/>
      <c r="O54" s="1037"/>
      <c r="P54" s="1037"/>
    </row>
    <row r="55" spans="2:23" x14ac:dyDescent="0.2">
      <c r="B55" s="587" t="s">
        <v>775</v>
      </c>
      <c r="C55" s="1650" t="str">
        <f>IF(U1&lt;&gt;"",U1,"")</f>
        <v>Go to PPD Worksheet</v>
      </c>
      <c r="D55" s="1650"/>
      <c r="E55" s="1650"/>
      <c r="F55" s="1650"/>
      <c r="G55" s="1650"/>
      <c r="H55" s="1650"/>
      <c r="I55" s="1464" t="str">
        <f>IF(T1&lt;&gt;"",T1,"")</f>
        <v/>
      </c>
      <c r="J55" s="1464"/>
      <c r="K55" s="1464"/>
      <c r="L55" s="1464"/>
      <c r="M55" s="1464"/>
      <c r="N55" s="1464"/>
    </row>
    <row r="59" spans="2:23" hidden="1" x14ac:dyDescent="0.2">
      <c r="B59" s="2">
        <v>0.01</v>
      </c>
      <c r="C59" s="2">
        <v>0.99</v>
      </c>
    </row>
  </sheetData>
  <sheetProtection sheet="1" objects="1" scenarios="1"/>
  <mergeCells count="96">
    <mergeCell ref="E1:K1"/>
    <mergeCell ref="M1:P1"/>
    <mergeCell ref="B54:P54"/>
    <mergeCell ref="C38:D40"/>
    <mergeCell ref="E38:O38"/>
    <mergeCell ref="P38:P40"/>
    <mergeCell ref="E39:O39"/>
    <mergeCell ref="E40:O40"/>
    <mergeCell ref="B43:K43"/>
    <mergeCell ref="L43:N43"/>
    <mergeCell ref="P35:P37"/>
    <mergeCell ref="E36:O36"/>
    <mergeCell ref="E37:O37"/>
    <mergeCell ref="B42:N42"/>
    <mergeCell ref="L44:N44"/>
    <mergeCell ref="B26:B29"/>
    <mergeCell ref="C26:D29"/>
    <mergeCell ref="E26:O26"/>
    <mergeCell ref="P26:P29"/>
    <mergeCell ref="E27:O27"/>
    <mergeCell ref="E28:O28"/>
    <mergeCell ref="E29:O29"/>
    <mergeCell ref="P22:P25"/>
    <mergeCell ref="E23:O23"/>
    <mergeCell ref="E24:O24"/>
    <mergeCell ref="E25:O25"/>
    <mergeCell ref="P18:P21"/>
    <mergeCell ref="E19:O19"/>
    <mergeCell ref="E20:O20"/>
    <mergeCell ref="E21:O21"/>
    <mergeCell ref="B18:B21"/>
    <mergeCell ref="C18:D21"/>
    <mergeCell ref="E18:O18"/>
    <mergeCell ref="B22:B25"/>
    <mergeCell ref="C22:D25"/>
    <mergeCell ref="E22:O22"/>
    <mergeCell ref="B2:P2"/>
    <mergeCell ref="B3:P3"/>
    <mergeCell ref="B4:B7"/>
    <mergeCell ref="C4:D7"/>
    <mergeCell ref="E4:O4"/>
    <mergeCell ref="P4:P7"/>
    <mergeCell ref="E5:O5"/>
    <mergeCell ref="E6:O6"/>
    <mergeCell ref="E7:O7"/>
    <mergeCell ref="B15:B17"/>
    <mergeCell ref="C15:D17"/>
    <mergeCell ref="P15:P17"/>
    <mergeCell ref="E11:O11"/>
    <mergeCell ref="E12:O12"/>
    <mergeCell ref="E13:O13"/>
    <mergeCell ref="E14:O14"/>
    <mergeCell ref="E16:O16"/>
    <mergeCell ref="E17:O17"/>
    <mergeCell ref="E15:O15"/>
    <mergeCell ref="B11:B14"/>
    <mergeCell ref="P8:P10"/>
    <mergeCell ref="E9:O9"/>
    <mergeCell ref="E10:O10"/>
    <mergeCell ref="B8:B9"/>
    <mergeCell ref="C11:D14"/>
    <mergeCell ref="P11:P14"/>
    <mergeCell ref="C8:D10"/>
    <mergeCell ref="E8:O8"/>
    <mergeCell ref="B46:K46"/>
    <mergeCell ref="L46:N46"/>
    <mergeCell ref="B47:K47"/>
    <mergeCell ref="L47:N47"/>
    <mergeCell ref="B48:K48"/>
    <mergeCell ref="L48:N48"/>
    <mergeCell ref="C55:H55"/>
    <mergeCell ref="I55:N55"/>
    <mergeCell ref="B49:K49"/>
    <mergeCell ref="L49:N49"/>
    <mergeCell ref="B52:K52"/>
    <mergeCell ref="L52:N52"/>
    <mergeCell ref="B50:K50"/>
    <mergeCell ref="L50:N50"/>
    <mergeCell ref="B51:K51"/>
    <mergeCell ref="L51:N51"/>
    <mergeCell ref="E33:O33"/>
    <mergeCell ref="B45:K45"/>
    <mergeCell ref="L45:N45"/>
    <mergeCell ref="B35:B36"/>
    <mergeCell ref="B38:B39"/>
    <mergeCell ref="A41:P41"/>
    <mergeCell ref="C30:D34"/>
    <mergeCell ref="E30:O30"/>
    <mergeCell ref="E31:O31"/>
    <mergeCell ref="E32:O32"/>
    <mergeCell ref="B44:K44"/>
    <mergeCell ref="E34:O34"/>
    <mergeCell ref="P30:P34"/>
    <mergeCell ref="C35:D37"/>
    <mergeCell ref="E35:O35"/>
    <mergeCell ref="B30:B32"/>
  </mergeCells>
  <phoneticPr fontId="0" type="noConversion"/>
  <dataValidations xWindow="910" yWindow="577" count="2">
    <dataValidation type="decimal" allowBlank="1" showInputMessage="1" showErrorMessage="1" promptTitle="Apportionment (if any)" prompt="Enter percentage of impairment caused by the injury or illness. See OAR 436-035-0013." sqref="O43:O51" xr:uid="{00000000-0002-0000-1900-000000000000}">
      <formula1>$B$59</formula1>
      <formula2>$C$59</formula2>
    </dataValidation>
    <dataValidation type="decimal" allowBlank="1" showInputMessage="1" showErrorMessage="1" promptTitle="Apportionment (if any)" prompt="Loss of gonad(s) cannot be apportioned, only alteration of function. Enter percentage of impairment caused by the injury or illness. See OAR 436-035-0013." sqref="O52" xr:uid="{00000000-0002-0000-1900-000001000000}">
      <formula1>$B$59</formula1>
      <formula2>$C$59</formula2>
    </dataValidation>
  </dataValidations>
  <hyperlinks>
    <hyperlink ref="B55" location="Endocrine!A1" display="Return to top of sheet" xr:uid="{00000000-0004-0000-1900-000000000000}"/>
    <hyperlink ref="I55:N55" location="'PPD DOI on or after 2005'!A1" display="'PPD DOI on or after 2005'!A1" xr:uid="{00000000-0004-0000-1900-000001000000}"/>
    <hyperlink ref="C55:H55" location="'PPD DOI before 2005'!A1" display="'PPD DOI before 2005'!A1" xr:uid="{00000000-0004-0000-1900-000002000000}"/>
  </hyperlinks>
  <pageMargins left="0.75" right="0.75" top="0.8" bottom="0.91" header="0.5" footer="0.5"/>
  <pageSetup orientation="portrait" horizontalDpi="300" verticalDpi="300" r:id="rId1"/>
  <headerFooter alignWithMargins="0">
    <oddFooter>&amp;LEndocrine impairment&amp;CPage &amp;P</oddFooter>
  </headerFooter>
  <rowBreaks count="1" manualBreakCount="1">
    <brk id="4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Group Box 1">
              <controlPr defaultSize="0" autoFill="0" autoPict="0">
                <anchor moveWithCells="1">
                  <from>
                    <xdr:col>2</xdr:col>
                    <xdr:colOff>0</xdr:colOff>
                    <xdr:row>3</xdr:row>
                    <xdr:rowOff>0</xdr:rowOff>
                  </from>
                  <to>
                    <xdr:col>14</xdr:col>
                    <xdr:colOff>819150</xdr:colOff>
                    <xdr:row>7</xdr:row>
                    <xdr:rowOff>0</xdr:rowOff>
                  </to>
                </anchor>
              </controlPr>
            </control>
          </mc:Choice>
        </mc:AlternateContent>
        <mc:AlternateContent xmlns:mc="http://schemas.openxmlformats.org/markup-compatibility/2006">
          <mc:Choice Requires="x14">
            <control shapeId="27650" r:id="rId5" name="Option Button 2">
              <controlPr defaultSize="0" autoFill="0" autoLine="0" autoPict="0">
                <anchor moveWithCells="1">
                  <from>
                    <xdr:col>2</xdr:col>
                    <xdr:colOff>47625</xdr:colOff>
                    <xdr:row>3</xdr:row>
                    <xdr:rowOff>38100</xdr:rowOff>
                  </from>
                  <to>
                    <xdr:col>4</xdr:col>
                    <xdr:colOff>28575</xdr:colOff>
                    <xdr:row>3</xdr:row>
                    <xdr:rowOff>257175</xdr:rowOff>
                  </to>
                </anchor>
              </controlPr>
            </control>
          </mc:Choice>
        </mc:AlternateContent>
        <mc:AlternateContent xmlns:mc="http://schemas.openxmlformats.org/markup-compatibility/2006">
          <mc:Choice Requires="x14">
            <control shapeId="27651" r:id="rId6" name="Option Button 3">
              <controlPr defaultSize="0" autoFill="0" autoLine="0" autoPict="0">
                <anchor moveWithCells="1">
                  <from>
                    <xdr:col>2</xdr:col>
                    <xdr:colOff>47625</xdr:colOff>
                    <xdr:row>4</xdr:row>
                    <xdr:rowOff>47625</xdr:rowOff>
                  </from>
                  <to>
                    <xdr:col>4</xdr:col>
                    <xdr:colOff>28575</xdr:colOff>
                    <xdr:row>4</xdr:row>
                    <xdr:rowOff>266700</xdr:rowOff>
                  </to>
                </anchor>
              </controlPr>
            </control>
          </mc:Choice>
        </mc:AlternateContent>
        <mc:AlternateContent xmlns:mc="http://schemas.openxmlformats.org/markup-compatibility/2006">
          <mc:Choice Requires="x14">
            <control shapeId="27652" r:id="rId7" name="Option Button 4">
              <controlPr defaultSize="0" autoFill="0" autoLine="0" autoPict="0">
                <anchor moveWithCells="1">
                  <from>
                    <xdr:col>2</xdr:col>
                    <xdr:colOff>47625</xdr:colOff>
                    <xdr:row>5</xdr:row>
                    <xdr:rowOff>47625</xdr:rowOff>
                  </from>
                  <to>
                    <xdr:col>4</xdr:col>
                    <xdr:colOff>28575</xdr:colOff>
                    <xdr:row>5</xdr:row>
                    <xdr:rowOff>266700</xdr:rowOff>
                  </to>
                </anchor>
              </controlPr>
            </control>
          </mc:Choice>
        </mc:AlternateContent>
        <mc:AlternateContent xmlns:mc="http://schemas.openxmlformats.org/markup-compatibility/2006">
          <mc:Choice Requires="x14">
            <control shapeId="27653" r:id="rId8" name="Option Button 5">
              <controlPr defaultSize="0" autoFill="0" autoLine="0" autoPict="0">
                <anchor moveWithCells="1">
                  <from>
                    <xdr:col>2</xdr:col>
                    <xdr:colOff>47625</xdr:colOff>
                    <xdr:row>6</xdr:row>
                    <xdr:rowOff>47625</xdr:rowOff>
                  </from>
                  <to>
                    <xdr:col>4</xdr:col>
                    <xdr:colOff>28575</xdr:colOff>
                    <xdr:row>6</xdr:row>
                    <xdr:rowOff>266700</xdr:rowOff>
                  </to>
                </anchor>
              </controlPr>
            </control>
          </mc:Choice>
        </mc:AlternateContent>
        <mc:AlternateContent xmlns:mc="http://schemas.openxmlformats.org/markup-compatibility/2006">
          <mc:Choice Requires="x14">
            <control shapeId="27654" r:id="rId9" name="Group Box 6">
              <controlPr defaultSize="0" autoFill="0" autoPict="0">
                <anchor moveWithCells="1">
                  <from>
                    <xdr:col>2</xdr:col>
                    <xdr:colOff>0</xdr:colOff>
                    <xdr:row>7</xdr:row>
                    <xdr:rowOff>0</xdr:rowOff>
                  </from>
                  <to>
                    <xdr:col>14</xdr:col>
                    <xdr:colOff>819150</xdr:colOff>
                    <xdr:row>10</xdr:row>
                    <xdr:rowOff>0</xdr:rowOff>
                  </to>
                </anchor>
              </controlPr>
            </control>
          </mc:Choice>
        </mc:AlternateContent>
        <mc:AlternateContent xmlns:mc="http://schemas.openxmlformats.org/markup-compatibility/2006">
          <mc:Choice Requires="x14">
            <control shapeId="27655" r:id="rId10" name="Option Button 7">
              <controlPr defaultSize="0" autoFill="0" autoLine="0" autoPict="0">
                <anchor moveWithCells="1">
                  <from>
                    <xdr:col>2</xdr:col>
                    <xdr:colOff>57150</xdr:colOff>
                    <xdr:row>7</xdr:row>
                    <xdr:rowOff>47625</xdr:rowOff>
                  </from>
                  <to>
                    <xdr:col>4</xdr:col>
                    <xdr:colOff>38100</xdr:colOff>
                    <xdr:row>8</xdr:row>
                    <xdr:rowOff>0</xdr:rowOff>
                  </to>
                </anchor>
              </controlPr>
            </control>
          </mc:Choice>
        </mc:AlternateContent>
        <mc:AlternateContent xmlns:mc="http://schemas.openxmlformats.org/markup-compatibility/2006">
          <mc:Choice Requires="x14">
            <control shapeId="27656" r:id="rId11" name="Option Button 8">
              <controlPr defaultSize="0" autoFill="0" autoLine="0" autoPict="0">
                <anchor moveWithCells="1">
                  <from>
                    <xdr:col>2</xdr:col>
                    <xdr:colOff>57150</xdr:colOff>
                    <xdr:row>8</xdr:row>
                    <xdr:rowOff>323850</xdr:rowOff>
                  </from>
                  <to>
                    <xdr:col>4</xdr:col>
                    <xdr:colOff>38100</xdr:colOff>
                    <xdr:row>8</xdr:row>
                    <xdr:rowOff>542925</xdr:rowOff>
                  </to>
                </anchor>
              </controlPr>
            </control>
          </mc:Choice>
        </mc:AlternateContent>
        <mc:AlternateContent xmlns:mc="http://schemas.openxmlformats.org/markup-compatibility/2006">
          <mc:Choice Requires="x14">
            <control shapeId="27657" r:id="rId12" name="Option Button 9">
              <controlPr defaultSize="0" autoFill="0" autoLine="0" autoPict="0">
                <anchor moveWithCells="1">
                  <from>
                    <xdr:col>2</xdr:col>
                    <xdr:colOff>57150</xdr:colOff>
                    <xdr:row>9</xdr:row>
                    <xdr:rowOff>400050</xdr:rowOff>
                  </from>
                  <to>
                    <xdr:col>4</xdr:col>
                    <xdr:colOff>38100</xdr:colOff>
                    <xdr:row>9</xdr:row>
                    <xdr:rowOff>619125</xdr:rowOff>
                  </to>
                </anchor>
              </controlPr>
            </control>
          </mc:Choice>
        </mc:AlternateContent>
        <mc:AlternateContent xmlns:mc="http://schemas.openxmlformats.org/markup-compatibility/2006">
          <mc:Choice Requires="x14">
            <control shapeId="27658" r:id="rId13" name="Group Box 10">
              <controlPr defaultSize="0" autoFill="0" autoPict="0">
                <anchor moveWithCells="1">
                  <from>
                    <xdr:col>2</xdr:col>
                    <xdr:colOff>0</xdr:colOff>
                    <xdr:row>10</xdr:row>
                    <xdr:rowOff>0</xdr:rowOff>
                  </from>
                  <to>
                    <xdr:col>14</xdr:col>
                    <xdr:colOff>819150</xdr:colOff>
                    <xdr:row>13</xdr:row>
                    <xdr:rowOff>333375</xdr:rowOff>
                  </to>
                </anchor>
              </controlPr>
            </control>
          </mc:Choice>
        </mc:AlternateContent>
        <mc:AlternateContent xmlns:mc="http://schemas.openxmlformats.org/markup-compatibility/2006">
          <mc:Choice Requires="x14">
            <control shapeId="27659" r:id="rId14" name="Option Button 11">
              <controlPr defaultSize="0" autoFill="0" autoLine="0" autoPict="0">
                <anchor moveWithCells="1">
                  <from>
                    <xdr:col>2</xdr:col>
                    <xdr:colOff>66675</xdr:colOff>
                    <xdr:row>10</xdr:row>
                    <xdr:rowOff>38100</xdr:rowOff>
                  </from>
                  <to>
                    <xdr:col>4</xdr:col>
                    <xdr:colOff>47625</xdr:colOff>
                    <xdr:row>10</xdr:row>
                    <xdr:rowOff>257175</xdr:rowOff>
                  </to>
                </anchor>
              </controlPr>
            </control>
          </mc:Choice>
        </mc:AlternateContent>
        <mc:AlternateContent xmlns:mc="http://schemas.openxmlformats.org/markup-compatibility/2006">
          <mc:Choice Requires="x14">
            <control shapeId="27660" r:id="rId15" name="Option Button 12">
              <controlPr defaultSize="0" autoFill="0" autoLine="0" autoPict="0">
                <anchor moveWithCells="1">
                  <from>
                    <xdr:col>2</xdr:col>
                    <xdr:colOff>66675</xdr:colOff>
                    <xdr:row>11</xdr:row>
                    <xdr:rowOff>28575</xdr:rowOff>
                  </from>
                  <to>
                    <xdr:col>4</xdr:col>
                    <xdr:colOff>47625</xdr:colOff>
                    <xdr:row>11</xdr:row>
                    <xdr:rowOff>247650</xdr:rowOff>
                  </to>
                </anchor>
              </controlPr>
            </control>
          </mc:Choice>
        </mc:AlternateContent>
        <mc:AlternateContent xmlns:mc="http://schemas.openxmlformats.org/markup-compatibility/2006">
          <mc:Choice Requires="x14">
            <control shapeId="27661" r:id="rId16" name="Option Button 13">
              <controlPr defaultSize="0" autoFill="0" autoLine="0" autoPict="0">
                <anchor moveWithCells="1">
                  <from>
                    <xdr:col>2</xdr:col>
                    <xdr:colOff>66675</xdr:colOff>
                    <xdr:row>12</xdr:row>
                    <xdr:rowOff>66675</xdr:rowOff>
                  </from>
                  <to>
                    <xdr:col>4</xdr:col>
                    <xdr:colOff>47625</xdr:colOff>
                    <xdr:row>12</xdr:row>
                    <xdr:rowOff>285750</xdr:rowOff>
                  </to>
                </anchor>
              </controlPr>
            </control>
          </mc:Choice>
        </mc:AlternateContent>
        <mc:AlternateContent xmlns:mc="http://schemas.openxmlformats.org/markup-compatibility/2006">
          <mc:Choice Requires="x14">
            <control shapeId="27662" r:id="rId17" name="Option Button 14">
              <controlPr defaultSize="0" autoFill="0" autoLine="0" autoPict="0">
                <anchor moveWithCells="1">
                  <from>
                    <xdr:col>2</xdr:col>
                    <xdr:colOff>66675</xdr:colOff>
                    <xdr:row>13</xdr:row>
                    <xdr:rowOff>9525</xdr:rowOff>
                  </from>
                  <to>
                    <xdr:col>4</xdr:col>
                    <xdr:colOff>47625</xdr:colOff>
                    <xdr:row>13</xdr:row>
                    <xdr:rowOff>228600</xdr:rowOff>
                  </to>
                </anchor>
              </controlPr>
            </control>
          </mc:Choice>
        </mc:AlternateContent>
        <mc:AlternateContent xmlns:mc="http://schemas.openxmlformats.org/markup-compatibility/2006">
          <mc:Choice Requires="x14">
            <control shapeId="27663" r:id="rId18" name="Group Box 15">
              <controlPr defaultSize="0" autoFill="0" autoPict="0">
                <anchor moveWithCells="1">
                  <from>
                    <xdr:col>2</xdr:col>
                    <xdr:colOff>0</xdr:colOff>
                    <xdr:row>14</xdr:row>
                    <xdr:rowOff>9525</xdr:rowOff>
                  </from>
                  <to>
                    <xdr:col>14</xdr:col>
                    <xdr:colOff>819150</xdr:colOff>
                    <xdr:row>17</xdr:row>
                    <xdr:rowOff>9525</xdr:rowOff>
                  </to>
                </anchor>
              </controlPr>
            </control>
          </mc:Choice>
        </mc:AlternateContent>
        <mc:AlternateContent xmlns:mc="http://schemas.openxmlformats.org/markup-compatibility/2006">
          <mc:Choice Requires="x14">
            <control shapeId="27664" r:id="rId19" name="Option Button 16">
              <controlPr defaultSize="0" autoFill="0" autoLine="0" autoPict="0">
                <anchor moveWithCells="1">
                  <from>
                    <xdr:col>2</xdr:col>
                    <xdr:colOff>57150</xdr:colOff>
                    <xdr:row>14</xdr:row>
                    <xdr:rowOff>57150</xdr:rowOff>
                  </from>
                  <to>
                    <xdr:col>4</xdr:col>
                    <xdr:colOff>38100</xdr:colOff>
                    <xdr:row>15</xdr:row>
                    <xdr:rowOff>9525</xdr:rowOff>
                  </to>
                </anchor>
              </controlPr>
            </control>
          </mc:Choice>
        </mc:AlternateContent>
        <mc:AlternateContent xmlns:mc="http://schemas.openxmlformats.org/markup-compatibility/2006">
          <mc:Choice Requires="x14">
            <control shapeId="27665" r:id="rId20" name="Option Button 17">
              <controlPr defaultSize="0" autoFill="0" autoLine="0" autoPict="0">
                <anchor moveWithCells="1">
                  <from>
                    <xdr:col>2</xdr:col>
                    <xdr:colOff>57150</xdr:colOff>
                    <xdr:row>15</xdr:row>
                    <xdr:rowOff>47625</xdr:rowOff>
                  </from>
                  <to>
                    <xdr:col>4</xdr:col>
                    <xdr:colOff>38100</xdr:colOff>
                    <xdr:row>16</xdr:row>
                    <xdr:rowOff>0</xdr:rowOff>
                  </to>
                </anchor>
              </controlPr>
            </control>
          </mc:Choice>
        </mc:AlternateContent>
        <mc:AlternateContent xmlns:mc="http://schemas.openxmlformats.org/markup-compatibility/2006">
          <mc:Choice Requires="x14">
            <control shapeId="27666" r:id="rId21" name="Option Button 18">
              <controlPr defaultSize="0" autoFill="0" autoLine="0" autoPict="0">
                <anchor moveWithCells="1">
                  <from>
                    <xdr:col>2</xdr:col>
                    <xdr:colOff>57150</xdr:colOff>
                    <xdr:row>16</xdr:row>
                    <xdr:rowOff>38100</xdr:rowOff>
                  </from>
                  <to>
                    <xdr:col>4</xdr:col>
                    <xdr:colOff>38100</xdr:colOff>
                    <xdr:row>16</xdr:row>
                    <xdr:rowOff>257175</xdr:rowOff>
                  </to>
                </anchor>
              </controlPr>
            </control>
          </mc:Choice>
        </mc:AlternateContent>
        <mc:AlternateContent xmlns:mc="http://schemas.openxmlformats.org/markup-compatibility/2006">
          <mc:Choice Requires="x14">
            <control shapeId="27667" r:id="rId22" name="Group Box 19">
              <controlPr defaultSize="0" autoFill="0" autoPict="0">
                <anchor moveWithCells="1">
                  <from>
                    <xdr:col>2</xdr:col>
                    <xdr:colOff>0</xdr:colOff>
                    <xdr:row>17</xdr:row>
                    <xdr:rowOff>9525</xdr:rowOff>
                  </from>
                  <to>
                    <xdr:col>14</xdr:col>
                    <xdr:colOff>819150</xdr:colOff>
                    <xdr:row>20</xdr:row>
                    <xdr:rowOff>333375</xdr:rowOff>
                  </to>
                </anchor>
              </controlPr>
            </control>
          </mc:Choice>
        </mc:AlternateContent>
        <mc:AlternateContent xmlns:mc="http://schemas.openxmlformats.org/markup-compatibility/2006">
          <mc:Choice Requires="x14">
            <control shapeId="27668" r:id="rId23" name="Option Button 20">
              <controlPr defaultSize="0" autoFill="0" autoLine="0" autoPict="0">
                <anchor moveWithCells="1">
                  <from>
                    <xdr:col>2</xdr:col>
                    <xdr:colOff>47625</xdr:colOff>
                    <xdr:row>17</xdr:row>
                    <xdr:rowOff>57150</xdr:rowOff>
                  </from>
                  <to>
                    <xdr:col>4</xdr:col>
                    <xdr:colOff>28575</xdr:colOff>
                    <xdr:row>18</xdr:row>
                    <xdr:rowOff>19050</xdr:rowOff>
                  </to>
                </anchor>
              </controlPr>
            </control>
          </mc:Choice>
        </mc:AlternateContent>
        <mc:AlternateContent xmlns:mc="http://schemas.openxmlformats.org/markup-compatibility/2006">
          <mc:Choice Requires="x14">
            <control shapeId="27669" r:id="rId24" name="Option Button 21">
              <controlPr defaultSize="0" autoFill="0" autoLine="0" autoPict="0">
                <anchor moveWithCells="1">
                  <from>
                    <xdr:col>2</xdr:col>
                    <xdr:colOff>47625</xdr:colOff>
                    <xdr:row>18</xdr:row>
                    <xdr:rowOff>47625</xdr:rowOff>
                  </from>
                  <to>
                    <xdr:col>4</xdr:col>
                    <xdr:colOff>28575</xdr:colOff>
                    <xdr:row>18</xdr:row>
                    <xdr:rowOff>266700</xdr:rowOff>
                  </to>
                </anchor>
              </controlPr>
            </control>
          </mc:Choice>
        </mc:AlternateContent>
        <mc:AlternateContent xmlns:mc="http://schemas.openxmlformats.org/markup-compatibility/2006">
          <mc:Choice Requires="x14">
            <control shapeId="27670" r:id="rId25" name="Option Button 22">
              <controlPr defaultSize="0" autoFill="0" autoLine="0" autoPict="0">
                <anchor moveWithCells="1">
                  <from>
                    <xdr:col>2</xdr:col>
                    <xdr:colOff>47625</xdr:colOff>
                    <xdr:row>19</xdr:row>
                    <xdr:rowOff>76200</xdr:rowOff>
                  </from>
                  <to>
                    <xdr:col>4</xdr:col>
                    <xdr:colOff>28575</xdr:colOff>
                    <xdr:row>19</xdr:row>
                    <xdr:rowOff>295275</xdr:rowOff>
                  </to>
                </anchor>
              </controlPr>
            </control>
          </mc:Choice>
        </mc:AlternateContent>
        <mc:AlternateContent xmlns:mc="http://schemas.openxmlformats.org/markup-compatibility/2006">
          <mc:Choice Requires="x14">
            <control shapeId="27671" r:id="rId26" name="Option Button 23">
              <controlPr defaultSize="0" autoFill="0" autoLine="0" autoPict="0">
                <anchor moveWithCells="1">
                  <from>
                    <xdr:col>2</xdr:col>
                    <xdr:colOff>47625</xdr:colOff>
                    <xdr:row>20</xdr:row>
                    <xdr:rowOff>76200</xdr:rowOff>
                  </from>
                  <to>
                    <xdr:col>4</xdr:col>
                    <xdr:colOff>28575</xdr:colOff>
                    <xdr:row>20</xdr:row>
                    <xdr:rowOff>295275</xdr:rowOff>
                  </to>
                </anchor>
              </controlPr>
            </control>
          </mc:Choice>
        </mc:AlternateContent>
        <mc:AlternateContent xmlns:mc="http://schemas.openxmlformats.org/markup-compatibility/2006">
          <mc:Choice Requires="x14">
            <control shapeId="27672" r:id="rId27" name="Group Box 24">
              <controlPr defaultSize="0" autoFill="0" autoPict="0">
                <anchor moveWithCells="1">
                  <from>
                    <xdr:col>2</xdr:col>
                    <xdr:colOff>0</xdr:colOff>
                    <xdr:row>21</xdr:row>
                    <xdr:rowOff>19050</xdr:rowOff>
                  </from>
                  <to>
                    <xdr:col>14</xdr:col>
                    <xdr:colOff>819150</xdr:colOff>
                    <xdr:row>25</xdr:row>
                    <xdr:rowOff>19050</xdr:rowOff>
                  </to>
                </anchor>
              </controlPr>
            </control>
          </mc:Choice>
        </mc:AlternateContent>
        <mc:AlternateContent xmlns:mc="http://schemas.openxmlformats.org/markup-compatibility/2006">
          <mc:Choice Requires="x14">
            <control shapeId="27673" r:id="rId28" name="Option Button 25">
              <controlPr defaultSize="0" autoFill="0" autoLine="0" autoPict="0">
                <anchor moveWithCells="1">
                  <from>
                    <xdr:col>2</xdr:col>
                    <xdr:colOff>57150</xdr:colOff>
                    <xdr:row>21</xdr:row>
                    <xdr:rowOff>66675</xdr:rowOff>
                  </from>
                  <to>
                    <xdr:col>4</xdr:col>
                    <xdr:colOff>38100</xdr:colOff>
                    <xdr:row>22</xdr:row>
                    <xdr:rowOff>19050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57150</xdr:colOff>
                    <xdr:row>22</xdr:row>
                    <xdr:rowOff>76200</xdr:rowOff>
                  </from>
                  <to>
                    <xdr:col>4</xdr:col>
                    <xdr:colOff>38100</xdr:colOff>
                    <xdr:row>22</xdr:row>
                    <xdr:rowOff>295275</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57150</xdr:colOff>
                    <xdr:row>23</xdr:row>
                    <xdr:rowOff>57150</xdr:rowOff>
                  </from>
                  <to>
                    <xdr:col>4</xdr:col>
                    <xdr:colOff>38100</xdr:colOff>
                    <xdr:row>23</xdr:row>
                    <xdr:rowOff>276225</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57150</xdr:colOff>
                    <xdr:row>24</xdr:row>
                    <xdr:rowOff>28575</xdr:rowOff>
                  </from>
                  <to>
                    <xdr:col>4</xdr:col>
                    <xdr:colOff>38100</xdr:colOff>
                    <xdr:row>24</xdr:row>
                    <xdr:rowOff>247650</xdr:rowOff>
                  </to>
                </anchor>
              </controlPr>
            </control>
          </mc:Choice>
        </mc:AlternateContent>
        <mc:AlternateContent xmlns:mc="http://schemas.openxmlformats.org/markup-compatibility/2006">
          <mc:Choice Requires="x14">
            <control shapeId="27677" r:id="rId32" name="Group Box 29">
              <controlPr defaultSize="0" autoFill="0" autoPict="0">
                <anchor moveWithCells="1">
                  <from>
                    <xdr:col>2</xdr:col>
                    <xdr:colOff>0</xdr:colOff>
                    <xdr:row>25</xdr:row>
                    <xdr:rowOff>19050</xdr:rowOff>
                  </from>
                  <to>
                    <xdr:col>14</xdr:col>
                    <xdr:colOff>819150</xdr:colOff>
                    <xdr:row>29</xdr:row>
                    <xdr:rowOff>19050</xdr:rowOff>
                  </to>
                </anchor>
              </controlPr>
            </control>
          </mc:Choice>
        </mc:AlternateContent>
        <mc:AlternateContent xmlns:mc="http://schemas.openxmlformats.org/markup-compatibility/2006">
          <mc:Choice Requires="x14">
            <control shapeId="27678" r:id="rId33" name="Option Button 30">
              <controlPr defaultSize="0" autoFill="0" autoLine="0" autoPict="0">
                <anchor moveWithCells="1">
                  <from>
                    <xdr:col>2</xdr:col>
                    <xdr:colOff>57150</xdr:colOff>
                    <xdr:row>25</xdr:row>
                    <xdr:rowOff>57150</xdr:rowOff>
                  </from>
                  <to>
                    <xdr:col>4</xdr:col>
                    <xdr:colOff>38100</xdr:colOff>
                    <xdr:row>26</xdr:row>
                    <xdr:rowOff>9525</xdr:rowOff>
                  </to>
                </anchor>
              </controlPr>
            </control>
          </mc:Choice>
        </mc:AlternateContent>
        <mc:AlternateContent xmlns:mc="http://schemas.openxmlformats.org/markup-compatibility/2006">
          <mc:Choice Requires="x14">
            <control shapeId="27679" r:id="rId34" name="Option Button 31">
              <controlPr defaultSize="0" autoFill="0" autoLine="0" autoPict="0">
                <anchor moveWithCells="1">
                  <from>
                    <xdr:col>2</xdr:col>
                    <xdr:colOff>57150</xdr:colOff>
                    <xdr:row>26</xdr:row>
                    <xdr:rowOff>66675</xdr:rowOff>
                  </from>
                  <to>
                    <xdr:col>4</xdr:col>
                    <xdr:colOff>38100</xdr:colOff>
                    <xdr:row>26</xdr:row>
                    <xdr:rowOff>285750</xdr:rowOff>
                  </to>
                </anchor>
              </controlPr>
            </control>
          </mc:Choice>
        </mc:AlternateContent>
        <mc:AlternateContent xmlns:mc="http://schemas.openxmlformats.org/markup-compatibility/2006">
          <mc:Choice Requires="x14">
            <control shapeId="27680" r:id="rId35" name="Option Button 32">
              <controlPr defaultSize="0" autoFill="0" autoLine="0" autoPict="0">
                <anchor moveWithCells="1">
                  <from>
                    <xdr:col>2</xdr:col>
                    <xdr:colOff>57150</xdr:colOff>
                    <xdr:row>27</xdr:row>
                    <xdr:rowOff>66675</xdr:rowOff>
                  </from>
                  <to>
                    <xdr:col>4</xdr:col>
                    <xdr:colOff>38100</xdr:colOff>
                    <xdr:row>27</xdr:row>
                    <xdr:rowOff>285750</xdr:rowOff>
                  </to>
                </anchor>
              </controlPr>
            </control>
          </mc:Choice>
        </mc:AlternateContent>
        <mc:AlternateContent xmlns:mc="http://schemas.openxmlformats.org/markup-compatibility/2006">
          <mc:Choice Requires="x14">
            <control shapeId="27681" r:id="rId36" name="Option Button 33">
              <controlPr defaultSize="0" autoFill="0" autoLine="0" autoPict="0">
                <anchor moveWithCells="1">
                  <from>
                    <xdr:col>2</xdr:col>
                    <xdr:colOff>57150</xdr:colOff>
                    <xdr:row>28</xdr:row>
                    <xdr:rowOff>47625</xdr:rowOff>
                  </from>
                  <to>
                    <xdr:col>4</xdr:col>
                    <xdr:colOff>38100</xdr:colOff>
                    <xdr:row>28</xdr:row>
                    <xdr:rowOff>266700</xdr:rowOff>
                  </to>
                </anchor>
              </controlPr>
            </control>
          </mc:Choice>
        </mc:AlternateContent>
        <mc:AlternateContent xmlns:mc="http://schemas.openxmlformats.org/markup-compatibility/2006">
          <mc:Choice Requires="x14">
            <control shapeId="27682" r:id="rId37" name="Group Box 34">
              <controlPr defaultSize="0" autoFill="0" autoPict="0">
                <anchor moveWithCells="1">
                  <from>
                    <xdr:col>2</xdr:col>
                    <xdr:colOff>0</xdr:colOff>
                    <xdr:row>29</xdr:row>
                    <xdr:rowOff>19050</xdr:rowOff>
                  </from>
                  <to>
                    <xdr:col>14</xdr:col>
                    <xdr:colOff>819150</xdr:colOff>
                    <xdr:row>34</xdr:row>
                    <xdr:rowOff>9525</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57150</xdr:colOff>
                    <xdr:row>29</xdr:row>
                    <xdr:rowOff>57150</xdr:rowOff>
                  </from>
                  <to>
                    <xdr:col>4</xdr:col>
                    <xdr:colOff>38100</xdr:colOff>
                    <xdr:row>30</xdr:row>
                    <xdr:rowOff>9525</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57150</xdr:colOff>
                    <xdr:row>30</xdr:row>
                    <xdr:rowOff>247650</xdr:rowOff>
                  </from>
                  <to>
                    <xdr:col>4</xdr:col>
                    <xdr:colOff>38100</xdr:colOff>
                    <xdr:row>30</xdr:row>
                    <xdr:rowOff>466725</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57150</xdr:colOff>
                    <xdr:row>31</xdr:row>
                    <xdr:rowOff>200025</xdr:rowOff>
                  </from>
                  <to>
                    <xdr:col>4</xdr:col>
                    <xdr:colOff>38100</xdr:colOff>
                    <xdr:row>31</xdr:row>
                    <xdr:rowOff>419100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57150</xdr:colOff>
                    <xdr:row>32</xdr:row>
                    <xdr:rowOff>66675</xdr:rowOff>
                  </from>
                  <to>
                    <xdr:col>4</xdr:col>
                    <xdr:colOff>38100</xdr:colOff>
                    <xdr:row>32</xdr:row>
                    <xdr:rowOff>285750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57150</xdr:colOff>
                    <xdr:row>33</xdr:row>
                    <xdr:rowOff>266700</xdr:rowOff>
                  </from>
                  <to>
                    <xdr:col>4</xdr:col>
                    <xdr:colOff>38100</xdr:colOff>
                    <xdr:row>33</xdr:row>
                    <xdr:rowOff>485775</xdr:rowOff>
                  </to>
                </anchor>
              </controlPr>
            </control>
          </mc:Choice>
        </mc:AlternateContent>
        <mc:AlternateContent xmlns:mc="http://schemas.openxmlformats.org/markup-compatibility/2006">
          <mc:Choice Requires="x14">
            <control shapeId="27688" r:id="rId43" name="Group Box 40">
              <controlPr defaultSize="0" autoFill="0" autoPict="0">
                <anchor moveWithCells="1">
                  <from>
                    <xdr:col>2</xdr:col>
                    <xdr:colOff>0</xdr:colOff>
                    <xdr:row>37</xdr:row>
                    <xdr:rowOff>28575</xdr:rowOff>
                  </from>
                  <to>
                    <xdr:col>14</xdr:col>
                    <xdr:colOff>819150</xdr:colOff>
                    <xdr:row>40</xdr:row>
                    <xdr:rowOff>28575</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57150</xdr:colOff>
                    <xdr:row>37</xdr:row>
                    <xdr:rowOff>76200</xdr:rowOff>
                  </from>
                  <to>
                    <xdr:col>4</xdr:col>
                    <xdr:colOff>38100</xdr:colOff>
                    <xdr:row>38</xdr:row>
                    <xdr:rowOff>28575</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57150</xdr:colOff>
                    <xdr:row>38</xdr:row>
                    <xdr:rowOff>95250</xdr:rowOff>
                  </from>
                  <to>
                    <xdr:col>4</xdr:col>
                    <xdr:colOff>38100</xdr:colOff>
                    <xdr:row>38</xdr:row>
                    <xdr:rowOff>314325</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57150</xdr:colOff>
                    <xdr:row>39</xdr:row>
                    <xdr:rowOff>95250</xdr:rowOff>
                  </from>
                  <to>
                    <xdr:col>4</xdr:col>
                    <xdr:colOff>38100</xdr:colOff>
                    <xdr:row>39</xdr:row>
                    <xdr:rowOff>314325</xdr:rowOff>
                  </to>
                </anchor>
              </controlPr>
            </control>
          </mc:Choice>
        </mc:AlternateContent>
        <mc:AlternateContent xmlns:mc="http://schemas.openxmlformats.org/markup-compatibility/2006">
          <mc:Choice Requires="x14">
            <control shapeId="27692" r:id="rId47" name="Group Box 44">
              <controlPr defaultSize="0" autoFill="0" autoPict="0">
                <anchor moveWithCells="1">
                  <from>
                    <xdr:col>2</xdr:col>
                    <xdr:colOff>0</xdr:colOff>
                    <xdr:row>34</xdr:row>
                    <xdr:rowOff>28575</xdr:rowOff>
                  </from>
                  <to>
                    <xdr:col>14</xdr:col>
                    <xdr:colOff>819150</xdr:colOff>
                    <xdr:row>37</xdr:row>
                    <xdr:rowOff>28575</xdr:rowOff>
                  </to>
                </anchor>
              </controlPr>
            </control>
          </mc:Choice>
        </mc:AlternateContent>
        <mc:AlternateContent xmlns:mc="http://schemas.openxmlformats.org/markup-compatibility/2006">
          <mc:Choice Requires="x14">
            <control shapeId="27693" r:id="rId48" name="Option Button 45">
              <controlPr defaultSize="0" autoFill="0" autoLine="0" autoPict="0">
                <anchor moveWithCells="1">
                  <from>
                    <xdr:col>2</xdr:col>
                    <xdr:colOff>57150</xdr:colOff>
                    <xdr:row>34</xdr:row>
                    <xdr:rowOff>66675</xdr:rowOff>
                  </from>
                  <to>
                    <xdr:col>4</xdr:col>
                    <xdr:colOff>38100</xdr:colOff>
                    <xdr:row>35</xdr:row>
                    <xdr:rowOff>19050</xdr:rowOff>
                  </to>
                </anchor>
              </controlPr>
            </control>
          </mc:Choice>
        </mc:AlternateContent>
        <mc:AlternateContent xmlns:mc="http://schemas.openxmlformats.org/markup-compatibility/2006">
          <mc:Choice Requires="x14">
            <control shapeId="27694" r:id="rId49" name="Option Button 46">
              <controlPr defaultSize="0" autoFill="0" autoLine="0" autoPict="0">
                <anchor moveWithCells="1">
                  <from>
                    <xdr:col>2</xdr:col>
                    <xdr:colOff>57150</xdr:colOff>
                    <xdr:row>35</xdr:row>
                    <xdr:rowOff>180975</xdr:rowOff>
                  </from>
                  <to>
                    <xdr:col>4</xdr:col>
                    <xdr:colOff>38100</xdr:colOff>
                    <xdr:row>35</xdr:row>
                    <xdr:rowOff>400050</xdr:rowOff>
                  </to>
                </anchor>
              </controlPr>
            </control>
          </mc:Choice>
        </mc:AlternateContent>
        <mc:AlternateContent xmlns:mc="http://schemas.openxmlformats.org/markup-compatibility/2006">
          <mc:Choice Requires="x14">
            <control shapeId="27695" r:id="rId50" name="Option Button 47">
              <controlPr defaultSize="0" autoFill="0" autoLine="0" autoPict="0">
                <anchor moveWithCells="1">
                  <from>
                    <xdr:col>2</xdr:col>
                    <xdr:colOff>57150</xdr:colOff>
                    <xdr:row>36</xdr:row>
                    <xdr:rowOff>200025</xdr:rowOff>
                  </from>
                  <to>
                    <xdr:col>4</xdr:col>
                    <xdr:colOff>38100</xdr:colOff>
                    <xdr:row>36</xdr:row>
                    <xdr:rowOff>419100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FN35"/>
  <sheetViews>
    <sheetView showGridLines="0" zoomScale="120" zoomScaleNormal="120" workbookViewId="0"/>
  </sheetViews>
  <sheetFormatPr defaultColWidth="2.7109375" defaultRowHeight="12.75" x14ac:dyDescent="0.2"/>
  <cols>
    <col min="1" max="1" width="1.42578125" style="2" customWidth="1"/>
    <col min="2" max="2" width="18" style="2" customWidth="1"/>
    <col min="3" max="3" width="2.5703125" style="2" customWidth="1"/>
    <col min="4" max="4" width="2.28515625" style="2" customWidth="1"/>
    <col min="5" max="13" width="3.85546875" style="2" customWidth="1"/>
    <col min="14" max="14" width="4.85546875" style="2" customWidth="1"/>
    <col min="15" max="15" width="14.85546875" style="2" customWidth="1"/>
    <col min="16" max="16" width="9.5703125" style="2" customWidth="1"/>
    <col min="17" max="17" width="1.28515625" style="2" customWidth="1"/>
    <col min="18" max="18" width="17.85546875" style="2" hidden="1" customWidth="1"/>
    <col min="19" max="19" width="10.7109375" style="2" hidden="1" customWidth="1"/>
    <col min="20" max="20" width="20.42578125" style="2" hidden="1" customWidth="1"/>
    <col min="21" max="21" width="20.28515625" style="2" hidden="1" customWidth="1"/>
    <col min="22" max="22" width="15.140625" style="2" hidden="1" customWidth="1"/>
    <col min="23" max="23" width="12.140625" style="2" hidden="1" customWidth="1"/>
    <col min="24" max="130" width="2.7109375" style="2" hidden="1" customWidth="1"/>
    <col min="131" max="255" width="2.7109375" style="2" customWidth="1"/>
    <col min="256" max="16384" width="2.7109375" style="2"/>
  </cols>
  <sheetData>
    <row r="1" spans="2:170" ht="15" customHeight="1" x14ac:dyDescent="0.2">
      <c r="B1" s="10" t="s">
        <v>1697</v>
      </c>
      <c r="E1" s="732" t="str">
        <f>IF('Start here'!A6="","",'Start here'!A6)</f>
        <v/>
      </c>
      <c r="F1" s="736"/>
      <c r="G1" s="736"/>
      <c r="H1" s="736"/>
      <c r="I1" s="736"/>
      <c r="J1" s="736"/>
      <c r="K1" s="737"/>
      <c r="M1" s="732" t="str">
        <f>IF('Start here'!A7="","",'Start here'!A7)</f>
        <v/>
      </c>
      <c r="N1" s="736"/>
      <c r="O1" s="736"/>
      <c r="P1" s="737"/>
      <c r="R1" s="242">
        <v>38353</v>
      </c>
      <c r="S1" s="155">
        <f>'Start here'!A8</f>
        <v>0</v>
      </c>
      <c r="T1" s="50" t="str">
        <f>IF(S1&gt;=R1,"Go to PPD Worksheet","")</f>
        <v/>
      </c>
      <c r="U1" s="50" t="str">
        <f>IF(S1&lt;R1,"Go to PPD Worksheet","")</f>
        <v>Go to PPD Worksheet</v>
      </c>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2">
      <c r="B2" s="777"/>
      <c r="C2" s="777"/>
      <c r="D2" s="777"/>
      <c r="E2" s="777"/>
      <c r="F2" s="777"/>
      <c r="G2" s="777"/>
      <c r="H2" s="777"/>
      <c r="I2" s="777"/>
      <c r="J2" s="777"/>
      <c r="K2" s="777"/>
      <c r="L2" s="777"/>
      <c r="M2" s="777"/>
      <c r="N2" s="777"/>
      <c r="O2" s="777"/>
      <c r="P2" s="777"/>
    </row>
    <row r="3" spans="2:170" ht="24" customHeight="1" x14ac:dyDescent="0.3">
      <c r="B3" s="906" t="s">
        <v>1043</v>
      </c>
      <c r="C3" s="906"/>
      <c r="D3" s="906"/>
      <c r="E3" s="906"/>
      <c r="F3" s="906"/>
      <c r="G3" s="906"/>
      <c r="H3" s="906"/>
      <c r="I3" s="906"/>
      <c r="J3" s="906"/>
      <c r="K3" s="906"/>
      <c r="L3" s="906"/>
      <c r="M3" s="906"/>
      <c r="N3" s="906"/>
      <c r="O3" s="906"/>
      <c r="P3" s="906"/>
    </row>
    <row r="4" spans="2:170" ht="26.25" customHeight="1" x14ac:dyDescent="0.2">
      <c r="B4" s="1513" t="s">
        <v>419</v>
      </c>
      <c r="C4" s="1514"/>
      <c r="D4" s="1514"/>
      <c r="E4" s="1514"/>
      <c r="F4" s="1514"/>
      <c r="G4" s="1514"/>
      <c r="H4" s="1514"/>
      <c r="I4" s="1514"/>
      <c r="J4" s="1514"/>
      <c r="K4" s="1514"/>
      <c r="L4" s="1514"/>
      <c r="M4" s="1514"/>
      <c r="N4" s="1514"/>
      <c r="O4" s="1514"/>
      <c r="P4" s="1515"/>
    </row>
    <row r="5" spans="2:170" ht="27.75" customHeight="1" x14ac:dyDescent="0.2">
      <c r="B5" s="752" t="s">
        <v>418</v>
      </c>
      <c r="C5" s="753"/>
      <c r="D5" s="753"/>
      <c r="E5" s="753"/>
      <c r="F5" s="753"/>
      <c r="G5" s="753"/>
      <c r="H5" s="753"/>
      <c r="I5" s="753"/>
      <c r="J5" s="753"/>
      <c r="K5" s="753"/>
      <c r="L5" s="753"/>
      <c r="M5" s="753"/>
      <c r="N5" s="753"/>
      <c r="O5" s="753"/>
      <c r="P5" s="754"/>
    </row>
    <row r="6" spans="2:170" ht="21" customHeight="1" x14ac:dyDescent="0.2">
      <c r="B6" s="1592" t="s">
        <v>1196</v>
      </c>
      <c r="C6" s="1606"/>
      <c r="D6" s="1607"/>
      <c r="E6" s="756" t="s">
        <v>1262</v>
      </c>
      <c r="F6" s="757"/>
      <c r="G6" s="757"/>
      <c r="H6" s="757"/>
      <c r="I6" s="757"/>
      <c r="J6" s="757"/>
      <c r="K6" s="757"/>
      <c r="L6" s="757"/>
      <c r="M6" s="757"/>
      <c r="N6" s="757"/>
      <c r="O6" s="758"/>
      <c r="P6" s="929">
        <f>IF(S6=2,0.03,IF(S6=3,0.15,IF(S6=4,0.38,IF(S6=5,0.68,IF(S6=6,0.9,0)))))</f>
        <v>0</v>
      </c>
      <c r="R6" s="146" t="s">
        <v>2236</v>
      </c>
      <c r="S6" s="547">
        <v>1</v>
      </c>
    </row>
    <row r="7" spans="2:170" ht="42" customHeight="1" x14ac:dyDescent="0.2">
      <c r="B7" s="1632"/>
      <c r="C7" s="1608"/>
      <c r="D7" s="1609"/>
      <c r="E7" s="756" t="s">
        <v>2081</v>
      </c>
      <c r="F7" s="757"/>
      <c r="G7" s="757"/>
      <c r="H7" s="757"/>
      <c r="I7" s="757"/>
      <c r="J7" s="757"/>
      <c r="K7" s="757"/>
      <c r="L7" s="757"/>
      <c r="M7" s="757"/>
      <c r="N7" s="757"/>
      <c r="O7" s="758"/>
      <c r="P7" s="1071"/>
    </row>
    <row r="8" spans="2:170" ht="42" customHeight="1" x14ac:dyDescent="0.2">
      <c r="B8" s="442"/>
      <c r="C8" s="1608"/>
      <c r="D8" s="1609"/>
      <c r="E8" s="756" t="s">
        <v>2082</v>
      </c>
      <c r="F8" s="757"/>
      <c r="G8" s="757"/>
      <c r="H8" s="757"/>
      <c r="I8" s="757"/>
      <c r="J8" s="757"/>
      <c r="K8" s="757"/>
      <c r="L8" s="757"/>
      <c r="M8" s="757"/>
      <c r="N8" s="757"/>
      <c r="O8" s="758"/>
      <c r="P8" s="1071"/>
    </row>
    <row r="9" spans="2:170" ht="42" customHeight="1" x14ac:dyDescent="0.2">
      <c r="B9" s="442"/>
      <c r="C9" s="1608"/>
      <c r="D9" s="1609"/>
      <c r="E9" s="756" t="s">
        <v>2083</v>
      </c>
      <c r="F9" s="757"/>
      <c r="G9" s="757"/>
      <c r="H9" s="757"/>
      <c r="I9" s="757"/>
      <c r="J9" s="757"/>
      <c r="K9" s="757"/>
      <c r="L9" s="757"/>
      <c r="M9" s="757"/>
      <c r="N9" s="757"/>
      <c r="O9" s="758"/>
      <c r="P9" s="1071"/>
    </row>
    <row r="10" spans="2:170" ht="42" customHeight="1" x14ac:dyDescent="0.2">
      <c r="B10" s="442"/>
      <c r="C10" s="1608"/>
      <c r="D10" s="1609"/>
      <c r="E10" s="756" t="s">
        <v>2084</v>
      </c>
      <c r="F10" s="757"/>
      <c r="G10" s="757"/>
      <c r="H10" s="757"/>
      <c r="I10" s="757"/>
      <c r="J10" s="757"/>
      <c r="K10" s="757"/>
      <c r="L10" s="757"/>
      <c r="M10" s="757"/>
      <c r="N10" s="757"/>
      <c r="O10" s="758"/>
      <c r="P10" s="1071"/>
    </row>
    <row r="11" spans="2:170" ht="42" customHeight="1" x14ac:dyDescent="0.2">
      <c r="B11" s="180"/>
      <c r="C11" s="1017"/>
      <c r="D11" s="1610"/>
      <c r="E11" s="756" t="s">
        <v>2085</v>
      </c>
      <c r="F11" s="757"/>
      <c r="G11" s="757"/>
      <c r="H11" s="757"/>
      <c r="I11" s="757"/>
      <c r="J11" s="757"/>
      <c r="K11" s="757"/>
      <c r="L11" s="757"/>
      <c r="M11" s="757"/>
      <c r="N11" s="757"/>
      <c r="O11" s="758"/>
      <c r="P11" s="1072"/>
    </row>
    <row r="12" spans="2:170" ht="29.25" customHeight="1" x14ac:dyDescent="0.2">
      <c r="B12" s="756" t="s">
        <v>620</v>
      </c>
      <c r="C12" s="757"/>
      <c r="D12" s="757"/>
      <c r="E12" s="757"/>
      <c r="F12" s="757"/>
      <c r="G12" s="757"/>
      <c r="H12" s="757"/>
      <c r="I12" s="757"/>
      <c r="J12" s="757"/>
      <c r="K12" s="757"/>
      <c r="L12" s="757"/>
      <c r="M12" s="757"/>
      <c r="N12" s="757"/>
      <c r="O12" s="757"/>
      <c r="P12" s="1660">
        <f>IF(S12=2,0.03,IF(S12=3,0.08,IF(S12=4,0.13,0)))</f>
        <v>0</v>
      </c>
      <c r="R12" s="146" t="s">
        <v>2236</v>
      </c>
      <c r="S12" s="547">
        <v>1</v>
      </c>
    </row>
    <row r="13" spans="2:170" ht="21" customHeight="1" x14ac:dyDescent="0.2">
      <c r="B13" s="411" t="s">
        <v>1197</v>
      </c>
      <c r="C13" s="1606"/>
      <c r="D13" s="1607"/>
      <c r="E13" s="1663" t="s">
        <v>1262</v>
      </c>
      <c r="F13" s="1664"/>
      <c r="G13" s="1664"/>
      <c r="H13" s="1664"/>
      <c r="I13" s="1664"/>
      <c r="J13" s="1664"/>
      <c r="K13" s="1664"/>
      <c r="L13" s="1664"/>
      <c r="M13" s="1664"/>
      <c r="N13" s="1664"/>
      <c r="O13" s="1665"/>
      <c r="P13" s="1661"/>
    </row>
    <row r="14" spans="2:170" ht="27" customHeight="1" x14ac:dyDescent="0.2">
      <c r="B14" s="415"/>
      <c r="C14" s="1608"/>
      <c r="D14" s="1609"/>
      <c r="E14" s="1663" t="s">
        <v>2086</v>
      </c>
      <c r="F14" s="1664"/>
      <c r="G14" s="1664"/>
      <c r="H14" s="1664"/>
      <c r="I14" s="1664"/>
      <c r="J14" s="1664"/>
      <c r="K14" s="1664"/>
      <c r="L14" s="1664"/>
      <c r="M14" s="1664"/>
      <c r="N14" s="1664"/>
      <c r="O14" s="1665"/>
      <c r="P14" s="1661"/>
    </row>
    <row r="15" spans="2:170" ht="26.25" customHeight="1" x14ac:dyDescent="0.2">
      <c r="B15" s="415"/>
      <c r="C15" s="1608"/>
      <c r="D15" s="1609"/>
      <c r="E15" s="1663" t="s">
        <v>2087</v>
      </c>
      <c r="F15" s="1664"/>
      <c r="G15" s="1664"/>
      <c r="H15" s="1664"/>
      <c r="I15" s="1664"/>
      <c r="J15" s="1664"/>
      <c r="K15" s="1664"/>
      <c r="L15" s="1664"/>
      <c r="M15" s="1664"/>
      <c r="N15" s="1664"/>
      <c r="O15" s="1665"/>
      <c r="P15" s="1661"/>
    </row>
    <row r="16" spans="2:170" ht="24.75" customHeight="1" x14ac:dyDescent="0.2">
      <c r="B16" s="425"/>
      <c r="C16" s="1017"/>
      <c r="D16" s="1610"/>
      <c r="E16" s="1663" t="s">
        <v>2088</v>
      </c>
      <c r="F16" s="1664"/>
      <c r="G16" s="1664"/>
      <c r="H16" s="1664"/>
      <c r="I16" s="1664"/>
      <c r="J16" s="1664"/>
      <c r="K16" s="1664"/>
      <c r="L16" s="1664"/>
      <c r="M16" s="1664"/>
      <c r="N16" s="1664"/>
      <c r="O16" s="1665"/>
      <c r="P16" s="1662"/>
    </row>
    <row r="18" spans="2:26" ht="27" customHeight="1" x14ac:dyDescent="0.2">
      <c r="B18" s="864" t="s">
        <v>1779</v>
      </c>
      <c r="C18" s="865"/>
      <c r="D18" s="865"/>
      <c r="E18" s="865"/>
      <c r="F18" s="865"/>
      <c r="G18" s="865"/>
      <c r="H18" s="865"/>
      <c r="I18" s="865"/>
      <c r="J18" s="865"/>
      <c r="K18" s="865"/>
      <c r="L18" s="865"/>
      <c r="M18" s="865"/>
      <c r="N18" s="866"/>
      <c r="O18" s="268" t="s">
        <v>1495</v>
      </c>
      <c r="P18" s="314" t="s">
        <v>1284</v>
      </c>
      <c r="R18" s="127" t="s">
        <v>2234</v>
      </c>
      <c r="S18" s="146" t="s">
        <v>1284</v>
      </c>
      <c r="T18" s="13" t="s">
        <v>1285</v>
      </c>
      <c r="U18" s="13" t="s">
        <v>1286</v>
      </c>
      <c r="V18" s="13" t="s">
        <v>1287</v>
      </c>
    </row>
    <row r="19" spans="2:26" ht="19.5" customHeight="1" x14ac:dyDescent="0.2">
      <c r="B19" s="761" t="s">
        <v>1352</v>
      </c>
      <c r="C19" s="761"/>
      <c r="D19" s="761"/>
      <c r="E19" s="761"/>
      <c r="F19" s="761"/>
      <c r="G19" s="761"/>
      <c r="H19" s="761"/>
      <c r="I19" s="761"/>
      <c r="J19" s="761"/>
      <c r="K19" s="761"/>
      <c r="L19" s="755">
        <f>P6</f>
        <v>0</v>
      </c>
      <c r="M19" s="755"/>
      <c r="N19" s="755"/>
      <c r="O19" s="207"/>
      <c r="P19" s="21">
        <f>IF(AND(R19&gt;0,R19&lt;0.01),0.01,ROUND(R19,2))</f>
        <v>0</v>
      </c>
      <c r="R19" s="550">
        <f>IF(O19&gt;0,L19*O19,L19)</f>
        <v>0</v>
      </c>
      <c r="S19" s="389">
        <f>P19</f>
        <v>0</v>
      </c>
      <c r="T19" s="365">
        <f>LARGE(S19:S20,1)</f>
        <v>0</v>
      </c>
      <c r="U19" s="550">
        <f>T19+T20*(1-T19)</f>
        <v>0</v>
      </c>
      <c r="V19" s="389">
        <f>ROUND(U19,2)</f>
        <v>0</v>
      </c>
      <c r="Z19" s="2" t="s">
        <v>2242</v>
      </c>
    </row>
    <row r="20" spans="2:26" ht="19.5" customHeight="1" x14ac:dyDescent="0.2">
      <c r="B20" s="761" t="s">
        <v>1353</v>
      </c>
      <c r="C20" s="761"/>
      <c r="D20" s="761"/>
      <c r="E20" s="761"/>
      <c r="F20" s="761"/>
      <c r="G20" s="761"/>
      <c r="H20" s="761"/>
      <c r="I20" s="761"/>
      <c r="J20" s="761"/>
      <c r="K20" s="761"/>
      <c r="L20" s="755">
        <f>P12</f>
        <v>0</v>
      </c>
      <c r="M20" s="755"/>
      <c r="N20" s="755"/>
      <c r="O20" s="207"/>
      <c r="P20" s="21">
        <f>IF(AND(R20&gt;0,R20&lt;0.01),0.01,ROUND(R20,2))</f>
        <v>0</v>
      </c>
      <c r="R20" s="550">
        <f>IF(O20&gt;0,L20*O20,L20)</f>
        <v>0</v>
      </c>
      <c r="S20" s="389">
        <f>P20</f>
        <v>0</v>
      </c>
      <c r="T20" s="365">
        <f>LARGE(S19:S20,2)</f>
        <v>0</v>
      </c>
    </row>
    <row r="21" spans="2:26" ht="20.25" customHeight="1" x14ac:dyDescent="0.2">
      <c r="B21" s="1427"/>
      <c r="C21" s="1044"/>
      <c r="D21" s="1044"/>
      <c r="E21" s="1359" t="s">
        <v>598</v>
      </c>
      <c r="F21" s="1359"/>
      <c r="G21" s="1359"/>
      <c r="H21" s="1359"/>
      <c r="I21" s="1359"/>
      <c r="J21" s="1359"/>
      <c r="K21" s="1359"/>
      <c r="L21" s="1359"/>
      <c r="M21" s="1359"/>
      <c r="N21" s="1359"/>
      <c r="O21" s="1659"/>
      <c r="P21" s="248">
        <f>V19</f>
        <v>0</v>
      </c>
    </row>
    <row r="22" spans="2:26" ht="33.75" customHeight="1" x14ac:dyDescent="0.25">
      <c r="B22" s="1037" t="s">
        <v>931</v>
      </c>
      <c r="C22" s="1037"/>
      <c r="D22" s="1037"/>
      <c r="E22" s="1037"/>
      <c r="F22" s="1037"/>
      <c r="G22" s="1037"/>
      <c r="H22" s="1037"/>
      <c r="I22" s="1037"/>
      <c r="J22" s="1037"/>
      <c r="K22" s="1037"/>
      <c r="L22" s="1037"/>
      <c r="M22" s="1037"/>
      <c r="N22" s="1037"/>
      <c r="O22" s="1037"/>
      <c r="P22" s="1037"/>
    </row>
    <row r="23" spans="2:26" x14ac:dyDescent="0.2">
      <c r="B23" s="587" t="s">
        <v>775</v>
      </c>
      <c r="C23" s="1650" t="str">
        <f>IF(U1&lt;&gt;"",U1,"")</f>
        <v>Go to PPD Worksheet</v>
      </c>
      <c r="D23" s="1650"/>
      <c r="E23" s="1650"/>
      <c r="F23" s="1650"/>
      <c r="G23" s="1650"/>
      <c r="H23" s="1650"/>
      <c r="I23" s="1464" t="str">
        <f>IF(T1&lt;&gt;"",T1,"")</f>
        <v/>
      </c>
      <c r="J23" s="1464"/>
      <c r="K23" s="1464"/>
      <c r="L23" s="1464"/>
      <c r="M23" s="1464"/>
      <c r="N23" s="1464"/>
    </row>
    <row r="24" spans="2:26" hidden="1" x14ac:dyDescent="0.2"/>
    <row r="25" spans="2:26" hidden="1" x14ac:dyDescent="0.2"/>
    <row r="26" spans="2:26" hidden="1" x14ac:dyDescent="0.2"/>
    <row r="27" spans="2:26" hidden="1" x14ac:dyDescent="0.2"/>
    <row r="28" spans="2:26" hidden="1" x14ac:dyDescent="0.2">
      <c r="B28" s="2">
        <v>0.01</v>
      </c>
      <c r="C28" s="2">
        <v>0.99</v>
      </c>
    </row>
    <row r="29" spans="2:26" hidden="1" x14ac:dyDescent="0.2"/>
    <row r="30" spans="2:26" hidden="1" x14ac:dyDescent="0.2"/>
    <row r="31" spans="2:26" hidden="1" x14ac:dyDescent="0.2"/>
    <row r="32" spans="2:26" hidden="1" x14ac:dyDescent="0.2"/>
    <row r="33" hidden="1" x14ac:dyDescent="0.2"/>
    <row r="34" hidden="1" x14ac:dyDescent="0.2"/>
    <row r="35" hidden="1" x14ac:dyDescent="0.2"/>
  </sheetData>
  <sheetProtection sheet="1" objects="1" scenarios="1"/>
  <mergeCells count="32">
    <mergeCell ref="B5:P5"/>
    <mergeCell ref="B4:P4"/>
    <mergeCell ref="E1:K1"/>
    <mergeCell ref="M1:P1"/>
    <mergeCell ref="B2:P2"/>
    <mergeCell ref="B3:P3"/>
    <mergeCell ref="P6:P11"/>
    <mergeCell ref="E10:O10"/>
    <mergeCell ref="B6:B7"/>
    <mergeCell ref="P12:P16"/>
    <mergeCell ref="B18:N18"/>
    <mergeCell ref="E16:O16"/>
    <mergeCell ref="C13:D16"/>
    <mergeCell ref="E13:O13"/>
    <mergeCell ref="E14:O14"/>
    <mergeCell ref="C6:D11"/>
    <mergeCell ref="E6:O6"/>
    <mergeCell ref="E7:O7"/>
    <mergeCell ref="E8:O8"/>
    <mergeCell ref="E9:O9"/>
    <mergeCell ref="E11:O11"/>
    <mergeCell ref="E15:O15"/>
    <mergeCell ref="B12:O12"/>
    <mergeCell ref="C23:H23"/>
    <mergeCell ref="I23:N23"/>
    <mergeCell ref="B21:D21"/>
    <mergeCell ref="B19:K19"/>
    <mergeCell ref="L19:N19"/>
    <mergeCell ref="B20:K20"/>
    <mergeCell ref="B22:P22"/>
    <mergeCell ref="E21:O21"/>
    <mergeCell ref="L20:N20"/>
  </mergeCells>
  <phoneticPr fontId="0" type="noConversion"/>
  <dataValidations xWindow="802" yWindow="256" count="1">
    <dataValidation type="decimal" allowBlank="1" showInputMessage="1" showErrorMessage="1" promptTitle="Apportionment (if any)" prompt="Enter percentage of impairment caused by the injury or illness. See OAR 436-035-0013." sqref="O19:O20" xr:uid="{00000000-0002-0000-1A00-000000000000}">
      <formula1>$B$28</formula1>
      <formula2>$C$28</formula2>
    </dataValidation>
  </dataValidations>
  <hyperlinks>
    <hyperlink ref="B23" location="'Integument &amp; Lacrimal'!A1" display="Return to top of sheet" xr:uid="{00000000-0004-0000-1A00-000000000000}"/>
    <hyperlink ref="I23:N23" location="'PPD DOI on or after 2005'!A1" display="'PPD DOI on or after 2005'!A1" xr:uid="{00000000-0004-0000-1A00-000001000000}"/>
    <hyperlink ref="C23:H23" location="'PPD DOI before 2005'!A1" display="'PPD DOI before 2005'!A1" xr:uid="{00000000-0004-0000-1A00-000002000000}"/>
    <hyperlink ref="B4:P4" location="'Immune system'!A1" display="If the worker has developed an immunologic reaction to physical, chemical or biological agents, impairment is also valued under OAR 436-035-0450." xr:uid="{00000000-0004-0000-1A00-000003000000}"/>
  </hyperlinks>
  <pageMargins left="0.75" right="0.75" top="0.91" bottom="0.84"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754" r:id="rId4" name="Group Box 10">
              <controlPr defaultSize="0" autoFill="0" autoPict="0">
                <anchor moveWithCells="1" sizeWithCells="1">
                  <from>
                    <xdr:col>2</xdr:col>
                    <xdr:colOff>0</xdr:colOff>
                    <xdr:row>12</xdr:row>
                    <xdr:rowOff>0</xdr:rowOff>
                  </from>
                  <to>
                    <xdr:col>15</xdr:col>
                    <xdr:colOff>0</xdr:colOff>
                    <xdr:row>16</xdr:row>
                    <xdr:rowOff>0</xdr:rowOff>
                  </to>
                </anchor>
              </controlPr>
            </control>
          </mc:Choice>
        </mc:AlternateContent>
        <mc:AlternateContent xmlns:mc="http://schemas.openxmlformats.org/markup-compatibility/2006">
          <mc:Choice Requires="x14">
            <control shapeId="31755" r:id="rId5" name="Option Button 11">
              <controlPr defaultSize="0" autoFill="0" autoLine="0" autoPict="0">
                <anchor moveWithCells="1" sizeWithCells="1">
                  <from>
                    <xdr:col>2</xdr:col>
                    <xdr:colOff>66675</xdr:colOff>
                    <xdr:row>12</xdr:row>
                    <xdr:rowOff>57150</xdr:rowOff>
                  </from>
                  <to>
                    <xdr:col>4</xdr:col>
                    <xdr:colOff>47625</xdr:colOff>
                    <xdr:row>13</xdr:row>
                    <xdr:rowOff>0</xdr:rowOff>
                  </to>
                </anchor>
              </controlPr>
            </control>
          </mc:Choice>
        </mc:AlternateContent>
        <mc:AlternateContent xmlns:mc="http://schemas.openxmlformats.org/markup-compatibility/2006">
          <mc:Choice Requires="x14">
            <control shapeId="31756" r:id="rId6" name="Option Button 12">
              <controlPr defaultSize="0" autoFill="0" autoLine="0" autoPict="0">
                <anchor moveWithCells="1" sizeWithCells="1">
                  <from>
                    <xdr:col>2</xdr:col>
                    <xdr:colOff>66675</xdr:colOff>
                    <xdr:row>13</xdr:row>
                    <xdr:rowOff>57150</xdr:rowOff>
                  </from>
                  <to>
                    <xdr:col>4</xdr:col>
                    <xdr:colOff>47625</xdr:colOff>
                    <xdr:row>13</xdr:row>
                    <xdr:rowOff>276225</xdr:rowOff>
                  </to>
                </anchor>
              </controlPr>
            </control>
          </mc:Choice>
        </mc:AlternateContent>
        <mc:AlternateContent xmlns:mc="http://schemas.openxmlformats.org/markup-compatibility/2006">
          <mc:Choice Requires="x14">
            <control shapeId="31757" r:id="rId7" name="Option Button 13">
              <controlPr defaultSize="0" autoFill="0" autoLine="0" autoPict="0">
                <anchor moveWithCells="1" sizeWithCells="1">
                  <from>
                    <xdr:col>2</xdr:col>
                    <xdr:colOff>66675</xdr:colOff>
                    <xdr:row>14</xdr:row>
                    <xdr:rowOff>38100</xdr:rowOff>
                  </from>
                  <to>
                    <xdr:col>4</xdr:col>
                    <xdr:colOff>47625</xdr:colOff>
                    <xdr:row>14</xdr:row>
                    <xdr:rowOff>257175</xdr:rowOff>
                  </to>
                </anchor>
              </controlPr>
            </control>
          </mc:Choice>
        </mc:AlternateContent>
        <mc:AlternateContent xmlns:mc="http://schemas.openxmlformats.org/markup-compatibility/2006">
          <mc:Choice Requires="x14">
            <control shapeId="31758" r:id="rId8" name="Option Button 14">
              <controlPr defaultSize="0" autoFill="0" autoLine="0" autoPict="0">
                <anchor moveWithCells="1" sizeWithCells="1">
                  <from>
                    <xdr:col>2</xdr:col>
                    <xdr:colOff>66675</xdr:colOff>
                    <xdr:row>14</xdr:row>
                    <xdr:rowOff>304800</xdr:rowOff>
                  </from>
                  <to>
                    <xdr:col>4</xdr:col>
                    <xdr:colOff>47625</xdr:colOff>
                    <xdr:row>15</xdr:row>
                    <xdr:rowOff>190500</xdr:rowOff>
                  </to>
                </anchor>
              </controlPr>
            </control>
          </mc:Choice>
        </mc:AlternateContent>
        <mc:AlternateContent xmlns:mc="http://schemas.openxmlformats.org/markup-compatibility/2006">
          <mc:Choice Requires="x14">
            <control shapeId="31746" r:id="rId9" name="Group Box 2">
              <controlPr defaultSize="0" autoFill="0" autoPict="0">
                <anchor moveWithCells="1" sizeWithCells="1">
                  <from>
                    <xdr:col>2</xdr:col>
                    <xdr:colOff>0</xdr:colOff>
                    <xdr:row>5</xdr:row>
                    <xdr:rowOff>0</xdr:rowOff>
                  </from>
                  <to>
                    <xdr:col>15</xdr:col>
                    <xdr:colOff>0</xdr:colOff>
                    <xdr:row>11</xdr:row>
                    <xdr:rowOff>0</xdr:rowOff>
                  </to>
                </anchor>
              </controlPr>
            </control>
          </mc:Choice>
        </mc:AlternateContent>
        <mc:AlternateContent xmlns:mc="http://schemas.openxmlformats.org/markup-compatibility/2006">
          <mc:Choice Requires="x14">
            <control shapeId="31747" r:id="rId10" name="Option Button 3">
              <controlPr defaultSize="0" autoFill="0" autoLine="0" autoPict="0">
                <anchor moveWithCells="1" sizeWithCells="1">
                  <from>
                    <xdr:col>2</xdr:col>
                    <xdr:colOff>57150</xdr:colOff>
                    <xdr:row>5</xdr:row>
                    <xdr:rowOff>28575</xdr:rowOff>
                  </from>
                  <to>
                    <xdr:col>4</xdr:col>
                    <xdr:colOff>38100</xdr:colOff>
                    <xdr:row>5</xdr:row>
                    <xdr:rowOff>190500</xdr:rowOff>
                  </to>
                </anchor>
              </controlPr>
            </control>
          </mc:Choice>
        </mc:AlternateContent>
        <mc:AlternateContent xmlns:mc="http://schemas.openxmlformats.org/markup-compatibility/2006">
          <mc:Choice Requires="x14">
            <control shapeId="31748" r:id="rId11" name="Option Button 4">
              <controlPr defaultSize="0" autoFill="0" autoLine="0" autoPict="0">
                <anchor moveWithCells="1" sizeWithCells="1">
                  <from>
                    <xdr:col>2</xdr:col>
                    <xdr:colOff>57150</xdr:colOff>
                    <xdr:row>6</xdr:row>
                    <xdr:rowOff>85725</xdr:rowOff>
                  </from>
                  <to>
                    <xdr:col>4</xdr:col>
                    <xdr:colOff>38100</xdr:colOff>
                    <xdr:row>6</xdr:row>
                    <xdr:rowOff>247650</xdr:rowOff>
                  </to>
                </anchor>
              </controlPr>
            </control>
          </mc:Choice>
        </mc:AlternateContent>
        <mc:AlternateContent xmlns:mc="http://schemas.openxmlformats.org/markup-compatibility/2006">
          <mc:Choice Requires="x14">
            <control shapeId="31749" r:id="rId12" name="Option Button 5">
              <controlPr defaultSize="0" autoFill="0" autoLine="0" autoPict="0">
                <anchor moveWithCells="1" sizeWithCells="1">
                  <from>
                    <xdr:col>2</xdr:col>
                    <xdr:colOff>57150</xdr:colOff>
                    <xdr:row>7</xdr:row>
                    <xdr:rowOff>57150</xdr:rowOff>
                  </from>
                  <to>
                    <xdr:col>4</xdr:col>
                    <xdr:colOff>38100</xdr:colOff>
                    <xdr:row>7</xdr:row>
                    <xdr:rowOff>219075</xdr:rowOff>
                  </to>
                </anchor>
              </controlPr>
            </control>
          </mc:Choice>
        </mc:AlternateContent>
        <mc:AlternateContent xmlns:mc="http://schemas.openxmlformats.org/markup-compatibility/2006">
          <mc:Choice Requires="x14">
            <control shapeId="31750" r:id="rId13" name="Option Button 6">
              <controlPr defaultSize="0" autoFill="0" autoLine="0" autoPict="0">
                <anchor moveWithCells="1" sizeWithCells="1">
                  <from>
                    <xdr:col>2</xdr:col>
                    <xdr:colOff>57150</xdr:colOff>
                    <xdr:row>8</xdr:row>
                    <xdr:rowOff>28575</xdr:rowOff>
                  </from>
                  <to>
                    <xdr:col>4</xdr:col>
                    <xdr:colOff>38100</xdr:colOff>
                    <xdr:row>8</xdr:row>
                    <xdr:rowOff>190500</xdr:rowOff>
                  </to>
                </anchor>
              </controlPr>
            </control>
          </mc:Choice>
        </mc:AlternateContent>
        <mc:AlternateContent xmlns:mc="http://schemas.openxmlformats.org/markup-compatibility/2006">
          <mc:Choice Requires="x14">
            <control shapeId="31751" r:id="rId14" name="Option Button 7">
              <controlPr defaultSize="0" autoFill="0" autoLine="0" autoPict="0">
                <anchor moveWithCells="1" sizeWithCells="1">
                  <from>
                    <xdr:col>2</xdr:col>
                    <xdr:colOff>57150</xdr:colOff>
                    <xdr:row>9</xdr:row>
                    <xdr:rowOff>76200</xdr:rowOff>
                  </from>
                  <to>
                    <xdr:col>4</xdr:col>
                    <xdr:colOff>38100</xdr:colOff>
                    <xdr:row>9</xdr:row>
                    <xdr:rowOff>238125</xdr:rowOff>
                  </to>
                </anchor>
              </controlPr>
            </control>
          </mc:Choice>
        </mc:AlternateContent>
        <mc:AlternateContent xmlns:mc="http://schemas.openxmlformats.org/markup-compatibility/2006">
          <mc:Choice Requires="x14">
            <control shapeId="31752" r:id="rId15" name="Option Button 8">
              <controlPr defaultSize="0" autoFill="0" autoLine="0" autoPict="0">
                <anchor moveWithCells="1" sizeWithCells="1">
                  <from>
                    <xdr:col>2</xdr:col>
                    <xdr:colOff>57150</xdr:colOff>
                    <xdr:row>10</xdr:row>
                    <xdr:rowOff>142875</xdr:rowOff>
                  </from>
                  <to>
                    <xdr:col>4</xdr:col>
                    <xdr:colOff>38100</xdr:colOff>
                    <xdr:row>10</xdr:row>
                    <xdr:rowOff>314325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N19"/>
  <sheetViews>
    <sheetView showGridLines="0" zoomScale="120" zoomScaleNormal="120" workbookViewId="0"/>
  </sheetViews>
  <sheetFormatPr defaultColWidth="2.7109375" defaultRowHeight="12.75" x14ac:dyDescent="0.2"/>
  <cols>
    <col min="1" max="1" width="1.42578125" style="2" customWidth="1"/>
    <col min="2" max="2" width="18" style="2" customWidth="1"/>
    <col min="3" max="3" width="2.5703125" style="2" customWidth="1"/>
    <col min="4" max="4" width="2.28515625" style="2" customWidth="1"/>
    <col min="5" max="11" width="3.85546875" style="2" customWidth="1"/>
    <col min="12" max="12" width="2" style="2" customWidth="1"/>
    <col min="13" max="13" width="7.140625" style="2" customWidth="1"/>
    <col min="14" max="14" width="5.85546875" style="2" customWidth="1"/>
    <col min="15" max="15" width="12.42578125" style="2" customWidth="1"/>
    <col min="16" max="16" width="9.28515625" style="2" customWidth="1"/>
    <col min="17" max="17" width="1.28515625" style="2" customWidth="1"/>
    <col min="18" max="18" width="18.140625" style="2" hidden="1" customWidth="1"/>
    <col min="19" max="19" width="11" style="2" hidden="1" customWidth="1"/>
    <col min="20" max="20" width="18.7109375" style="2" hidden="1" customWidth="1"/>
    <col min="21" max="21" width="18.5703125" style="2" hidden="1" customWidth="1"/>
    <col min="22" max="130" width="2.7109375" style="2" hidden="1" customWidth="1"/>
    <col min="131" max="255" width="2.7109375" style="2" customWidth="1"/>
    <col min="256" max="16384" width="2.7109375" style="2"/>
  </cols>
  <sheetData>
    <row r="1" spans="1:170" ht="15" customHeight="1" x14ac:dyDescent="0.2">
      <c r="B1" s="10" t="s">
        <v>1697</v>
      </c>
      <c r="E1" s="732" t="str">
        <f>IF('Start here'!A6="","",'Start here'!A6)</f>
        <v/>
      </c>
      <c r="F1" s="736"/>
      <c r="G1" s="736"/>
      <c r="H1" s="736"/>
      <c r="I1" s="736"/>
      <c r="J1" s="736"/>
      <c r="K1" s="737"/>
      <c r="M1" s="732" t="str">
        <f>IF('Start here'!A7="","",'Start here'!A7)</f>
        <v/>
      </c>
      <c r="N1" s="736"/>
      <c r="O1" s="736"/>
      <c r="P1" s="737"/>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2">
      <c r="A2" s="15"/>
      <c r="B2" s="777"/>
      <c r="C2" s="777"/>
      <c r="D2" s="777"/>
      <c r="E2" s="777"/>
      <c r="F2" s="777"/>
      <c r="G2" s="777"/>
      <c r="H2" s="777"/>
      <c r="I2" s="777"/>
      <c r="J2" s="777"/>
      <c r="K2" s="777"/>
      <c r="L2" s="777"/>
      <c r="M2" s="777"/>
      <c r="N2" s="777"/>
      <c r="O2" s="777"/>
      <c r="P2" s="777"/>
    </row>
    <row r="3" spans="1:170" ht="24" customHeight="1" x14ac:dyDescent="0.3">
      <c r="B3" s="905" t="s">
        <v>100</v>
      </c>
      <c r="C3" s="905"/>
      <c r="D3" s="905"/>
      <c r="E3" s="905"/>
      <c r="F3" s="905"/>
      <c r="G3" s="905"/>
      <c r="H3" s="905"/>
      <c r="I3" s="905"/>
      <c r="J3" s="905"/>
      <c r="K3" s="905"/>
      <c r="L3" s="905"/>
      <c r="M3" s="905"/>
      <c r="N3" s="905"/>
      <c r="O3" s="905"/>
      <c r="P3" s="905"/>
    </row>
    <row r="4" spans="1:170" ht="32.1" customHeight="1" x14ac:dyDescent="0.2">
      <c r="B4" s="949" t="s">
        <v>1874</v>
      </c>
      <c r="C4" s="1002"/>
      <c r="D4" s="1002"/>
      <c r="E4" s="761" t="s">
        <v>1262</v>
      </c>
      <c r="F4" s="761"/>
      <c r="G4" s="761"/>
      <c r="H4" s="761"/>
      <c r="I4" s="761"/>
      <c r="J4" s="761"/>
      <c r="K4" s="761"/>
      <c r="L4" s="761"/>
      <c r="M4" s="761"/>
      <c r="N4" s="761"/>
      <c r="O4" s="761"/>
      <c r="P4" s="1626">
        <f>IF(AND(R8&gt;0,R8&lt;0.01),0.01,ROUND(R8,2))</f>
        <v>0</v>
      </c>
      <c r="R4" s="146" t="s">
        <v>2236</v>
      </c>
      <c r="S4" s="547">
        <v>1</v>
      </c>
    </row>
    <row r="5" spans="1:170" ht="32.1" customHeight="1" x14ac:dyDescent="0.2">
      <c r="B5" s="949"/>
      <c r="C5" s="1002"/>
      <c r="D5" s="1002"/>
      <c r="E5" s="761" t="s">
        <v>2089</v>
      </c>
      <c r="F5" s="761"/>
      <c r="G5" s="761"/>
      <c r="H5" s="761"/>
      <c r="I5" s="761"/>
      <c r="J5" s="761"/>
      <c r="K5" s="761"/>
      <c r="L5" s="761"/>
      <c r="M5" s="761"/>
      <c r="N5" s="761"/>
      <c r="O5" s="761"/>
      <c r="P5" s="1626"/>
    </row>
    <row r="6" spans="1:170" ht="32.1" customHeight="1" x14ac:dyDescent="0.2">
      <c r="B6" s="949"/>
      <c r="C6" s="1002"/>
      <c r="D6" s="1002"/>
      <c r="E6" s="761" t="s">
        <v>2090</v>
      </c>
      <c r="F6" s="761"/>
      <c r="G6" s="761"/>
      <c r="H6" s="761"/>
      <c r="I6" s="761"/>
      <c r="J6" s="761"/>
      <c r="K6" s="761"/>
      <c r="L6" s="761"/>
      <c r="M6" s="761"/>
      <c r="N6" s="761"/>
      <c r="O6" s="761"/>
      <c r="P6" s="1626"/>
    </row>
    <row r="7" spans="1:170" ht="43.5" customHeight="1" x14ac:dyDescent="0.2">
      <c r="B7" s="949"/>
      <c r="C7" s="1002"/>
      <c r="D7" s="1002"/>
      <c r="E7" s="761" t="s">
        <v>2091</v>
      </c>
      <c r="F7" s="761"/>
      <c r="G7" s="761"/>
      <c r="H7" s="761"/>
      <c r="I7" s="761"/>
      <c r="J7" s="761"/>
      <c r="K7" s="761"/>
      <c r="L7" s="761"/>
      <c r="M7" s="912"/>
      <c r="N7" s="912"/>
      <c r="O7" s="19" t="s">
        <v>1495</v>
      </c>
      <c r="P7" s="1626"/>
      <c r="R7" s="127" t="s">
        <v>2234</v>
      </c>
    </row>
    <row r="8" spans="1:170" ht="21" customHeight="1" x14ac:dyDescent="0.2">
      <c r="B8" s="949" t="s">
        <v>1107</v>
      </c>
      <c r="C8" s="949"/>
      <c r="D8" s="949"/>
      <c r="E8" s="949"/>
      <c r="F8" s="949"/>
      <c r="G8" s="949"/>
      <c r="H8" s="949"/>
      <c r="I8" s="949"/>
      <c r="J8" s="949"/>
      <c r="K8" s="949"/>
      <c r="L8" s="949"/>
      <c r="M8" s="1626">
        <f>IF(S4=2,0.03,IF(S4=3,0.08,IF(S4=4,0.13,0)))</f>
        <v>0</v>
      </c>
      <c r="N8" s="1626"/>
      <c r="O8" s="207"/>
      <c r="P8" s="1626"/>
      <c r="R8" s="550">
        <f>IF(O8&gt;0,M8*O8,M8)</f>
        <v>0</v>
      </c>
    </row>
    <row r="9" spans="1:170" ht="32.25" customHeight="1" x14ac:dyDescent="0.25">
      <c r="B9" s="1037" t="s">
        <v>931</v>
      </c>
      <c r="C9" s="1037"/>
      <c r="D9" s="1037"/>
      <c r="E9" s="1037"/>
      <c r="F9" s="1037"/>
      <c r="G9" s="1037"/>
      <c r="H9" s="1037"/>
      <c r="I9" s="1037"/>
      <c r="J9" s="1037"/>
      <c r="K9" s="1037"/>
      <c r="L9" s="1037"/>
      <c r="M9" s="1037"/>
      <c r="N9" s="1037"/>
      <c r="O9" s="1037"/>
      <c r="P9" s="1037"/>
    </row>
    <row r="10" spans="1:170" x14ac:dyDescent="0.2">
      <c r="C10" s="1294" t="str">
        <f>IF(U1&lt;&gt;"",U1,"")</f>
        <v>Go to PPD Worksheet</v>
      </c>
      <c r="D10" s="1294"/>
      <c r="E10" s="1294"/>
      <c r="F10" s="1294"/>
      <c r="G10" s="1294"/>
      <c r="H10" s="1294"/>
      <c r="I10" s="1464" t="str">
        <f>IF(T1&lt;&gt;"",T1,"")</f>
        <v/>
      </c>
      <c r="J10" s="1464"/>
      <c r="K10" s="1464"/>
      <c r="L10" s="1464"/>
      <c r="M10" s="1464"/>
      <c r="N10" s="1464"/>
    </row>
    <row r="12" spans="1:170" hidden="1" x14ac:dyDescent="0.2">
      <c r="B12" s="2">
        <v>0.01</v>
      </c>
      <c r="C12" s="1">
        <v>0.99</v>
      </c>
      <c r="D12" s="1"/>
      <c r="E12" s="1"/>
      <c r="F12" s="1"/>
      <c r="G12" s="1"/>
      <c r="H12" s="1"/>
      <c r="I12" s="1"/>
      <c r="J12" s="1"/>
      <c r="K12" s="1"/>
      <c r="L12" s="1"/>
      <c r="M12" s="1"/>
      <c r="N12" s="1"/>
    </row>
    <row r="13" spans="1:170" x14ac:dyDescent="0.2">
      <c r="C13" s="1"/>
      <c r="D13" s="1"/>
      <c r="E13" s="1"/>
      <c r="F13" s="1"/>
      <c r="G13" s="1"/>
      <c r="H13" s="1"/>
      <c r="I13" s="1"/>
      <c r="J13" s="1"/>
    </row>
    <row r="14" spans="1:170" x14ac:dyDescent="0.2">
      <c r="C14" s="1"/>
      <c r="D14" s="1"/>
      <c r="E14" s="1"/>
      <c r="F14" s="1"/>
      <c r="G14" s="1"/>
      <c r="H14" s="1"/>
      <c r="I14" s="1"/>
      <c r="J14" s="1"/>
    </row>
    <row r="15" spans="1:170" x14ac:dyDescent="0.2">
      <c r="C15" s="1"/>
      <c r="D15" s="1"/>
      <c r="E15" s="1"/>
      <c r="F15" s="1"/>
      <c r="G15" s="1"/>
      <c r="H15" s="1"/>
      <c r="I15" s="1"/>
      <c r="J15" s="1"/>
    </row>
    <row r="16" spans="1:170" x14ac:dyDescent="0.2">
      <c r="C16" s="1"/>
      <c r="D16" s="1"/>
      <c r="E16" s="1"/>
      <c r="F16" s="1"/>
      <c r="G16" s="1"/>
      <c r="H16" s="1"/>
      <c r="I16" s="1"/>
      <c r="J16" s="1"/>
    </row>
    <row r="17" spans="3:14" x14ac:dyDescent="0.2">
      <c r="C17" s="1"/>
      <c r="D17" s="1"/>
      <c r="E17" s="1"/>
      <c r="F17" s="1"/>
      <c r="G17" s="1"/>
      <c r="H17" s="1"/>
      <c r="I17" s="1"/>
      <c r="J17" s="1"/>
    </row>
    <row r="18" spans="3:14" x14ac:dyDescent="0.2">
      <c r="C18" s="1"/>
      <c r="D18" s="1"/>
      <c r="E18" s="1"/>
      <c r="F18" s="1"/>
      <c r="G18" s="1"/>
      <c r="H18" s="1"/>
      <c r="I18" s="1"/>
      <c r="J18" s="1"/>
    </row>
    <row r="19" spans="3:14" x14ac:dyDescent="0.2">
      <c r="C19" s="1"/>
      <c r="D19" s="1"/>
      <c r="E19" s="1"/>
      <c r="F19" s="1"/>
      <c r="G19" s="1"/>
      <c r="H19" s="1"/>
      <c r="I19" s="1"/>
      <c r="J19" s="1"/>
      <c r="K19" s="1"/>
      <c r="L19" s="1"/>
      <c r="M19" s="1"/>
      <c r="N19" s="1"/>
    </row>
  </sheetData>
  <sheetProtection sheet="1" objects="1" scenarios="1"/>
  <mergeCells count="17">
    <mergeCell ref="M7:N7"/>
    <mergeCell ref="E1:K1"/>
    <mergeCell ref="M1:P1"/>
    <mergeCell ref="B2:P2"/>
    <mergeCell ref="B3:P3"/>
    <mergeCell ref="C10:H10"/>
    <mergeCell ref="I10:N10"/>
    <mergeCell ref="B9:P9"/>
    <mergeCell ref="B4:B7"/>
    <mergeCell ref="C4:D7"/>
    <mergeCell ref="E4:O4"/>
    <mergeCell ref="P4:P8"/>
    <mergeCell ref="E5:O5"/>
    <mergeCell ref="E6:O6"/>
    <mergeCell ref="M8:N8"/>
    <mergeCell ref="B8:L8"/>
    <mergeCell ref="E7:L7"/>
  </mergeCells>
  <phoneticPr fontId="0" type="noConversion"/>
  <dataValidations xWindow="858" yWindow="121" count="2">
    <dataValidation type="decimal" allowBlank="1" showInputMessage="1" showErrorMessage="1" promptTitle="Apportionment (if any)" prompt="Enter percentage of impairment caused by the injury or illness. See OAR 436-035-0013." sqref="O8" xr:uid="{00000000-0002-0000-1B00-000000000000}">
      <formula1>$B$12</formula1>
      <formula2>$C$12</formula2>
    </dataValidation>
    <dataValidation allowBlank="1" showInputMessage="1" showErrorMessage="1" promptTitle="Start of worksheet" prompt="Press &quot;Tab&quot; to continue." sqref="A2" xr:uid="{00000000-0002-0000-1B00-000001000000}"/>
  </dataValidations>
  <hyperlinks>
    <hyperlink ref="I10:N10" location="'PPD DOI on or after 2005'!A1" display="'PPD DOI on or after 2005'!A1" xr:uid="{00000000-0004-0000-1B00-000000000000}"/>
    <hyperlink ref="C10:H10" location="'PPD DOI before 2005'!A1" display="'PPD DOI before 2005'!A1" xr:uid="{00000000-0004-0000-1B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22" r:id="rId4" name="Option Button 2">
              <controlPr defaultSize="0" autoFill="0" autoLine="0" autoPict="0">
                <anchor moveWithCells="1" sizeWithCells="1">
                  <from>
                    <xdr:col>2</xdr:col>
                    <xdr:colOff>57150</xdr:colOff>
                    <xdr:row>3</xdr:row>
                    <xdr:rowOff>95250</xdr:rowOff>
                  </from>
                  <to>
                    <xdr:col>4</xdr:col>
                    <xdr:colOff>38100</xdr:colOff>
                    <xdr:row>3</xdr:row>
                    <xdr:rowOff>333375</xdr:rowOff>
                  </to>
                </anchor>
              </controlPr>
            </control>
          </mc:Choice>
        </mc:AlternateContent>
        <mc:AlternateContent xmlns:mc="http://schemas.openxmlformats.org/markup-compatibility/2006">
          <mc:Choice Requires="x14">
            <control shapeId="30723" r:id="rId5" name="Option Button 3">
              <controlPr defaultSize="0" autoFill="0" autoLine="0" autoPict="0">
                <anchor moveWithCells="1" sizeWithCells="1">
                  <from>
                    <xdr:col>2</xdr:col>
                    <xdr:colOff>57150</xdr:colOff>
                    <xdr:row>4</xdr:row>
                    <xdr:rowOff>123825</xdr:rowOff>
                  </from>
                  <to>
                    <xdr:col>4</xdr:col>
                    <xdr:colOff>38100</xdr:colOff>
                    <xdr:row>4</xdr:row>
                    <xdr:rowOff>361950</xdr:rowOff>
                  </to>
                </anchor>
              </controlPr>
            </control>
          </mc:Choice>
        </mc:AlternateContent>
        <mc:AlternateContent xmlns:mc="http://schemas.openxmlformats.org/markup-compatibility/2006">
          <mc:Choice Requires="x14">
            <control shapeId="30724" r:id="rId6" name="Option Button 4">
              <controlPr defaultSize="0" autoFill="0" autoLine="0" autoPict="0">
                <anchor moveWithCells="1" sizeWithCells="1">
                  <from>
                    <xdr:col>2</xdr:col>
                    <xdr:colOff>57150</xdr:colOff>
                    <xdr:row>5</xdr:row>
                    <xdr:rowOff>180975</xdr:rowOff>
                  </from>
                  <to>
                    <xdr:col>4</xdr:col>
                    <xdr:colOff>38100</xdr:colOff>
                    <xdr:row>6</xdr:row>
                    <xdr:rowOff>28575</xdr:rowOff>
                  </to>
                </anchor>
              </controlPr>
            </control>
          </mc:Choice>
        </mc:AlternateContent>
        <mc:AlternateContent xmlns:mc="http://schemas.openxmlformats.org/markup-compatibility/2006">
          <mc:Choice Requires="x14">
            <control shapeId="30725" r:id="rId7" name="Option Button 5">
              <controlPr defaultSize="0" autoFill="0" autoLine="0" autoPict="0">
                <anchor moveWithCells="1" sizeWithCells="1">
                  <from>
                    <xdr:col>2</xdr:col>
                    <xdr:colOff>57150</xdr:colOff>
                    <xdr:row>6</xdr:row>
                    <xdr:rowOff>200025</xdr:rowOff>
                  </from>
                  <to>
                    <xdr:col>4</xdr:col>
                    <xdr:colOff>38100</xdr:colOff>
                    <xdr:row>6</xdr:row>
                    <xdr:rowOff>438150</xdr:rowOff>
                  </to>
                </anchor>
              </controlPr>
            </control>
          </mc:Choice>
        </mc:AlternateContent>
        <mc:AlternateContent xmlns:mc="http://schemas.openxmlformats.org/markup-compatibility/2006">
          <mc:Choice Requires="x14">
            <control shapeId="30726" r:id="rId8" name="Group Box 6">
              <controlPr defaultSize="0" autoFill="0" autoPict="0">
                <anchor moveWithCells="1" sizeWithCells="1">
                  <from>
                    <xdr:col>2</xdr:col>
                    <xdr:colOff>0</xdr:colOff>
                    <xdr:row>3</xdr:row>
                    <xdr:rowOff>0</xdr:rowOff>
                  </from>
                  <to>
                    <xdr:col>15</xdr:col>
                    <xdr:colOff>0</xdr:colOff>
                    <xdr:row>7</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U555"/>
  <sheetViews>
    <sheetView zoomScaleNormal="100" zoomScaleSheetLayoutView="50" workbookViewId="0">
      <pane ySplit="2" topLeftCell="A3" activePane="bottomLeft" state="frozen"/>
      <selection pane="bottomLeft"/>
    </sheetView>
  </sheetViews>
  <sheetFormatPr defaultColWidth="9.140625" defaultRowHeight="12.75" x14ac:dyDescent="0.2"/>
  <cols>
    <col min="1" max="1" width="15.42578125" style="10" bestFit="1" customWidth="1"/>
    <col min="2" max="2" width="8" style="10" bestFit="1" customWidth="1"/>
    <col min="3" max="3" width="7.7109375" style="10" bestFit="1" customWidth="1"/>
    <col min="4" max="4" width="9.140625" style="10"/>
    <col min="5" max="5" width="8" style="10" bestFit="1" customWidth="1"/>
    <col min="6" max="6" width="7.7109375" style="10" bestFit="1" customWidth="1"/>
    <col min="7" max="7" width="8.85546875" style="10" customWidth="1"/>
    <col min="8" max="10" width="8.140625" style="10" bestFit="1" customWidth="1"/>
    <col min="11" max="13" width="8.140625" style="94" bestFit="1" customWidth="1"/>
    <col min="14" max="14" width="8" style="10" bestFit="1" customWidth="1"/>
    <col min="15" max="16" width="8.28515625" style="10" bestFit="1" customWidth="1"/>
    <col min="17" max="21" width="8" style="14" bestFit="1" customWidth="1"/>
    <col min="22" max="23" width="8.140625" style="94" bestFit="1" customWidth="1"/>
    <col min="24" max="24" width="10.5703125" style="14" bestFit="1" customWidth="1"/>
    <col min="25" max="25" width="10.5703125" style="94" bestFit="1" customWidth="1"/>
    <col min="26" max="26" width="7.7109375" style="94" bestFit="1" customWidth="1"/>
    <col min="27" max="27" width="8" style="94" bestFit="1" customWidth="1"/>
    <col min="28" max="29" width="7.7109375" style="94" bestFit="1" customWidth="1"/>
    <col min="30" max="30" width="6.85546875" style="94" bestFit="1" customWidth="1"/>
    <col min="31" max="31" width="5.7109375" style="14" bestFit="1" customWidth="1"/>
    <col min="32" max="32" width="6.85546875" style="94" bestFit="1" customWidth="1"/>
    <col min="33" max="33" width="8" style="94" bestFit="1" customWidth="1"/>
    <col min="34" max="34" width="8" style="14" bestFit="1" customWidth="1"/>
    <col min="35" max="36" width="7.7109375" style="94" bestFit="1" customWidth="1"/>
    <col min="37" max="37" width="10.5703125" style="94" bestFit="1" customWidth="1"/>
    <col min="38" max="38" width="11.28515625" style="94" customWidth="1"/>
    <col min="39" max="39" width="10.5703125" style="94" bestFit="1" customWidth="1"/>
    <col min="40" max="44" width="3.7109375" style="94" customWidth="1"/>
    <col min="45" max="45" width="26.28515625" style="14" bestFit="1" customWidth="1"/>
    <col min="46" max="46" width="7.7109375" style="62" customWidth="1"/>
    <col min="47" max="47" width="7.5703125" style="62" customWidth="1"/>
    <col min="48" max="48" width="7.85546875" style="14" customWidth="1"/>
    <col min="49" max="49" width="5.7109375" style="62" customWidth="1"/>
    <col min="50" max="50" width="31.5703125" style="14" bestFit="1" customWidth="1"/>
    <col min="51" max="53" width="7.7109375" style="14" customWidth="1"/>
    <col min="54" max="54" width="9.140625" style="14"/>
    <col min="55" max="55" width="26.28515625" style="14" bestFit="1" customWidth="1"/>
    <col min="56" max="58" width="7.7109375" style="14" customWidth="1"/>
    <col min="59" max="59" width="8" style="14" bestFit="1" customWidth="1"/>
    <col min="60" max="60" width="31.5703125" style="98" bestFit="1" customWidth="1"/>
    <col min="61" max="63" width="7.7109375" style="14" customWidth="1"/>
    <col min="64" max="97" width="9.140625" style="14"/>
    <col min="98" max="16384" width="9.140625" style="10"/>
  </cols>
  <sheetData>
    <row r="1" spans="1:125" ht="41.25" customHeight="1" x14ac:dyDescent="0.2">
      <c r="A1" s="267" t="s">
        <v>2243</v>
      </c>
      <c r="B1" s="50" t="s">
        <v>1542</v>
      </c>
      <c r="C1" s="50" t="s">
        <v>1542</v>
      </c>
      <c r="D1" s="50" t="s">
        <v>1542</v>
      </c>
      <c r="E1" s="50" t="s">
        <v>1542</v>
      </c>
      <c r="F1" s="50" t="s">
        <v>1542</v>
      </c>
      <c r="G1" s="50" t="s">
        <v>1542</v>
      </c>
      <c r="H1" s="256" t="s">
        <v>398</v>
      </c>
      <c r="I1" s="256" t="s">
        <v>398</v>
      </c>
      <c r="J1" s="256" t="s">
        <v>398</v>
      </c>
      <c r="K1" s="256" t="s">
        <v>398</v>
      </c>
      <c r="L1" s="256" t="s">
        <v>398</v>
      </c>
      <c r="M1" s="256" t="s">
        <v>398</v>
      </c>
      <c r="N1" s="256" t="s">
        <v>398</v>
      </c>
      <c r="O1" s="256" t="s">
        <v>398</v>
      </c>
      <c r="P1" s="256" t="s">
        <v>398</v>
      </c>
      <c r="Q1" s="147" t="s">
        <v>1692</v>
      </c>
      <c r="R1" s="147" t="s">
        <v>1692</v>
      </c>
      <c r="S1" s="147" t="s">
        <v>1692</v>
      </c>
      <c r="T1" s="147" t="s">
        <v>1692</v>
      </c>
      <c r="U1" s="147" t="s">
        <v>1692</v>
      </c>
      <c r="V1" s="581" t="s">
        <v>1623</v>
      </c>
      <c r="W1" s="581" t="s">
        <v>1623</v>
      </c>
      <c r="X1" s="147" t="s">
        <v>1623</v>
      </c>
      <c r="Y1" s="147" t="s">
        <v>1623</v>
      </c>
      <c r="Z1" s="581" t="s">
        <v>399</v>
      </c>
      <c r="AA1" s="581" t="s">
        <v>399</v>
      </c>
      <c r="AB1" s="581" t="s">
        <v>399</v>
      </c>
      <c r="AC1" s="581" t="s">
        <v>399</v>
      </c>
      <c r="AD1" s="581" t="s">
        <v>399</v>
      </c>
      <c r="AE1" s="147" t="s">
        <v>399</v>
      </c>
      <c r="AF1" s="147" t="s">
        <v>399</v>
      </c>
      <c r="AG1" s="581" t="s">
        <v>399</v>
      </c>
      <c r="AH1" s="147" t="s">
        <v>1692</v>
      </c>
      <c r="AI1" s="581" t="s">
        <v>400</v>
      </c>
      <c r="AJ1" s="581" t="s">
        <v>400</v>
      </c>
      <c r="AK1" s="581" t="s">
        <v>400</v>
      </c>
      <c r="AL1" s="666" t="s">
        <v>401</v>
      </c>
      <c r="AM1" s="581" t="s">
        <v>400</v>
      </c>
      <c r="AO1" s="99"/>
      <c r="AP1" s="99"/>
      <c r="AQ1" s="99"/>
      <c r="AR1" s="99"/>
      <c r="AS1" s="147" t="s">
        <v>531</v>
      </c>
      <c r="AX1" s="147" t="s">
        <v>531</v>
      </c>
      <c r="BC1" s="147" t="s">
        <v>532</v>
      </c>
      <c r="BH1" s="147" t="s">
        <v>532</v>
      </c>
    </row>
    <row r="2" spans="1:125" ht="100.5" customHeight="1" x14ac:dyDescent="0.2">
      <c r="A2" s="256" t="s">
        <v>1923</v>
      </c>
      <c r="B2" s="668" t="s">
        <v>406</v>
      </c>
      <c r="C2" s="668" t="s">
        <v>407</v>
      </c>
      <c r="D2" s="668" t="s">
        <v>408</v>
      </c>
      <c r="E2" s="668" t="s">
        <v>323</v>
      </c>
      <c r="F2" s="668" t="s">
        <v>324</v>
      </c>
      <c r="G2" s="668" t="s">
        <v>325</v>
      </c>
      <c r="H2" s="668" t="s">
        <v>326</v>
      </c>
      <c r="I2" s="668" t="s">
        <v>327</v>
      </c>
      <c r="J2" s="668" t="s">
        <v>328</v>
      </c>
      <c r="K2" s="668" t="s">
        <v>329</v>
      </c>
      <c r="L2" s="668" t="s">
        <v>330</v>
      </c>
      <c r="M2" s="668" t="s">
        <v>331</v>
      </c>
      <c r="N2" s="668" t="s">
        <v>323</v>
      </c>
      <c r="O2" s="668" t="s">
        <v>324</v>
      </c>
      <c r="P2" s="668" t="s">
        <v>325</v>
      </c>
      <c r="Q2" s="668" t="s">
        <v>332</v>
      </c>
      <c r="R2" s="668" t="s">
        <v>1430</v>
      </c>
      <c r="S2" s="668" t="s">
        <v>608</v>
      </c>
      <c r="T2" s="668" t="s">
        <v>865</v>
      </c>
      <c r="U2" s="668" t="s">
        <v>866</v>
      </c>
      <c r="V2" s="668" t="s">
        <v>867</v>
      </c>
      <c r="W2" s="668" t="s">
        <v>868</v>
      </c>
      <c r="X2" s="668" t="s">
        <v>869</v>
      </c>
      <c r="Y2" s="668" t="s">
        <v>1640</v>
      </c>
      <c r="Z2" s="668" t="s">
        <v>837</v>
      </c>
      <c r="AA2" s="668" t="s">
        <v>1641</v>
      </c>
      <c r="AB2" s="668" t="s">
        <v>836</v>
      </c>
      <c r="AC2" s="668" t="s">
        <v>1445</v>
      </c>
      <c r="AD2" s="668" t="s">
        <v>1446</v>
      </c>
      <c r="AE2" s="668" t="s">
        <v>1447</v>
      </c>
      <c r="AF2" s="669" t="s">
        <v>895</v>
      </c>
      <c r="AG2" s="669" t="s">
        <v>896</v>
      </c>
      <c r="AH2" s="668" t="s">
        <v>1614</v>
      </c>
      <c r="AI2" s="669" t="s">
        <v>1615</v>
      </c>
      <c r="AJ2" s="669" t="s">
        <v>1616</v>
      </c>
      <c r="AK2" s="669" t="s">
        <v>254</v>
      </c>
      <c r="AL2" s="669" t="s">
        <v>255</v>
      </c>
      <c r="AM2" s="669" t="s">
        <v>181</v>
      </c>
      <c r="AN2" s="321"/>
      <c r="AO2" s="321"/>
      <c r="AP2" s="321"/>
      <c r="AQ2" s="321"/>
      <c r="AR2" s="321"/>
      <c r="AS2" s="272" t="s">
        <v>1542</v>
      </c>
      <c r="AT2" s="674" t="s">
        <v>2244</v>
      </c>
      <c r="AU2" s="667" t="s">
        <v>1287</v>
      </c>
      <c r="AV2" s="667" t="s">
        <v>2245</v>
      </c>
      <c r="AW2" s="323"/>
      <c r="AX2" s="272"/>
      <c r="AY2" s="674" t="s">
        <v>2244</v>
      </c>
      <c r="AZ2" s="667" t="s">
        <v>1287</v>
      </c>
      <c r="BA2" s="667" t="s">
        <v>2245</v>
      </c>
      <c r="BB2" s="322"/>
      <c r="BC2" s="272" t="s">
        <v>1542</v>
      </c>
      <c r="BD2" s="674" t="s">
        <v>2246</v>
      </c>
      <c r="BE2" s="667" t="s">
        <v>1287</v>
      </c>
      <c r="BF2" s="667" t="s">
        <v>2247</v>
      </c>
      <c r="BG2" s="323"/>
      <c r="BH2" s="272"/>
      <c r="BI2" s="674" t="s">
        <v>2246</v>
      </c>
      <c r="BJ2" s="667" t="s">
        <v>1287</v>
      </c>
      <c r="BK2" s="667" t="s">
        <v>2247</v>
      </c>
      <c r="BL2" s="322"/>
      <c r="BM2" s="322"/>
      <c r="BN2" s="322"/>
      <c r="BO2" s="322"/>
      <c r="BP2" s="322"/>
      <c r="BQ2" s="322"/>
      <c r="BR2" s="322"/>
      <c r="BS2" s="322"/>
      <c r="BT2" s="322"/>
      <c r="BU2" s="322"/>
      <c r="BV2" s="322"/>
      <c r="BW2" s="322"/>
      <c r="BX2" s="322"/>
      <c r="BY2" s="322"/>
      <c r="BZ2" s="322"/>
      <c r="CA2" s="322"/>
      <c r="CB2" s="322"/>
      <c r="CC2" s="322"/>
      <c r="CD2" s="322"/>
      <c r="CE2" s="322"/>
      <c r="CF2" s="322"/>
      <c r="CG2" s="322"/>
      <c r="CH2" s="322"/>
      <c r="CI2" s="322"/>
      <c r="CJ2" s="322"/>
      <c r="CK2" s="322"/>
      <c r="CL2" s="322"/>
      <c r="CM2" s="322"/>
      <c r="CN2" s="322"/>
      <c r="CO2" s="322"/>
      <c r="CP2" s="322"/>
      <c r="CQ2" s="322"/>
      <c r="CR2" s="322"/>
      <c r="CS2" s="322"/>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row>
    <row r="3" spans="1:125" ht="15" customHeight="1" x14ac:dyDescent="0.2">
      <c r="A3" s="50">
        <v>0</v>
      </c>
      <c r="B3" s="544">
        <v>0.45</v>
      </c>
      <c r="C3" s="544">
        <v>0</v>
      </c>
      <c r="D3" s="544">
        <v>0.45</v>
      </c>
      <c r="E3" s="544">
        <v>0.55000000000000004</v>
      </c>
      <c r="F3" s="544">
        <v>0</v>
      </c>
      <c r="G3" s="544">
        <v>0.55000000000000004</v>
      </c>
      <c r="H3" s="544">
        <v>0.45</v>
      </c>
      <c r="I3" s="544">
        <v>0</v>
      </c>
      <c r="J3" s="544">
        <v>0.45</v>
      </c>
      <c r="K3" s="581">
        <v>0.6</v>
      </c>
      <c r="L3" s="581">
        <v>0</v>
      </c>
      <c r="M3" s="581">
        <v>0.6</v>
      </c>
      <c r="N3" s="544">
        <v>0.55000000000000004</v>
      </c>
      <c r="O3" s="544">
        <v>0</v>
      </c>
      <c r="P3" s="544">
        <v>0.55000000000000004</v>
      </c>
      <c r="Q3" s="147">
        <v>0</v>
      </c>
      <c r="R3" s="514">
        <v>0</v>
      </c>
      <c r="S3" s="514">
        <v>0</v>
      </c>
      <c r="T3" s="147">
        <v>0</v>
      </c>
      <c r="U3" s="147">
        <v>0</v>
      </c>
      <c r="V3" s="581">
        <v>0.06</v>
      </c>
      <c r="W3" s="581">
        <v>0.06</v>
      </c>
      <c r="X3" s="581">
        <v>0.12</v>
      </c>
      <c r="Y3" s="581">
        <v>0.12</v>
      </c>
      <c r="Z3" s="581">
        <v>0.1</v>
      </c>
      <c r="AA3" s="581">
        <v>0.3</v>
      </c>
      <c r="AB3" s="581">
        <v>0.11</v>
      </c>
      <c r="AC3" s="581">
        <v>0.3</v>
      </c>
      <c r="AD3" s="581">
        <v>0.04</v>
      </c>
      <c r="AE3" s="147">
        <v>0.3</v>
      </c>
      <c r="AF3" s="581">
        <v>0.05</v>
      </c>
      <c r="AG3" s="581">
        <v>0.3</v>
      </c>
      <c r="AH3" s="147">
        <v>0</v>
      </c>
      <c r="AI3" s="581">
        <v>0.39</v>
      </c>
      <c r="AJ3" s="581">
        <v>0</v>
      </c>
      <c r="AK3" s="581">
        <v>0.65</v>
      </c>
      <c r="AL3" s="581">
        <v>0.13</v>
      </c>
      <c r="AM3" s="581">
        <v>0.65</v>
      </c>
      <c r="AS3" s="665" t="s">
        <v>1484</v>
      </c>
      <c r="AT3" s="578" t="str">
        <f>IF('Upper Extremity-Right'!T18="","",'Upper Extremity-Right'!T18)</f>
        <v/>
      </c>
      <c r="AU3" s="578" t="str">
        <f>IF(AT3="","",ROUND(AT3,0))</f>
        <v/>
      </c>
      <c r="AV3" s="581">
        <f>IF(AU3="",0,VLOOKUP(AU3,$A$3:$AM$153,2))</f>
        <v>0</v>
      </c>
      <c r="AX3" s="147" t="s">
        <v>1178</v>
      </c>
      <c r="AY3" s="578" t="str">
        <f>IF('Upper Extremity-Right'!V18="","",'Upper Extremity-Right'!V18)</f>
        <v/>
      </c>
      <c r="AZ3" s="578" t="str">
        <f>IF(AY3="","",ROUND(AY3,0))</f>
        <v/>
      </c>
      <c r="BA3" s="193">
        <f>IF(AZ3="",0,VLOOKUP(AZ3,$A$3:$AM$153,2))</f>
        <v>0</v>
      </c>
      <c r="BC3" s="147" t="s">
        <v>1484</v>
      </c>
      <c r="BD3" s="594" t="str">
        <f>IF('Upper Extremity-Left'!T18="","",'Upper Extremity-Left'!T18)</f>
        <v/>
      </c>
      <c r="BE3" s="578" t="str">
        <f>IF(BD3="","",ROUND(BD3,0))</f>
        <v/>
      </c>
      <c r="BF3" s="193">
        <f>IF(BE3="",0,VLOOKUP(BE3,$A$3:$AM$153,2))</f>
        <v>0</v>
      </c>
      <c r="BG3" s="62"/>
      <c r="BH3" s="147" t="s">
        <v>1178</v>
      </c>
      <c r="BI3" s="578" t="str">
        <f>IF('Upper Extremity-Left'!V18="","",'Upper Extremity-Left'!V18)</f>
        <v/>
      </c>
      <c r="BJ3" s="578" t="str">
        <f>IF(BI3="","",ROUND(BI3,0))</f>
        <v/>
      </c>
      <c r="BK3" s="193">
        <f>IF(BJ3="",0,VLOOKUP(BJ3,$A$3:$AM$153,2))</f>
        <v>0</v>
      </c>
    </row>
    <row r="4" spans="1:125" ht="15" customHeight="1" x14ac:dyDescent="0.2">
      <c r="A4" s="50">
        <v>1</v>
      </c>
      <c r="B4" s="544">
        <v>0.44400000000000001</v>
      </c>
      <c r="C4" s="544">
        <v>4.0000000000000001E-3</v>
      </c>
      <c r="D4" s="544">
        <v>0.44800000000000001</v>
      </c>
      <c r="E4" s="544">
        <v>0.54100000000000004</v>
      </c>
      <c r="F4" s="544">
        <v>3.0000000000000001E-3</v>
      </c>
      <c r="G4" s="544">
        <v>0.54400000000000004</v>
      </c>
      <c r="H4" s="544">
        <v>0.443</v>
      </c>
      <c r="I4" s="544">
        <v>3.0000000000000001E-3</v>
      </c>
      <c r="J4" s="544">
        <v>0.44600000000000001</v>
      </c>
      <c r="K4" s="581">
        <v>0.59399999999999997</v>
      </c>
      <c r="L4" s="581">
        <v>3.0000000000000001E-3</v>
      </c>
      <c r="M4" s="581">
        <v>0.59699999999999998</v>
      </c>
      <c r="N4" s="544">
        <v>0.54400000000000004</v>
      </c>
      <c r="O4" s="544">
        <v>3.0000000000000001E-3</v>
      </c>
      <c r="P4" s="544">
        <v>0.54700000000000004</v>
      </c>
      <c r="Q4" s="147">
        <v>0.01</v>
      </c>
      <c r="R4" s="514">
        <v>0.01</v>
      </c>
      <c r="S4" s="514">
        <v>0.01</v>
      </c>
      <c r="T4" s="147">
        <v>0.01</v>
      </c>
      <c r="U4" s="147">
        <v>0.01</v>
      </c>
      <c r="V4" s="581">
        <v>5.6000000000000001E-2</v>
      </c>
      <c r="W4" s="581">
        <v>5.8000000000000003E-2</v>
      </c>
      <c r="X4" s="581">
        <v>0.13</v>
      </c>
      <c r="Y4" s="581">
        <v>0.127</v>
      </c>
      <c r="Z4" s="581">
        <v>9.8000000000000004E-2</v>
      </c>
      <c r="AA4" s="581">
        <v>0.29799999999999999</v>
      </c>
      <c r="AB4" s="581">
        <v>0.109</v>
      </c>
      <c r="AC4" s="581">
        <v>0.309</v>
      </c>
      <c r="AD4" s="581">
        <v>3.7999999999999999E-2</v>
      </c>
      <c r="AE4" s="147">
        <v>0.33</v>
      </c>
      <c r="AF4" s="581">
        <v>4.9000000000000002E-2</v>
      </c>
      <c r="AG4" s="581">
        <v>0.32</v>
      </c>
      <c r="AH4" s="147">
        <v>0.01</v>
      </c>
      <c r="AI4" s="581">
        <v>0.38700000000000001</v>
      </c>
      <c r="AJ4" s="581">
        <v>2E-3</v>
      </c>
      <c r="AK4" s="581">
        <v>0.64900000000000002</v>
      </c>
      <c r="AL4" s="581">
        <v>0.128</v>
      </c>
      <c r="AM4" s="581">
        <v>0.65400000000000003</v>
      </c>
      <c r="AS4" s="665" t="s">
        <v>1485</v>
      </c>
      <c r="AT4" s="578" t="str">
        <f>IF('Upper Extremity-Right'!T19="","",'Upper Extremity-Right'!T19)</f>
        <v/>
      </c>
      <c r="AU4" s="578" t="str">
        <f t="shared" ref="AU4:AU67" si="0">IF(AT4="","",ROUND(AT4,0))</f>
        <v/>
      </c>
      <c r="AV4" s="193">
        <f>IF(AU4="",0,VLOOKUP(AU4,$A$3:$AM$153,3))</f>
        <v>0</v>
      </c>
      <c r="AX4" s="147" t="s">
        <v>1178</v>
      </c>
      <c r="AY4" s="578" t="str">
        <f>IF('Upper Extremity-Right'!V19="","",'Upper Extremity-Right'!V19)</f>
        <v/>
      </c>
      <c r="AZ4" s="578" t="str">
        <f>IF(AY4="","",ROUND(AY4,0))</f>
        <v/>
      </c>
      <c r="BA4" s="193">
        <f>IF(AZ4="",0,VLOOKUP(AZ4,$A$3:$AM$153,3))</f>
        <v>0</v>
      </c>
      <c r="BC4" s="147" t="s">
        <v>1485</v>
      </c>
      <c r="BD4" s="594" t="str">
        <f>IF('Upper Extremity-Left'!T19="","",'Upper Extremity-Left'!T19)</f>
        <v/>
      </c>
      <c r="BE4" s="578" t="str">
        <f>IF(BD4="","",ROUND(BD4,0))</f>
        <v/>
      </c>
      <c r="BF4" s="193">
        <f>IF(BE4="",0,VLOOKUP(BE4,$A$3:$AM$153,3))</f>
        <v>0</v>
      </c>
      <c r="BG4" s="62"/>
      <c r="BH4" s="147" t="s">
        <v>1178</v>
      </c>
      <c r="BI4" s="578" t="str">
        <f>IF('Upper Extremity-Left'!V19="","",'Upper Extremity-Left'!V19)</f>
        <v/>
      </c>
      <c r="BJ4" s="578" t="str">
        <f>IF(BI4="","",ROUND(BI4,0))</f>
        <v/>
      </c>
      <c r="BK4" s="193">
        <f>IF(BJ4="",0,VLOOKUP(BJ4,$A$3:$AM$153,3))</f>
        <v>0</v>
      </c>
    </row>
    <row r="5" spans="1:125" ht="15" customHeight="1" x14ac:dyDescent="0.2">
      <c r="A5" s="50">
        <v>2</v>
      </c>
      <c r="B5" s="544">
        <v>0.438</v>
      </c>
      <c r="C5" s="544">
        <v>8.0000000000000002E-3</v>
      </c>
      <c r="D5" s="544">
        <v>0.44600000000000001</v>
      </c>
      <c r="E5" s="544">
        <v>0.53200000000000003</v>
      </c>
      <c r="F5" s="544">
        <v>6.0000000000000001E-3</v>
      </c>
      <c r="G5" s="544">
        <v>0.53800000000000003</v>
      </c>
      <c r="H5" s="544">
        <v>0.436</v>
      </c>
      <c r="I5" s="544">
        <v>6.0000000000000001E-3</v>
      </c>
      <c r="J5" s="544">
        <v>0.442</v>
      </c>
      <c r="K5" s="581">
        <v>0.58799999999999997</v>
      </c>
      <c r="L5" s="581">
        <v>6.0000000000000001E-3</v>
      </c>
      <c r="M5" s="581">
        <v>0.59399999999999997</v>
      </c>
      <c r="N5" s="544">
        <v>0.53800000000000003</v>
      </c>
      <c r="O5" s="544">
        <v>6.0000000000000001E-3</v>
      </c>
      <c r="P5" s="544">
        <v>0.54400000000000004</v>
      </c>
      <c r="Q5" s="147">
        <v>0.01</v>
      </c>
      <c r="R5" s="514">
        <v>0.01</v>
      </c>
      <c r="S5" s="514">
        <v>0.01</v>
      </c>
      <c r="T5" s="147">
        <v>0.01</v>
      </c>
      <c r="U5" s="147">
        <v>0.01</v>
      </c>
      <c r="V5" s="581">
        <v>5.1999999999999998E-2</v>
      </c>
      <c r="W5" s="581">
        <v>5.6000000000000001E-2</v>
      </c>
      <c r="X5" s="581">
        <v>0.14000000000000001</v>
      </c>
      <c r="Y5" s="581">
        <v>0.13400000000000001</v>
      </c>
      <c r="Z5" s="581">
        <v>9.6000000000000002E-2</v>
      </c>
      <c r="AA5" s="581">
        <v>0.29599999999999999</v>
      </c>
      <c r="AB5" s="581">
        <v>0.108</v>
      </c>
      <c r="AC5" s="581">
        <v>0.318</v>
      </c>
      <c r="AD5" s="581">
        <v>3.5999999999999997E-2</v>
      </c>
      <c r="AE5" s="147">
        <v>0.36</v>
      </c>
      <c r="AF5" s="581">
        <v>4.8000000000000001E-2</v>
      </c>
      <c r="AG5" s="581">
        <v>0.34</v>
      </c>
      <c r="AH5" s="147">
        <v>0.02</v>
      </c>
      <c r="AI5" s="581">
        <v>0.38400000000000001</v>
      </c>
      <c r="AJ5" s="581">
        <v>4.0000000000000001E-3</v>
      </c>
      <c r="AK5" s="581">
        <v>0.64800000000000002</v>
      </c>
      <c r="AL5" s="581">
        <v>0.126</v>
      </c>
      <c r="AM5" s="581">
        <v>0.65800000000000003</v>
      </c>
      <c r="AS5" s="147" t="s">
        <v>1486</v>
      </c>
      <c r="AT5" s="578" t="str">
        <f>IF('Upper Extremity-Right'!T20="","",'Upper Extremity-Right'!T20)</f>
        <v/>
      </c>
      <c r="AU5" s="578" t="str">
        <f t="shared" si="0"/>
        <v/>
      </c>
      <c r="AV5" s="193">
        <f>IF(AU5="",0,VLOOKUP(AU5,$A$3:$AM$153,4))</f>
        <v>0</v>
      </c>
      <c r="BC5" s="147" t="s">
        <v>1486</v>
      </c>
      <c r="BD5" s="594" t="str">
        <f>IF('Upper Extremity-Left'!T20="","",'Upper Extremity-Left'!T20)</f>
        <v/>
      </c>
      <c r="BE5" s="578" t="str">
        <f>IF(BD5="","",ROUND(BD5,0))</f>
        <v/>
      </c>
      <c r="BF5" s="193">
        <f>IF(BE5="",0,VLOOKUP(BE5,$A$3:$AM$153,4))</f>
        <v>0</v>
      </c>
      <c r="BG5" s="62"/>
      <c r="BH5" s="14"/>
    </row>
    <row r="6" spans="1:125" ht="15" customHeight="1" x14ac:dyDescent="0.2">
      <c r="A6" s="50">
        <v>3</v>
      </c>
      <c r="B6" s="544">
        <v>0.432</v>
      </c>
      <c r="C6" s="544">
        <v>1.2E-2</v>
      </c>
      <c r="D6" s="544">
        <v>0.44400000000000001</v>
      </c>
      <c r="E6" s="544">
        <v>0.52300000000000002</v>
      </c>
      <c r="F6" s="544">
        <v>8.9999999999999993E-3</v>
      </c>
      <c r="G6" s="544">
        <v>0.53200000000000003</v>
      </c>
      <c r="H6" s="544">
        <v>0.42899999999999999</v>
      </c>
      <c r="I6" s="544">
        <v>8.9999999999999993E-3</v>
      </c>
      <c r="J6" s="544">
        <v>0.438</v>
      </c>
      <c r="K6" s="581">
        <v>0.58199999999999996</v>
      </c>
      <c r="L6" s="581">
        <v>8.9999999999999993E-3</v>
      </c>
      <c r="M6" s="581">
        <v>0.59099999999999997</v>
      </c>
      <c r="N6" s="544">
        <v>0.53200000000000003</v>
      </c>
      <c r="O6" s="544">
        <v>8.9999999999999993E-3</v>
      </c>
      <c r="P6" s="544">
        <v>0.54100000000000004</v>
      </c>
      <c r="Q6" s="147">
        <v>0.01</v>
      </c>
      <c r="R6" s="514">
        <v>0.01</v>
      </c>
      <c r="S6" s="514">
        <v>0.01</v>
      </c>
      <c r="T6" s="147">
        <v>0.01</v>
      </c>
      <c r="U6" s="147">
        <v>0.01</v>
      </c>
      <c r="V6" s="581">
        <v>4.8000000000000001E-2</v>
      </c>
      <c r="W6" s="581">
        <v>5.3999999999999999E-2</v>
      </c>
      <c r="X6" s="581">
        <v>0.15</v>
      </c>
      <c r="Y6" s="581">
        <v>0.14099999999999999</v>
      </c>
      <c r="Z6" s="581">
        <v>9.4E-2</v>
      </c>
      <c r="AA6" s="581">
        <v>0.29399999999999998</v>
      </c>
      <c r="AB6" s="581">
        <v>0.107</v>
      </c>
      <c r="AC6" s="581">
        <v>0.32700000000000001</v>
      </c>
      <c r="AD6" s="581">
        <v>3.4000000000000002E-2</v>
      </c>
      <c r="AE6" s="147">
        <v>0.39</v>
      </c>
      <c r="AF6" s="581">
        <v>4.7E-2</v>
      </c>
      <c r="AG6" s="581">
        <v>0.36</v>
      </c>
      <c r="AH6" s="147">
        <v>0.03</v>
      </c>
      <c r="AI6" s="581">
        <v>0.38100000000000001</v>
      </c>
      <c r="AJ6" s="581">
        <v>6.0000000000000001E-3</v>
      </c>
      <c r="AK6" s="581">
        <v>0.64700000000000002</v>
      </c>
      <c r="AL6" s="581">
        <v>0.124</v>
      </c>
      <c r="AM6" s="581">
        <v>0.66200000000000003</v>
      </c>
      <c r="BC6" s="147"/>
      <c r="BD6" s="62"/>
      <c r="BE6" s="62"/>
      <c r="BG6" s="62"/>
      <c r="BH6" s="14"/>
    </row>
    <row r="7" spans="1:125" ht="15" customHeight="1" x14ac:dyDescent="0.2">
      <c r="A7" s="50">
        <v>4</v>
      </c>
      <c r="B7" s="544">
        <v>0.42599999999999999</v>
      </c>
      <c r="C7" s="544">
        <v>1.6E-2</v>
      </c>
      <c r="D7" s="544">
        <v>0.442</v>
      </c>
      <c r="E7" s="544">
        <v>0.51400000000000001</v>
      </c>
      <c r="F7" s="544">
        <v>1.2E-2</v>
      </c>
      <c r="G7" s="544">
        <v>0.52600000000000002</v>
      </c>
      <c r="H7" s="544">
        <v>0.42199999999999999</v>
      </c>
      <c r="I7" s="544">
        <v>1.2E-2</v>
      </c>
      <c r="J7" s="544">
        <v>0.434</v>
      </c>
      <c r="K7" s="581">
        <v>0.57599999999999996</v>
      </c>
      <c r="L7" s="581">
        <v>1.2E-2</v>
      </c>
      <c r="M7" s="581">
        <v>0.58799999999999997</v>
      </c>
      <c r="N7" s="544">
        <v>0.52600000000000002</v>
      </c>
      <c r="O7" s="544">
        <v>1.2E-2</v>
      </c>
      <c r="P7" s="544">
        <v>0.53800000000000003</v>
      </c>
      <c r="Q7" s="147">
        <v>0.02</v>
      </c>
      <c r="R7" s="514">
        <v>0.01</v>
      </c>
      <c r="S7" s="514">
        <v>0.01</v>
      </c>
      <c r="T7" s="147">
        <v>0.01</v>
      </c>
      <c r="U7" s="147">
        <v>0.01</v>
      </c>
      <c r="V7" s="581">
        <v>4.3999999999999997E-2</v>
      </c>
      <c r="W7" s="581">
        <v>5.1999999999999998E-2</v>
      </c>
      <c r="X7" s="670">
        <v>0.16</v>
      </c>
      <c r="Y7" s="581">
        <v>0.14799999999999999</v>
      </c>
      <c r="Z7" s="581">
        <v>9.1999999999999998E-2</v>
      </c>
      <c r="AA7" s="581">
        <v>0.29199999999999998</v>
      </c>
      <c r="AB7" s="581">
        <v>0.106</v>
      </c>
      <c r="AC7" s="581">
        <v>0.33600000000000002</v>
      </c>
      <c r="AD7" s="581">
        <v>3.2000000000000001E-2</v>
      </c>
      <c r="AE7" s="147">
        <v>0.42</v>
      </c>
      <c r="AF7" s="581">
        <v>4.5999999999999999E-2</v>
      </c>
      <c r="AG7" s="581">
        <v>0.38</v>
      </c>
      <c r="AH7" s="147">
        <v>0.04</v>
      </c>
      <c r="AI7" s="581">
        <v>0.378</v>
      </c>
      <c r="AJ7" s="581">
        <v>8.0000000000000002E-3</v>
      </c>
      <c r="AK7" s="581">
        <v>0.64600000000000002</v>
      </c>
      <c r="AL7" s="581">
        <v>0.122</v>
      </c>
      <c r="AM7" s="581">
        <v>0.66600000000000004</v>
      </c>
      <c r="AS7" s="147" t="s">
        <v>1487</v>
      </c>
      <c r="AT7" s="578" t="str">
        <f>IF('Upper Extremity-Right'!T23="","",'Upper Extremity-Right'!T23)</f>
        <v/>
      </c>
      <c r="AU7" s="578" t="str">
        <f t="shared" si="0"/>
        <v/>
      </c>
      <c r="AV7" s="193">
        <f>IF(AU7="",0,VLOOKUP(AU7,$A$3:$AM$153,5))</f>
        <v>0</v>
      </c>
      <c r="AX7" s="147" t="s">
        <v>1394</v>
      </c>
      <c r="AY7" s="578" t="str">
        <f>IF('Upper Extremity-Right'!V23="","",'Upper Extremity-Right'!V23)</f>
        <v/>
      </c>
      <c r="AZ7" s="578" t="str">
        <f>IF(AY7="","",ROUND(AY7,0))</f>
        <v/>
      </c>
      <c r="BA7" s="193">
        <f>IF(AZ7="",0,VLOOKUP(AZ7,$A$3:$AM$153,5))</f>
        <v>0</v>
      </c>
      <c r="BC7" s="147" t="s">
        <v>1487</v>
      </c>
      <c r="BD7" s="594" t="str">
        <f>IF('Upper Extremity-Left'!T23="","",'Upper Extremity-Left'!T23)</f>
        <v/>
      </c>
      <c r="BE7" s="578" t="str">
        <f>IF(BD7="","",ROUND(BD7,0))</f>
        <v/>
      </c>
      <c r="BF7" s="193">
        <f>IF(BE7="",0,VLOOKUP(BE7,$A$3:$AM$153,5))</f>
        <v>0</v>
      </c>
      <c r="BG7" s="62"/>
      <c r="BH7" s="147" t="s">
        <v>1394</v>
      </c>
      <c r="BI7" s="578" t="str">
        <f>IF('Upper Extremity-Left'!V23="","",'Upper Extremity-Left'!V23)</f>
        <v/>
      </c>
      <c r="BJ7" s="578" t="str">
        <f>IF(BI7="","",ROUND(BI7,0))</f>
        <v/>
      </c>
      <c r="BK7" s="193">
        <f>IF(BJ7="",0,VLOOKUP(BJ7,$A$3:$AM$153,5))</f>
        <v>0</v>
      </c>
    </row>
    <row r="8" spans="1:125" ht="15" customHeight="1" x14ac:dyDescent="0.2">
      <c r="A8" s="50">
        <v>5</v>
      </c>
      <c r="B8" s="544">
        <v>0.42</v>
      </c>
      <c r="C8" s="544">
        <v>0.02</v>
      </c>
      <c r="D8" s="544">
        <v>0.44</v>
      </c>
      <c r="E8" s="544">
        <v>0.505</v>
      </c>
      <c r="F8" s="544">
        <v>1.4999999999999999E-2</v>
      </c>
      <c r="G8" s="544">
        <v>0.52</v>
      </c>
      <c r="H8" s="544">
        <v>0.41499999999999998</v>
      </c>
      <c r="I8" s="544">
        <v>1.4999999999999999E-2</v>
      </c>
      <c r="J8" s="544">
        <v>0.43</v>
      </c>
      <c r="K8" s="581">
        <v>0.56999999999999995</v>
      </c>
      <c r="L8" s="581">
        <v>1.4999999999999999E-2</v>
      </c>
      <c r="M8" s="581">
        <v>0.58499999999999996</v>
      </c>
      <c r="N8" s="544">
        <v>0.52</v>
      </c>
      <c r="O8" s="544">
        <v>1.4999999999999999E-2</v>
      </c>
      <c r="P8" s="544">
        <v>0.53500000000000003</v>
      </c>
      <c r="Q8" s="147">
        <v>0.02</v>
      </c>
      <c r="R8" s="514">
        <v>0.01</v>
      </c>
      <c r="S8" s="514">
        <v>0.01</v>
      </c>
      <c r="T8" s="147">
        <v>0.01</v>
      </c>
      <c r="U8" s="147">
        <v>0.01</v>
      </c>
      <c r="V8" s="581">
        <v>0.04</v>
      </c>
      <c r="W8" s="581">
        <v>0.05</v>
      </c>
      <c r="X8" s="670">
        <v>0.17</v>
      </c>
      <c r="Y8" s="581">
        <v>0.155</v>
      </c>
      <c r="Z8" s="581">
        <v>0.09</v>
      </c>
      <c r="AA8" s="581">
        <v>0.28999999999999998</v>
      </c>
      <c r="AB8" s="581">
        <v>0.105</v>
      </c>
      <c r="AC8" s="581">
        <v>0.34499999999999997</v>
      </c>
      <c r="AD8" s="670">
        <v>0.03</v>
      </c>
      <c r="AE8" s="671">
        <v>0.45</v>
      </c>
      <c r="AF8" s="581">
        <v>4.4999999999999998E-2</v>
      </c>
      <c r="AG8" s="581">
        <v>0.4</v>
      </c>
      <c r="AH8" s="147">
        <v>0.04</v>
      </c>
      <c r="AI8" s="581">
        <v>0.375</v>
      </c>
      <c r="AJ8" s="581">
        <v>0.01</v>
      </c>
      <c r="AK8" s="581">
        <v>0.64500000000000002</v>
      </c>
      <c r="AL8" s="581">
        <v>0.12</v>
      </c>
      <c r="AM8" s="581">
        <v>0.67</v>
      </c>
      <c r="AS8" s="147" t="s">
        <v>1488</v>
      </c>
      <c r="AT8" s="578" t="str">
        <f>IF('Upper Extremity-Right'!T24="","",'Upper Extremity-Right'!T24)</f>
        <v/>
      </c>
      <c r="AU8" s="578" t="str">
        <f t="shared" si="0"/>
        <v/>
      </c>
      <c r="AV8" s="193">
        <f>IF(AU8="",0,VLOOKUP(AU8,$A$3:$AM$153,6))</f>
        <v>0</v>
      </c>
      <c r="AX8" s="147" t="s">
        <v>1394</v>
      </c>
      <c r="AY8" s="578" t="str">
        <f>IF('Upper Extremity-Right'!V24="","",'Upper Extremity-Right'!V24)</f>
        <v/>
      </c>
      <c r="AZ8" s="578" t="str">
        <f>IF(AY8="","",ROUND(AY8,0))</f>
        <v/>
      </c>
      <c r="BA8" s="193">
        <f>IF(AZ8="",0,VLOOKUP(AZ8,$A$3:$AM$153,6))</f>
        <v>0</v>
      </c>
      <c r="BC8" s="147" t="s">
        <v>1488</v>
      </c>
      <c r="BD8" s="594" t="str">
        <f>IF('Upper Extremity-Left'!T24="","",'Upper Extremity-Left'!T24)</f>
        <v/>
      </c>
      <c r="BE8" s="578" t="str">
        <f>IF(BD8="","",ROUND(BD8,0))</f>
        <v/>
      </c>
      <c r="BF8" s="193">
        <f>IF(BE8="",0,VLOOKUP(BE8,$A$3:$AM$153,6))</f>
        <v>0</v>
      </c>
      <c r="BG8" s="62"/>
      <c r="BH8" s="147" t="s">
        <v>1394</v>
      </c>
      <c r="BI8" s="578" t="str">
        <f>IF('Upper Extremity-Left'!V24="","",'Upper Extremity-Left'!V24)</f>
        <v/>
      </c>
      <c r="BJ8" s="578" t="str">
        <f>IF(BI8="","",ROUND(BI8,0))</f>
        <v/>
      </c>
      <c r="BK8" s="193">
        <f>IF(BJ8="",0,VLOOKUP(BJ8,$A$3:$AM$153,6))</f>
        <v>0</v>
      </c>
    </row>
    <row r="9" spans="1:125" ht="15" customHeight="1" x14ac:dyDescent="0.2">
      <c r="A9" s="50">
        <v>6</v>
      </c>
      <c r="B9" s="544">
        <v>0.41399999999999998</v>
      </c>
      <c r="C9" s="544">
        <v>2.4E-2</v>
      </c>
      <c r="D9" s="544">
        <v>0.438</v>
      </c>
      <c r="E9" s="544">
        <v>0.496</v>
      </c>
      <c r="F9" s="544">
        <v>1.7999999999999999E-2</v>
      </c>
      <c r="G9" s="544">
        <v>0.51400000000000001</v>
      </c>
      <c r="H9" s="544">
        <v>0.40799999999999997</v>
      </c>
      <c r="I9" s="544">
        <v>1.7999999999999999E-2</v>
      </c>
      <c r="J9" s="544">
        <v>0.42599999999999999</v>
      </c>
      <c r="K9" s="581">
        <v>0.56399999999999995</v>
      </c>
      <c r="L9" s="581">
        <v>1.7999999999999999E-2</v>
      </c>
      <c r="M9" s="581">
        <v>0.58199999999999996</v>
      </c>
      <c r="N9" s="544">
        <v>0.51400000000000001</v>
      </c>
      <c r="O9" s="544">
        <v>1.7999999999999999E-2</v>
      </c>
      <c r="P9" s="544">
        <v>0.53200000000000003</v>
      </c>
      <c r="Q9" s="147">
        <v>0.02</v>
      </c>
      <c r="R9" s="514">
        <v>0.01</v>
      </c>
      <c r="S9" s="514">
        <v>0.01</v>
      </c>
      <c r="T9" s="147">
        <v>0.01</v>
      </c>
      <c r="U9" s="147">
        <v>0.01</v>
      </c>
      <c r="V9" s="581">
        <v>3.5999999999999997E-2</v>
      </c>
      <c r="W9" s="670">
        <v>4.8000000000000001E-2</v>
      </c>
      <c r="X9" s="670">
        <v>0.18</v>
      </c>
      <c r="Y9" s="670">
        <v>0.16200000000000001</v>
      </c>
      <c r="Z9" s="581">
        <v>8.7999999999999995E-2</v>
      </c>
      <c r="AA9" s="581">
        <v>0.28799999999999998</v>
      </c>
      <c r="AB9" s="581">
        <v>0.104</v>
      </c>
      <c r="AC9" s="581">
        <v>0.35399999999999998</v>
      </c>
      <c r="AD9" s="581">
        <v>2.8000000000000001E-2</v>
      </c>
      <c r="AE9" s="147">
        <v>0.48</v>
      </c>
      <c r="AF9" s="670">
        <v>4.3999999999999997E-2</v>
      </c>
      <c r="AG9" s="581">
        <v>0.42</v>
      </c>
      <c r="AH9" s="147">
        <v>0.05</v>
      </c>
      <c r="AI9" s="581">
        <v>0.372</v>
      </c>
      <c r="AJ9" s="581">
        <v>1.2E-2</v>
      </c>
      <c r="AK9" s="581">
        <v>0.64400000000000002</v>
      </c>
      <c r="AL9" s="581">
        <v>0.11799999999999999</v>
      </c>
      <c r="AM9" s="581">
        <v>0.67400000000000004</v>
      </c>
      <c r="AS9" s="147" t="s">
        <v>1489</v>
      </c>
      <c r="AT9" s="578" t="str">
        <f>IF('Upper Extremity-Right'!T25="","",'Upper Extremity-Right'!T25)</f>
        <v/>
      </c>
      <c r="AU9" s="578" t="str">
        <f t="shared" si="0"/>
        <v/>
      </c>
      <c r="AV9" s="193">
        <f>IF(AU9="",0,VLOOKUP(AU9,$A$3:$AM$153,7))</f>
        <v>0</v>
      </c>
      <c r="BC9" s="147" t="s">
        <v>1489</v>
      </c>
      <c r="BD9" s="594" t="str">
        <f>IF('Upper Extremity-Left'!T25="","",'Upper Extremity-Left'!T25)</f>
        <v/>
      </c>
      <c r="BE9" s="578" t="str">
        <f>IF(BD9="","",ROUND(BD9,0))</f>
        <v/>
      </c>
      <c r="BF9" s="193">
        <f>IF(BE9="",0,VLOOKUP(BE9,$A$3:$AM$153,7))</f>
        <v>0</v>
      </c>
      <c r="BG9" s="62"/>
      <c r="BH9" s="14"/>
    </row>
    <row r="10" spans="1:125" ht="15" customHeight="1" x14ac:dyDescent="0.2">
      <c r="A10" s="50">
        <v>7</v>
      </c>
      <c r="B10" s="544">
        <v>0.40799999999999997</v>
      </c>
      <c r="C10" s="544">
        <v>2.8000000000000001E-2</v>
      </c>
      <c r="D10" s="544">
        <v>0.436</v>
      </c>
      <c r="E10" s="544">
        <v>0.48699999999999999</v>
      </c>
      <c r="F10" s="544">
        <v>2.1000000000000001E-2</v>
      </c>
      <c r="G10" s="544">
        <v>0.50800000000000001</v>
      </c>
      <c r="H10" s="544">
        <v>0.40100000000000002</v>
      </c>
      <c r="I10" s="544">
        <v>2.1000000000000001E-2</v>
      </c>
      <c r="J10" s="544">
        <v>0.42199999999999999</v>
      </c>
      <c r="K10" s="581">
        <v>0.55800000000000005</v>
      </c>
      <c r="L10" s="581">
        <v>2.1000000000000001E-2</v>
      </c>
      <c r="M10" s="581">
        <v>0.57899999999999996</v>
      </c>
      <c r="N10" s="544">
        <v>0.50800000000000001</v>
      </c>
      <c r="O10" s="544">
        <v>2.1000000000000001E-2</v>
      </c>
      <c r="P10" s="544">
        <v>0.52900000000000003</v>
      </c>
      <c r="Q10" s="147">
        <v>0.03</v>
      </c>
      <c r="R10" s="514">
        <v>0.02</v>
      </c>
      <c r="S10" s="514">
        <v>0.02</v>
      </c>
      <c r="T10" s="147">
        <v>0.01</v>
      </c>
      <c r="U10" s="147">
        <v>0.01</v>
      </c>
      <c r="V10" s="581">
        <v>3.2000000000000001E-2</v>
      </c>
      <c r="W10" s="581">
        <v>4.5999999999999999E-2</v>
      </c>
      <c r="X10" s="581">
        <v>0.19</v>
      </c>
      <c r="Y10" s="581">
        <v>0.16900000000000001</v>
      </c>
      <c r="Z10" s="581">
        <v>8.5999999999999993E-2</v>
      </c>
      <c r="AA10" s="581">
        <v>0.28599999999999998</v>
      </c>
      <c r="AB10" s="581">
        <v>0.10299999999999999</v>
      </c>
      <c r="AC10" s="581">
        <v>0.36299999999999999</v>
      </c>
      <c r="AD10" s="581">
        <v>2.5999999999999999E-2</v>
      </c>
      <c r="AE10" s="147">
        <v>0.51</v>
      </c>
      <c r="AF10" s="581">
        <v>4.2999999999999997E-2</v>
      </c>
      <c r="AG10" s="581">
        <v>0.44</v>
      </c>
      <c r="AH10" s="147">
        <v>0.06</v>
      </c>
      <c r="AI10" s="581">
        <v>0.36899999999999999</v>
      </c>
      <c r="AJ10" s="581">
        <v>1.4E-2</v>
      </c>
      <c r="AK10" s="581">
        <v>0.64300000000000002</v>
      </c>
      <c r="AL10" s="581">
        <v>0.11600000000000001</v>
      </c>
      <c r="AM10" s="581">
        <v>0.67800000000000005</v>
      </c>
      <c r="BD10" s="62"/>
      <c r="BE10" s="62"/>
      <c r="BG10" s="62"/>
      <c r="BH10" s="14"/>
    </row>
    <row r="11" spans="1:125" ht="15" customHeight="1" x14ac:dyDescent="0.2">
      <c r="A11" s="50">
        <v>8</v>
      </c>
      <c r="B11" s="544">
        <v>0.40200000000000002</v>
      </c>
      <c r="C11" s="544">
        <v>3.2000000000000001E-2</v>
      </c>
      <c r="D11" s="544">
        <v>0.434</v>
      </c>
      <c r="E11" s="544">
        <v>0.47799999999999998</v>
      </c>
      <c r="F11" s="544">
        <v>2.4E-2</v>
      </c>
      <c r="G11" s="544">
        <v>0.502</v>
      </c>
      <c r="H11" s="544">
        <v>0.39400000000000002</v>
      </c>
      <c r="I11" s="544">
        <v>2.4E-2</v>
      </c>
      <c r="J11" s="544">
        <v>0.41799999999999998</v>
      </c>
      <c r="K11" s="581">
        <v>0.55200000000000005</v>
      </c>
      <c r="L11" s="581">
        <v>2.4E-2</v>
      </c>
      <c r="M11" s="581">
        <v>0.57599999999999996</v>
      </c>
      <c r="N11" s="544">
        <v>0.502</v>
      </c>
      <c r="O11" s="544">
        <v>2.4E-2</v>
      </c>
      <c r="P11" s="544">
        <v>0.52600000000000002</v>
      </c>
      <c r="Q11" s="147">
        <v>0.03</v>
      </c>
      <c r="R11" s="514">
        <v>0.02</v>
      </c>
      <c r="S11" s="272">
        <v>0.02</v>
      </c>
      <c r="T11" s="147">
        <v>0.01</v>
      </c>
      <c r="U11" s="147">
        <v>0.01</v>
      </c>
      <c r="V11" s="581">
        <v>2.8000000000000001E-2</v>
      </c>
      <c r="W11" s="581">
        <v>4.3999999999999997E-2</v>
      </c>
      <c r="X11" s="581">
        <v>0.2</v>
      </c>
      <c r="Y11" s="581">
        <v>0.17599999999999999</v>
      </c>
      <c r="Z11" s="581">
        <v>8.4000000000000005E-2</v>
      </c>
      <c r="AA11" s="581">
        <v>0.28399999999999997</v>
      </c>
      <c r="AB11" s="581">
        <v>0.10199999999999999</v>
      </c>
      <c r="AC11" s="581">
        <v>0.372</v>
      </c>
      <c r="AD11" s="581">
        <v>2.4E-2</v>
      </c>
      <c r="AE11" s="147">
        <v>0.54</v>
      </c>
      <c r="AF11" s="581">
        <v>4.2000000000000003E-2</v>
      </c>
      <c r="AG11" s="581">
        <v>0.46</v>
      </c>
      <c r="AH11" s="147">
        <v>7.0000000000000007E-2</v>
      </c>
      <c r="AI11" s="581">
        <v>0.36599999999999999</v>
      </c>
      <c r="AJ11" s="581">
        <v>1.6E-2</v>
      </c>
      <c r="AK11" s="581">
        <v>0.64200000000000002</v>
      </c>
      <c r="AL11" s="581">
        <v>0.114</v>
      </c>
      <c r="AM11" s="581">
        <v>0.68200000000000005</v>
      </c>
      <c r="AS11" s="147" t="s">
        <v>142</v>
      </c>
      <c r="BC11" s="147" t="s">
        <v>142</v>
      </c>
      <c r="BD11" s="62"/>
      <c r="BE11" s="62"/>
      <c r="BG11" s="62"/>
      <c r="BH11" s="14"/>
    </row>
    <row r="12" spans="1:125" ht="15" customHeight="1" x14ac:dyDescent="0.2">
      <c r="A12" s="50">
        <v>9</v>
      </c>
      <c r="B12" s="544">
        <v>0.39600000000000002</v>
      </c>
      <c r="C12" s="544">
        <v>3.5999999999999997E-2</v>
      </c>
      <c r="D12" s="544">
        <v>0.432</v>
      </c>
      <c r="E12" s="544">
        <v>0.46899999999999997</v>
      </c>
      <c r="F12" s="544">
        <v>2.7E-2</v>
      </c>
      <c r="G12" s="544">
        <v>0.496</v>
      </c>
      <c r="H12" s="544">
        <v>0.38700000000000001</v>
      </c>
      <c r="I12" s="544">
        <v>2.7E-2</v>
      </c>
      <c r="J12" s="544">
        <v>0.41399999999999998</v>
      </c>
      <c r="K12" s="581">
        <v>0.54600000000000004</v>
      </c>
      <c r="L12" s="581">
        <v>2.7E-2</v>
      </c>
      <c r="M12" s="581">
        <v>0.57299999999999995</v>
      </c>
      <c r="N12" s="544">
        <v>0.496</v>
      </c>
      <c r="O12" s="544">
        <v>2.7E-2</v>
      </c>
      <c r="P12" s="544">
        <v>0.52300000000000002</v>
      </c>
      <c r="Q12" s="147">
        <v>0.03</v>
      </c>
      <c r="R12" s="514">
        <v>0.02</v>
      </c>
      <c r="S12" s="272">
        <v>0.02</v>
      </c>
      <c r="T12" s="147">
        <v>0.01</v>
      </c>
      <c r="U12" s="147">
        <v>0.01</v>
      </c>
      <c r="V12" s="581">
        <v>2.4E-2</v>
      </c>
      <c r="W12" s="581">
        <v>4.2000000000000003E-2</v>
      </c>
      <c r="X12" s="581">
        <v>0.21</v>
      </c>
      <c r="Y12" s="581">
        <v>0.183</v>
      </c>
      <c r="Z12" s="581">
        <v>8.2000000000000003E-2</v>
      </c>
      <c r="AA12" s="581">
        <v>0.28199999999999997</v>
      </c>
      <c r="AB12" s="581">
        <v>0.10100000000000001</v>
      </c>
      <c r="AC12" s="581">
        <v>0.38100000000000001</v>
      </c>
      <c r="AD12" s="581">
        <v>2.1999999999999999E-2</v>
      </c>
      <c r="AE12" s="147">
        <v>0.56999999999999995</v>
      </c>
      <c r="AF12" s="581">
        <v>4.1000000000000002E-2</v>
      </c>
      <c r="AG12" s="581">
        <v>0.48</v>
      </c>
      <c r="AH12" s="147">
        <v>0.08</v>
      </c>
      <c r="AI12" s="581">
        <v>0.36299999999999999</v>
      </c>
      <c r="AJ12" s="581">
        <v>1.7999999999999999E-2</v>
      </c>
      <c r="AK12" s="581">
        <v>0.64100000000000001</v>
      </c>
      <c r="AL12" s="581">
        <v>0.112</v>
      </c>
      <c r="AM12" s="581">
        <v>0.68600000000000005</v>
      </c>
      <c r="AS12" s="147" t="s">
        <v>1490</v>
      </c>
      <c r="AT12" s="578" t="str">
        <f>IF('Upper Extremity-Right'!T91="","",'Upper Extremity-Right'!T91)</f>
        <v/>
      </c>
      <c r="AU12" s="578" t="str">
        <f t="shared" si="0"/>
        <v/>
      </c>
      <c r="AV12" s="193">
        <f>IF(AU12="",0,VLOOKUP(AU12,$A$3:$AM$153,8))</f>
        <v>0</v>
      </c>
      <c r="AX12" s="147" t="s">
        <v>156</v>
      </c>
      <c r="AY12" s="578" t="str">
        <f>IF('Upper Extremity-Right'!V91="","",'Upper Extremity-Right'!V91)</f>
        <v/>
      </c>
      <c r="AZ12" s="578" t="str">
        <f>IF(AY12="","",ROUND(AY12,0))</f>
        <v/>
      </c>
      <c r="BA12" s="193">
        <f>IF(AZ12="",0,VLOOKUP(AZ12,$A$3:$AM$153,8))</f>
        <v>0</v>
      </c>
      <c r="BC12" s="147" t="s">
        <v>1490</v>
      </c>
      <c r="BD12" s="594" t="str">
        <f>IF('Upper Extremity-Left'!T91="","",'Upper Extremity-Left'!T91)</f>
        <v/>
      </c>
      <c r="BE12" s="578" t="str">
        <f>IF(BD12="","",ROUND(BD12,0))</f>
        <v/>
      </c>
      <c r="BF12" s="193">
        <f>IF(BE12="",0,VLOOKUP(BE12,$A$3:$AM$153,8))</f>
        <v>0</v>
      </c>
      <c r="BG12" s="62"/>
      <c r="BH12" s="147" t="s">
        <v>156</v>
      </c>
      <c r="BI12" s="578" t="str">
        <f>IF('Upper Extremity-Left'!V91="","",'Upper Extremity-Left'!V91)</f>
        <v/>
      </c>
      <c r="BJ12" s="578" t="str">
        <f>IF(BI12="","",ROUND(BI12,0))</f>
        <v/>
      </c>
      <c r="BK12" s="193">
        <f>IF(BJ12="",0,VLOOKUP(BJ12,$A$3:$AM$153,8))</f>
        <v>0</v>
      </c>
    </row>
    <row r="13" spans="1:125" ht="15" customHeight="1" x14ac:dyDescent="0.2">
      <c r="A13" s="50">
        <v>10</v>
      </c>
      <c r="B13" s="544">
        <v>0.39</v>
      </c>
      <c r="C13" s="544">
        <v>0.04</v>
      </c>
      <c r="D13" s="544">
        <v>0.43</v>
      </c>
      <c r="E13" s="544">
        <v>0.46</v>
      </c>
      <c r="F13" s="544">
        <v>0.03</v>
      </c>
      <c r="G13" s="544">
        <v>0.49</v>
      </c>
      <c r="H13" s="544">
        <v>0.38</v>
      </c>
      <c r="I13" s="544">
        <v>0.03</v>
      </c>
      <c r="J13" s="544">
        <v>0.41</v>
      </c>
      <c r="K13" s="581">
        <v>0.54</v>
      </c>
      <c r="L13" s="581">
        <f xml:space="preserve"> 3%</f>
        <v>0.03</v>
      </c>
      <c r="M13" s="581">
        <f xml:space="preserve"> 57%</f>
        <v>0.56999999999999995</v>
      </c>
      <c r="N13" s="544">
        <v>0.49</v>
      </c>
      <c r="O13" s="544">
        <v>0.03</v>
      </c>
      <c r="P13" s="544">
        <v>0.52</v>
      </c>
      <c r="Q13" s="147">
        <v>0.04</v>
      </c>
      <c r="R13" s="514">
        <v>0.02</v>
      </c>
      <c r="S13" s="272">
        <v>0.02</v>
      </c>
      <c r="T13" s="147">
        <v>0.01</v>
      </c>
      <c r="U13" s="147">
        <v>0.01</v>
      </c>
      <c r="V13" s="581">
        <v>0.02</v>
      </c>
      <c r="W13" s="581">
        <v>0.04</v>
      </c>
      <c r="X13" s="581">
        <v>0.22</v>
      </c>
      <c r="Y13" s="581">
        <v>0.19</v>
      </c>
      <c r="Z13" s="581">
        <v>0.08</v>
      </c>
      <c r="AA13" s="581">
        <v>0.28000000000000003</v>
      </c>
      <c r="AB13" s="581">
        <v>0.1</v>
      </c>
      <c r="AC13" s="581">
        <v>0.39</v>
      </c>
      <c r="AD13" s="581">
        <v>0.02</v>
      </c>
      <c r="AE13" s="147">
        <v>0.6</v>
      </c>
      <c r="AF13" s="581">
        <v>0.04</v>
      </c>
      <c r="AG13" s="581">
        <v>0.5</v>
      </c>
      <c r="AH13" s="147">
        <v>0.08</v>
      </c>
      <c r="AI13" s="581">
        <v>0.36</v>
      </c>
      <c r="AJ13" s="581">
        <v>0.02</v>
      </c>
      <c r="AK13" s="581">
        <v>0.64</v>
      </c>
      <c r="AL13" s="581">
        <v>0.11</v>
      </c>
      <c r="AM13" s="581">
        <v>0.69</v>
      </c>
      <c r="AS13" s="147" t="s">
        <v>157</v>
      </c>
      <c r="AT13" s="578" t="str">
        <f>IF('Upper Extremity-Right'!T92="","",'Upper Extremity-Right'!T92)</f>
        <v/>
      </c>
      <c r="AU13" s="578" t="str">
        <f t="shared" si="0"/>
        <v/>
      </c>
      <c r="AV13" s="193">
        <f>IF(AU13="",0,VLOOKUP(AU13,$A$3:$AM$153,9))</f>
        <v>0</v>
      </c>
      <c r="AX13" s="147" t="s">
        <v>156</v>
      </c>
      <c r="AY13" s="578" t="str">
        <f>IF('Upper Extremity-Right'!V92="","",'Upper Extremity-Right'!V92)</f>
        <v/>
      </c>
      <c r="AZ13" s="578" t="str">
        <f>IF(AY13="","",ROUND(AY13,0))</f>
        <v/>
      </c>
      <c r="BA13" s="193">
        <f>IF(AZ13="",0,VLOOKUP(AZ13,$A$3:$AM$153,9))</f>
        <v>0</v>
      </c>
      <c r="BC13" s="147" t="s">
        <v>157</v>
      </c>
      <c r="BD13" s="594" t="str">
        <f>IF('Upper Extremity-Left'!T92="","",'Upper Extremity-Left'!T92)</f>
        <v/>
      </c>
      <c r="BE13" s="578" t="str">
        <f>IF(BD13="","",ROUND(BD13,0))</f>
        <v/>
      </c>
      <c r="BF13" s="193">
        <f>IF(BE13="",0,VLOOKUP(BE13,$A$3:$AM$153,9))</f>
        <v>0</v>
      </c>
      <c r="BG13" s="62"/>
      <c r="BH13" s="147" t="s">
        <v>156</v>
      </c>
      <c r="BI13" s="578" t="str">
        <f>IF('Upper Extremity-Left'!V92="","",'Upper Extremity-Left'!V92)</f>
        <v/>
      </c>
      <c r="BJ13" s="578" t="str">
        <f>IF(BI13="","",ROUND(BI13,0))</f>
        <v/>
      </c>
      <c r="BK13" s="193">
        <f>IF(BJ13="",0,VLOOKUP(BJ13,$A$3:$AM$153,9))</f>
        <v>0</v>
      </c>
    </row>
    <row r="14" spans="1:125" ht="15" customHeight="1" x14ac:dyDescent="0.2">
      <c r="A14" s="50">
        <v>11</v>
      </c>
      <c r="B14" s="544">
        <v>0.38500000000000001</v>
      </c>
      <c r="C14" s="544">
        <v>4.2000000000000003E-2</v>
      </c>
      <c r="D14" s="544">
        <v>0.42699999999999999</v>
      </c>
      <c r="E14" s="544">
        <v>0.45100000000000001</v>
      </c>
      <c r="F14" s="544">
        <v>3.3000000000000002E-2</v>
      </c>
      <c r="G14" s="544">
        <v>0.48399999999999999</v>
      </c>
      <c r="H14" s="544">
        <v>0.374</v>
      </c>
      <c r="I14" s="544">
        <v>3.3000000000000002E-2</v>
      </c>
      <c r="J14" s="544">
        <v>0.40699999999999997</v>
      </c>
      <c r="K14" s="581">
        <v>0.53400000000000003</v>
      </c>
      <c r="L14" s="581">
        <f xml:space="preserve"> 3.4%</f>
        <v>3.4000000000000002E-2</v>
      </c>
      <c r="M14" s="581">
        <f xml:space="preserve"> 56.8%</f>
        <v>0.56799999999999995</v>
      </c>
      <c r="N14" s="544">
        <v>0.48399999999999999</v>
      </c>
      <c r="O14" s="544">
        <v>3.2000000000000001E-2</v>
      </c>
      <c r="P14" s="544">
        <v>0.51600000000000001</v>
      </c>
      <c r="Q14" s="147">
        <v>0.04</v>
      </c>
      <c r="R14" s="514">
        <v>0.02</v>
      </c>
      <c r="S14" s="272">
        <v>0.02</v>
      </c>
      <c r="T14" s="147">
        <v>0.01</v>
      </c>
      <c r="U14" s="147">
        <v>0.01</v>
      </c>
      <c r="V14" s="581">
        <v>1.6E-2</v>
      </c>
      <c r="W14" s="581">
        <v>3.7999999999999999E-2</v>
      </c>
      <c r="X14" s="581">
        <v>0.24</v>
      </c>
      <c r="Y14" s="581">
        <v>0.19600000000000001</v>
      </c>
      <c r="Z14" s="581">
        <v>7.8E-2</v>
      </c>
      <c r="AA14" s="581">
        <v>0.27900000000000003</v>
      </c>
      <c r="AB14" s="581">
        <v>9.8000000000000004E-2</v>
      </c>
      <c r="AC14" s="581">
        <v>0.39800000000000002</v>
      </c>
      <c r="AD14" s="581">
        <v>1.7999999999999999E-2</v>
      </c>
      <c r="AE14" s="147">
        <v>0.63</v>
      </c>
      <c r="AF14" s="581">
        <v>3.7999999999999999E-2</v>
      </c>
      <c r="AG14" s="581">
        <v>0.52</v>
      </c>
      <c r="AH14" s="147">
        <v>0.09</v>
      </c>
      <c r="AI14" s="581">
        <v>0.35799999999999998</v>
      </c>
      <c r="AJ14" s="581">
        <v>2.1999999999999999E-2</v>
      </c>
      <c r="AK14" s="581">
        <v>0.63800000000000001</v>
      </c>
      <c r="AL14" s="581">
        <v>0.109</v>
      </c>
      <c r="AM14" s="581">
        <v>0.69399999999999995</v>
      </c>
      <c r="AS14" s="147" t="s">
        <v>158</v>
      </c>
      <c r="AT14" s="578" t="str">
        <f>IF('Upper Extremity-Right'!T93="","",'Upper Extremity-Right'!T93)</f>
        <v/>
      </c>
      <c r="AU14" s="578" t="str">
        <f t="shared" si="0"/>
        <v/>
      </c>
      <c r="AV14" s="193">
        <f>IF(AU14="",0,VLOOKUP(AU14,$A$3:$AM$153,10))</f>
        <v>0</v>
      </c>
      <c r="BC14" s="147" t="s">
        <v>158</v>
      </c>
      <c r="BD14" s="594" t="str">
        <f>IF('Upper Extremity-Left'!T93="","",'Upper Extremity-Left'!T93)</f>
        <v/>
      </c>
      <c r="BE14" s="578" t="str">
        <f>IF(BD14="","",ROUND(BD14,0))</f>
        <v/>
      </c>
      <c r="BF14" s="193">
        <f>IF(BE14="",0,VLOOKUP(BE14,$A$3:$AM$153,10))</f>
        <v>0</v>
      </c>
      <c r="BG14" s="62"/>
      <c r="BH14" s="14"/>
    </row>
    <row r="15" spans="1:125" ht="15" customHeight="1" x14ac:dyDescent="0.2">
      <c r="A15" s="50">
        <v>12</v>
      </c>
      <c r="B15" s="544">
        <v>0.38</v>
      </c>
      <c r="C15" s="544">
        <v>4.3999999999999997E-2</v>
      </c>
      <c r="D15" s="544">
        <v>0.42399999999999999</v>
      </c>
      <c r="E15" s="670">
        <v>0.442</v>
      </c>
      <c r="F15" s="670">
        <v>3.5999999999999997E-2</v>
      </c>
      <c r="G15" s="670">
        <v>0.47799999999999998</v>
      </c>
      <c r="H15" s="544">
        <v>0.36799999999999999</v>
      </c>
      <c r="I15" s="544">
        <v>3.5999999999999997E-2</v>
      </c>
      <c r="J15" s="544">
        <v>0.40400000000000003</v>
      </c>
      <c r="K15" s="581">
        <v>0.52800000000000002</v>
      </c>
      <c r="L15" s="581">
        <f xml:space="preserve"> 3.8%</f>
        <v>3.7999999999999999E-2</v>
      </c>
      <c r="M15" s="581">
        <f xml:space="preserve"> 56.6%</f>
        <v>0.56600000000000006</v>
      </c>
      <c r="N15" s="544">
        <v>0.47799999999999998</v>
      </c>
      <c r="O15" s="544">
        <v>3.4000000000000002E-2</v>
      </c>
      <c r="P15" s="544">
        <v>0.51200000000000001</v>
      </c>
      <c r="Q15" s="147">
        <v>0.04</v>
      </c>
      <c r="R15" s="514">
        <v>0.02</v>
      </c>
      <c r="S15" s="272">
        <v>0.02</v>
      </c>
      <c r="T15" s="147">
        <v>0.01</v>
      </c>
      <c r="U15" s="147">
        <v>0.01</v>
      </c>
      <c r="V15" s="581">
        <v>1.2E-2</v>
      </c>
      <c r="W15" s="581">
        <v>3.5999999999999997E-2</v>
      </c>
      <c r="X15" s="581">
        <v>0.26</v>
      </c>
      <c r="Y15" s="581">
        <v>0.20200000000000001</v>
      </c>
      <c r="Z15" s="670">
        <v>7.5999999999999998E-2</v>
      </c>
      <c r="AA15" s="670">
        <v>0.27800000000000002</v>
      </c>
      <c r="AB15" s="581">
        <v>9.6000000000000002E-2</v>
      </c>
      <c r="AC15" s="581">
        <v>0.40600000000000003</v>
      </c>
      <c r="AD15" s="581">
        <v>1.6E-2</v>
      </c>
      <c r="AE15" s="147">
        <v>0.66</v>
      </c>
      <c r="AF15" s="581">
        <v>3.5999999999999997E-2</v>
      </c>
      <c r="AG15" s="670">
        <v>0.54</v>
      </c>
      <c r="AH15" s="147">
        <v>0.1</v>
      </c>
      <c r="AI15" s="581">
        <v>0.35599999999999998</v>
      </c>
      <c r="AJ15" s="581">
        <v>2.4E-2</v>
      </c>
      <c r="AK15" s="581">
        <v>0.63600000000000001</v>
      </c>
      <c r="AL15" s="581">
        <v>0.108</v>
      </c>
      <c r="AM15" s="581">
        <v>0.69799999999999995</v>
      </c>
      <c r="BC15" s="147"/>
      <c r="BD15" s="62"/>
      <c r="BE15" s="62"/>
      <c r="BG15" s="62"/>
      <c r="BH15" s="14"/>
    </row>
    <row r="16" spans="1:125" ht="15" customHeight="1" x14ac:dyDescent="0.2">
      <c r="A16" s="50">
        <v>13</v>
      </c>
      <c r="B16" s="544">
        <v>0.375</v>
      </c>
      <c r="C16" s="544">
        <v>4.5999999999999999E-2</v>
      </c>
      <c r="D16" s="544">
        <v>0.42099999999999999</v>
      </c>
      <c r="E16" s="544">
        <v>0.433</v>
      </c>
      <c r="F16" s="544">
        <v>3.9E-2</v>
      </c>
      <c r="G16" s="544">
        <v>0.47199999999999998</v>
      </c>
      <c r="H16" s="544">
        <v>0.36199999999999999</v>
      </c>
      <c r="I16" s="544">
        <v>3.9E-2</v>
      </c>
      <c r="J16" s="544">
        <v>0.40100000000000002</v>
      </c>
      <c r="K16" s="581">
        <v>0.52200000000000002</v>
      </c>
      <c r="L16" s="581">
        <f xml:space="preserve"> 4.2%</f>
        <v>4.2000000000000003E-2</v>
      </c>
      <c r="M16" s="581">
        <f xml:space="preserve"> 56.4%</f>
        <v>0.56399999999999995</v>
      </c>
      <c r="N16" s="544">
        <v>0.47199999999999998</v>
      </c>
      <c r="O16" s="544">
        <v>3.5999999999999997E-2</v>
      </c>
      <c r="P16" s="544">
        <v>0.50800000000000001</v>
      </c>
      <c r="Q16" s="147">
        <v>0.05</v>
      </c>
      <c r="R16" s="514">
        <v>0.03</v>
      </c>
      <c r="S16" s="272">
        <v>0.02</v>
      </c>
      <c r="T16" s="147">
        <v>0.01</v>
      </c>
      <c r="U16" s="147">
        <v>0.01</v>
      </c>
      <c r="V16" s="581">
        <v>8.0000000000000002E-3</v>
      </c>
      <c r="W16" s="581">
        <v>3.4000000000000002E-2</v>
      </c>
      <c r="X16" s="581">
        <v>0.28000000000000003</v>
      </c>
      <c r="Y16" s="581">
        <v>0.20799999999999999</v>
      </c>
      <c r="Z16" s="581">
        <v>7.3999999999999996E-2</v>
      </c>
      <c r="AA16" s="581">
        <v>0.27700000000000002</v>
      </c>
      <c r="AB16" s="581">
        <v>9.4E-2</v>
      </c>
      <c r="AC16" s="581">
        <v>0.41399999999999998</v>
      </c>
      <c r="AD16" s="581">
        <v>1.4E-2</v>
      </c>
      <c r="AE16" s="147">
        <v>0.69</v>
      </c>
      <c r="AF16" s="581">
        <v>3.4000000000000002E-2</v>
      </c>
      <c r="AG16" s="581">
        <v>0.56000000000000005</v>
      </c>
      <c r="AH16" s="147">
        <v>0.11</v>
      </c>
      <c r="AI16" s="581">
        <v>0.35399999999999998</v>
      </c>
      <c r="AJ16" s="581">
        <v>2.5999999999999999E-2</v>
      </c>
      <c r="AK16" s="581">
        <v>0.63400000000000001</v>
      </c>
      <c r="AL16" s="581">
        <v>0.107</v>
      </c>
      <c r="AM16" s="581">
        <v>0.70199999999999996</v>
      </c>
      <c r="AS16" s="147" t="s">
        <v>627</v>
      </c>
      <c r="AT16" s="578" t="str">
        <f>IF('Upper Extremity-Right'!T95="","",'Upper Extremity-Right'!T95)</f>
        <v/>
      </c>
      <c r="AU16" s="578" t="str">
        <f t="shared" si="0"/>
        <v/>
      </c>
      <c r="AV16" s="193">
        <f>IF(AU16="",0,VLOOKUP(AU16,$A$3:$AM$153,11))</f>
        <v>0</v>
      </c>
      <c r="AX16" s="147" t="s">
        <v>628</v>
      </c>
      <c r="AY16" s="578" t="str">
        <f>IF('Upper Extremity-Right'!V95="","",'Upper Extremity-Right'!V95)</f>
        <v/>
      </c>
      <c r="AZ16" s="578" t="str">
        <f>IF(AY16="","",ROUND(AY16,0))</f>
        <v/>
      </c>
      <c r="BA16" s="193">
        <f>IF(AZ16="",0,VLOOKUP(AZ16,$A$3:$AM$153,11))</f>
        <v>0</v>
      </c>
      <c r="BC16" s="147" t="s">
        <v>627</v>
      </c>
      <c r="BD16" s="578" t="str">
        <f>IF('Upper Extremity-Left'!T95="","",'Upper Extremity-Left'!T95)</f>
        <v/>
      </c>
      <c r="BE16" s="578" t="str">
        <f>IF(BD16="","",ROUND(BD16,0))</f>
        <v/>
      </c>
      <c r="BF16" s="193">
        <f>IF(BE16="",0,VLOOKUP(BE16,$A$3:$AM$153,11))</f>
        <v>0</v>
      </c>
      <c r="BG16" s="62"/>
      <c r="BH16" s="147" t="s">
        <v>628</v>
      </c>
      <c r="BI16" s="578" t="str">
        <f>IF('Upper Extremity-Left'!V95="","",'Upper Extremity-Left'!V95)</f>
        <v/>
      </c>
      <c r="BJ16" s="578" t="str">
        <f>IF(BI16="","",ROUND(BI16,0))</f>
        <v/>
      </c>
      <c r="BK16" s="193">
        <f>IF(BJ16="",0,VLOOKUP(BJ16,$A$3:$AM$153,11))</f>
        <v>0</v>
      </c>
    </row>
    <row r="17" spans="1:63" ht="15" customHeight="1" x14ac:dyDescent="0.2">
      <c r="A17" s="50">
        <v>14</v>
      </c>
      <c r="B17" s="544">
        <v>0.37</v>
      </c>
      <c r="C17" s="544">
        <v>4.8000000000000001E-2</v>
      </c>
      <c r="D17" s="544">
        <v>0.41799999999999998</v>
      </c>
      <c r="E17" s="544">
        <v>0.42399999999999999</v>
      </c>
      <c r="F17" s="544">
        <v>4.2000000000000003E-2</v>
      </c>
      <c r="G17" s="544">
        <v>0.46600000000000003</v>
      </c>
      <c r="H17" s="670">
        <v>0.35599999999999998</v>
      </c>
      <c r="I17" s="544">
        <v>4.2000000000000003E-2</v>
      </c>
      <c r="J17" s="670">
        <v>0.39800000000000002</v>
      </c>
      <c r="K17" s="581">
        <v>0.51600000000000001</v>
      </c>
      <c r="L17" s="581">
        <f xml:space="preserve"> 4.6%</f>
        <v>4.5999999999999999E-2</v>
      </c>
      <c r="M17" s="581">
        <f xml:space="preserve"> 56.2%</f>
        <v>0.56200000000000006</v>
      </c>
      <c r="N17" s="544">
        <v>0.46600000000000003</v>
      </c>
      <c r="O17" s="544">
        <v>3.7999999999999999E-2</v>
      </c>
      <c r="P17" s="544">
        <v>0.504</v>
      </c>
      <c r="Q17" s="147">
        <v>0.05</v>
      </c>
      <c r="R17" s="514">
        <v>0.03</v>
      </c>
      <c r="S17" s="272">
        <v>0.03</v>
      </c>
      <c r="T17" s="147">
        <v>0.01</v>
      </c>
      <c r="U17" s="147">
        <v>0.01</v>
      </c>
      <c r="V17" s="581">
        <v>4.0000000000000001E-3</v>
      </c>
      <c r="W17" s="581">
        <v>3.2000000000000001E-2</v>
      </c>
      <c r="X17" s="581">
        <v>0.3</v>
      </c>
      <c r="Y17" s="581">
        <v>0.214</v>
      </c>
      <c r="Z17" s="581">
        <v>7.1999999999999995E-2</v>
      </c>
      <c r="AA17" s="581">
        <v>0.27600000000000002</v>
      </c>
      <c r="AB17" s="581">
        <v>9.1999999999999998E-2</v>
      </c>
      <c r="AC17" s="581">
        <v>0.42199999999999999</v>
      </c>
      <c r="AD17" s="581">
        <v>1.2E-2</v>
      </c>
      <c r="AE17" s="147">
        <v>0.72</v>
      </c>
      <c r="AF17" s="581">
        <v>3.2000000000000001E-2</v>
      </c>
      <c r="AG17" s="581">
        <v>0.57999999999999996</v>
      </c>
      <c r="AH17" s="147">
        <v>0.12</v>
      </c>
      <c r="AI17" s="581">
        <v>0.35199999999999998</v>
      </c>
      <c r="AJ17" s="581">
        <v>2.8000000000000001E-2</v>
      </c>
      <c r="AK17" s="581">
        <v>0.63200000000000001</v>
      </c>
      <c r="AL17" s="581">
        <v>0.106</v>
      </c>
      <c r="AM17" s="581">
        <v>0.70599999999999996</v>
      </c>
      <c r="AS17" s="147" t="s">
        <v>443</v>
      </c>
      <c r="AT17" s="578" t="str">
        <f>IF('Upper Extremity-Right'!T96="","",'Upper Extremity-Right'!T96)</f>
        <v/>
      </c>
      <c r="AU17" s="578" t="str">
        <f t="shared" si="0"/>
        <v/>
      </c>
      <c r="AV17" s="193">
        <f>IF(AU17="",0,VLOOKUP(AU17,$A$3:$AM$153,12))</f>
        <v>0</v>
      </c>
      <c r="AX17" s="147" t="s">
        <v>628</v>
      </c>
      <c r="AY17" s="578" t="str">
        <f>IF('Upper Extremity-Right'!V96="","",'Upper Extremity-Right'!V96)</f>
        <v/>
      </c>
      <c r="AZ17" s="578" t="str">
        <f>IF(AY17="","",ROUND(AY17,0))</f>
        <v/>
      </c>
      <c r="BA17" s="193">
        <f>IF(AZ17="",0,VLOOKUP(AZ17,$A$3:$AM$153,12))</f>
        <v>0</v>
      </c>
      <c r="BC17" s="147" t="s">
        <v>443</v>
      </c>
      <c r="BD17" s="578" t="str">
        <f>IF('Upper Extremity-Left'!T96="","",'Upper Extremity-Left'!T96)</f>
        <v/>
      </c>
      <c r="BE17" s="578" t="str">
        <f>IF(BD17="","",ROUND(BD17,0))</f>
        <v/>
      </c>
      <c r="BF17" s="193">
        <f>IF(BE17="",0,VLOOKUP(BE17,$A$3:$AM$153,12))</f>
        <v>0</v>
      </c>
      <c r="BG17" s="62"/>
      <c r="BH17" s="147" t="s">
        <v>628</v>
      </c>
      <c r="BI17" s="578" t="str">
        <f>IF('Upper Extremity-Left'!V96="","",'Upper Extremity-Left'!V96)</f>
        <v/>
      </c>
      <c r="BJ17" s="578" t="str">
        <f>IF(BI17="","",ROUND(BI17,0))</f>
        <v/>
      </c>
      <c r="BK17" s="193">
        <f>IF(BJ17="",0,VLOOKUP(BJ17,$A$3:$AM$153,12))</f>
        <v>0</v>
      </c>
    </row>
    <row r="18" spans="1:63" ht="15" customHeight="1" x14ac:dyDescent="0.2">
      <c r="A18" s="50">
        <v>15</v>
      </c>
      <c r="B18" s="544">
        <v>0.36499999999999999</v>
      </c>
      <c r="C18" s="544">
        <v>0.05</v>
      </c>
      <c r="D18" s="544">
        <v>0.41499999999999998</v>
      </c>
      <c r="E18" s="544">
        <v>0.41499999999999998</v>
      </c>
      <c r="F18" s="544">
        <v>4.4999999999999998E-2</v>
      </c>
      <c r="G18" s="544">
        <v>0.46</v>
      </c>
      <c r="H18" s="544">
        <v>0.35</v>
      </c>
      <c r="I18" s="544">
        <v>4.4999999999999998E-2</v>
      </c>
      <c r="J18" s="544">
        <v>0.39500000000000002</v>
      </c>
      <c r="K18" s="581">
        <v>0.51</v>
      </c>
      <c r="L18" s="581">
        <f xml:space="preserve"> 5%</f>
        <v>0.05</v>
      </c>
      <c r="M18" s="581">
        <f xml:space="preserve"> 56%</f>
        <v>0.56000000000000005</v>
      </c>
      <c r="N18" s="544">
        <v>0.46</v>
      </c>
      <c r="O18" s="544">
        <v>0.04</v>
      </c>
      <c r="P18" s="544">
        <v>0.5</v>
      </c>
      <c r="Q18" s="147">
        <v>0.05</v>
      </c>
      <c r="R18" s="514">
        <v>0.03</v>
      </c>
      <c r="S18" s="272">
        <v>0.03</v>
      </c>
      <c r="T18" s="147">
        <v>0.01</v>
      </c>
      <c r="U18" s="147">
        <v>0.01</v>
      </c>
      <c r="V18" s="581">
        <v>0</v>
      </c>
      <c r="W18" s="581">
        <v>0.03</v>
      </c>
      <c r="X18" s="581">
        <v>0.32</v>
      </c>
      <c r="Y18" s="581">
        <v>0.22</v>
      </c>
      <c r="Z18" s="581">
        <v>7.0000000000000007E-2</v>
      </c>
      <c r="AA18" s="581">
        <v>0.27500000000000002</v>
      </c>
      <c r="AB18" s="581">
        <v>0.09</v>
      </c>
      <c r="AC18" s="581">
        <v>0.43</v>
      </c>
      <c r="AD18" s="581">
        <v>0.01</v>
      </c>
      <c r="AE18" s="147">
        <v>0.75</v>
      </c>
      <c r="AF18" s="581">
        <v>0.03</v>
      </c>
      <c r="AG18" s="581">
        <v>0.6</v>
      </c>
      <c r="AH18" s="147">
        <v>0.12</v>
      </c>
      <c r="AI18" s="581">
        <v>0.35</v>
      </c>
      <c r="AJ18" s="581">
        <v>0.03</v>
      </c>
      <c r="AK18" s="581">
        <v>0.63</v>
      </c>
      <c r="AL18" s="581">
        <v>0.105</v>
      </c>
      <c r="AM18" s="581">
        <v>0.71</v>
      </c>
      <c r="AS18" s="147" t="s">
        <v>444</v>
      </c>
      <c r="AT18" s="578" t="str">
        <f>IF('Upper Extremity-Right'!T97="","",'Upper Extremity-Right'!T97)</f>
        <v/>
      </c>
      <c r="AU18" s="578" t="str">
        <f t="shared" si="0"/>
        <v/>
      </c>
      <c r="AV18" s="193">
        <f>IF(AU18="",0,VLOOKUP(AU18,$A$3:$AM$153,13))</f>
        <v>0</v>
      </c>
      <c r="BC18" s="147" t="s">
        <v>444</v>
      </c>
      <c r="BD18" s="578" t="str">
        <f>IF('Upper Extremity-Left'!T97="","",'Upper Extremity-Left'!T97)</f>
        <v/>
      </c>
      <c r="BE18" s="578" t="str">
        <f>IF(BD18="","",ROUND(BD18,0))</f>
        <v/>
      </c>
      <c r="BF18" s="193">
        <f>IF(BE18="",0,VLOOKUP(BE18,$A$3:$AM$153,13))</f>
        <v>0</v>
      </c>
      <c r="BG18" s="62"/>
      <c r="BH18" s="14"/>
    </row>
    <row r="19" spans="1:63" ht="15" customHeight="1" x14ac:dyDescent="0.2">
      <c r="A19" s="50">
        <v>16</v>
      </c>
      <c r="B19" s="670">
        <v>0.36</v>
      </c>
      <c r="C19" s="670">
        <v>5.1999999999999998E-2</v>
      </c>
      <c r="D19" s="670">
        <v>0.41199999999999998</v>
      </c>
      <c r="E19" s="670">
        <v>0.40600000000000003</v>
      </c>
      <c r="F19" s="544">
        <v>4.8000000000000001E-2</v>
      </c>
      <c r="G19" s="544">
        <v>0.45400000000000001</v>
      </c>
      <c r="H19" s="544">
        <v>0.34399999999999997</v>
      </c>
      <c r="I19" s="544">
        <v>4.8000000000000001E-2</v>
      </c>
      <c r="J19" s="544">
        <v>0.39200000000000002</v>
      </c>
      <c r="K19" s="581">
        <v>0.504</v>
      </c>
      <c r="L19" s="581">
        <f xml:space="preserve"> 5.4%</f>
        <v>5.4000000000000006E-2</v>
      </c>
      <c r="M19" s="581">
        <f xml:space="preserve"> 55.8%</f>
        <v>0.55799999999999994</v>
      </c>
      <c r="N19" s="544">
        <v>0.45400000000000001</v>
      </c>
      <c r="O19" s="544">
        <v>4.2000000000000003E-2</v>
      </c>
      <c r="P19" s="544">
        <v>0.496</v>
      </c>
      <c r="Q19" s="147">
        <v>0.06</v>
      </c>
      <c r="R19" s="514">
        <v>0.03</v>
      </c>
      <c r="S19" s="272">
        <v>0.03</v>
      </c>
      <c r="T19" s="147">
        <v>0.02</v>
      </c>
      <c r="U19" s="147">
        <v>0.01</v>
      </c>
      <c r="V19" s="581"/>
      <c r="W19" s="581">
        <v>2.8000000000000001E-2</v>
      </c>
      <c r="X19" s="147"/>
      <c r="Y19" s="581">
        <v>0.22600000000000001</v>
      </c>
      <c r="Z19" s="581">
        <v>6.8000000000000005E-2</v>
      </c>
      <c r="AA19" s="581">
        <v>0.27400000000000002</v>
      </c>
      <c r="AB19" s="581">
        <v>8.7999999999999995E-2</v>
      </c>
      <c r="AC19" s="581">
        <v>0.438</v>
      </c>
      <c r="AD19" s="581">
        <v>8.0000000000000002E-3</v>
      </c>
      <c r="AE19" s="147">
        <v>0.78</v>
      </c>
      <c r="AF19" s="581">
        <v>2.8000000000000001E-2</v>
      </c>
      <c r="AG19" s="581">
        <v>0.62</v>
      </c>
      <c r="AH19" s="147">
        <v>0.13</v>
      </c>
      <c r="AI19" s="581">
        <v>0.34799999999999998</v>
      </c>
      <c r="AJ19" s="581">
        <v>3.2000000000000001E-2</v>
      </c>
      <c r="AK19" s="581">
        <v>0.628</v>
      </c>
      <c r="AL19" s="581">
        <v>0.104</v>
      </c>
      <c r="AM19" s="581">
        <v>0.71399999999999997</v>
      </c>
      <c r="BC19" s="147"/>
      <c r="BD19" s="62"/>
      <c r="BE19" s="62"/>
      <c r="BG19" s="62"/>
      <c r="BH19" s="14"/>
    </row>
    <row r="20" spans="1:63" ht="15" customHeight="1" x14ac:dyDescent="0.2">
      <c r="A20" s="50">
        <v>17</v>
      </c>
      <c r="B20" s="544">
        <v>0.35499999999999998</v>
      </c>
      <c r="C20" s="544">
        <v>5.3999999999999999E-2</v>
      </c>
      <c r="D20" s="544">
        <v>0.40899999999999997</v>
      </c>
      <c r="E20" s="544">
        <v>0.39700000000000002</v>
      </c>
      <c r="F20" s="544">
        <v>5.0999999999999997E-2</v>
      </c>
      <c r="G20" s="544">
        <v>0.44800000000000001</v>
      </c>
      <c r="H20" s="544">
        <v>0.33800000000000002</v>
      </c>
      <c r="I20" s="544">
        <v>5.0999999999999997E-2</v>
      </c>
      <c r="J20" s="670">
        <v>0.38900000000000001</v>
      </c>
      <c r="K20" s="581">
        <v>0.498</v>
      </c>
      <c r="L20" s="581">
        <f xml:space="preserve"> 5.8%</f>
        <v>5.7999999999999996E-2</v>
      </c>
      <c r="M20" s="581">
        <f xml:space="preserve"> 55.6%</f>
        <v>0.55600000000000005</v>
      </c>
      <c r="N20" s="544">
        <v>0.44800000000000001</v>
      </c>
      <c r="O20" s="544">
        <v>4.3999999999999997E-2</v>
      </c>
      <c r="P20" s="544">
        <v>0.49199999999999999</v>
      </c>
      <c r="Q20" s="147">
        <v>0.06</v>
      </c>
      <c r="R20" s="514">
        <v>0.03</v>
      </c>
      <c r="S20" s="272">
        <v>0.03</v>
      </c>
      <c r="T20" s="147">
        <v>0.02</v>
      </c>
      <c r="U20" s="147">
        <v>0.01</v>
      </c>
      <c r="V20" s="581"/>
      <c r="W20" s="581">
        <v>2.5999999999999999E-2</v>
      </c>
      <c r="X20" s="147"/>
      <c r="Y20" s="581">
        <v>0.23200000000000001</v>
      </c>
      <c r="Z20" s="581">
        <v>6.6000000000000003E-2</v>
      </c>
      <c r="AA20" s="581">
        <v>0.27300000000000002</v>
      </c>
      <c r="AB20" s="581">
        <v>8.5999999999999993E-2</v>
      </c>
      <c r="AC20" s="581">
        <v>0.44600000000000001</v>
      </c>
      <c r="AD20" s="581">
        <v>6.0000000000000001E-3</v>
      </c>
      <c r="AE20" s="147">
        <v>0.81</v>
      </c>
      <c r="AF20" s="581">
        <v>2.5999999999999999E-2</v>
      </c>
      <c r="AG20" s="581">
        <v>0.64</v>
      </c>
      <c r="AH20" s="147">
        <v>0.14000000000000001</v>
      </c>
      <c r="AI20" s="581">
        <v>0.34599999999999997</v>
      </c>
      <c r="AJ20" s="581">
        <v>3.4000000000000002E-2</v>
      </c>
      <c r="AK20" s="581">
        <v>0.626</v>
      </c>
      <c r="AL20" s="581">
        <v>0.10299999999999999</v>
      </c>
      <c r="AM20" s="581">
        <v>0.71799999999999997</v>
      </c>
      <c r="AS20" s="147" t="s">
        <v>445</v>
      </c>
      <c r="AT20" s="578" t="str">
        <f>IF('Upper Extremity-Right'!T99="","",'Upper Extremity-Right'!T99)</f>
        <v/>
      </c>
      <c r="AU20" s="578" t="str">
        <f t="shared" si="0"/>
        <v/>
      </c>
      <c r="AV20" s="193">
        <f>IF(AU20="",0,VLOOKUP(AU20,$A$3:$AM$153,14))</f>
        <v>0</v>
      </c>
      <c r="AX20" s="147" t="s">
        <v>446</v>
      </c>
      <c r="AY20" s="578" t="str">
        <f>IF('Upper Extremity-Right'!V99="","",'Upper Extremity-Right'!V99)</f>
        <v/>
      </c>
      <c r="AZ20" s="578" t="str">
        <f>IF(AY20="","",ROUND(AY20,0))</f>
        <v/>
      </c>
      <c r="BA20" s="193">
        <f>IF(AZ20="",0,VLOOKUP(AZ20,$A$3:$AM$153,14))</f>
        <v>0</v>
      </c>
      <c r="BC20" s="147" t="s">
        <v>445</v>
      </c>
      <c r="BD20" s="578" t="str">
        <f>IF('Upper Extremity-Left'!T99="","",'Upper Extremity-Left'!T99)</f>
        <v/>
      </c>
      <c r="BE20" s="578" t="str">
        <f>IF(BD20="","",ROUND(BD20,0))</f>
        <v/>
      </c>
      <c r="BF20" s="193">
        <f>IF(BE20="",0,VLOOKUP(BE20,$A$3:$AM$153,14))</f>
        <v>0</v>
      </c>
      <c r="BG20" s="62"/>
      <c r="BH20" s="147" t="s">
        <v>446</v>
      </c>
      <c r="BI20" s="578" t="str">
        <f>IF('Upper Extremity-Left'!V99="","",'Upper Extremity-Left'!V99)</f>
        <v/>
      </c>
      <c r="BJ20" s="578" t="str">
        <f>IF(BI20="","",ROUND(BI20,0))</f>
        <v/>
      </c>
      <c r="BK20" s="193">
        <f>IF(BJ20="",0,VLOOKUP(BJ20,$A$3:$AM$153,14))</f>
        <v>0</v>
      </c>
    </row>
    <row r="21" spans="1:63" ht="15.75" customHeight="1" x14ac:dyDescent="0.2">
      <c r="A21" s="50">
        <v>18</v>
      </c>
      <c r="B21" s="544">
        <v>0.35</v>
      </c>
      <c r="C21" s="544">
        <v>5.6000000000000001E-2</v>
      </c>
      <c r="D21" s="544">
        <v>0.40600000000000003</v>
      </c>
      <c r="E21" s="544">
        <v>0.38800000000000001</v>
      </c>
      <c r="F21" s="544">
        <v>5.3999999999999999E-2</v>
      </c>
      <c r="G21" s="544">
        <v>0.442</v>
      </c>
      <c r="H21" s="544">
        <v>0.33200000000000002</v>
      </c>
      <c r="I21" s="544">
        <v>5.3999999999999999E-2</v>
      </c>
      <c r="J21" s="544">
        <v>0.38600000000000001</v>
      </c>
      <c r="K21" s="581">
        <v>0.49199999999999999</v>
      </c>
      <c r="L21" s="581">
        <f xml:space="preserve"> 6.2%</f>
        <v>6.2E-2</v>
      </c>
      <c r="M21" s="581">
        <f xml:space="preserve"> 55.4%</f>
        <v>0.55399999999999994</v>
      </c>
      <c r="N21" s="670">
        <v>0.442</v>
      </c>
      <c r="O21" s="670">
        <v>4.5999999999999999E-2</v>
      </c>
      <c r="P21" s="670">
        <v>0.48799999999999999</v>
      </c>
      <c r="Q21" s="672">
        <v>0.06</v>
      </c>
      <c r="R21" s="514">
        <v>0.03</v>
      </c>
      <c r="S21" s="672">
        <v>0.03</v>
      </c>
      <c r="T21" s="147">
        <v>0.02</v>
      </c>
      <c r="U21" s="147">
        <v>0.01</v>
      </c>
      <c r="V21" s="581"/>
      <c r="W21" s="581">
        <v>2.4E-2</v>
      </c>
      <c r="X21" s="147"/>
      <c r="Y21" s="581">
        <v>0.23799999999999999</v>
      </c>
      <c r="Z21" s="581">
        <v>6.4000000000000001E-2</v>
      </c>
      <c r="AA21" s="581">
        <v>0.27200000000000002</v>
      </c>
      <c r="AB21" s="581">
        <v>8.4000000000000005E-2</v>
      </c>
      <c r="AC21" s="581">
        <v>0.45400000000000001</v>
      </c>
      <c r="AD21" s="581">
        <v>4.0000000000000001E-3</v>
      </c>
      <c r="AE21" s="147">
        <v>0.84</v>
      </c>
      <c r="AF21" s="581">
        <v>2.4E-2</v>
      </c>
      <c r="AG21" s="581">
        <v>0.66</v>
      </c>
      <c r="AH21" s="147">
        <v>0.15</v>
      </c>
      <c r="AI21" s="581">
        <v>0.34399999999999997</v>
      </c>
      <c r="AJ21" s="581">
        <v>3.5999999999999997E-2</v>
      </c>
      <c r="AK21" s="581">
        <v>0.624</v>
      </c>
      <c r="AL21" s="581">
        <v>0.10199999999999999</v>
      </c>
      <c r="AM21" s="581">
        <v>0.72199999999999998</v>
      </c>
      <c r="AS21" s="147" t="s">
        <v>447</v>
      </c>
      <c r="AT21" s="578" t="str">
        <f>IF('Upper Extremity-Right'!T100="","",'Upper Extremity-Right'!T100)</f>
        <v/>
      </c>
      <c r="AU21" s="578" t="str">
        <f t="shared" si="0"/>
        <v/>
      </c>
      <c r="AV21" s="193">
        <f>IF(AU21="",0,VLOOKUP(AU21,$A$3:$AM$153,15))</f>
        <v>0</v>
      </c>
      <c r="AX21" s="147" t="s">
        <v>446</v>
      </c>
      <c r="AY21" s="578" t="str">
        <f>IF('Upper Extremity-Right'!V100="","",'Upper Extremity-Right'!V100)</f>
        <v/>
      </c>
      <c r="AZ21" s="578" t="str">
        <f>IF(AY21="","",ROUND(AY21,0))</f>
        <v/>
      </c>
      <c r="BA21" s="193">
        <f>IF(AZ21="",0,VLOOKUP(AZ21,$A$3:$AM$153,15))</f>
        <v>0</v>
      </c>
      <c r="BC21" s="147" t="s">
        <v>447</v>
      </c>
      <c r="BD21" s="578" t="str">
        <f>IF('Upper Extremity-Left'!T100="","",'Upper Extremity-Left'!T100)</f>
        <v/>
      </c>
      <c r="BE21" s="578" t="str">
        <f>IF(BD21="","",ROUND(BD21,0))</f>
        <v/>
      </c>
      <c r="BF21" s="193">
        <f>IF(BE21="",0,VLOOKUP(BE21,$A$3:$AM$153,15))</f>
        <v>0</v>
      </c>
      <c r="BG21" s="62"/>
      <c r="BH21" s="147" t="s">
        <v>446</v>
      </c>
      <c r="BI21" s="578" t="str">
        <f>IF('Upper Extremity-Left'!V100="","",'Upper Extremity-Left'!V100)</f>
        <v/>
      </c>
      <c r="BJ21" s="578" t="str">
        <f>IF(BI21="","",ROUND(BI21,0))</f>
        <v/>
      </c>
      <c r="BK21" s="193">
        <f>IF(BJ21="",0,VLOOKUP(BJ21,$A$3:$AM$153,15))</f>
        <v>0</v>
      </c>
    </row>
    <row r="22" spans="1:63" ht="15" customHeight="1" x14ac:dyDescent="0.2">
      <c r="A22" s="50">
        <v>19</v>
      </c>
      <c r="B22" s="544">
        <v>0.34499999999999997</v>
      </c>
      <c r="C22" s="544">
        <v>5.8000000000000003E-2</v>
      </c>
      <c r="D22" s="544">
        <v>0.40300000000000002</v>
      </c>
      <c r="E22" s="544">
        <v>0.379</v>
      </c>
      <c r="F22" s="544">
        <v>5.7000000000000002E-2</v>
      </c>
      <c r="G22" s="544">
        <v>0.436</v>
      </c>
      <c r="H22" s="544">
        <v>0.32600000000000001</v>
      </c>
      <c r="I22" s="544">
        <v>5.7000000000000002E-2</v>
      </c>
      <c r="J22" s="544">
        <v>0.38300000000000001</v>
      </c>
      <c r="K22" s="581">
        <v>0.48599999999999999</v>
      </c>
      <c r="L22" s="581">
        <f xml:space="preserve"> 6.6%</f>
        <v>6.6000000000000003E-2</v>
      </c>
      <c r="M22" s="581">
        <f xml:space="preserve"> 55.2%</f>
        <v>0.55200000000000005</v>
      </c>
      <c r="N22" s="544">
        <v>0.436</v>
      </c>
      <c r="O22" s="544">
        <v>4.8000000000000001E-2</v>
      </c>
      <c r="P22" s="544">
        <v>0.48399999999999999</v>
      </c>
      <c r="Q22" s="147">
        <v>7.0000000000000007E-2</v>
      </c>
      <c r="R22" s="514">
        <v>0.04</v>
      </c>
      <c r="S22" s="147">
        <v>0.03</v>
      </c>
      <c r="T22" s="147">
        <v>0.02</v>
      </c>
      <c r="U22" s="147">
        <v>0.01</v>
      </c>
      <c r="V22" s="581"/>
      <c r="W22" s="581">
        <v>2.1999999999999999E-2</v>
      </c>
      <c r="X22" s="147"/>
      <c r="Y22" s="581">
        <v>0.24399999999999999</v>
      </c>
      <c r="Z22" s="581">
        <v>6.2E-2</v>
      </c>
      <c r="AA22" s="581">
        <v>0.27100000000000002</v>
      </c>
      <c r="AB22" s="581">
        <v>8.2000000000000003E-2</v>
      </c>
      <c r="AC22" s="581">
        <v>0.46200000000000002</v>
      </c>
      <c r="AD22" s="581">
        <v>2E-3</v>
      </c>
      <c r="AE22" s="147">
        <v>0.87</v>
      </c>
      <c r="AF22" s="581">
        <v>2.1999999999999999E-2</v>
      </c>
      <c r="AG22" s="581">
        <v>0.68</v>
      </c>
      <c r="AH22" s="147">
        <v>0.16</v>
      </c>
      <c r="AI22" s="581">
        <v>0.34200000000000003</v>
      </c>
      <c r="AJ22" s="581">
        <v>3.7999999999999999E-2</v>
      </c>
      <c r="AK22" s="581">
        <v>0.622</v>
      </c>
      <c r="AL22" s="581">
        <v>0.10100000000000001</v>
      </c>
      <c r="AM22" s="581">
        <v>0.72599999999999998</v>
      </c>
      <c r="AS22" s="147" t="s">
        <v>448</v>
      </c>
      <c r="AT22" s="578" t="str">
        <f>IF('Upper Extremity-Right'!T101="","",'Upper Extremity-Right'!T101)</f>
        <v/>
      </c>
      <c r="AU22" s="578" t="str">
        <f t="shared" si="0"/>
        <v/>
      </c>
      <c r="AV22" s="193">
        <f>IF(AU22="",0,VLOOKUP(AU22,$A$3:$AM$153,16))</f>
        <v>0</v>
      </c>
      <c r="BC22" s="147" t="s">
        <v>448</v>
      </c>
      <c r="BD22" s="578" t="str">
        <f>IF('Upper Extremity-Left'!T101="","",'Upper Extremity-Left'!T101)</f>
        <v/>
      </c>
      <c r="BE22" s="578" t="str">
        <f>IF(BD22="","",ROUND(BD22,0))</f>
        <v/>
      </c>
      <c r="BF22" s="193">
        <f>IF(BE22="",0,VLOOKUP(BE22,$A$3:$AM$153,16))</f>
        <v>0</v>
      </c>
      <c r="BG22" s="62"/>
      <c r="BH22" s="14"/>
    </row>
    <row r="23" spans="1:63" ht="15" customHeight="1" x14ac:dyDescent="0.2">
      <c r="A23" s="50">
        <v>20</v>
      </c>
      <c r="B23" s="544">
        <v>0.34</v>
      </c>
      <c r="C23" s="544">
        <v>0.06</v>
      </c>
      <c r="D23" s="544">
        <v>0.4</v>
      </c>
      <c r="E23" s="544">
        <v>0.37</v>
      </c>
      <c r="F23" s="544">
        <v>0.06</v>
      </c>
      <c r="G23" s="544">
        <v>0.43</v>
      </c>
      <c r="H23" s="544">
        <v>0.32</v>
      </c>
      <c r="I23" s="544">
        <v>0.06</v>
      </c>
      <c r="J23" s="544">
        <v>0.38</v>
      </c>
      <c r="K23" s="673">
        <v>0.48</v>
      </c>
      <c r="L23" s="673">
        <f xml:space="preserve"> 7%</f>
        <v>7.0000000000000007E-2</v>
      </c>
      <c r="M23" s="673">
        <f xml:space="preserve"> 55%</f>
        <v>0.55000000000000004</v>
      </c>
      <c r="N23" s="544">
        <v>0.43</v>
      </c>
      <c r="O23" s="544">
        <v>0.05</v>
      </c>
      <c r="P23" s="544">
        <v>0.48</v>
      </c>
      <c r="Q23" s="147">
        <v>7.0000000000000007E-2</v>
      </c>
      <c r="R23" s="514">
        <v>0.04</v>
      </c>
      <c r="S23" s="147">
        <v>0.03</v>
      </c>
      <c r="T23" s="147">
        <v>0.02</v>
      </c>
      <c r="U23" s="147">
        <v>0.01</v>
      </c>
      <c r="V23" s="581"/>
      <c r="W23" s="581">
        <v>0.02</v>
      </c>
      <c r="X23" s="147"/>
      <c r="Y23" s="581">
        <v>0.25</v>
      </c>
      <c r="Z23" s="581">
        <v>0.06</v>
      </c>
      <c r="AA23" s="581">
        <v>0.27</v>
      </c>
      <c r="AB23" s="581">
        <v>0.08</v>
      </c>
      <c r="AC23" s="581">
        <v>0.47</v>
      </c>
      <c r="AD23" s="581">
        <v>0</v>
      </c>
      <c r="AE23" s="147">
        <v>0.9</v>
      </c>
      <c r="AF23" s="581">
        <v>0.02</v>
      </c>
      <c r="AG23" s="581">
        <v>0.7</v>
      </c>
      <c r="AH23" s="147">
        <v>0.16</v>
      </c>
      <c r="AI23" s="581">
        <v>0.34</v>
      </c>
      <c r="AJ23" s="581">
        <v>0.04</v>
      </c>
      <c r="AK23" s="581">
        <v>0.62</v>
      </c>
      <c r="AL23" s="581">
        <v>0.1</v>
      </c>
      <c r="AM23" s="581">
        <v>0.73</v>
      </c>
      <c r="BC23" s="147"/>
      <c r="BD23" s="62"/>
      <c r="BE23" s="62"/>
      <c r="BG23" s="62"/>
      <c r="BH23" s="14"/>
    </row>
    <row r="24" spans="1:63" ht="15" customHeight="1" x14ac:dyDescent="0.2">
      <c r="A24" s="50">
        <v>21</v>
      </c>
      <c r="B24" s="544">
        <v>0.33400000000000002</v>
      </c>
      <c r="C24" s="544">
        <v>6.4000000000000001E-2</v>
      </c>
      <c r="D24" s="544">
        <v>0.39800000000000002</v>
      </c>
      <c r="E24" s="544">
        <v>0.36</v>
      </c>
      <c r="F24" s="544">
        <v>7.9000000000000001E-2</v>
      </c>
      <c r="G24" s="544">
        <v>0.439</v>
      </c>
      <c r="H24" s="544">
        <v>0.314</v>
      </c>
      <c r="I24" s="544">
        <v>6.2E-2</v>
      </c>
      <c r="J24" s="544">
        <v>0.376</v>
      </c>
      <c r="K24" s="581">
        <v>0.47399999999999998</v>
      </c>
      <c r="L24" s="581">
        <f xml:space="preserve"> 7.4%</f>
        <v>7.400000000000001E-2</v>
      </c>
      <c r="M24" s="581">
        <f xml:space="preserve"> 54.8%</f>
        <v>0.54799999999999993</v>
      </c>
      <c r="N24" s="544">
        <v>0.42399999999999999</v>
      </c>
      <c r="O24" s="544">
        <v>5.2999999999999999E-2</v>
      </c>
      <c r="P24" s="544">
        <v>0.47699999999999998</v>
      </c>
      <c r="Q24" s="147">
        <v>7.0000000000000007E-2</v>
      </c>
      <c r="R24" s="514">
        <v>0.04</v>
      </c>
      <c r="S24" s="147">
        <v>0.04</v>
      </c>
      <c r="T24" s="147">
        <v>0.02</v>
      </c>
      <c r="U24" s="147">
        <v>0.01</v>
      </c>
      <c r="V24" s="581"/>
      <c r="W24" s="581">
        <v>1.7999999999999999E-2</v>
      </c>
      <c r="X24" s="147"/>
      <c r="Y24" s="581">
        <v>0.25700000000000001</v>
      </c>
      <c r="Z24" s="581">
        <v>5.8999999999999997E-2</v>
      </c>
      <c r="AA24" s="581">
        <v>0.26800000000000002</v>
      </c>
      <c r="AB24" s="581">
        <v>7.8E-2</v>
      </c>
      <c r="AC24" s="581">
        <v>0.47899999999999998</v>
      </c>
      <c r="AD24" s="581"/>
      <c r="AE24" s="147"/>
      <c r="AF24" s="581">
        <v>1.7999999999999999E-2</v>
      </c>
      <c r="AG24" s="581">
        <v>0.72</v>
      </c>
      <c r="AH24" s="147">
        <v>0.17</v>
      </c>
      <c r="AI24" s="581">
        <v>0.33700000000000002</v>
      </c>
      <c r="AJ24" s="581">
        <v>4.2000000000000003E-2</v>
      </c>
      <c r="AK24" s="581">
        <v>0.61899999999999999</v>
      </c>
      <c r="AL24" s="581">
        <v>9.8000000000000004E-2</v>
      </c>
      <c r="AM24" s="581">
        <v>0.73299999999999998</v>
      </c>
      <c r="AS24" s="147" t="s">
        <v>1535</v>
      </c>
      <c r="BC24" s="147" t="s">
        <v>1535</v>
      </c>
      <c r="BD24" s="62"/>
      <c r="BE24" s="62"/>
      <c r="BG24" s="62"/>
      <c r="BH24" s="14"/>
    </row>
    <row r="25" spans="1:63" ht="15" customHeight="1" x14ac:dyDescent="0.2">
      <c r="A25" s="50">
        <v>22</v>
      </c>
      <c r="B25" s="544">
        <v>0.32800000000000001</v>
      </c>
      <c r="C25" s="544">
        <v>6.8000000000000005E-2</v>
      </c>
      <c r="D25" s="544">
        <v>0.39600000000000002</v>
      </c>
      <c r="E25" s="544">
        <v>0.35</v>
      </c>
      <c r="F25" s="544">
        <v>9.8000000000000004E-2</v>
      </c>
      <c r="G25" s="544">
        <v>0.44800000000000001</v>
      </c>
      <c r="H25" s="544">
        <v>0.308</v>
      </c>
      <c r="I25" s="544">
        <v>6.4000000000000001E-2</v>
      </c>
      <c r="J25" s="544">
        <v>0.372</v>
      </c>
      <c r="K25" s="581">
        <v>0.46800000000000003</v>
      </c>
      <c r="L25" s="581">
        <f xml:space="preserve"> 7.8%</f>
        <v>7.8E-2</v>
      </c>
      <c r="M25" s="581">
        <f xml:space="preserve"> 54.6%</f>
        <v>0.54600000000000004</v>
      </c>
      <c r="N25" s="544">
        <v>0.41799999999999998</v>
      </c>
      <c r="O25" s="544">
        <v>5.6000000000000001E-2</v>
      </c>
      <c r="P25" s="544">
        <v>0.47399999999999998</v>
      </c>
      <c r="Q25" s="147">
        <v>0.08</v>
      </c>
      <c r="R25" s="514">
        <v>0.04</v>
      </c>
      <c r="S25" s="147">
        <v>0.04</v>
      </c>
      <c r="T25" s="147">
        <v>0.02</v>
      </c>
      <c r="U25" s="147">
        <v>0.01</v>
      </c>
      <c r="V25" s="581"/>
      <c r="W25" s="581">
        <v>1.6E-2</v>
      </c>
      <c r="X25" s="147"/>
      <c r="Y25" s="581">
        <v>0.26400000000000001</v>
      </c>
      <c r="Z25" s="581">
        <v>5.8000000000000003E-2</v>
      </c>
      <c r="AA25" s="581">
        <v>0.26600000000000001</v>
      </c>
      <c r="AB25" s="581">
        <v>7.5999999999999998E-2</v>
      </c>
      <c r="AC25" s="581">
        <v>0.48799999999999999</v>
      </c>
      <c r="AD25" s="581"/>
      <c r="AE25" s="147"/>
      <c r="AF25" s="581">
        <v>1.6E-2</v>
      </c>
      <c r="AG25" s="581">
        <v>0.74</v>
      </c>
      <c r="AH25" s="147">
        <v>0.18</v>
      </c>
      <c r="AI25" s="581">
        <v>0.33400000000000002</v>
      </c>
      <c r="AJ25" s="581">
        <v>4.3999999999999997E-2</v>
      </c>
      <c r="AK25" s="581">
        <v>0.61799999999999999</v>
      </c>
      <c r="AL25" s="581">
        <v>9.6000000000000002E-2</v>
      </c>
      <c r="AM25" s="581">
        <v>0.73599999999999999</v>
      </c>
      <c r="AS25" s="147" t="s">
        <v>1490</v>
      </c>
      <c r="AT25" s="578" t="str">
        <f>IF('Upper Extremity-Right'!T168="","",'Upper Extremity-Right'!T168)</f>
        <v/>
      </c>
      <c r="AU25" s="578" t="str">
        <f t="shared" si="0"/>
        <v/>
      </c>
      <c r="AV25" s="193">
        <f>IF(AU25="",0,VLOOKUP(AU25,$A$3:$AM$153,8))</f>
        <v>0</v>
      </c>
      <c r="AX25" s="147" t="s">
        <v>156</v>
      </c>
      <c r="AY25" s="578" t="str">
        <f>IF('Upper Extremity-Right'!V168="","",'Upper Extremity-Right'!V168)</f>
        <v/>
      </c>
      <c r="AZ25" s="578" t="str">
        <f>IF(AY25="","",ROUND(AY25,0))</f>
        <v/>
      </c>
      <c r="BA25" s="193">
        <f>IF(AZ25="",0,VLOOKUP(AZ25,$A$3:$AM$153,8))</f>
        <v>0</v>
      </c>
      <c r="BC25" s="147" t="s">
        <v>1490</v>
      </c>
      <c r="BD25" s="578" t="str">
        <f>IF('Upper Extremity-Left'!T168="","",'Upper Extremity-Left'!T168)</f>
        <v/>
      </c>
      <c r="BE25" s="578" t="str">
        <f>IF(BD25="","",ROUND(BD25,0))</f>
        <v/>
      </c>
      <c r="BF25" s="193">
        <f>IF(BE25="",0,VLOOKUP(BE25,$A$3:$AM$153,8))</f>
        <v>0</v>
      </c>
      <c r="BG25" s="62"/>
      <c r="BH25" s="147" t="s">
        <v>156</v>
      </c>
      <c r="BI25" s="578" t="str">
        <f>IF('Upper Extremity-Left'!V168="","",'Upper Extremity-Left'!V168)</f>
        <v/>
      </c>
      <c r="BJ25" s="578" t="str">
        <f>IF(BI25="","",ROUND(BI25,0))</f>
        <v/>
      </c>
      <c r="BK25" s="193">
        <f>IF(BJ25="",0,VLOOKUP(BJ25,$A$3:$AM$153,8))</f>
        <v>0</v>
      </c>
    </row>
    <row r="26" spans="1:63" ht="15" customHeight="1" x14ac:dyDescent="0.2">
      <c r="A26" s="50">
        <v>23</v>
      </c>
      <c r="B26" s="544">
        <v>0.32200000000000001</v>
      </c>
      <c r="C26" s="544">
        <v>7.1999999999999995E-2</v>
      </c>
      <c r="D26" s="544">
        <v>0.39400000000000002</v>
      </c>
      <c r="E26" s="544">
        <v>0.34</v>
      </c>
      <c r="F26" s="544">
        <v>0.11700000000000001</v>
      </c>
      <c r="G26" s="544">
        <v>0.45700000000000002</v>
      </c>
      <c r="H26" s="544">
        <v>0.30199999999999999</v>
      </c>
      <c r="I26" s="544">
        <v>6.6000000000000003E-2</v>
      </c>
      <c r="J26" s="544">
        <v>0.36799999999999999</v>
      </c>
      <c r="K26" s="581">
        <v>0.46200000000000002</v>
      </c>
      <c r="L26" s="581">
        <f xml:space="preserve"> 8.2%</f>
        <v>8.199999999999999E-2</v>
      </c>
      <c r="M26" s="581">
        <f xml:space="preserve"> 54.4%</f>
        <v>0.54400000000000004</v>
      </c>
      <c r="N26" s="544">
        <v>0.41199999999999998</v>
      </c>
      <c r="O26" s="544">
        <v>5.8999999999999997E-2</v>
      </c>
      <c r="P26" s="544">
        <v>0.47099999999999997</v>
      </c>
      <c r="Q26" s="147">
        <v>0.08</v>
      </c>
      <c r="R26" s="514">
        <v>0.04</v>
      </c>
      <c r="S26" s="147">
        <v>0.04</v>
      </c>
      <c r="T26" s="147">
        <v>0.02</v>
      </c>
      <c r="U26" s="147">
        <v>0.01</v>
      </c>
      <c r="V26" s="581"/>
      <c r="W26" s="581">
        <v>1.4E-2</v>
      </c>
      <c r="X26" s="147"/>
      <c r="Y26" s="581">
        <v>0.27100000000000002</v>
      </c>
      <c r="Z26" s="581">
        <v>5.7000000000000002E-2</v>
      </c>
      <c r="AA26" s="581">
        <v>0.26400000000000001</v>
      </c>
      <c r="AB26" s="581">
        <v>7.3999999999999996E-2</v>
      </c>
      <c r="AC26" s="581">
        <v>0.497</v>
      </c>
      <c r="AD26" s="581"/>
      <c r="AE26" s="147"/>
      <c r="AF26" s="581">
        <v>1.4E-2</v>
      </c>
      <c r="AG26" s="581">
        <v>0.76</v>
      </c>
      <c r="AH26" s="147">
        <v>0.19</v>
      </c>
      <c r="AI26" s="581">
        <v>0.33100000000000002</v>
      </c>
      <c r="AJ26" s="581">
        <v>4.5999999999999999E-2</v>
      </c>
      <c r="AK26" s="581">
        <v>0.61699999999999999</v>
      </c>
      <c r="AL26" s="581">
        <v>9.4E-2</v>
      </c>
      <c r="AM26" s="581">
        <v>0.73899999999999999</v>
      </c>
      <c r="AS26" s="147" t="s">
        <v>157</v>
      </c>
      <c r="AT26" s="578" t="str">
        <f>IF('Upper Extremity-Right'!T169="","",'Upper Extremity-Right'!T169)</f>
        <v/>
      </c>
      <c r="AU26" s="578" t="str">
        <f t="shared" si="0"/>
        <v/>
      </c>
      <c r="AV26" s="193">
        <f>IF(AU26="",0,VLOOKUP(AU26,$A$3:$AM$153,9))</f>
        <v>0</v>
      </c>
      <c r="AX26" s="147" t="s">
        <v>156</v>
      </c>
      <c r="AY26" s="578" t="str">
        <f>IF('Upper Extremity-Right'!V169="","",'Upper Extremity-Right'!V169)</f>
        <v/>
      </c>
      <c r="AZ26" s="578" t="str">
        <f>IF(AY26="","",ROUND(AY26,0))</f>
        <v/>
      </c>
      <c r="BA26" s="193">
        <f>IF(AZ26="",0,VLOOKUP(AZ26,$A$3:$AM$153,9))</f>
        <v>0</v>
      </c>
      <c r="BC26" s="147" t="s">
        <v>157</v>
      </c>
      <c r="BD26" s="578" t="str">
        <f>IF('Upper Extremity-Left'!T169="","",'Upper Extremity-Left'!T169)</f>
        <v/>
      </c>
      <c r="BE26" s="578" t="str">
        <f>IF(BD26="","",ROUND(BD26,0))</f>
        <v/>
      </c>
      <c r="BF26" s="193">
        <f>IF(BE26="",0,VLOOKUP(BE26,$A$3:$AM$153,9))</f>
        <v>0</v>
      </c>
      <c r="BG26" s="62"/>
      <c r="BH26" s="147" t="s">
        <v>156</v>
      </c>
      <c r="BI26" s="578" t="str">
        <f>IF('Upper Extremity-Left'!V169="","",'Upper Extremity-Left'!V169)</f>
        <v/>
      </c>
      <c r="BJ26" s="578" t="str">
        <f>IF(BI26="","",ROUND(BI26,0))</f>
        <v/>
      </c>
      <c r="BK26" s="193">
        <f>IF(BJ26="",0,VLOOKUP(BJ26,$A$3:$AM$153,9))</f>
        <v>0</v>
      </c>
    </row>
    <row r="27" spans="1:63" ht="15" customHeight="1" x14ac:dyDescent="0.2">
      <c r="A27" s="50">
        <v>24</v>
      </c>
      <c r="B27" s="544">
        <v>0.316</v>
      </c>
      <c r="C27" s="544">
        <v>7.5999999999999998E-2</v>
      </c>
      <c r="D27" s="544">
        <v>0.39200000000000002</v>
      </c>
      <c r="E27" s="544">
        <v>0.33</v>
      </c>
      <c r="F27" s="544">
        <v>0.13600000000000001</v>
      </c>
      <c r="G27" s="544">
        <v>0.46600000000000003</v>
      </c>
      <c r="H27" s="544">
        <v>0.29599999999999999</v>
      </c>
      <c r="I27" s="544">
        <v>6.8000000000000005E-2</v>
      </c>
      <c r="J27" s="544">
        <v>0.36399999999999999</v>
      </c>
      <c r="K27" s="581">
        <v>0.45600000000000002</v>
      </c>
      <c r="L27" s="581">
        <f xml:space="preserve"> 8.6%</f>
        <v>8.5999999999999993E-2</v>
      </c>
      <c r="M27" s="581">
        <f xml:space="preserve"> 54.2%</f>
        <v>0.54200000000000004</v>
      </c>
      <c r="N27" s="544">
        <v>0.40600000000000003</v>
      </c>
      <c r="O27" s="544">
        <v>6.2E-2</v>
      </c>
      <c r="P27" s="544">
        <v>0.46800000000000003</v>
      </c>
      <c r="Q27" s="147">
        <v>0.08</v>
      </c>
      <c r="R27" s="514">
        <v>0.04</v>
      </c>
      <c r="S27" s="147">
        <v>0.04</v>
      </c>
      <c r="T27" s="147">
        <v>0.02</v>
      </c>
      <c r="U27" s="147">
        <v>0.01</v>
      </c>
      <c r="V27" s="581"/>
      <c r="W27" s="581">
        <v>1.2E-2</v>
      </c>
      <c r="X27" s="147"/>
      <c r="Y27" s="581">
        <v>0.27800000000000002</v>
      </c>
      <c r="Z27" s="581">
        <v>5.6000000000000001E-2</v>
      </c>
      <c r="AA27" s="581">
        <v>0.26200000000000001</v>
      </c>
      <c r="AB27" s="581">
        <v>7.1999999999999995E-2</v>
      </c>
      <c r="AC27" s="581">
        <v>0.50600000000000001</v>
      </c>
      <c r="AD27" s="581"/>
      <c r="AE27" s="147"/>
      <c r="AF27" s="581">
        <v>1.2E-2</v>
      </c>
      <c r="AG27" s="581">
        <v>0.78</v>
      </c>
      <c r="AH27" s="147">
        <v>0.2</v>
      </c>
      <c r="AI27" s="581">
        <v>0.32800000000000001</v>
      </c>
      <c r="AJ27" s="581">
        <v>4.8000000000000001E-2</v>
      </c>
      <c r="AK27" s="581">
        <v>0.61599999999999999</v>
      </c>
      <c r="AL27" s="581">
        <v>9.1999999999999998E-2</v>
      </c>
      <c r="AM27" s="581">
        <v>0.74199999999999999</v>
      </c>
      <c r="AS27" s="147" t="s">
        <v>158</v>
      </c>
      <c r="AT27" s="578" t="str">
        <f>IF('Upper Extremity-Right'!T170="","",'Upper Extremity-Right'!T170)</f>
        <v/>
      </c>
      <c r="AU27" s="578" t="str">
        <f t="shared" si="0"/>
        <v/>
      </c>
      <c r="AV27" s="193">
        <f>IF(AU27="",0,VLOOKUP(AU27,$A$3:$AM$153,10))</f>
        <v>0</v>
      </c>
      <c r="BC27" s="147" t="s">
        <v>158</v>
      </c>
      <c r="BD27" s="578" t="str">
        <f>IF('Upper Extremity-Left'!T170="","",'Upper Extremity-Left'!T170)</f>
        <v/>
      </c>
      <c r="BE27" s="578" t="str">
        <f>IF(BD27="","",ROUND(BD27,0))</f>
        <v/>
      </c>
      <c r="BF27" s="193">
        <f>IF(BE27="",0,VLOOKUP(BE27,$A$3:$AM$153,10))</f>
        <v>0</v>
      </c>
      <c r="BG27" s="62"/>
      <c r="BH27" s="14"/>
    </row>
    <row r="28" spans="1:63" ht="15" customHeight="1" x14ac:dyDescent="0.2">
      <c r="A28" s="50">
        <v>25</v>
      </c>
      <c r="B28" s="544">
        <v>0.31</v>
      </c>
      <c r="C28" s="544">
        <v>0.08</v>
      </c>
      <c r="D28" s="544">
        <v>0.39</v>
      </c>
      <c r="E28" s="544">
        <v>0.32</v>
      </c>
      <c r="F28" s="544">
        <v>0.155</v>
      </c>
      <c r="G28" s="544">
        <v>0.47499999999999998</v>
      </c>
      <c r="H28" s="544">
        <v>0.28999999999999998</v>
      </c>
      <c r="I28" s="544">
        <v>7.0000000000000007E-2</v>
      </c>
      <c r="J28" s="544">
        <v>0.36</v>
      </c>
      <c r="K28" s="581">
        <v>0.45</v>
      </c>
      <c r="L28" s="581">
        <f xml:space="preserve"> 9%</f>
        <v>0.09</v>
      </c>
      <c r="M28" s="581">
        <f xml:space="preserve"> 54%</f>
        <v>0.54</v>
      </c>
      <c r="N28" s="544">
        <v>0.4</v>
      </c>
      <c r="O28" s="544">
        <v>6.5000000000000002E-2</v>
      </c>
      <c r="P28" s="544">
        <v>0.46500000000000002</v>
      </c>
      <c r="Q28" s="147">
        <v>0.08</v>
      </c>
      <c r="R28" s="514">
        <v>0.04</v>
      </c>
      <c r="S28" s="147">
        <v>0.04</v>
      </c>
      <c r="T28" s="147">
        <v>0.02</v>
      </c>
      <c r="U28" s="147">
        <v>0.01</v>
      </c>
      <c r="V28" s="581"/>
      <c r="W28" s="581">
        <v>0.01</v>
      </c>
      <c r="X28" s="147"/>
      <c r="Y28" s="581">
        <v>0.28499999999999998</v>
      </c>
      <c r="Z28" s="581">
        <v>5.5E-2</v>
      </c>
      <c r="AA28" s="581">
        <v>0.26</v>
      </c>
      <c r="AB28" s="581">
        <v>7.0000000000000007E-2</v>
      </c>
      <c r="AC28" s="581">
        <v>0.51500000000000001</v>
      </c>
      <c r="AD28" s="581"/>
      <c r="AE28" s="147"/>
      <c r="AF28" s="581">
        <v>0.01</v>
      </c>
      <c r="AG28" s="581">
        <v>0.8</v>
      </c>
      <c r="AH28" s="147">
        <v>0.2</v>
      </c>
      <c r="AI28" s="581">
        <v>0.32500000000000001</v>
      </c>
      <c r="AJ28" s="581">
        <v>0.05</v>
      </c>
      <c r="AK28" s="581">
        <v>0.61499999999999999</v>
      </c>
      <c r="AL28" s="581">
        <v>0.09</v>
      </c>
      <c r="AM28" s="581">
        <v>0.745</v>
      </c>
      <c r="BC28" s="147"/>
      <c r="BD28" s="62"/>
      <c r="BE28" s="62"/>
      <c r="BG28" s="62"/>
      <c r="BH28" s="14"/>
    </row>
    <row r="29" spans="1:63" ht="15" customHeight="1" x14ac:dyDescent="0.2">
      <c r="A29" s="50">
        <v>26</v>
      </c>
      <c r="B29" s="544">
        <v>0.30399999999999999</v>
      </c>
      <c r="C29" s="544">
        <v>8.4000000000000005E-2</v>
      </c>
      <c r="D29" s="544">
        <v>0.38800000000000001</v>
      </c>
      <c r="E29" s="544">
        <v>0.31</v>
      </c>
      <c r="F29" s="544">
        <v>0.17399999999999999</v>
      </c>
      <c r="G29" s="544">
        <v>0.48399999999999999</v>
      </c>
      <c r="H29" s="544">
        <v>0.28399999999999997</v>
      </c>
      <c r="I29" s="544">
        <v>7.1999999999999995E-2</v>
      </c>
      <c r="J29" s="544">
        <v>0.35599999999999998</v>
      </c>
      <c r="K29" s="581">
        <v>0.44400000000000001</v>
      </c>
      <c r="L29" s="581">
        <f xml:space="preserve"> 9.4%</f>
        <v>9.4E-2</v>
      </c>
      <c r="M29" s="581">
        <f xml:space="preserve"> 53.8%</f>
        <v>0.53799999999999992</v>
      </c>
      <c r="N29" s="544">
        <v>0.39400000000000002</v>
      </c>
      <c r="O29" s="544">
        <v>6.8000000000000005E-2</v>
      </c>
      <c r="P29" s="544">
        <v>0.46200000000000002</v>
      </c>
      <c r="Q29" s="147">
        <v>0.09</v>
      </c>
      <c r="R29" s="514">
        <v>0.05</v>
      </c>
      <c r="S29" s="147">
        <v>0.04</v>
      </c>
      <c r="T29" s="147">
        <v>0.02</v>
      </c>
      <c r="U29" s="147">
        <v>0.02</v>
      </c>
      <c r="V29" s="581"/>
      <c r="W29" s="581">
        <v>8.0000000000000002E-3</v>
      </c>
      <c r="X29" s="147"/>
      <c r="Y29" s="581">
        <v>0.29199999999999998</v>
      </c>
      <c r="Z29" s="581">
        <v>5.3999999999999999E-2</v>
      </c>
      <c r="AA29" s="581">
        <v>0.25800000000000001</v>
      </c>
      <c r="AB29" s="581">
        <v>6.8000000000000005E-2</v>
      </c>
      <c r="AC29" s="581">
        <v>0.52400000000000002</v>
      </c>
      <c r="AD29" s="581"/>
      <c r="AE29" s="147"/>
      <c r="AF29" s="581">
        <v>8.0000000000000002E-3</v>
      </c>
      <c r="AG29" s="581">
        <v>0.82</v>
      </c>
      <c r="AH29" s="147">
        <v>0.21</v>
      </c>
      <c r="AI29" s="581">
        <v>0.32200000000000001</v>
      </c>
      <c r="AJ29" s="581">
        <v>5.1999999999999998E-2</v>
      </c>
      <c r="AK29" s="581">
        <v>0.61399999999999999</v>
      </c>
      <c r="AL29" s="581">
        <v>8.7999999999999995E-2</v>
      </c>
      <c r="AM29" s="581">
        <v>0.748</v>
      </c>
      <c r="AS29" s="147" t="s">
        <v>627</v>
      </c>
      <c r="AT29" s="578" t="str">
        <f>IF('Upper Extremity-Right'!T172="","",'Upper Extremity-Right'!T172)</f>
        <v/>
      </c>
      <c r="AU29" s="578" t="str">
        <f t="shared" si="0"/>
        <v/>
      </c>
      <c r="AV29" s="193">
        <f>IF(AU29="",0,VLOOKUP(AU29,$A$3:$AM$153,11))</f>
        <v>0</v>
      </c>
      <c r="AX29" s="147" t="s">
        <v>628</v>
      </c>
      <c r="AY29" s="578" t="str">
        <f>IF('Upper Extremity-Right'!V172="","",'Upper Extremity-Right'!V172)</f>
        <v/>
      </c>
      <c r="AZ29" s="578" t="str">
        <f>IF(AY29="","",ROUND(AY29,0))</f>
        <v/>
      </c>
      <c r="BA29" s="193">
        <f>IF(AZ29="",0,VLOOKUP(AZ29,$A$3:$AM$153,11))</f>
        <v>0</v>
      </c>
      <c r="BC29" s="147" t="s">
        <v>627</v>
      </c>
      <c r="BD29" s="578" t="str">
        <f>IF('Upper Extremity-Left'!T172="","",'Upper Extremity-Left'!T172)</f>
        <v/>
      </c>
      <c r="BE29" s="578" t="str">
        <f>IF(BD29="","",ROUND(BD29,0))</f>
        <v/>
      </c>
      <c r="BF29" s="193">
        <f>IF(BE29="",0,VLOOKUP(BE29,$A$3:$AM$153,11))</f>
        <v>0</v>
      </c>
      <c r="BG29" s="62"/>
      <c r="BH29" s="147" t="s">
        <v>628</v>
      </c>
      <c r="BI29" s="578" t="str">
        <f>IF('Upper Extremity-Left'!V172="","",'Upper Extremity-Left'!V172)</f>
        <v/>
      </c>
      <c r="BJ29" s="578" t="str">
        <f>IF(BI29="","",ROUND(BI29,0))</f>
        <v/>
      </c>
      <c r="BK29" s="193">
        <f>IF(BJ29="",0,VLOOKUP(BJ29,$A$3:$AM$153,11))</f>
        <v>0</v>
      </c>
    </row>
    <row r="30" spans="1:63" ht="15" customHeight="1" x14ac:dyDescent="0.2">
      <c r="A30" s="50">
        <v>27</v>
      </c>
      <c r="B30" s="544">
        <v>0.29799999999999999</v>
      </c>
      <c r="C30" s="544">
        <v>8.7999999999999995E-2</v>
      </c>
      <c r="D30" s="544">
        <v>0.38600000000000001</v>
      </c>
      <c r="E30" s="544">
        <v>0.3</v>
      </c>
      <c r="F30" s="544">
        <v>0.193</v>
      </c>
      <c r="G30" s="544">
        <v>0.49299999999999999</v>
      </c>
      <c r="H30" s="544">
        <v>0.27800000000000002</v>
      </c>
      <c r="I30" s="544">
        <v>7.3999999999999996E-2</v>
      </c>
      <c r="J30" s="544">
        <v>0.35199999999999998</v>
      </c>
      <c r="K30" s="581">
        <v>0.438</v>
      </c>
      <c r="L30" s="581">
        <f xml:space="preserve"> 9.8%</f>
        <v>9.8000000000000004E-2</v>
      </c>
      <c r="M30" s="581">
        <f xml:space="preserve"> 53.6%</f>
        <v>0.53600000000000003</v>
      </c>
      <c r="N30" s="544">
        <v>0.38800000000000001</v>
      </c>
      <c r="O30" s="544">
        <v>7.0999999999999994E-2</v>
      </c>
      <c r="P30" s="544">
        <v>0.45900000000000002</v>
      </c>
      <c r="Q30" s="147">
        <v>0.09</v>
      </c>
      <c r="R30" s="514">
        <v>0.05</v>
      </c>
      <c r="S30" s="147">
        <v>0.04</v>
      </c>
      <c r="T30" s="147">
        <v>0.02</v>
      </c>
      <c r="U30" s="147">
        <v>0.02</v>
      </c>
      <c r="V30" s="581"/>
      <c r="W30" s="581">
        <v>6.0000000000000001E-3</v>
      </c>
      <c r="X30" s="147"/>
      <c r="Y30" s="581">
        <v>0.29899999999999999</v>
      </c>
      <c r="Z30" s="581">
        <v>5.2999999999999999E-2</v>
      </c>
      <c r="AA30" s="581">
        <v>0.25600000000000001</v>
      </c>
      <c r="AB30" s="581">
        <v>6.6000000000000003E-2</v>
      </c>
      <c r="AC30" s="581">
        <v>0.53300000000000003</v>
      </c>
      <c r="AD30" s="581"/>
      <c r="AE30" s="147"/>
      <c r="AF30" s="581">
        <v>6.0000000000000001E-3</v>
      </c>
      <c r="AG30" s="581">
        <v>0.84</v>
      </c>
      <c r="AH30" s="147">
        <v>0.22</v>
      </c>
      <c r="AI30" s="581">
        <v>0.31900000000000001</v>
      </c>
      <c r="AJ30" s="581">
        <v>5.3999999999999999E-2</v>
      </c>
      <c r="AK30" s="581">
        <v>0.61299999999999999</v>
      </c>
      <c r="AL30" s="581">
        <v>8.5999999999999993E-2</v>
      </c>
      <c r="AM30" s="581">
        <v>0.751</v>
      </c>
      <c r="AS30" s="147" t="s">
        <v>443</v>
      </c>
      <c r="AT30" s="578" t="str">
        <f>IF('Upper Extremity-Right'!T173="","",'Upper Extremity-Right'!T173)</f>
        <v/>
      </c>
      <c r="AU30" s="578" t="str">
        <f t="shared" si="0"/>
        <v/>
      </c>
      <c r="AV30" s="193">
        <f>IF(AU30="",0,VLOOKUP(AU30,$A$3:$AM$153,12))</f>
        <v>0</v>
      </c>
      <c r="AX30" s="147" t="s">
        <v>628</v>
      </c>
      <c r="AY30" s="578" t="str">
        <f>IF('Upper Extremity-Right'!V173="","",'Upper Extremity-Right'!V173)</f>
        <v/>
      </c>
      <c r="AZ30" s="578" t="str">
        <f>IF(AY30="","",ROUND(AY30,0))</f>
        <v/>
      </c>
      <c r="BA30" s="193">
        <f>IF(AZ30="",0,VLOOKUP(AZ30,$A$3:$AM$153,12))</f>
        <v>0</v>
      </c>
      <c r="BC30" s="147" t="s">
        <v>443</v>
      </c>
      <c r="BD30" s="578" t="str">
        <f>IF('Upper Extremity-Left'!T173="","",'Upper Extremity-Left'!T173)</f>
        <v/>
      </c>
      <c r="BE30" s="578" t="str">
        <f>IF(BD30="","",ROUND(BD30,0))</f>
        <v/>
      </c>
      <c r="BF30" s="193">
        <f>IF(BE30="",0,VLOOKUP(BE30,$A$3:$AM$153,12))</f>
        <v>0</v>
      </c>
      <c r="BG30" s="62"/>
      <c r="BH30" s="147" t="s">
        <v>628</v>
      </c>
      <c r="BI30" s="578" t="str">
        <f>IF('Upper Extremity-Left'!V173="","",'Upper Extremity-Left'!V173)</f>
        <v/>
      </c>
      <c r="BJ30" s="578" t="str">
        <f>IF(BI30="","",ROUND(BI30,0))</f>
        <v/>
      </c>
      <c r="BK30" s="193">
        <f>IF(BJ30="",0,VLOOKUP(BJ30,$A$3:$AM$153,12))</f>
        <v>0</v>
      </c>
    </row>
    <row r="31" spans="1:63" ht="15" customHeight="1" x14ac:dyDescent="0.2">
      <c r="A31" s="50">
        <v>28</v>
      </c>
      <c r="B31" s="544">
        <v>0.29199999999999998</v>
      </c>
      <c r="C31" s="544">
        <v>9.1999999999999998E-2</v>
      </c>
      <c r="D31" s="544">
        <v>0.38400000000000001</v>
      </c>
      <c r="E31" s="544">
        <v>0.28999999999999998</v>
      </c>
      <c r="F31" s="544">
        <v>0.21199999999999999</v>
      </c>
      <c r="G31" s="544">
        <v>0.502</v>
      </c>
      <c r="H31" s="544">
        <v>0.27200000000000002</v>
      </c>
      <c r="I31" s="544">
        <v>7.5999999999999998E-2</v>
      </c>
      <c r="J31" s="544">
        <v>0.34799999999999998</v>
      </c>
      <c r="K31" s="581">
        <v>0.432</v>
      </c>
      <c r="L31" s="581">
        <f xml:space="preserve"> 10.2%</f>
        <v>0.10199999999999999</v>
      </c>
      <c r="M31" s="581">
        <f xml:space="preserve"> 53.4%</f>
        <v>0.53400000000000003</v>
      </c>
      <c r="N31" s="544">
        <v>0.38200000000000001</v>
      </c>
      <c r="O31" s="544">
        <v>7.3999999999999996E-2</v>
      </c>
      <c r="P31" s="544">
        <v>0.45600000000000002</v>
      </c>
      <c r="Q31" s="147">
        <v>0.09</v>
      </c>
      <c r="R31" s="514">
        <v>0.05</v>
      </c>
      <c r="S31" s="147">
        <v>0.05</v>
      </c>
      <c r="T31" s="147">
        <v>0.02</v>
      </c>
      <c r="U31" s="147">
        <v>0.02</v>
      </c>
      <c r="V31" s="581"/>
      <c r="W31" s="581">
        <v>4.0000000000000001E-3</v>
      </c>
      <c r="X31" s="147"/>
      <c r="Y31" s="581">
        <v>0.30599999999999999</v>
      </c>
      <c r="Z31" s="581">
        <v>5.1999999999999998E-2</v>
      </c>
      <c r="AA31" s="581">
        <v>0.254</v>
      </c>
      <c r="AB31" s="581">
        <v>6.4000000000000001E-2</v>
      </c>
      <c r="AC31" s="581">
        <v>0.54200000000000004</v>
      </c>
      <c r="AD31" s="581"/>
      <c r="AE31" s="147"/>
      <c r="AF31" s="581">
        <v>4.0000000000000001E-3</v>
      </c>
      <c r="AG31" s="581">
        <v>0.86</v>
      </c>
      <c r="AH31" s="147">
        <v>0.23</v>
      </c>
      <c r="AI31" s="581">
        <v>0.316</v>
      </c>
      <c r="AJ31" s="581">
        <v>5.6000000000000001E-2</v>
      </c>
      <c r="AK31" s="581">
        <v>0.61199999999999999</v>
      </c>
      <c r="AL31" s="581">
        <v>8.4000000000000005E-2</v>
      </c>
      <c r="AM31" s="581">
        <v>0.754</v>
      </c>
      <c r="AS31" s="147" t="s">
        <v>444</v>
      </c>
      <c r="AT31" s="578" t="str">
        <f>IF('Upper Extremity-Right'!T174="","",'Upper Extremity-Right'!T174)</f>
        <v/>
      </c>
      <c r="AU31" s="578" t="str">
        <f t="shared" si="0"/>
        <v/>
      </c>
      <c r="AV31" s="193">
        <f>IF(AU31="",0,VLOOKUP(AU31,$A$3:$AM$153,13))</f>
        <v>0</v>
      </c>
      <c r="BC31" s="147" t="s">
        <v>444</v>
      </c>
      <c r="BD31" s="578" t="str">
        <f>IF('Upper Extremity-Left'!T174="","",'Upper Extremity-Left'!T174)</f>
        <v/>
      </c>
      <c r="BE31" s="578" t="str">
        <f>IF(BD31="","",ROUND(BD31,0))</f>
        <v/>
      </c>
      <c r="BF31" s="193">
        <f>IF(BE31="",0,VLOOKUP(BE31,$A$3:$AM$153,13))</f>
        <v>0</v>
      </c>
      <c r="BG31" s="62"/>
      <c r="BH31" s="14"/>
    </row>
    <row r="32" spans="1:63" ht="15" customHeight="1" x14ac:dyDescent="0.2">
      <c r="A32" s="50">
        <v>29</v>
      </c>
      <c r="B32" s="544">
        <v>0.28599999999999998</v>
      </c>
      <c r="C32" s="544">
        <v>9.6000000000000002E-2</v>
      </c>
      <c r="D32" s="544">
        <v>0.38200000000000001</v>
      </c>
      <c r="E32" s="544">
        <v>0.28000000000000003</v>
      </c>
      <c r="F32" s="544">
        <v>0.23100000000000001</v>
      </c>
      <c r="G32" s="544">
        <v>0.51100000000000001</v>
      </c>
      <c r="H32" s="544">
        <v>0.26600000000000001</v>
      </c>
      <c r="I32" s="544">
        <v>7.8E-2</v>
      </c>
      <c r="J32" s="544">
        <v>0.34399999999999997</v>
      </c>
      <c r="K32" s="581">
        <v>0.42599999999999999</v>
      </c>
      <c r="L32" s="581">
        <f xml:space="preserve"> 10.6%</f>
        <v>0.106</v>
      </c>
      <c r="M32" s="581">
        <f xml:space="preserve"> 53.2%</f>
        <v>0.53200000000000003</v>
      </c>
      <c r="N32" s="544">
        <v>0.376</v>
      </c>
      <c r="O32" s="544">
        <v>7.6999999999999999E-2</v>
      </c>
      <c r="P32" s="544">
        <v>0.45300000000000001</v>
      </c>
      <c r="Q32" s="147">
        <v>0.1</v>
      </c>
      <c r="R32" s="514">
        <v>0.05</v>
      </c>
      <c r="S32" s="147">
        <v>0.05</v>
      </c>
      <c r="T32" s="147">
        <v>0.02</v>
      </c>
      <c r="U32" s="147">
        <v>0.02</v>
      </c>
      <c r="V32" s="581"/>
      <c r="W32" s="581">
        <v>2E-3</v>
      </c>
      <c r="X32" s="147"/>
      <c r="Y32" s="581">
        <v>0.313</v>
      </c>
      <c r="Z32" s="581">
        <v>5.0999999999999997E-2</v>
      </c>
      <c r="AA32" s="581">
        <v>0.252</v>
      </c>
      <c r="AB32" s="581">
        <v>6.2E-2</v>
      </c>
      <c r="AC32" s="581">
        <v>0.55100000000000005</v>
      </c>
      <c r="AD32" s="581"/>
      <c r="AE32" s="147"/>
      <c r="AF32" s="581">
        <v>2E-3</v>
      </c>
      <c r="AG32" s="581">
        <v>0.88</v>
      </c>
      <c r="AH32" s="147">
        <v>0.23</v>
      </c>
      <c r="AI32" s="581">
        <v>0.313</v>
      </c>
      <c r="AJ32" s="581">
        <v>5.8000000000000003E-2</v>
      </c>
      <c r="AK32" s="581">
        <v>0.61099999999999999</v>
      </c>
      <c r="AL32" s="581">
        <v>8.2000000000000003E-2</v>
      </c>
      <c r="AM32" s="581">
        <v>0.75700000000000001</v>
      </c>
      <c r="BC32" s="147"/>
      <c r="BD32" s="62"/>
      <c r="BE32" s="62"/>
      <c r="BG32" s="62"/>
      <c r="BH32" s="14"/>
    </row>
    <row r="33" spans="1:63" ht="15" customHeight="1" x14ac:dyDescent="0.2">
      <c r="A33" s="50">
        <v>30</v>
      </c>
      <c r="B33" s="544">
        <v>0.28000000000000003</v>
      </c>
      <c r="C33" s="544">
        <v>0.1</v>
      </c>
      <c r="D33" s="544">
        <v>0.38</v>
      </c>
      <c r="E33" s="544">
        <v>0.27</v>
      </c>
      <c r="F33" s="544">
        <v>0.25</v>
      </c>
      <c r="G33" s="544">
        <v>0.52</v>
      </c>
      <c r="H33" s="544">
        <v>0.26</v>
      </c>
      <c r="I33" s="544">
        <v>0.08</v>
      </c>
      <c r="J33" s="544">
        <v>0.34</v>
      </c>
      <c r="K33" s="581">
        <v>0.42</v>
      </c>
      <c r="L33" s="581">
        <f xml:space="preserve"> 11%</f>
        <v>0.11</v>
      </c>
      <c r="M33" s="581">
        <f xml:space="preserve"> 53%</f>
        <v>0.53</v>
      </c>
      <c r="N33" s="544">
        <v>0.37</v>
      </c>
      <c r="O33" s="544">
        <v>0.08</v>
      </c>
      <c r="P33" s="544">
        <v>0.45</v>
      </c>
      <c r="Q33" s="147">
        <v>0.1</v>
      </c>
      <c r="R33" s="514">
        <v>0.05</v>
      </c>
      <c r="S33" s="147">
        <v>0.05</v>
      </c>
      <c r="T33" s="147">
        <v>0.02</v>
      </c>
      <c r="U33" s="147">
        <v>0.02</v>
      </c>
      <c r="V33" s="581"/>
      <c r="W33" s="581">
        <v>0</v>
      </c>
      <c r="X33" s="147"/>
      <c r="Y33" s="581">
        <v>0.32</v>
      </c>
      <c r="Z33" s="581">
        <v>0.05</v>
      </c>
      <c r="AA33" s="581">
        <v>0.25</v>
      </c>
      <c r="AB33" s="581">
        <v>0.06</v>
      </c>
      <c r="AC33" s="581">
        <v>0.56000000000000005</v>
      </c>
      <c r="AD33" s="581"/>
      <c r="AE33" s="147"/>
      <c r="AF33" s="581">
        <v>0</v>
      </c>
      <c r="AG33" s="581">
        <v>0.9</v>
      </c>
      <c r="AH33" s="147">
        <v>0.24</v>
      </c>
      <c r="AI33" s="581">
        <v>0.31</v>
      </c>
      <c r="AJ33" s="581">
        <v>0.06</v>
      </c>
      <c r="AK33" s="581">
        <v>0.61</v>
      </c>
      <c r="AL33" s="581">
        <v>0.08</v>
      </c>
      <c r="AM33" s="581">
        <v>0.76</v>
      </c>
      <c r="AS33" s="147" t="s">
        <v>445</v>
      </c>
      <c r="AT33" s="578" t="str">
        <f>IF('Upper Extremity-Right'!T176="","",'Upper Extremity-Right'!T176)</f>
        <v/>
      </c>
      <c r="AU33" s="578" t="str">
        <f t="shared" si="0"/>
        <v/>
      </c>
      <c r="AV33" s="193">
        <f>IF(AU33="",0,VLOOKUP(AU33,$A$3:$AM$153,14))</f>
        <v>0</v>
      </c>
      <c r="AX33" s="147" t="s">
        <v>446</v>
      </c>
      <c r="AY33" s="578" t="str">
        <f>IF('Upper Extremity-Right'!V176="","",'Upper Extremity-Right'!V176)</f>
        <v/>
      </c>
      <c r="AZ33" s="578" t="str">
        <f>IF(AY33="","",ROUND(AY33,0))</f>
        <v/>
      </c>
      <c r="BA33" s="193">
        <f>IF(AZ33="",0,VLOOKUP(AZ33,$A$3:$AM$153,14))</f>
        <v>0</v>
      </c>
      <c r="BC33" s="147" t="s">
        <v>445</v>
      </c>
      <c r="BD33" s="578" t="str">
        <f>IF('Upper Extremity-Left'!T176="","",'Upper Extremity-Left'!T176)</f>
        <v/>
      </c>
      <c r="BE33" s="578" t="str">
        <f>IF(BD33="","",ROUND(BD33,0))</f>
        <v/>
      </c>
      <c r="BF33" s="193">
        <f>IF(BE33="",0,VLOOKUP(BE33,$A$3:$AM$153,14))</f>
        <v>0</v>
      </c>
      <c r="BG33" s="62"/>
      <c r="BH33" s="147" t="s">
        <v>446</v>
      </c>
      <c r="BI33" s="578" t="str">
        <f>IF('Upper Extremity-Left'!V176="","",'Upper Extremity-Left'!V176)</f>
        <v/>
      </c>
      <c r="BJ33" s="578" t="str">
        <f>IF(BI33="","",ROUND(BI33,0))</f>
        <v/>
      </c>
      <c r="BK33" s="193">
        <f>IF(BJ33="",0,VLOOKUP(BJ33,$A$3:$AM$153,14))</f>
        <v>0</v>
      </c>
    </row>
    <row r="34" spans="1:63" ht="15" customHeight="1" x14ac:dyDescent="0.2">
      <c r="A34" s="50">
        <v>31</v>
      </c>
      <c r="B34" s="544">
        <v>0.27500000000000002</v>
      </c>
      <c r="C34" s="544">
        <v>0.10199999999999999</v>
      </c>
      <c r="D34" s="544">
        <v>0.377</v>
      </c>
      <c r="E34" s="544">
        <v>0.26100000000000001</v>
      </c>
      <c r="F34" s="544">
        <v>0.26800000000000002</v>
      </c>
      <c r="G34" s="544">
        <v>0.52900000000000003</v>
      </c>
      <c r="H34" s="544">
        <v>0.253</v>
      </c>
      <c r="I34" s="544">
        <v>8.3000000000000004E-2</v>
      </c>
      <c r="J34" s="544">
        <v>0.33600000000000002</v>
      </c>
      <c r="K34" s="581">
        <v>0.41399999999999998</v>
      </c>
      <c r="L34" s="581">
        <f xml:space="preserve"> 11.3%</f>
        <v>0.113</v>
      </c>
      <c r="M34" s="581">
        <f xml:space="preserve"> 52.7%</f>
        <v>0.52700000000000002</v>
      </c>
      <c r="N34" s="544">
        <v>0.36399999999999999</v>
      </c>
      <c r="O34" s="544">
        <v>9.5000000000000001E-2</v>
      </c>
      <c r="P34" s="544">
        <v>0.45900000000000002</v>
      </c>
      <c r="Q34" s="147">
        <v>0.1</v>
      </c>
      <c r="R34" s="514">
        <v>0.05</v>
      </c>
      <c r="S34" s="147">
        <v>0.05</v>
      </c>
      <c r="T34" s="147">
        <v>0.03</v>
      </c>
      <c r="U34" s="147">
        <v>0.02</v>
      </c>
      <c r="V34" s="581"/>
      <c r="W34" s="581"/>
      <c r="X34" s="147"/>
      <c r="Y34" s="581"/>
      <c r="Z34" s="581">
        <v>4.8000000000000001E-2</v>
      </c>
      <c r="AA34" s="581">
        <v>0.27200000000000002</v>
      </c>
      <c r="AB34" s="581">
        <v>5.8999999999999997E-2</v>
      </c>
      <c r="AC34" s="581">
        <v>0.56799999999999995</v>
      </c>
      <c r="AD34" s="581"/>
      <c r="AE34" s="147"/>
      <c r="AF34" s="581"/>
      <c r="AG34" s="581"/>
      <c r="AH34" s="147">
        <v>0.25</v>
      </c>
      <c r="AI34" s="581">
        <v>0.308</v>
      </c>
      <c r="AJ34" s="581">
        <v>6.2E-2</v>
      </c>
      <c r="AK34" s="581">
        <v>0.60799999999999998</v>
      </c>
      <c r="AL34" s="581">
        <v>7.9000000000000001E-2</v>
      </c>
      <c r="AM34" s="581">
        <v>0.76400000000000001</v>
      </c>
      <c r="AS34" s="147" t="s">
        <v>447</v>
      </c>
      <c r="AT34" s="578" t="str">
        <f>IF('Upper Extremity-Right'!T177="","",'Upper Extremity-Right'!T177)</f>
        <v/>
      </c>
      <c r="AU34" s="578" t="str">
        <f t="shared" si="0"/>
        <v/>
      </c>
      <c r="AV34" s="193">
        <f>IF(AU34="",0,VLOOKUP(AU34,$A$3:$AM$153,15))</f>
        <v>0</v>
      </c>
      <c r="AX34" s="147" t="s">
        <v>446</v>
      </c>
      <c r="AY34" s="578" t="str">
        <f>IF('Upper Extremity-Right'!V177="","",'Upper Extremity-Right'!V177)</f>
        <v/>
      </c>
      <c r="AZ34" s="578" t="str">
        <f>IF(AY34="","",ROUND(AY34,0))</f>
        <v/>
      </c>
      <c r="BA34" s="193">
        <f>IF(AZ34="",0,VLOOKUP(AZ34,$A$3:$AM$153,15))</f>
        <v>0</v>
      </c>
      <c r="BC34" s="147" t="s">
        <v>447</v>
      </c>
      <c r="BD34" s="578" t="str">
        <f>IF('Upper Extremity-Left'!T177="","",'Upper Extremity-Left'!T177)</f>
        <v/>
      </c>
      <c r="BE34" s="578" t="str">
        <f>IF(BD34="","",ROUND(BD34,0))</f>
        <v/>
      </c>
      <c r="BF34" s="193">
        <f>IF(BE34="",0,VLOOKUP(BE34,$A$3:$AM$153,15))</f>
        <v>0</v>
      </c>
      <c r="BG34" s="62"/>
      <c r="BH34" s="147" t="s">
        <v>446</v>
      </c>
      <c r="BI34" s="578" t="str">
        <f>IF('Upper Extremity-Left'!V177="","",'Upper Extremity-Left'!V177)</f>
        <v/>
      </c>
      <c r="BJ34" s="578" t="str">
        <f>IF(BI34="","",ROUND(BI34,0))</f>
        <v/>
      </c>
      <c r="BK34" s="193">
        <f>IF(BJ34="",0,VLOOKUP(BJ34,$A$3:$AM$153,15))</f>
        <v>0</v>
      </c>
    </row>
    <row r="35" spans="1:63" ht="15" customHeight="1" x14ac:dyDescent="0.2">
      <c r="A35" s="50">
        <v>32</v>
      </c>
      <c r="B35" s="544">
        <v>0.27</v>
      </c>
      <c r="C35" s="544">
        <v>0.104</v>
      </c>
      <c r="D35" s="544">
        <v>0.374</v>
      </c>
      <c r="E35" s="544">
        <v>0.252</v>
      </c>
      <c r="F35" s="544">
        <v>0.28599999999999998</v>
      </c>
      <c r="G35" s="544">
        <v>0.53800000000000003</v>
      </c>
      <c r="H35" s="544">
        <v>0.246</v>
      </c>
      <c r="I35" s="544">
        <v>8.5999999999999993E-2</v>
      </c>
      <c r="J35" s="544">
        <v>0.33200000000000002</v>
      </c>
      <c r="K35" s="581">
        <v>0.40799999999999997</v>
      </c>
      <c r="L35" s="581">
        <f xml:space="preserve"> 11.6%</f>
        <v>0.11599999999999999</v>
      </c>
      <c r="M35" s="581">
        <f xml:space="preserve"> 52.4%</f>
        <v>0.52400000000000002</v>
      </c>
      <c r="N35" s="544">
        <v>0.35799999999999998</v>
      </c>
      <c r="O35" s="544">
        <v>0.11</v>
      </c>
      <c r="P35" s="544">
        <v>0.46800000000000003</v>
      </c>
      <c r="Q35" s="147">
        <v>0.11</v>
      </c>
      <c r="R35" s="514">
        <v>0.06</v>
      </c>
      <c r="S35" s="147">
        <v>0.05</v>
      </c>
      <c r="T35" s="147">
        <v>0.03</v>
      </c>
      <c r="U35" s="147">
        <v>0.02</v>
      </c>
      <c r="V35" s="581"/>
      <c r="W35" s="581"/>
      <c r="X35" s="147"/>
      <c r="Y35" s="581"/>
      <c r="Z35" s="581">
        <v>4.5999999999999999E-2</v>
      </c>
      <c r="AA35" s="581">
        <v>0.29399999999999998</v>
      </c>
      <c r="AB35" s="581">
        <v>5.8000000000000003E-2</v>
      </c>
      <c r="AC35" s="581">
        <v>0.57599999999999996</v>
      </c>
      <c r="AD35" s="581"/>
      <c r="AE35" s="147"/>
      <c r="AF35" s="581"/>
      <c r="AG35" s="581"/>
      <c r="AH35" s="147">
        <v>0.26</v>
      </c>
      <c r="AI35" s="581">
        <v>0.30599999999999999</v>
      </c>
      <c r="AJ35" s="581">
        <v>6.4000000000000001E-2</v>
      </c>
      <c r="AK35" s="581">
        <v>0.60599999999999998</v>
      </c>
      <c r="AL35" s="581">
        <v>7.8E-2</v>
      </c>
      <c r="AM35" s="581">
        <v>0.76800000000000002</v>
      </c>
      <c r="AS35" s="147" t="s">
        <v>448</v>
      </c>
      <c r="AT35" s="578" t="str">
        <f>IF('Upper Extremity-Right'!T178="","",'Upper Extremity-Right'!T178)</f>
        <v/>
      </c>
      <c r="AU35" s="578" t="str">
        <f t="shared" si="0"/>
        <v/>
      </c>
      <c r="AV35" s="193">
        <f>IF(AU35="",0,VLOOKUP(AU35,$A$3:$AM$153,16))</f>
        <v>0</v>
      </c>
      <c r="BC35" s="147" t="s">
        <v>448</v>
      </c>
      <c r="BD35" s="578" t="str">
        <f>IF('Upper Extremity-Left'!T178="","",'Upper Extremity-Left'!T178)</f>
        <v/>
      </c>
      <c r="BE35" s="578" t="str">
        <f>IF(BD35="","",ROUND(BD35,0))</f>
        <v/>
      </c>
      <c r="BF35" s="193">
        <f>IF(BE35="",0,VLOOKUP(BE35,$A$3:$AM$153,16))</f>
        <v>0</v>
      </c>
      <c r="BG35" s="62"/>
      <c r="BH35" s="14"/>
    </row>
    <row r="36" spans="1:63" ht="15" customHeight="1" x14ac:dyDescent="0.2">
      <c r="A36" s="50">
        <v>33</v>
      </c>
      <c r="B36" s="544">
        <v>0.26500000000000001</v>
      </c>
      <c r="C36" s="544">
        <v>0.106</v>
      </c>
      <c r="D36" s="544">
        <v>0.371</v>
      </c>
      <c r="E36" s="544">
        <v>0.24299999999999999</v>
      </c>
      <c r="F36" s="544">
        <v>0.30399999999999999</v>
      </c>
      <c r="G36" s="544">
        <v>0.54700000000000004</v>
      </c>
      <c r="H36" s="544">
        <v>0.23899999999999999</v>
      </c>
      <c r="I36" s="544">
        <v>8.8999999999999996E-2</v>
      </c>
      <c r="J36" s="544">
        <v>0.32800000000000001</v>
      </c>
      <c r="K36" s="581">
        <v>0.40200000000000002</v>
      </c>
      <c r="L36" s="581">
        <f xml:space="preserve"> 11.9%</f>
        <v>0.11900000000000001</v>
      </c>
      <c r="M36" s="581">
        <f xml:space="preserve"> 52.1%</f>
        <v>0.52100000000000002</v>
      </c>
      <c r="N36" s="544">
        <v>0.35199999999999998</v>
      </c>
      <c r="O36" s="544">
        <v>0.125</v>
      </c>
      <c r="P36" s="544">
        <v>0.47699999999999998</v>
      </c>
      <c r="Q36" s="147">
        <v>0.11</v>
      </c>
      <c r="R36" s="514">
        <v>0.06</v>
      </c>
      <c r="S36" s="147">
        <v>0.05</v>
      </c>
      <c r="T36" s="147">
        <v>0.03</v>
      </c>
      <c r="U36" s="147">
        <v>0.02</v>
      </c>
      <c r="V36" s="581"/>
      <c r="W36" s="581"/>
      <c r="X36" s="147"/>
      <c r="Y36" s="581"/>
      <c r="Z36" s="581">
        <v>4.3999999999999997E-2</v>
      </c>
      <c r="AA36" s="581">
        <v>0.316</v>
      </c>
      <c r="AB36" s="581">
        <v>5.7000000000000002E-2</v>
      </c>
      <c r="AC36" s="581">
        <v>0.58399999999999996</v>
      </c>
      <c r="AD36" s="581"/>
      <c r="AE36" s="147"/>
      <c r="AF36" s="581"/>
      <c r="AG36" s="581"/>
      <c r="AH36" s="147">
        <v>0.27</v>
      </c>
      <c r="AI36" s="581">
        <v>0.30399999999999999</v>
      </c>
      <c r="AJ36" s="581">
        <v>6.6000000000000003E-2</v>
      </c>
      <c r="AK36" s="581">
        <v>0.60399999999999998</v>
      </c>
      <c r="AL36" s="581">
        <v>7.6999999999999999E-2</v>
      </c>
      <c r="AM36" s="581">
        <v>0.77200000000000002</v>
      </c>
      <c r="BC36" s="147"/>
      <c r="BD36" s="62"/>
      <c r="BE36" s="62"/>
      <c r="BG36" s="62"/>
      <c r="BH36" s="14"/>
    </row>
    <row r="37" spans="1:63" ht="15" customHeight="1" x14ac:dyDescent="0.2">
      <c r="A37" s="50">
        <v>34</v>
      </c>
      <c r="B37" s="544">
        <v>0.26</v>
      </c>
      <c r="C37" s="544">
        <v>0.108</v>
      </c>
      <c r="D37" s="544">
        <v>0.36799999999999999</v>
      </c>
      <c r="E37" s="544">
        <v>0.23400000000000001</v>
      </c>
      <c r="F37" s="544">
        <v>0.32200000000000001</v>
      </c>
      <c r="G37" s="544">
        <v>0.55600000000000005</v>
      </c>
      <c r="H37" s="544">
        <v>0.23200000000000001</v>
      </c>
      <c r="I37" s="544">
        <v>9.1999999999999998E-2</v>
      </c>
      <c r="J37" s="544">
        <v>0.32400000000000001</v>
      </c>
      <c r="K37" s="581">
        <v>0.39600000000000002</v>
      </c>
      <c r="L37" s="581">
        <f xml:space="preserve"> 12.2%</f>
        <v>0.122</v>
      </c>
      <c r="M37" s="581">
        <f xml:space="preserve"> 51.8%</f>
        <v>0.51800000000000002</v>
      </c>
      <c r="N37" s="544">
        <v>0.34599999999999997</v>
      </c>
      <c r="O37" s="544">
        <v>0.14000000000000001</v>
      </c>
      <c r="P37" s="544">
        <v>0.48599999999999999</v>
      </c>
      <c r="Q37" s="147">
        <v>0.11</v>
      </c>
      <c r="R37" s="514">
        <v>0.06</v>
      </c>
      <c r="S37" s="147">
        <v>0.05</v>
      </c>
      <c r="T37" s="147">
        <v>0.03</v>
      </c>
      <c r="U37" s="147">
        <v>0.02</v>
      </c>
      <c r="V37" s="581"/>
      <c r="W37" s="581"/>
      <c r="X37" s="147"/>
      <c r="Y37" s="581"/>
      <c r="Z37" s="581">
        <v>4.2000000000000003E-2</v>
      </c>
      <c r="AA37" s="581">
        <v>0.33800000000000002</v>
      </c>
      <c r="AB37" s="581">
        <v>5.6000000000000001E-2</v>
      </c>
      <c r="AC37" s="581">
        <v>0.59199999999999997</v>
      </c>
      <c r="AD37" s="581"/>
      <c r="AE37" s="147"/>
      <c r="AF37" s="581"/>
      <c r="AG37" s="581"/>
      <c r="AH37" s="147">
        <v>0.27</v>
      </c>
      <c r="AI37" s="581">
        <v>0.30199999999999999</v>
      </c>
      <c r="AJ37" s="581">
        <v>6.8000000000000005E-2</v>
      </c>
      <c r="AK37" s="581">
        <v>0.60199999999999998</v>
      </c>
      <c r="AL37" s="581">
        <v>7.5999999999999998E-2</v>
      </c>
      <c r="AM37" s="581">
        <v>0.77600000000000002</v>
      </c>
      <c r="AS37" s="147" t="s">
        <v>1537</v>
      </c>
      <c r="BC37" s="147" t="s">
        <v>1537</v>
      </c>
      <c r="BD37" s="62"/>
      <c r="BE37" s="62"/>
      <c r="BG37" s="62"/>
      <c r="BH37" s="14"/>
    </row>
    <row r="38" spans="1:63" ht="15" customHeight="1" x14ac:dyDescent="0.2">
      <c r="A38" s="50">
        <v>35</v>
      </c>
      <c r="B38" s="544">
        <v>0.255</v>
      </c>
      <c r="C38" s="544">
        <v>0.11</v>
      </c>
      <c r="D38" s="544">
        <v>0.36499999999999999</v>
      </c>
      <c r="E38" s="544">
        <v>0.22500000000000001</v>
      </c>
      <c r="F38" s="544">
        <v>0.34</v>
      </c>
      <c r="G38" s="544">
        <v>0.56499999999999995</v>
      </c>
      <c r="H38" s="544">
        <v>0.22500000000000001</v>
      </c>
      <c r="I38" s="544">
        <v>9.5000000000000001E-2</v>
      </c>
      <c r="J38" s="544">
        <v>0.32</v>
      </c>
      <c r="K38" s="581">
        <v>0.39</v>
      </c>
      <c r="L38" s="581">
        <f xml:space="preserve"> 12.5%</f>
        <v>0.125</v>
      </c>
      <c r="M38" s="581">
        <f xml:space="preserve"> 51.5%</f>
        <v>0.51500000000000001</v>
      </c>
      <c r="N38" s="544">
        <v>0.34</v>
      </c>
      <c r="O38" s="544">
        <v>0.155</v>
      </c>
      <c r="P38" s="544">
        <v>0.495</v>
      </c>
      <c r="Q38" s="147">
        <v>0.12</v>
      </c>
      <c r="R38" s="514">
        <v>0.06</v>
      </c>
      <c r="S38" s="147">
        <v>0.06</v>
      </c>
      <c r="T38" s="147">
        <v>0.03</v>
      </c>
      <c r="U38" s="147">
        <v>0.02</v>
      </c>
      <c r="V38" s="581"/>
      <c r="W38" s="581"/>
      <c r="X38" s="147"/>
      <c r="Y38" s="581"/>
      <c r="Z38" s="581">
        <v>0.04</v>
      </c>
      <c r="AA38" s="581">
        <v>0.36</v>
      </c>
      <c r="AB38" s="581">
        <v>5.5E-2</v>
      </c>
      <c r="AC38" s="581">
        <v>0.6</v>
      </c>
      <c r="AD38" s="581"/>
      <c r="AE38" s="147"/>
      <c r="AF38" s="581"/>
      <c r="AG38" s="581"/>
      <c r="AH38" s="147">
        <v>0.28000000000000003</v>
      </c>
      <c r="AI38" s="581">
        <v>0.3</v>
      </c>
      <c r="AJ38" s="581">
        <v>7.0000000000000007E-2</v>
      </c>
      <c r="AK38" s="581">
        <v>0.6</v>
      </c>
      <c r="AL38" s="581">
        <v>7.4999999999999997E-2</v>
      </c>
      <c r="AM38" s="581">
        <v>0.78</v>
      </c>
      <c r="AS38" s="147" t="s">
        <v>1490</v>
      </c>
      <c r="AT38" s="578" t="str">
        <f>IF('Upper Extremity-Right'!T244="","",'Upper Extremity-Right'!T244)</f>
        <v/>
      </c>
      <c r="AU38" s="578" t="str">
        <f t="shared" si="0"/>
        <v/>
      </c>
      <c r="AV38" s="193">
        <f>IF(AU38="",0,VLOOKUP(AU38,$A$3:$AM$153,8))</f>
        <v>0</v>
      </c>
      <c r="AX38" s="147" t="s">
        <v>156</v>
      </c>
      <c r="AY38" s="578" t="str">
        <f>IF('Upper Extremity-Right'!V244="","",'Upper Extremity-Right'!V244)</f>
        <v/>
      </c>
      <c r="AZ38" s="578" t="str">
        <f>IF(AY38="","",ROUND(AY38,0))</f>
        <v/>
      </c>
      <c r="BA38" s="193">
        <f>IF(AZ38="",0,VLOOKUP(AZ38,$A$3:$AM$153,8))</f>
        <v>0</v>
      </c>
      <c r="BC38" s="147" t="s">
        <v>1490</v>
      </c>
      <c r="BD38" s="578" t="str">
        <f>IF('Upper Extremity-Left'!T244="","",'Upper Extremity-Left'!T244)</f>
        <v/>
      </c>
      <c r="BE38" s="578" t="str">
        <f>IF(BD38="","",ROUND(BD38,0))</f>
        <v/>
      </c>
      <c r="BF38" s="193">
        <f>IF(BE38="",0,VLOOKUP(BE38,$A$3:$AM$153,8))</f>
        <v>0</v>
      </c>
      <c r="BG38" s="62"/>
      <c r="BH38" s="147" t="s">
        <v>156</v>
      </c>
      <c r="BI38" s="578" t="str">
        <f>IF('Upper Extremity-Left'!V244="","",'Upper Extremity-Left'!V244)</f>
        <v/>
      </c>
      <c r="BJ38" s="578" t="str">
        <f>IF(BI38="","",ROUND(BI38,0))</f>
        <v/>
      </c>
      <c r="BK38" s="193">
        <f>IF(BJ38="",0,VLOOKUP(BJ38,$A$3:$AM$153,8))</f>
        <v>0</v>
      </c>
    </row>
    <row r="39" spans="1:63" ht="15" customHeight="1" x14ac:dyDescent="0.2">
      <c r="A39" s="50">
        <v>36</v>
      </c>
      <c r="B39" s="544">
        <v>0.25</v>
      </c>
      <c r="C39" s="544">
        <v>0.112</v>
      </c>
      <c r="D39" s="544">
        <v>0.36199999999999999</v>
      </c>
      <c r="E39" s="544">
        <v>0.216</v>
      </c>
      <c r="F39" s="544">
        <v>0.35799999999999998</v>
      </c>
      <c r="G39" s="544">
        <v>0.57399999999999995</v>
      </c>
      <c r="H39" s="544">
        <v>0.218</v>
      </c>
      <c r="I39" s="544">
        <v>9.8000000000000004E-2</v>
      </c>
      <c r="J39" s="544">
        <v>0.316</v>
      </c>
      <c r="K39" s="581">
        <v>0.38400000000000001</v>
      </c>
      <c r="L39" s="581">
        <f xml:space="preserve"> 12.8%</f>
        <v>0.128</v>
      </c>
      <c r="M39" s="581">
        <f xml:space="preserve"> 51.2%</f>
        <v>0.51200000000000001</v>
      </c>
      <c r="N39" s="544">
        <v>0.33400000000000002</v>
      </c>
      <c r="O39" s="544">
        <v>0.17</v>
      </c>
      <c r="P39" s="544">
        <v>0.504</v>
      </c>
      <c r="Q39" s="147">
        <v>0.12</v>
      </c>
      <c r="R39" s="514">
        <v>0.06</v>
      </c>
      <c r="S39" s="147">
        <v>0.06</v>
      </c>
      <c r="T39" s="147">
        <v>0.03</v>
      </c>
      <c r="U39" s="147">
        <v>0.02</v>
      </c>
      <c r="V39" s="581"/>
      <c r="W39" s="581"/>
      <c r="X39" s="147"/>
      <c r="Y39" s="581"/>
      <c r="Z39" s="581">
        <v>3.7999999999999999E-2</v>
      </c>
      <c r="AA39" s="670">
        <v>0.38200000000000001</v>
      </c>
      <c r="AB39" s="581">
        <v>5.3999999999999999E-2</v>
      </c>
      <c r="AC39" s="581">
        <v>0.60799999999999998</v>
      </c>
      <c r="AD39" s="581"/>
      <c r="AE39" s="147"/>
      <c r="AF39" s="581"/>
      <c r="AG39" s="581"/>
      <c r="AH39" s="147">
        <v>0.28999999999999998</v>
      </c>
      <c r="AI39" s="581">
        <v>0.29799999999999999</v>
      </c>
      <c r="AJ39" s="581">
        <v>7.1999999999999995E-2</v>
      </c>
      <c r="AK39" s="581">
        <v>0.59799999999999998</v>
      </c>
      <c r="AL39" s="581">
        <v>7.3999999999999996E-2</v>
      </c>
      <c r="AM39" s="581">
        <v>0.78400000000000003</v>
      </c>
      <c r="AS39" s="147" t="s">
        <v>157</v>
      </c>
      <c r="AT39" s="578" t="str">
        <f>IF('Upper Extremity-Right'!T245="","",'Upper Extremity-Right'!T245)</f>
        <v/>
      </c>
      <c r="AU39" s="578" t="str">
        <f t="shared" si="0"/>
        <v/>
      </c>
      <c r="AV39" s="193">
        <f>IF(AU39="",0,VLOOKUP(AU39,$A$3:$AM$153,9))</f>
        <v>0</v>
      </c>
      <c r="AX39" s="147" t="s">
        <v>156</v>
      </c>
      <c r="AY39" s="578" t="str">
        <f>IF('Upper Extremity-Right'!V245="","",'Upper Extremity-Right'!V245)</f>
        <v/>
      </c>
      <c r="AZ39" s="578" t="str">
        <f>IF(AY39="","",ROUND(AY39,0))</f>
        <v/>
      </c>
      <c r="BA39" s="193">
        <f>IF(AZ39="",0,VLOOKUP(AZ39,$A$3:$AM$153,9))</f>
        <v>0</v>
      </c>
      <c r="BC39" s="147" t="s">
        <v>157</v>
      </c>
      <c r="BD39" s="578" t="str">
        <f>IF('Upper Extremity-Left'!T245="","",'Upper Extremity-Left'!T245)</f>
        <v/>
      </c>
      <c r="BE39" s="578" t="str">
        <f>IF(BD39="","",ROUND(BD39,0))</f>
        <v/>
      </c>
      <c r="BF39" s="193">
        <f>IF(BE39="",0,VLOOKUP(BE39,$A$3:$AM$153,9))</f>
        <v>0</v>
      </c>
      <c r="BG39" s="62"/>
      <c r="BH39" s="147" t="s">
        <v>156</v>
      </c>
      <c r="BI39" s="578" t="str">
        <f>IF('Upper Extremity-Left'!V245="","",'Upper Extremity-Left'!V245)</f>
        <v/>
      </c>
      <c r="BJ39" s="578" t="str">
        <f>IF(BI39="","",ROUND(BI39,0))</f>
        <v/>
      </c>
      <c r="BK39" s="193">
        <f>IF(BJ39="",0,VLOOKUP(BJ39,$A$3:$AM$153,9))</f>
        <v>0</v>
      </c>
    </row>
    <row r="40" spans="1:63" ht="15" customHeight="1" x14ac:dyDescent="0.2">
      <c r="A40" s="50">
        <v>37</v>
      </c>
      <c r="B40" s="544">
        <v>0.245</v>
      </c>
      <c r="C40" s="544">
        <v>0.114</v>
      </c>
      <c r="D40" s="544">
        <v>0.35899999999999999</v>
      </c>
      <c r="E40" s="544">
        <v>0.20699999999999999</v>
      </c>
      <c r="F40" s="544">
        <v>0.376</v>
      </c>
      <c r="G40" s="544">
        <v>0.58299999999999996</v>
      </c>
      <c r="H40" s="544">
        <v>0.21099999999999999</v>
      </c>
      <c r="I40" s="544">
        <v>0.10100000000000001</v>
      </c>
      <c r="J40" s="544">
        <v>0.312</v>
      </c>
      <c r="K40" s="581">
        <v>0.378</v>
      </c>
      <c r="L40" s="581">
        <f xml:space="preserve"> 13.1%</f>
        <v>0.13100000000000001</v>
      </c>
      <c r="M40" s="581">
        <f xml:space="preserve"> 50.9%</f>
        <v>0.50900000000000001</v>
      </c>
      <c r="N40" s="544">
        <v>0.32800000000000001</v>
      </c>
      <c r="O40" s="544">
        <v>0.185</v>
      </c>
      <c r="P40" s="544">
        <v>0.51300000000000001</v>
      </c>
      <c r="Q40" s="147">
        <v>0.12</v>
      </c>
      <c r="R40" s="514">
        <v>0.06</v>
      </c>
      <c r="S40" s="147">
        <v>0.06</v>
      </c>
      <c r="T40" s="147">
        <v>0.03</v>
      </c>
      <c r="U40" s="147">
        <v>0.02</v>
      </c>
      <c r="V40" s="581"/>
      <c r="W40" s="581"/>
      <c r="X40" s="147"/>
      <c r="Y40" s="581"/>
      <c r="Z40" s="581">
        <v>3.5999999999999997E-2</v>
      </c>
      <c r="AA40" s="581">
        <v>0.40400000000000003</v>
      </c>
      <c r="AB40" s="581">
        <v>5.2999999999999999E-2</v>
      </c>
      <c r="AC40" s="581">
        <v>0.61599999999999999</v>
      </c>
      <c r="AD40" s="581"/>
      <c r="AE40" s="147"/>
      <c r="AF40" s="581"/>
      <c r="AG40" s="581"/>
      <c r="AH40" s="147">
        <v>0.3</v>
      </c>
      <c r="AI40" s="581">
        <v>0.29599999999999999</v>
      </c>
      <c r="AJ40" s="581">
        <v>7.3999999999999996E-2</v>
      </c>
      <c r="AK40" s="581">
        <v>0.59599999999999997</v>
      </c>
      <c r="AL40" s="581">
        <v>7.2999999999999995E-2</v>
      </c>
      <c r="AM40" s="581">
        <v>0.78800000000000003</v>
      </c>
      <c r="AS40" s="147" t="s">
        <v>158</v>
      </c>
      <c r="AT40" s="578" t="str">
        <f>IF('Upper Extremity-Right'!T246="","",'Upper Extremity-Right'!T246)</f>
        <v/>
      </c>
      <c r="AU40" s="578" t="str">
        <f t="shared" si="0"/>
        <v/>
      </c>
      <c r="AV40" s="193">
        <f>IF(AU40="",0,VLOOKUP(AU40,$A$3:$AM$153,10))</f>
        <v>0</v>
      </c>
      <c r="BC40" s="147" t="s">
        <v>158</v>
      </c>
      <c r="BD40" s="578" t="str">
        <f>IF('Upper Extremity-Left'!T246="","",'Upper Extremity-Left'!T246)</f>
        <v/>
      </c>
      <c r="BE40" s="578" t="str">
        <f>IF(BD40="","",ROUND(BD40,0))</f>
        <v/>
      </c>
      <c r="BF40" s="193">
        <f>IF(BE40="",0,VLOOKUP(BE40,$A$3:$AM$153,10))</f>
        <v>0</v>
      </c>
      <c r="BG40" s="62"/>
      <c r="BH40" s="14"/>
    </row>
    <row r="41" spans="1:63" ht="15" customHeight="1" x14ac:dyDescent="0.2">
      <c r="A41" s="50">
        <v>38</v>
      </c>
      <c r="B41" s="544">
        <v>0.24</v>
      </c>
      <c r="C41" s="544">
        <v>0.11600000000000001</v>
      </c>
      <c r="D41" s="544">
        <v>0.35599999999999998</v>
      </c>
      <c r="E41" s="544">
        <v>0.19800000000000001</v>
      </c>
      <c r="F41" s="544">
        <v>0.39400000000000002</v>
      </c>
      <c r="G41" s="544">
        <v>0.59199999999999997</v>
      </c>
      <c r="H41" s="544">
        <v>0.20399999999999999</v>
      </c>
      <c r="I41" s="544">
        <v>0.104</v>
      </c>
      <c r="J41" s="544">
        <v>0.308</v>
      </c>
      <c r="K41" s="581">
        <v>0.372</v>
      </c>
      <c r="L41" s="581">
        <f xml:space="preserve"> 13.4%</f>
        <v>0.13400000000000001</v>
      </c>
      <c r="M41" s="581">
        <f xml:space="preserve"> 50.6%</f>
        <v>0.50600000000000001</v>
      </c>
      <c r="N41" s="544">
        <v>0.32200000000000001</v>
      </c>
      <c r="O41" s="544">
        <v>0.2</v>
      </c>
      <c r="P41" s="544">
        <v>0.52200000000000002</v>
      </c>
      <c r="Q41" s="147">
        <v>0.13</v>
      </c>
      <c r="R41" s="514">
        <v>7.0000000000000007E-2</v>
      </c>
      <c r="S41" s="147">
        <v>0.06</v>
      </c>
      <c r="T41" s="147">
        <v>0.03</v>
      </c>
      <c r="U41" s="147">
        <v>0.02</v>
      </c>
      <c r="V41" s="581"/>
      <c r="W41" s="581"/>
      <c r="X41" s="147"/>
      <c r="Y41" s="581"/>
      <c r="Z41" s="581">
        <v>3.4000000000000002E-2</v>
      </c>
      <c r="AA41" s="581">
        <v>0.42599999999999999</v>
      </c>
      <c r="AB41" s="581">
        <v>5.1999999999999998E-2</v>
      </c>
      <c r="AC41" s="581">
        <v>0.624</v>
      </c>
      <c r="AD41" s="581"/>
      <c r="AE41" s="147"/>
      <c r="AF41" s="581"/>
      <c r="AG41" s="581"/>
      <c r="AH41" s="147">
        <v>0.31</v>
      </c>
      <c r="AI41" s="581">
        <v>0.29399999999999998</v>
      </c>
      <c r="AJ41" s="581">
        <v>7.5999999999999998E-2</v>
      </c>
      <c r="AK41" s="581">
        <v>0.59399999999999997</v>
      </c>
      <c r="AL41" s="581">
        <v>7.1999999999999995E-2</v>
      </c>
      <c r="AM41" s="581">
        <v>0.79200000000000004</v>
      </c>
      <c r="BC41" s="147"/>
      <c r="BD41" s="62"/>
      <c r="BE41" s="62"/>
      <c r="BG41" s="62"/>
      <c r="BH41" s="14"/>
    </row>
    <row r="42" spans="1:63" ht="15" customHeight="1" x14ac:dyDescent="0.2">
      <c r="A42" s="50">
        <v>39</v>
      </c>
      <c r="B42" s="544">
        <v>0.23499999999999999</v>
      </c>
      <c r="C42" s="544">
        <v>0.11799999999999999</v>
      </c>
      <c r="D42" s="544">
        <v>0.35299999999999998</v>
      </c>
      <c r="E42" s="544">
        <v>0.189</v>
      </c>
      <c r="F42" s="544">
        <v>0.41199999999999998</v>
      </c>
      <c r="G42" s="544">
        <v>0.60099999999999998</v>
      </c>
      <c r="H42" s="544">
        <v>0.19700000000000001</v>
      </c>
      <c r="I42" s="544">
        <v>0.107</v>
      </c>
      <c r="J42" s="544">
        <v>0.30399999999999999</v>
      </c>
      <c r="K42" s="581">
        <v>0.36599999999999999</v>
      </c>
      <c r="L42" s="581">
        <f xml:space="preserve"> 13.7%</f>
        <v>0.13699999999999998</v>
      </c>
      <c r="M42" s="581">
        <f xml:space="preserve"> 50.3%</f>
        <v>0.503</v>
      </c>
      <c r="N42" s="544">
        <v>0.316</v>
      </c>
      <c r="O42" s="544">
        <v>0.215</v>
      </c>
      <c r="P42" s="544">
        <v>0.53100000000000003</v>
      </c>
      <c r="Q42" s="147">
        <v>0.13</v>
      </c>
      <c r="R42" s="514">
        <v>7.0000000000000007E-2</v>
      </c>
      <c r="S42" s="147">
        <v>0.06</v>
      </c>
      <c r="T42" s="147">
        <v>0.03</v>
      </c>
      <c r="U42" s="147">
        <v>0.02</v>
      </c>
      <c r="V42" s="581"/>
      <c r="W42" s="581"/>
      <c r="X42" s="147"/>
      <c r="Y42" s="581"/>
      <c r="Z42" s="581">
        <v>3.2000000000000001E-2</v>
      </c>
      <c r="AA42" s="581">
        <v>0.44800000000000001</v>
      </c>
      <c r="AB42" s="581">
        <v>5.0999999999999997E-2</v>
      </c>
      <c r="AC42" s="581">
        <v>0.63200000000000001</v>
      </c>
      <c r="AD42" s="581"/>
      <c r="AE42" s="147"/>
      <c r="AF42" s="581"/>
      <c r="AG42" s="581"/>
      <c r="AH42" s="147">
        <v>0.31</v>
      </c>
      <c r="AI42" s="581">
        <v>0.29199999999999998</v>
      </c>
      <c r="AJ42" s="581">
        <v>7.8E-2</v>
      </c>
      <c r="AK42" s="581">
        <v>0.59199999999999997</v>
      </c>
      <c r="AL42" s="581">
        <v>7.0999999999999994E-2</v>
      </c>
      <c r="AM42" s="581">
        <v>0.79600000000000004</v>
      </c>
      <c r="AS42" s="147" t="s">
        <v>627</v>
      </c>
      <c r="AT42" s="578" t="str">
        <f>IF('Upper Extremity-Right'!T248="","",'Upper Extremity-Right'!T248)</f>
        <v/>
      </c>
      <c r="AU42" s="578" t="str">
        <f t="shared" si="0"/>
        <v/>
      </c>
      <c r="AV42" s="193">
        <f>IF(AU42="",0,VLOOKUP(AU42,$A$3:$AM$153,11))</f>
        <v>0</v>
      </c>
      <c r="AX42" s="147" t="s">
        <v>628</v>
      </c>
      <c r="AY42" s="578" t="str">
        <f>IF('Upper Extremity-Right'!V248="","",'Upper Extremity-Right'!V248)</f>
        <v/>
      </c>
      <c r="AZ42" s="578" t="str">
        <f>IF(AY42="","",ROUND(AY42,0))</f>
        <v/>
      </c>
      <c r="BA42" s="193">
        <f>IF(AZ42="",0,VLOOKUP(AZ42,$A$3:$AM$153,11))</f>
        <v>0</v>
      </c>
      <c r="BC42" s="147" t="s">
        <v>627</v>
      </c>
      <c r="BD42" s="578" t="str">
        <f>IF('Upper Extremity-Left'!T248="","",'Upper Extremity-Left'!T248)</f>
        <v/>
      </c>
      <c r="BE42" s="578" t="str">
        <f>IF(BD42="","",ROUND(BD42,0))</f>
        <v/>
      </c>
      <c r="BF42" s="193">
        <f>IF(BE42="",0,VLOOKUP(BE42,$A$3:$AM$153,11))</f>
        <v>0</v>
      </c>
      <c r="BG42" s="62"/>
      <c r="BH42" s="147" t="s">
        <v>628</v>
      </c>
      <c r="BI42" s="578" t="str">
        <f>IF('Upper Extremity-Left'!V248="","",'Upper Extremity-Left'!V248)</f>
        <v/>
      </c>
      <c r="BJ42" s="578" t="str">
        <f>IF(BI42="","",ROUND(BI42,0))</f>
        <v/>
      </c>
      <c r="BK42" s="193">
        <f>IF(BJ42="",0,VLOOKUP(BJ42,$A$3:$AM$153,11))</f>
        <v>0</v>
      </c>
    </row>
    <row r="43" spans="1:63" ht="15" customHeight="1" x14ac:dyDescent="0.2">
      <c r="A43" s="50">
        <v>40</v>
      </c>
      <c r="B43" s="544">
        <v>0.23</v>
      </c>
      <c r="C43" s="544">
        <v>0.12</v>
      </c>
      <c r="D43" s="544">
        <v>0.35</v>
      </c>
      <c r="E43" s="544">
        <v>0.18</v>
      </c>
      <c r="F43" s="544">
        <v>0.43</v>
      </c>
      <c r="G43" s="544">
        <v>0.61</v>
      </c>
      <c r="H43" s="544">
        <v>0.19</v>
      </c>
      <c r="I43" s="544">
        <v>0.11</v>
      </c>
      <c r="J43" s="544">
        <v>0.3</v>
      </c>
      <c r="K43" s="581">
        <v>0.36</v>
      </c>
      <c r="L43" s="581">
        <f xml:space="preserve"> 14%</f>
        <v>0.14000000000000001</v>
      </c>
      <c r="M43" s="581">
        <f xml:space="preserve"> 50%</f>
        <v>0.5</v>
      </c>
      <c r="N43" s="544">
        <v>0.31</v>
      </c>
      <c r="O43" s="544">
        <v>0.23</v>
      </c>
      <c r="P43" s="544">
        <v>0.54</v>
      </c>
      <c r="Q43" s="147">
        <v>0.13</v>
      </c>
      <c r="R43" s="514">
        <v>7.0000000000000007E-2</v>
      </c>
      <c r="S43" s="147">
        <v>0.06</v>
      </c>
      <c r="T43" s="147">
        <v>0.03</v>
      </c>
      <c r="U43" s="147">
        <v>0.02</v>
      </c>
      <c r="V43" s="581"/>
      <c r="W43" s="581"/>
      <c r="X43" s="147"/>
      <c r="Y43" s="581"/>
      <c r="Z43" s="581">
        <v>0.03</v>
      </c>
      <c r="AA43" s="581">
        <v>0.47</v>
      </c>
      <c r="AB43" s="581">
        <v>0.05</v>
      </c>
      <c r="AC43" s="581">
        <v>0.64</v>
      </c>
      <c r="AD43" s="581"/>
      <c r="AE43" s="147"/>
      <c r="AF43" s="581"/>
      <c r="AG43" s="581"/>
      <c r="AH43" s="147">
        <v>0.32</v>
      </c>
      <c r="AI43" s="581">
        <v>0.28999999999999998</v>
      </c>
      <c r="AJ43" s="581">
        <v>0.08</v>
      </c>
      <c r="AK43" s="581">
        <v>0.59</v>
      </c>
      <c r="AL43" s="581">
        <v>7.0000000000000007E-2</v>
      </c>
      <c r="AM43" s="581">
        <v>0.8</v>
      </c>
      <c r="AS43" s="147" t="s">
        <v>443</v>
      </c>
      <c r="AT43" s="578" t="str">
        <f>IF('Upper Extremity-Right'!T249="","",'Upper Extremity-Right'!T249)</f>
        <v/>
      </c>
      <c r="AU43" s="578" t="str">
        <f t="shared" si="0"/>
        <v/>
      </c>
      <c r="AV43" s="193">
        <f>IF(AU43="",0,VLOOKUP(AU43,$A$3:$AM$153,12))</f>
        <v>0</v>
      </c>
      <c r="AX43" s="147" t="s">
        <v>628</v>
      </c>
      <c r="AY43" s="578" t="str">
        <f>IF('Upper Extremity-Right'!V249="","",'Upper Extremity-Right'!V249)</f>
        <v/>
      </c>
      <c r="AZ43" s="578" t="str">
        <f>IF(AY43="","",ROUND(AY43,0))</f>
        <v/>
      </c>
      <c r="BA43" s="193">
        <f>IF(AZ43="",0,VLOOKUP(AZ43,$A$3:$AM$153,12))</f>
        <v>0</v>
      </c>
      <c r="BC43" s="147" t="s">
        <v>443</v>
      </c>
      <c r="BD43" s="578" t="str">
        <f>IF('Upper Extremity-Left'!T249="","",'Upper Extremity-Left'!T249)</f>
        <v/>
      </c>
      <c r="BE43" s="578" t="str">
        <f>IF(BD43="","",ROUND(BD43,0))</f>
        <v/>
      </c>
      <c r="BF43" s="193">
        <f>IF(BE43="",0,VLOOKUP(BE43,$A$3:$AM$153,12))</f>
        <v>0</v>
      </c>
      <c r="BG43" s="62"/>
      <c r="BH43" s="147" t="s">
        <v>628</v>
      </c>
      <c r="BI43" s="578" t="str">
        <f>IF('Upper Extremity-Left'!V249="","",'Upper Extremity-Left'!V249)</f>
        <v/>
      </c>
      <c r="BJ43" s="578" t="str">
        <f>IF(BI43="","",ROUND(BI43,0))</f>
        <v/>
      </c>
      <c r="BK43" s="193">
        <f>IF(BJ43="",0,VLOOKUP(BJ43,$A$3:$AM$153,12))</f>
        <v>0</v>
      </c>
    </row>
    <row r="44" spans="1:63" ht="15" customHeight="1" x14ac:dyDescent="0.2">
      <c r="A44" s="50">
        <v>41</v>
      </c>
      <c r="B44" s="544">
        <v>0.224</v>
      </c>
      <c r="C44" s="544">
        <v>0.129</v>
      </c>
      <c r="D44" s="544">
        <v>0.35299999999999998</v>
      </c>
      <c r="E44" s="544">
        <v>0.17100000000000001</v>
      </c>
      <c r="F44" s="544">
        <v>0.44800000000000001</v>
      </c>
      <c r="G44" s="544">
        <v>0.61899999999999999</v>
      </c>
      <c r="H44" s="544">
        <v>0.184</v>
      </c>
      <c r="I44" s="544">
        <v>0.121</v>
      </c>
      <c r="J44" s="544">
        <v>0.30499999999999999</v>
      </c>
      <c r="K44" s="581">
        <v>0.35399999999999998</v>
      </c>
      <c r="L44" s="581">
        <f xml:space="preserve"> 14.9%</f>
        <v>0.14899999999999999</v>
      </c>
      <c r="M44" s="581">
        <f xml:space="preserve"> 50.3%</f>
        <v>0.503</v>
      </c>
      <c r="N44" s="544">
        <v>0.30299999999999999</v>
      </c>
      <c r="O44" s="544">
        <v>0.246</v>
      </c>
      <c r="P44" s="544">
        <v>0.54900000000000004</v>
      </c>
      <c r="Q44" s="147">
        <v>0.14000000000000001</v>
      </c>
      <c r="R44" s="514">
        <v>7.0000000000000007E-2</v>
      </c>
      <c r="S44" s="147">
        <v>7.0000000000000007E-2</v>
      </c>
      <c r="T44" s="147">
        <v>0.03</v>
      </c>
      <c r="U44" s="147">
        <v>0.02</v>
      </c>
      <c r="V44" s="581"/>
      <c r="W44" s="581"/>
      <c r="X44" s="147"/>
      <c r="Y44" s="581"/>
      <c r="Z44" s="581">
        <v>2.9000000000000001E-2</v>
      </c>
      <c r="AA44" s="581">
        <v>0.49099999999999999</v>
      </c>
      <c r="AB44" s="581">
        <v>4.8000000000000001E-2</v>
      </c>
      <c r="AC44" s="581">
        <v>0.64900000000000002</v>
      </c>
      <c r="AD44" s="581"/>
      <c r="AE44" s="147"/>
      <c r="AF44" s="581"/>
      <c r="AG44" s="581"/>
      <c r="AH44" s="147">
        <v>0.33</v>
      </c>
      <c r="AI44" s="581">
        <v>0.28699999999999998</v>
      </c>
      <c r="AJ44" s="581">
        <v>8.2000000000000003E-2</v>
      </c>
      <c r="AK44" s="581">
        <v>0.58899999999999997</v>
      </c>
      <c r="AL44" s="581">
        <v>6.8000000000000005E-2</v>
      </c>
      <c r="AM44" s="581">
        <v>0.80400000000000005</v>
      </c>
      <c r="AS44" s="147" t="s">
        <v>444</v>
      </c>
      <c r="AT44" s="578" t="str">
        <f>IF('Upper Extremity-Right'!T250="","",'Upper Extremity-Right'!T250)</f>
        <v/>
      </c>
      <c r="AU44" s="578" t="str">
        <f t="shared" si="0"/>
        <v/>
      </c>
      <c r="AV44" s="193">
        <f>IF(AU44="",0,VLOOKUP(AU44,$A$3:$AM$153,13))</f>
        <v>0</v>
      </c>
      <c r="BC44" s="147" t="s">
        <v>444</v>
      </c>
      <c r="BD44" s="578" t="str">
        <f>IF('Upper Extremity-Left'!T250="","",'Upper Extremity-Left'!T250)</f>
        <v/>
      </c>
      <c r="BE44" s="578" t="str">
        <f>IF(BD44="","",ROUND(BD44,0))</f>
        <v/>
      </c>
      <c r="BF44" s="193">
        <f>IF(BE44="",0,VLOOKUP(BE44,$A$3:$AM$153,13))</f>
        <v>0</v>
      </c>
      <c r="BG44" s="62"/>
      <c r="BH44" s="14"/>
    </row>
    <row r="45" spans="1:63" ht="15" customHeight="1" x14ac:dyDescent="0.2">
      <c r="A45" s="50">
        <v>42</v>
      </c>
      <c r="B45" s="544">
        <v>0.218</v>
      </c>
      <c r="C45" s="544">
        <v>0.13800000000000001</v>
      </c>
      <c r="D45" s="544">
        <v>0.35599999999999998</v>
      </c>
      <c r="E45" s="544">
        <v>0.16200000000000001</v>
      </c>
      <c r="F45" s="544">
        <v>0.46600000000000003</v>
      </c>
      <c r="G45" s="544">
        <v>0.628</v>
      </c>
      <c r="H45" s="544">
        <v>0.17799999999999999</v>
      </c>
      <c r="I45" s="544">
        <v>0.13200000000000001</v>
      </c>
      <c r="J45" s="544">
        <v>0.31</v>
      </c>
      <c r="K45" s="581">
        <v>0.34799999999999998</v>
      </c>
      <c r="L45" s="581">
        <f xml:space="preserve"> 15.8%</f>
        <v>0.158</v>
      </c>
      <c r="M45" s="581">
        <f xml:space="preserve"> 50.6%</f>
        <v>0.50600000000000001</v>
      </c>
      <c r="N45" s="544">
        <v>0.29599999999999999</v>
      </c>
      <c r="O45" s="544">
        <v>0.26200000000000001</v>
      </c>
      <c r="P45" s="544">
        <v>0.55800000000000005</v>
      </c>
      <c r="Q45" s="147">
        <v>0.14000000000000001</v>
      </c>
      <c r="R45" s="514">
        <v>7.0000000000000007E-2</v>
      </c>
      <c r="S45" s="147">
        <v>7.0000000000000007E-2</v>
      </c>
      <c r="T45" s="147">
        <v>0.03</v>
      </c>
      <c r="U45" s="147">
        <v>0.02</v>
      </c>
      <c r="V45" s="581"/>
      <c r="W45" s="581"/>
      <c r="X45" s="147"/>
      <c r="Y45" s="581"/>
      <c r="Z45" s="581">
        <v>2.8000000000000001E-2</v>
      </c>
      <c r="AA45" s="581">
        <v>0.51200000000000001</v>
      </c>
      <c r="AB45" s="581">
        <v>4.5999999999999999E-2</v>
      </c>
      <c r="AC45" s="581">
        <v>0.65800000000000003</v>
      </c>
      <c r="AD45" s="581"/>
      <c r="AE45" s="147"/>
      <c r="AF45" s="581"/>
      <c r="AG45" s="581"/>
      <c r="AH45" s="147">
        <v>0.34</v>
      </c>
      <c r="AI45" s="581">
        <v>0.28399999999999997</v>
      </c>
      <c r="AJ45" s="581">
        <v>8.4000000000000005E-2</v>
      </c>
      <c r="AK45" s="581">
        <v>0.58799999999999997</v>
      </c>
      <c r="AL45" s="581">
        <v>6.6000000000000003E-2</v>
      </c>
      <c r="AM45" s="581">
        <v>0.80800000000000005</v>
      </c>
      <c r="BC45" s="147"/>
      <c r="BD45" s="62"/>
      <c r="BE45" s="62"/>
      <c r="BG45" s="62"/>
      <c r="BH45" s="14"/>
    </row>
    <row r="46" spans="1:63" ht="15" customHeight="1" x14ac:dyDescent="0.2">
      <c r="A46" s="50">
        <v>43</v>
      </c>
      <c r="B46" s="544">
        <v>0.21199999999999999</v>
      </c>
      <c r="C46" s="544">
        <v>0.14699999999999999</v>
      </c>
      <c r="D46" s="544">
        <v>0.35899999999999999</v>
      </c>
      <c r="E46" s="544">
        <v>0.153</v>
      </c>
      <c r="F46" s="544">
        <v>0.48399999999999999</v>
      </c>
      <c r="G46" s="544">
        <v>0.63700000000000001</v>
      </c>
      <c r="H46" s="544">
        <v>0.17199999999999999</v>
      </c>
      <c r="I46" s="544">
        <v>0.14299999999999999</v>
      </c>
      <c r="J46" s="544">
        <v>0.315</v>
      </c>
      <c r="K46" s="581">
        <v>0.34200000000000003</v>
      </c>
      <c r="L46" s="581">
        <f xml:space="preserve"> 16.7%</f>
        <v>0.16699999999999998</v>
      </c>
      <c r="M46" s="581">
        <f xml:space="preserve"> 50.9%</f>
        <v>0.50900000000000001</v>
      </c>
      <c r="N46" s="544">
        <v>0.28899999999999998</v>
      </c>
      <c r="O46" s="544">
        <v>0.27800000000000002</v>
      </c>
      <c r="P46" s="544">
        <v>0.56699999999999995</v>
      </c>
      <c r="Q46" s="147">
        <v>0.14000000000000001</v>
      </c>
      <c r="R46" s="514">
        <v>7.0000000000000007E-2</v>
      </c>
      <c r="S46" s="147">
        <v>7.0000000000000007E-2</v>
      </c>
      <c r="T46" s="147">
        <v>0.03</v>
      </c>
      <c r="U46" s="147">
        <v>0.02</v>
      </c>
      <c r="V46" s="581"/>
      <c r="W46" s="581"/>
      <c r="X46" s="147"/>
      <c r="Y46" s="581"/>
      <c r="Z46" s="581">
        <v>2.7E-2</v>
      </c>
      <c r="AA46" s="581">
        <v>0.53300000000000003</v>
      </c>
      <c r="AB46" s="581">
        <v>4.3999999999999997E-2</v>
      </c>
      <c r="AC46" s="581">
        <v>0.66700000000000004</v>
      </c>
      <c r="AD46" s="581"/>
      <c r="AE46" s="147"/>
      <c r="AF46" s="581"/>
      <c r="AG46" s="581"/>
      <c r="AH46" s="147">
        <v>0.34</v>
      </c>
      <c r="AI46" s="581">
        <v>0.28100000000000003</v>
      </c>
      <c r="AJ46" s="581">
        <v>8.5999999999999993E-2</v>
      </c>
      <c r="AK46" s="581">
        <v>0.58699999999999997</v>
      </c>
      <c r="AL46" s="581">
        <v>6.4000000000000001E-2</v>
      </c>
      <c r="AM46" s="581">
        <v>0.81200000000000006</v>
      </c>
      <c r="AS46" s="147" t="s">
        <v>445</v>
      </c>
      <c r="AT46" s="578" t="str">
        <f>IF('Upper Extremity-Right'!T252="","",'Upper Extremity-Right'!T252)</f>
        <v/>
      </c>
      <c r="AU46" s="578" t="str">
        <f t="shared" si="0"/>
        <v/>
      </c>
      <c r="AV46" s="193">
        <f>IF(AU46="",0,VLOOKUP(AU46,$A$3:$AM$153,14))</f>
        <v>0</v>
      </c>
      <c r="AX46" s="147" t="s">
        <v>446</v>
      </c>
      <c r="AY46" s="578" t="str">
        <f>IF('Upper Extremity-Right'!V252="","",'Upper Extremity-Right'!V252)</f>
        <v/>
      </c>
      <c r="AZ46" s="578" t="str">
        <f>IF(AY46="","",ROUND(AY46,0))</f>
        <v/>
      </c>
      <c r="BA46" s="193">
        <f>IF(AZ46="",0,VLOOKUP(AZ46,$A$3:$AM$153,14))</f>
        <v>0</v>
      </c>
      <c r="BC46" s="147" t="s">
        <v>445</v>
      </c>
      <c r="BD46" s="578" t="str">
        <f>IF('Upper Extremity-Left'!T252="","",'Upper Extremity-Left'!T252)</f>
        <v/>
      </c>
      <c r="BE46" s="578" t="str">
        <f>IF(BD46="","",ROUND(BD46,0))</f>
        <v/>
      </c>
      <c r="BF46" s="193">
        <f>IF(BE46="",0,VLOOKUP(BE46,$A$3:$AM$153,14))</f>
        <v>0</v>
      </c>
      <c r="BG46" s="62"/>
      <c r="BH46" s="147" t="s">
        <v>446</v>
      </c>
      <c r="BI46" s="578" t="str">
        <f>IF('Upper Extremity-Left'!V252="","",'Upper Extremity-Left'!V252)</f>
        <v/>
      </c>
      <c r="BJ46" s="578" t="str">
        <f>IF(BI46="","",ROUND(BI46,0))</f>
        <v/>
      </c>
      <c r="BK46" s="193">
        <f>IF(BJ46="",0,VLOOKUP(BJ46,$A$3:$AM$153,14))</f>
        <v>0</v>
      </c>
    </row>
    <row r="47" spans="1:63" ht="15" customHeight="1" x14ac:dyDescent="0.2">
      <c r="A47" s="50">
        <v>44</v>
      </c>
      <c r="B47" s="544">
        <v>0.20599999999999999</v>
      </c>
      <c r="C47" s="544">
        <v>0.156</v>
      </c>
      <c r="D47" s="544">
        <v>0.36199999999999999</v>
      </c>
      <c r="E47" s="544">
        <v>0.14399999999999999</v>
      </c>
      <c r="F47" s="544">
        <v>0.502</v>
      </c>
      <c r="G47" s="544">
        <v>0.64600000000000002</v>
      </c>
      <c r="H47" s="544">
        <v>0.16600000000000001</v>
      </c>
      <c r="I47" s="544">
        <v>0.154</v>
      </c>
      <c r="J47" s="544">
        <v>0.32</v>
      </c>
      <c r="K47" s="581">
        <v>0.33600000000000002</v>
      </c>
      <c r="L47" s="581">
        <f xml:space="preserve"> 17.6%</f>
        <v>0.17600000000000002</v>
      </c>
      <c r="M47" s="581">
        <f xml:space="preserve"> 51.2%</f>
        <v>0.51200000000000001</v>
      </c>
      <c r="N47" s="544">
        <v>0.28199999999999997</v>
      </c>
      <c r="O47" s="544">
        <v>0.29399999999999998</v>
      </c>
      <c r="P47" s="544">
        <v>0.57599999999999996</v>
      </c>
      <c r="Q47" s="147">
        <v>0.15</v>
      </c>
      <c r="R47" s="514">
        <v>0.08</v>
      </c>
      <c r="S47" s="147">
        <v>7.0000000000000007E-2</v>
      </c>
      <c r="T47" s="147">
        <v>0.03</v>
      </c>
      <c r="U47" s="147">
        <v>0.02</v>
      </c>
      <c r="V47" s="581"/>
      <c r="W47" s="581"/>
      <c r="X47" s="147"/>
      <c r="Y47" s="581"/>
      <c r="Z47" s="581">
        <v>2.5999999999999999E-2</v>
      </c>
      <c r="AA47" s="581">
        <v>0.55400000000000005</v>
      </c>
      <c r="AB47" s="581">
        <v>4.2000000000000003E-2</v>
      </c>
      <c r="AC47" s="581">
        <v>0.67600000000000005</v>
      </c>
      <c r="AD47" s="581"/>
      <c r="AE47" s="147"/>
      <c r="AF47" s="581"/>
      <c r="AG47" s="581"/>
      <c r="AH47" s="147">
        <v>0.35</v>
      </c>
      <c r="AI47" s="581">
        <v>0.27800000000000002</v>
      </c>
      <c r="AJ47" s="581">
        <v>8.7999999999999995E-2</v>
      </c>
      <c r="AK47" s="581">
        <v>0.58599999999999997</v>
      </c>
      <c r="AL47" s="581">
        <v>6.2E-2</v>
      </c>
      <c r="AM47" s="581">
        <v>0.81599999999999995</v>
      </c>
      <c r="AS47" s="147" t="s">
        <v>447</v>
      </c>
      <c r="AT47" s="578" t="str">
        <f>IF('Upper Extremity-Right'!T253="","",'Upper Extremity-Right'!T253)</f>
        <v/>
      </c>
      <c r="AU47" s="578" t="str">
        <f t="shared" si="0"/>
        <v/>
      </c>
      <c r="AV47" s="193">
        <f>IF(AU47="",0,VLOOKUP(AU47,$A$3:$AM$153,15))</f>
        <v>0</v>
      </c>
      <c r="AX47" s="147" t="s">
        <v>446</v>
      </c>
      <c r="AY47" s="578" t="str">
        <f>IF('Upper Extremity-Right'!V253="","",'Upper Extremity-Right'!V253)</f>
        <v/>
      </c>
      <c r="AZ47" s="578" t="str">
        <f>IF(AY47="","",ROUND(AY47,0))</f>
        <v/>
      </c>
      <c r="BA47" s="193">
        <f>IF(AZ47="",0,VLOOKUP(AZ47,$A$3:$AM$153,15))</f>
        <v>0</v>
      </c>
      <c r="BC47" s="147" t="s">
        <v>447</v>
      </c>
      <c r="BD47" s="578" t="str">
        <f>IF('Upper Extremity-Left'!T253="","",'Upper Extremity-Left'!T253)</f>
        <v/>
      </c>
      <c r="BE47" s="578" t="str">
        <f>IF(BD47="","",ROUND(BD47,0))</f>
        <v/>
      </c>
      <c r="BF47" s="193">
        <f>IF(BE47="",0,VLOOKUP(BE47,$A$3:$AM$153,15))</f>
        <v>0</v>
      </c>
      <c r="BG47" s="62"/>
      <c r="BH47" s="147" t="s">
        <v>446</v>
      </c>
      <c r="BI47" s="578" t="str">
        <f>IF('Upper Extremity-Left'!V253="","",'Upper Extremity-Left'!V253)</f>
        <v/>
      </c>
      <c r="BJ47" s="578" t="str">
        <f>IF(BI47="","",ROUND(BI47,0))</f>
        <v/>
      </c>
      <c r="BK47" s="193">
        <f>IF(BJ47="",0,VLOOKUP(BJ47,$A$3:$AM$153,15))</f>
        <v>0</v>
      </c>
    </row>
    <row r="48" spans="1:63" ht="15" customHeight="1" x14ac:dyDescent="0.2">
      <c r="A48" s="50">
        <v>45</v>
      </c>
      <c r="B48" s="544">
        <v>0.2</v>
      </c>
      <c r="C48" s="544">
        <v>0.16500000000000001</v>
      </c>
      <c r="D48" s="544">
        <v>0.36499999999999999</v>
      </c>
      <c r="E48" s="544">
        <v>0.13500000000000001</v>
      </c>
      <c r="F48" s="544">
        <v>0.52</v>
      </c>
      <c r="G48" s="544">
        <v>0.65500000000000003</v>
      </c>
      <c r="H48" s="544">
        <v>0.16</v>
      </c>
      <c r="I48" s="544">
        <v>0.16500000000000001</v>
      </c>
      <c r="J48" s="544">
        <v>0.32500000000000001</v>
      </c>
      <c r="K48" s="581">
        <v>0.33</v>
      </c>
      <c r="L48" s="581">
        <f xml:space="preserve"> 18.5%</f>
        <v>0.185</v>
      </c>
      <c r="M48" s="581">
        <f xml:space="preserve"> 51.5%</f>
        <v>0.51500000000000001</v>
      </c>
      <c r="N48" s="544">
        <v>0.27500000000000002</v>
      </c>
      <c r="O48" s="544">
        <v>0.31</v>
      </c>
      <c r="P48" s="544">
        <v>0.58499999999999996</v>
      </c>
      <c r="Q48" s="147">
        <v>0.15</v>
      </c>
      <c r="R48" s="514">
        <v>0.08</v>
      </c>
      <c r="S48" s="147">
        <v>7.0000000000000007E-2</v>
      </c>
      <c r="T48" s="147">
        <v>0.03</v>
      </c>
      <c r="U48" s="147">
        <v>0.02</v>
      </c>
      <c r="V48" s="581"/>
      <c r="W48" s="581"/>
      <c r="X48" s="147"/>
      <c r="Y48" s="581"/>
      <c r="Z48" s="581">
        <v>2.5000000000000001E-2</v>
      </c>
      <c r="AA48" s="581">
        <v>0.57499999999999996</v>
      </c>
      <c r="AB48" s="581">
        <v>0.04</v>
      </c>
      <c r="AC48" s="581">
        <v>0.68500000000000005</v>
      </c>
      <c r="AD48" s="581"/>
      <c r="AE48" s="147"/>
      <c r="AF48" s="581"/>
      <c r="AG48" s="581"/>
      <c r="AH48" s="147">
        <v>0.36</v>
      </c>
      <c r="AI48" s="581">
        <v>0.27500000000000002</v>
      </c>
      <c r="AJ48" s="581">
        <v>0.09</v>
      </c>
      <c r="AK48" s="581">
        <v>0.58499999999999996</v>
      </c>
      <c r="AL48" s="581">
        <v>0.06</v>
      </c>
      <c r="AM48" s="581">
        <v>0.82</v>
      </c>
      <c r="AS48" s="147" t="s">
        <v>448</v>
      </c>
      <c r="AT48" s="578" t="str">
        <f>IF('Upper Extremity-Right'!T254="","",'Upper Extremity-Right'!T254)</f>
        <v/>
      </c>
      <c r="AU48" s="578" t="str">
        <f t="shared" si="0"/>
        <v/>
      </c>
      <c r="AV48" s="193">
        <f>IF(AU48="",0,VLOOKUP(AU48,$A$3:$AM$153,16))</f>
        <v>0</v>
      </c>
      <c r="BC48" s="147" t="s">
        <v>448</v>
      </c>
      <c r="BD48" s="578" t="str">
        <f>IF('Upper Extremity-Left'!T254="","",'Upper Extremity-Left'!T254)</f>
        <v/>
      </c>
      <c r="BE48" s="578" t="str">
        <f>IF(BD48="","",ROUND(BD48,0))</f>
        <v/>
      </c>
      <c r="BF48" s="193">
        <f>IF(BE48="",0,VLOOKUP(BE48,$A$3:$AM$153,16))</f>
        <v>0</v>
      </c>
      <c r="BG48" s="62"/>
      <c r="BH48" s="14"/>
    </row>
    <row r="49" spans="1:63" ht="15" customHeight="1" x14ac:dyDescent="0.2">
      <c r="A49" s="50">
        <v>46</v>
      </c>
      <c r="B49" s="544">
        <v>0.19400000000000001</v>
      </c>
      <c r="C49" s="544">
        <v>0.17399999999999999</v>
      </c>
      <c r="D49" s="544">
        <v>0.36799999999999999</v>
      </c>
      <c r="E49" s="544">
        <v>0.126</v>
      </c>
      <c r="F49" s="544">
        <v>0.53800000000000003</v>
      </c>
      <c r="G49" s="544">
        <v>0.66400000000000003</v>
      </c>
      <c r="H49" s="544">
        <v>0.154</v>
      </c>
      <c r="I49" s="544">
        <v>0.17599999999999999</v>
      </c>
      <c r="J49" s="544">
        <v>0.33</v>
      </c>
      <c r="K49" s="581">
        <v>0.32400000000000001</v>
      </c>
      <c r="L49" s="581">
        <f xml:space="preserve"> 19.4%</f>
        <v>0.19399999999999998</v>
      </c>
      <c r="M49" s="581">
        <f xml:space="preserve"> 51.8%</f>
        <v>0.51800000000000002</v>
      </c>
      <c r="N49" s="544">
        <v>0.26800000000000002</v>
      </c>
      <c r="O49" s="544">
        <v>0.32600000000000001</v>
      </c>
      <c r="P49" s="544">
        <v>0.59399999999999997</v>
      </c>
      <c r="Q49" s="147">
        <v>0.15</v>
      </c>
      <c r="R49" s="514">
        <v>0.08</v>
      </c>
      <c r="S49" s="147">
        <v>7.0000000000000007E-2</v>
      </c>
      <c r="T49" s="147">
        <v>0.04</v>
      </c>
      <c r="U49" s="147">
        <v>0.02</v>
      </c>
      <c r="V49" s="581"/>
      <c r="W49" s="581"/>
      <c r="X49" s="147"/>
      <c r="Y49" s="581"/>
      <c r="Z49" s="581">
        <v>2.4E-2</v>
      </c>
      <c r="AA49" s="581">
        <v>0.59599999999999997</v>
      </c>
      <c r="AB49" s="581">
        <v>3.7999999999999999E-2</v>
      </c>
      <c r="AC49" s="581">
        <v>0.69399999999999995</v>
      </c>
      <c r="AD49" s="581"/>
      <c r="AE49" s="147"/>
      <c r="AF49" s="581"/>
      <c r="AG49" s="581"/>
      <c r="AH49" s="147">
        <v>0.37</v>
      </c>
      <c r="AI49" s="581">
        <v>0.27200000000000002</v>
      </c>
      <c r="AJ49" s="581">
        <v>9.1999999999999998E-2</v>
      </c>
      <c r="AK49" s="581">
        <v>0.58399999999999996</v>
      </c>
      <c r="AL49" s="581">
        <v>5.8000000000000003E-2</v>
      </c>
      <c r="AM49" s="581">
        <v>0.82399999999999995</v>
      </c>
      <c r="BC49" s="147"/>
      <c r="BD49" s="62"/>
      <c r="BE49" s="62"/>
      <c r="BG49" s="62"/>
      <c r="BH49" s="14"/>
    </row>
    <row r="50" spans="1:63" ht="15" customHeight="1" x14ac:dyDescent="0.2">
      <c r="A50" s="50">
        <v>47</v>
      </c>
      <c r="B50" s="544">
        <v>0.188</v>
      </c>
      <c r="C50" s="544">
        <v>0.183</v>
      </c>
      <c r="D50" s="544">
        <v>0.371</v>
      </c>
      <c r="E50" s="544">
        <v>0.11700000000000001</v>
      </c>
      <c r="F50" s="544">
        <v>0.55600000000000005</v>
      </c>
      <c r="G50" s="544">
        <v>0.67300000000000004</v>
      </c>
      <c r="H50" s="544">
        <v>0.14799999999999999</v>
      </c>
      <c r="I50" s="544">
        <v>0.187</v>
      </c>
      <c r="J50" s="544">
        <v>0.33500000000000002</v>
      </c>
      <c r="K50" s="581">
        <v>0.318</v>
      </c>
      <c r="L50" s="581">
        <f xml:space="preserve"> 20.3%</f>
        <v>0.20300000000000001</v>
      </c>
      <c r="M50" s="581">
        <f xml:space="preserve"> 52.1%</f>
        <v>0.52100000000000002</v>
      </c>
      <c r="N50" s="544">
        <v>0.26100000000000001</v>
      </c>
      <c r="O50" s="544">
        <v>0.34200000000000003</v>
      </c>
      <c r="P50" s="544">
        <v>0.60299999999999998</v>
      </c>
      <c r="Q50" s="147">
        <v>0.16</v>
      </c>
      <c r="R50" s="514">
        <v>0.08</v>
      </c>
      <c r="S50" s="147">
        <v>7.0000000000000007E-2</v>
      </c>
      <c r="T50" s="147">
        <v>0.04</v>
      </c>
      <c r="U50" s="147">
        <v>0.02</v>
      </c>
      <c r="V50" s="581"/>
      <c r="W50" s="581"/>
      <c r="X50" s="147"/>
      <c r="Y50" s="581"/>
      <c r="Z50" s="581">
        <v>2.3E-2</v>
      </c>
      <c r="AA50" s="581">
        <v>0.61699999999999999</v>
      </c>
      <c r="AB50" s="581">
        <v>3.5999999999999997E-2</v>
      </c>
      <c r="AC50" s="581">
        <v>0.70299999999999996</v>
      </c>
      <c r="AD50" s="581"/>
      <c r="AE50" s="147"/>
      <c r="AF50" s="581"/>
      <c r="AG50" s="581"/>
      <c r="AH50" s="147">
        <v>0.38</v>
      </c>
      <c r="AI50" s="581">
        <v>0.26900000000000002</v>
      </c>
      <c r="AJ50" s="581">
        <v>9.4E-2</v>
      </c>
      <c r="AK50" s="581">
        <v>0.58299999999999996</v>
      </c>
      <c r="AL50" s="581">
        <v>5.6000000000000001E-2</v>
      </c>
      <c r="AM50" s="581">
        <v>0.82799999999999996</v>
      </c>
      <c r="AS50" s="147" t="s">
        <v>1539</v>
      </c>
      <c r="BC50" s="147" t="s">
        <v>1539</v>
      </c>
      <c r="BD50" s="62"/>
      <c r="BE50" s="62"/>
      <c r="BG50" s="62"/>
      <c r="BH50" s="14"/>
    </row>
    <row r="51" spans="1:63" ht="15" customHeight="1" x14ac:dyDescent="0.2">
      <c r="A51" s="50">
        <v>48</v>
      </c>
      <c r="B51" s="544">
        <v>0.182</v>
      </c>
      <c r="C51" s="544">
        <v>0.192</v>
      </c>
      <c r="D51" s="544">
        <v>0.374</v>
      </c>
      <c r="E51" s="544">
        <v>0.108</v>
      </c>
      <c r="F51" s="544">
        <v>0.57399999999999995</v>
      </c>
      <c r="G51" s="544">
        <v>0.68200000000000005</v>
      </c>
      <c r="H51" s="544">
        <v>0.14199999999999999</v>
      </c>
      <c r="I51" s="544">
        <v>0.19800000000000001</v>
      </c>
      <c r="J51" s="544">
        <v>0.34</v>
      </c>
      <c r="K51" s="581">
        <v>0.312</v>
      </c>
      <c r="L51" s="581">
        <f xml:space="preserve"> 21.2%</f>
        <v>0.21199999999999999</v>
      </c>
      <c r="M51" s="581">
        <f xml:space="preserve"> 52.4%</f>
        <v>0.52400000000000002</v>
      </c>
      <c r="N51" s="544">
        <v>0.254</v>
      </c>
      <c r="O51" s="544">
        <v>0.35799999999999998</v>
      </c>
      <c r="P51" s="544">
        <v>0.61199999999999999</v>
      </c>
      <c r="Q51" s="147">
        <v>0.16</v>
      </c>
      <c r="R51" s="514">
        <v>0.08</v>
      </c>
      <c r="S51" s="147">
        <v>0.08</v>
      </c>
      <c r="T51" s="147">
        <v>0.04</v>
      </c>
      <c r="U51" s="147">
        <v>0.02</v>
      </c>
      <c r="V51" s="581"/>
      <c r="W51" s="581"/>
      <c r="X51" s="147"/>
      <c r="Y51" s="581"/>
      <c r="Z51" s="581">
        <v>2.1999999999999999E-2</v>
      </c>
      <c r="AA51" s="581">
        <v>0.63800000000000001</v>
      </c>
      <c r="AB51" s="581">
        <v>3.4000000000000002E-2</v>
      </c>
      <c r="AC51" s="581">
        <v>0.71199999999999997</v>
      </c>
      <c r="AD51" s="581"/>
      <c r="AE51" s="147"/>
      <c r="AF51" s="581"/>
      <c r="AG51" s="581"/>
      <c r="AH51" s="147">
        <v>0.38</v>
      </c>
      <c r="AI51" s="581">
        <v>0.26600000000000001</v>
      </c>
      <c r="AJ51" s="581">
        <v>9.6000000000000002E-2</v>
      </c>
      <c r="AK51" s="581">
        <v>0.58199999999999996</v>
      </c>
      <c r="AL51" s="581">
        <v>5.3999999999999999E-2</v>
      </c>
      <c r="AM51" s="581">
        <v>0.83199999999999996</v>
      </c>
      <c r="AS51" s="147" t="s">
        <v>1490</v>
      </c>
      <c r="AT51" s="578" t="str">
        <f>IF('Upper Extremity-Right'!T319="","",'Upper Extremity-Right'!T319)</f>
        <v/>
      </c>
      <c r="AU51" s="578" t="str">
        <f t="shared" si="0"/>
        <v/>
      </c>
      <c r="AV51" s="193">
        <f>IF(AU51="",0,VLOOKUP(AU51,$A$3:$AM$153,8))</f>
        <v>0</v>
      </c>
      <c r="AX51" s="147" t="s">
        <v>156</v>
      </c>
      <c r="AY51" s="578" t="str">
        <f>IF('Upper Extremity-Right'!V319="","",'Upper Extremity-Right'!V319)</f>
        <v/>
      </c>
      <c r="AZ51" s="578" t="str">
        <f>IF(AY51="","",ROUND(AY51,0))</f>
        <v/>
      </c>
      <c r="BA51" s="193">
        <f>IF(AZ51="",0,VLOOKUP(AZ51,$A$3:$AM$153,8))</f>
        <v>0</v>
      </c>
      <c r="BC51" s="147" t="s">
        <v>1490</v>
      </c>
      <c r="BD51" s="578" t="str">
        <f>IF('Upper Extremity-Left'!T319="","",'Upper Extremity-Left'!T319)</f>
        <v/>
      </c>
      <c r="BE51" s="578" t="str">
        <f>IF(BD51="","",ROUND(BD51,0))</f>
        <v/>
      </c>
      <c r="BF51" s="193">
        <f>IF(BE51="",0,VLOOKUP(BE51,$A$3:$AM$153,8))</f>
        <v>0</v>
      </c>
      <c r="BG51" s="62"/>
      <c r="BH51" s="147" t="s">
        <v>156</v>
      </c>
      <c r="BI51" s="578" t="str">
        <f>IF('Upper Extremity-Left'!V319="","",'Upper Extremity-Left'!V319)</f>
        <v/>
      </c>
      <c r="BJ51" s="578" t="str">
        <f>IF(BI51="","",ROUND(BI51,0))</f>
        <v/>
      </c>
      <c r="BK51" s="193">
        <f>IF(BJ51="",0,VLOOKUP(BJ51,$A$3:$AM$153,8))</f>
        <v>0</v>
      </c>
    </row>
    <row r="52" spans="1:63" ht="15" customHeight="1" x14ac:dyDescent="0.2">
      <c r="A52" s="50">
        <v>49</v>
      </c>
      <c r="B52" s="544">
        <v>0.17599999999999999</v>
      </c>
      <c r="C52" s="544">
        <v>0.20100000000000001</v>
      </c>
      <c r="D52" s="544">
        <v>0.377</v>
      </c>
      <c r="E52" s="544">
        <v>9.9000000000000005E-2</v>
      </c>
      <c r="F52" s="544">
        <v>0.59199999999999997</v>
      </c>
      <c r="G52" s="544">
        <v>0.69099999999999995</v>
      </c>
      <c r="H52" s="544">
        <v>0.13600000000000001</v>
      </c>
      <c r="I52" s="544">
        <v>0.20899999999999999</v>
      </c>
      <c r="J52" s="544">
        <v>0.34499999999999997</v>
      </c>
      <c r="K52" s="581">
        <v>0.30599999999999999</v>
      </c>
      <c r="L52" s="581">
        <f xml:space="preserve"> 22.1%</f>
        <v>0.221</v>
      </c>
      <c r="M52" s="581">
        <f xml:space="preserve"> 52.7%</f>
        <v>0.52700000000000002</v>
      </c>
      <c r="N52" s="544">
        <v>0.247</v>
      </c>
      <c r="O52" s="544">
        <v>0.374</v>
      </c>
      <c r="P52" s="544">
        <v>0.621</v>
      </c>
      <c r="Q52" s="147">
        <v>0.16</v>
      </c>
      <c r="R52" s="514">
        <v>0.08</v>
      </c>
      <c r="S52" s="147">
        <v>0.08</v>
      </c>
      <c r="T52" s="147">
        <v>0.04</v>
      </c>
      <c r="U52" s="147">
        <v>0.02</v>
      </c>
      <c r="V52" s="581"/>
      <c r="W52" s="581"/>
      <c r="X52" s="147"/>
      <c r="Y52" s="581"/>
      <c r="Z52" s="581">
        <v>2.1000000000000001E-2</v>
      </c>
      <c r="AA52" s="581">
        <v>0.65900000000000003</v>
      </c>
      <c r="AB52" s="581">
        <v>3.2000000000000001E-2</v>
      </c>
      <c r="AC52" s="581">
        <v>0.72099999999999997</v>
      </c>
      <c r="AD52" s="581"/>
      <c r="AE52" s="147"/>
      <c r="AF52" s="581"/>
      <c r="AG52" s="581"/>
      <c r="AH52" s="147">
        <v>0.39</v>
      </c>
      <c r="AI52" s="581">
        <v>0.26300000000000001</v>
      </c>
      <c r="AJ52" s="581">
        <v>9.8000000000000004E-2</v>
      </c>
      <c r="AK52" s="581">
        <v>0.58099999999999996</v>
      </c>
      <c r="AL52" s="581">
        <v>5.1999999999999998E-2</v>
      </c>
      <c r="AM52" s="581">
        <v>0.83599999999999997</v>
      </c>
      <c r="AS52" s="147" t="s">
        <v>157</v>
      </c>
      <c r="AT52" s="578" t="str">
        <f>IF('Upper Extremity-Right'!T320="","",'Upper Extremity-Right'!T320)</f>
        <v/>
      </c>
      <c r="AU52" s="578" t="str">
        <f t="shared" si="0"/>
        <v/>
      </c>
      <c r="AV52" s="193">
        <f>IF(AU52="",0,VLOOKUP(AU52,$A$3:$AM$153,9))</f>
        <v>0</v>
      </c>
      <c r="AX52" s="147" t="s">
        <v>156</v>
      </c>
      <c r="AY52" s="578" t="str">
        <f>IF('Upper Extremity-Right'!V320="","",'Upper Extremity-Right'!V320)</f>
        <v/>
      </c>
      <c r="AZ52" s="578" t="str">
        <f>IF(AY52="","",ROUND(AY52,0))</f>
        <v/>
      </c>
      <c r="BA52" s="193">
        <f>IF(AZ52="",0,VLOOKUP(AZ52,$A$3:$AM$153,9))</f>
        <v>0</v>
      </c>
      <c r="BC52" s="147" t="s">
        <v>157</v>
      </c>
      <c r="BD52" s="578" t="str">
        <f>IF('Upper Extremity-Left'!T320="","",'Upper Extremity-Left'!T320)</f>
        <v/>
      </c>
      <c r="BE52" s="578" t="str">
        <f>IF(BD52="","",ROUND(BD52,0))</f>
        <v/>
      </c>
      <c r="BF52" s="193">
        <f>IF(BE52="",0,VLOOKUP(BE52,$A$3:$AM$153,9))</f>
        <v>0</v>
      </c>
      <c r="BG52" s="62"/>
      <c r="BH52" s="147" t="s">
        <v>156</v>
      </c>
      <c r="BI52" s="578" t="str">
        <f>IF('Upper Extremity-Left'!V320="","",'Upper Extremity-Left'!V320)</f>
        <v/>
      </c>
      <c r="BJ52" s="578" t="str">
        <f>IF(BI52="","",ROUND(BI52,0))</f>
        <v/>
      </c>
      <c r="BK52" s="193">
        <f>IF(BJ52="",0,VLOOKUP(BJ52,$A$3:$AM$153,9))</f>
        <v>0</v>
      </c>
    </row>
    <row r="53" spans="1:63" ht="15" customHeight="1" x14ac:dyDescent="0.2">
      <c r="A53" s="50">
        <v>50</v>
      </c>
      <c r="B53" s="544">
        <v>0.17</v>
      </c>
      <c r="C53" s="544">
        <v>0.21</v>
      </c>
      <c r="D53" s="544">
        <v>0.38</v>
      </c>
      <c r="E53" s="544">
        <v>0.09</v>
      </c>
      <c r="F53" s="544">
        <v>0.61</v>
      </c>
      <c r="G53" s="544">
        <v>0.7</v>
      </c>
      <c r="H53" s="544">
        <v>0.13</v>
      </c>
      <c r="I53" s="544">
        <v>0.22</v>
      </c>
      <c r="J53" s="544">
        <v>0.35</v>
      </c>
      <c r="K53" s="581">
        <v>0.3</v>
      </c>
      <c r="L53" s="581">
        <f xml:space="preserve"> 23%</f>
        <v>0.23</v>
      </c>
      <c r="M53" s="581">
        <f xml:space="preserve"> 53%</f>
        <v>0.53</v>
      </c>
      <c r="N53" s="544">
        <v>0.24</v>
      </c>
      <c r="O53" s="544">
        <v>0.39</v>
      </c>
      <c r="P53" s="544">
        <v>0.63</v>
      </c>
      <c r="Q53" s="147">
        <v>0.16</v>
      </c>
      <c r="R53" s="514">
        <v>0.08</v>
      </c>
      <c r="S53" s="147">
        <v>0.08</v>
      </c>
      <c r="T53" s="147">
        <v>0.04</v>
      </c>
      <c r="U53" s="147">
        <v>0.02</v>
      </c>
      <c r="V53" s="581"/>
      <c r="W53" s="581"/>
      <c r="X53" s="147"/>
      <c r="Y53" s="581"/>
      <c r="Z53" s="581">
        <v>0.02</v>
      </c>
      <c r="AA53" s="581">
        <v>0.68</v>
      </c>
      <c r="AB53" s="581">
        <v>0.03</v>
      </c>
      <c r="AC53" s="581">
        <v>0.73</v>
      </c>
      <c r="AD53" s="581"/>
      <c r="AE53" s="147"/>
      <c r="AF53" s="581"/>
      <c r="AG53" s="581"/>
      <c r="AH53" s="147">
        <v>0.4</v>
      </c>
      <c r="AI53" s="581">
        <v>0.26</v>
      </c>
      <c r="AJ53" s="581">
        <v>0.1</v>
      </c>
      <c r="AK53" s="581">
        <v>0.57999999999999996</v>
      </c>
      <c r="AL53" s="581">
        <v>0.05</v>
      </c>
      <c r="AM53" s="581">
        <v>0.84</v>
      </c>
      <c r="AS53" s="147" t="s">
        <v>158</v>
      </c>
      <c r="AT53" s="578" t="str">
        <f>IF('Upper Extremity-Right'!T321="","",'Upper Extremity-Right'!T321)</f>
        <v/>
      </c>
      <c r="AU53" s="578" t="str">
        <f t="shared" si="0"/>
        <v/>
      </c>
      <c r="AV53" s="193">
        <f>IF(AU53="",0,VLOOKUP(AU53,$A$3:$AM$153,10))</f>
        <v>0</v>
      </c>
      <c r="BC53" s="147" t="s">
        <v>158</v>
      </c>
      <c r="BD53" s="578" t="str">
        <f>IF('Upper Extremity-Left'!T321="","",'Upper Extremity-Left'!T321)</f>
        <v/>
      </c>
      <c r="BE53" s="578" t="str">
        <f>IF(BD53="","",ROUND(BD53,0))</f>
        <v/>
      </c>
      <c r="BF53" s="193">
        <f>IF(BE53="",0,VLOOKUP(BE53,$A$3:$AM$153,10))</f>
        <v>0</v>
      </c>
      <c r="BG53" s="62"/>
      <c r="BH53" s="14"/>
    </row>
    <row r="54" spans="1:63" ht="15" customHeight="1" x14ac:dyDescent="0.2">
      <c r="A54" s="50">
        <v>51</v>
      </c>
      <c r="B54" s="544">
        <v>0.16400000000000001</v>
      </c>
      <c r="C54" s="544">
        <v>0.218</v>
      </c>
      <c r="D54" s="544">
        <v>0.38200000000000001</v>
      </c>
      <c r="E54" s="544">
        <v>8.1000000000000003E-2</v>
      </c>
      <c r="F54" s="544">
        <v>0.629</v>
      </c>
      <c r="G54" s="544">
        <v>0.71</v>
      </c>
      <c r="H54" s="544">
        <v>0.123</v>
      </c>
      <c r="I54" s="544">
        <v>0.23200000000000001</v>
      </c>
      <c r="J54" s="544">
        <v>0.35499999999999998</v>
      </c>
      <c r="K54" s="581">
        <v>0.29399999999999998</v>
      </c>
      <c r="L54" s="581">
        <f xml:space="preserve"> 24%</f>
        <v>0.24</v>
      </c>
      <c r="M54" s="581">
        <f xml:space="preserve"> 53.4%</f>
        <v>0.53400000000000003</v>
      </c>
      <c r="N54" s="544">
        <v>0.23400000000000001</v>
      </c>
      <c r="O54" s="544">
        <v>0.40500000000000003</v>
      </c>
      <c r="P54" s="544">
        <v>0.63900000000000001</v>
      </c>
      <c r="Q54" s="147">
        <v>0.17</v>
      </c>
      <c r="R54" s="514">
        <v>0.09</v>
      </c>
      <c r="S54" s="147">
        <v>0.08</v>
      </c>
      <c r="T54" s="147">
        <v>0.04</v>
      </c>
      <c r="U54" s="147">
        <v>0.03</v>
      </c>
      <c r="V54" s="581"/>
      <c r="W54" s="581"/>
      <c r="X54" s="147"/>
      <c r="Y54" s="581"/>
      <c r="Z54" s="581">
        <v>1.7999999999999999E-2</v>
      </c>
      <c r="AA54" s="581">
        <v>0.70199999999999996</v>
      </c>
      <c r="AB54" s="581">
        <v>2.9000000000000001E-2</v>
      </c>
      <c r="AC54" s="581">
        <v>0.73799999999999999</v>
      </c>
      <c r="AD54" s="581"/>
      <c r="AE54" s="147"/>
      <c r="AF54" s="581"/>
      <c r="AG54" s="581"/>
      <c r="AH54" s="147">
        <v>0.41</v>
      </c>
      <c r="AI54" s="581">
        <v>0.25700000000000001</v>
      </c>
      <c r="AJ54" s="581">
        <v>0.10199999999999999</v>
      </c>
      <c r="AK54" s="581">
        <v>0.57799999999999996</v>
      </c>
      <c r="AL54" s="581">
        <v>4.8000000000000001E-2</v>
      </c>
      <c r="AM54" s="581">
        <v>0.84399999999999997</v>
      </c>
      <c r="BC54" s="147"/>
      <c r="BD54" s="62"/>
      <c r="BE54" s="62"/>
      <c r="BG54" s="62"/>
      <c r="BH54" s="14"/>
    </row>
    <row r="55" spans="1:63" ht="15" customHeight="1" x14ac:dyDescent="0.2">
      <c r="A55" s="50">
        <v>52</v>
      </c>
      <c r="B55" s="544">
        <v>0.158</v>
      </c>
      <c r="C55" s="544">
        <v>0.22600000000000001</v>
      </c>
      <c r="D55" s="544">
        <v>0.38400000000000001</v>
      </c>
      <c r="E55" s="544">
        <v>7.1999999999999995E-2</v>
      </c>
      <c r="F55" s="544">
        <v>0.64800000000000002</v>
      </c>
      <c r="G55" s="544">
        <v>0.72</v>
      </c>
      <c r="H55" s="544">
        <v>0.11600000000000001</v>
      </c>
      <c r="I55" s="544">
        <v>0.24399999999999999</v>
      </c>
      <c r="J55" s="544">
        <v>0.36</v>
      </c>
      <c r="K55" s="581">
        <v>0.28799999999999998</v>
      </c>
      <c r="L55" s="581">
        <f xml:space="preserve"> 25%</f>
        <v>0.25</v>
      </c>
      <c r="M55" s="581">
        <f xml:space="preserve"> 53.8%</f>
        <v>0.53799999999999992</v>
      </c>
      <c r="N55" s="544">
        <v>0.22800000000000001</v>
      </c>
      <c r="O55" s="544">
        <v>0.42</v>
      </c>
      <c r="P55" s="544">
        <v>0.64800000000000002</v>
      </c>
      <c r="Q55" s="147">
        <v>0.17</v>
      </c>
      <c r="R55" s="514">
        <v>0.09</v>
      </c>
      <c r="S55" s="147">
        <v>0.08</v>
      </c>
      <c r="T55" s="147">
        <v>0.04</v>
      </c>
      <c r="U55" s="147">
        <v>0.03</v>
      </c>
      <c r="V55" s="581"/>
      <c r="W55" s="581"/>
      <c r="X55" s="147"/>
      <c r="Y55" s="581"/>
      <c r="Z55" s="581">
        <v>1.6E-2</v>
      </c>
      <c r="AA55" s="581">
        <v>0.72399999999999998</v>
      </c>
      <c r="AB55" s="581">
        <v>2.8000000000000001E-2</v>
      </c>
      <c r="AC55" s="581">
        <v>0.746</v>
      </c>
      <c r="AD55" s="581"/>
      <c r="AE55" s="147"/>
      <c r="AF55" s="581"/>
      <c r="AG55" s="581"/>
      <c r="AH55" s="147">
        <v>0.42</v>
      </c>
      <c r="AI55" s="581">
        <v>0.254</v>
      </c>
      <c r="AJ55" s="581">
        <v>0.104</v>
      </c>
      <c r="AK55" s="581">
        <v>0.57599999999999996</v>
      </c>
      <c r="AL55" s="581">
        <v>4.5999999999999999E-2</v>
      </c>
      <c r="AM55" s="581">
        <v>0.84799999999999998</v>
      </c>
      <c r="AS55" s="147" t="s">
        <v>627</v>
      </c>
      <c r="AT55" s="578" t="str">
        <f>IF('Upper Extremity-Right'!T323="","",'Upper Extremity-Right'!T323)</f>
        <v/>
      </c>
      <c r="AU55" s="578" t="str">
        <f t="shared" si="0"/>
        <v/>
      </c>
      <c r="AV55" s="193">
        <f>IF(AU55="",0,VLOOKUP(AU55,$A$3:$AM$153,11))</f>
        <v>0</v>
      </c>
      <c r="AX55" s="147" t="s">
        <v>628</v>
      </c>
      <c r="AY55" s="578" t="str">
        <f>IF('Upper Extremity-Right'!V323="","",'Upper Extremity-Right'!V323)</f>
        <v/>
      </c>
      <c r="AZ55" s="578" t="str">
        <f>IF(AY55="","",ROUND(AY55,0))</f>
        <v/>
      </c>
      <c r="BA55" s="193">
        <f>IF(AZ55="",0,VLOOKUP(AZ55,$A$3:$AM$153,11))</f>
        <v>0</v>
      </c>
      <c r="BC55" s="147" t="s">
        <v>627</v>
      </c>
      <c r="BD55" s="578" t="str">
        <f>IF('Upper Extremity-Left'!T323="","",'Upper Extremity-Left'!T323)</f>
        <v/>
      </c>
      <c r="BE55" s="578" t="str">
        <f>IF(BD55="","",ROUND(BD55,0))</f>
        <v/>
      </c>
      <c r="BF55" s="193">
        <f>IF(BE55="",0,VLOOKUP(BE55,$A$3:$AM$153,11))</f>
        <v>0</v>
      </c>
      <c r="BG55" s="62"/>
      <c r="BH55" s="147" t="s">
        <v>628</v>
      </c>
      <c r="BI55" s="578" t="str">
        <f>IF('Upper Extremity-Left'!V323="","",'Upper Extremity-Left'!V323)</f>
        <v/>
      </c>
      <c r="BJ55" s="578" t="str">
        <f>IF(BI55="","",ROUND(BI55,0))</f>
        <v/>
      </c>
      <c r="BK55" s="193">
        <f>IF(BJ55="",0,VLOOKUP(BJ55,$A$3:$AM$153,11))</f>
        <v>0</v>
      </c>
    </row>
    <row r="56" spans="1:63" ht="15" customHeight="1" x14ac:dyDescent="0.2">
      <c r="A56" s="50">
        <v>53</v>
      </c>
      <c r="B56" s="544">
        <v>0.152</v>
      </c>
      <c r="C56" s="544">
        <v>0.23400000000000001</v>
      </c>
      <c r="D56" s="544">
        <v>0.38600000000000001</v>
      </c>
      <c r="E56" s="544">
        <v>6.3E-2</v>
      </c>
      <c r="F56" s="544">
        <v>0.66700000000000004</v>
      </c>
      <c r="G56" s="544">
        <v>0.73</v>
      </c>
      <c r="H56" s="544">
        <v>0.109</v>
      </c>
      <c r="I56" s="544">
        <v>0.25600000000000001</v>
      </c>
      <c r="J56" s="544">
        <v>0.36499999999999999</v>
      </c>
      <c r="K56" s="581">
        <v>0.28199999999999997</v>
      </c>
      <c r="L56" s="581">
        <f xml:space="preserve"> 26%</f>
        <v>0.26</v>
      </c>
      <c r="M56" s="581">
        <f xml:space="preserve"> 54.2%</f>
        <v>0.54200000000000004</v>
      </c>
      <c r="N56" s="544">
        <v>0.222</v>
      </c>
      <c r="O56" s="544">
        <v>0.435</v>
      </c>
      <c r="P56" s="544">
        <v>0.65700000000000003</v>
      </c>
      <c r="Q56" s="147">
        <v>0.17</v>
      </c>
      <c r="R56" s="514">
        <v>0.09</v>
      </c>
      <c r="S56" s="147">
        <v>0.08</v>
      </c>
      <c r="T56" s="147">
        <v>0.04</v>
      </c>
      <c r="U56" s="147">
        <v>0.03</v>
      </c>
      <c r="V56" s="581"/>
      <c r="W56" s="581"/>
      <c r="X56" s="147"/>
      <c r="Y56" s="581"/>
      <c r="Z56" s="581">
        <v>1.4E-2</v>
      </c>
      <c r="AA56" s="581">
        <v>0.746</v>
      </c>
      <c r="AB56" s="581">
        <v>2.7E-2</v>
      </c>
      <c r="AC56" s="581">
        <v>0.754</v>
      </c>
      <c r="AD56" s="581"/>
      <c r="AE56" s="147"/>
      <c r="AF56" s="581"/>
      <c r="AG56" s="581"/>
      <c r="AH56" s="147">
        <v>0.42</v>
      </c>
      <c r="AI56" s="581">
        <v>0.251</v>
      </c>
      <c r="AJ56" s="581">
        <v>0.106</v>
      </c>
      <c r="AK56" s="581">
        <v>0.57399999999999995</v>
      </c>
      <c r="AL56" s="581">
        <v>4.3999999999999997E-2</v>
      </c>
      <c r="AM56" s="581">
        <v>0.85199999999999998</v>
      </c>
      <c r="AS56" s="147" t="s">
        <v>443</v>
      </c>
      <c r="AT56" s="578" t="str">
        <f>IF('Upper Extremity-Right'!T324="","",'Upper Extremity-Right'!T324)</f>
        <v/>
      </c>
      <c r="AU56" s="578" t="str">
        <f t="shared" si="0"/>
        <v/>
      </c>
      <c r="AV56" s="193">
        <f>IF(AU56="",0,VLOOKUP(AU56,$A$3:$AM$153,12))</f>
        <v>0</v>
      </c>
      <c r="AX56" s="147" t="s">
        <v>628</v>
      </c>
      <c r="AY56" s="578" t="str">
        <f>IF('Upper Extremity-Right'!V324="","",'Upper Extremity-Right'!V324)</f>
        <v/>
      </c>
      <c r="AZ56" s="578" t="str">
        <f>IF(AY56="","",ROUND(AY56,0))</f>
        <v/>
      </c>
      <c r="BA56" s="193">
        <f>IF(AZ56="",0,VLOOKUP(AZ56,$A$3:$AM$153,12))</f>
        <v>0</v>
      </c>
      <c r="BC56" s="147" t="s">
        <v>443</v>
      </c>
      <c r="BD56" s="578" t="str">
        <f>IF('Upper Extremity-Left'!T324="","",'Upper Extremity-Left'!T324)</f>
        <v/>
      </c>
      <c r="BE56" s="578" t="str">
        <f>IF(BD56="","",ROUND(BD56,0))</f>
        <v/>
      </c>
      <c r="BF56" s="193">
        <f>IF(BE56="",0,VLOOKUP(BE56,$A$3:$AM$153,12))</f>
        <v>0</v>
      </c>
      <c r="BG56" s="62"/>
      <c r="BH56" s="147" t="s">
        <v>628</v>
      </c>
      <c r="BI56" s="578" t="str">
        <f>IF('Upper Extremity-Left'!V324="","",'Upper Extremity-Left'!V324)</f>
        <v/>
      </c>
      <c r="BJ56" s="578" t="str">
        <f>IF(BI56="","",ROUND(BI56,0))</f>
        <v/>
      </c>
      <c r="BK56" s="193">
        <f>IF(BJ56="",0,VLOOKUP(BJ56,$A$3:$AM$153,12))</f>
        <v>0</v>
      </c>
    </row>
    <row r="57" spans="1:63" ht="15" customHeight="1" x14ac:dyDescent="0.2">
      <c r="A57" s="50">
        <v>54</v>
      </c>
      <c r="B57" s="544">
        <v>0.14599999999999999</v>
      </c>
      <c r="C57" s="544">
        <v>0.24199999999999999</v>
      </c>
      <c r="D57" s="544">
        <v>0.38800000000000001</v>
      </c>
      <c r="E57" s="544">
        <v>5.3999999999999999E-2</v>
      </c>
      <c r="F57" s="544">
        <v>0.68600000000000005</v>
      </c>
      <c r="G57" s="544">
        <v>0.74</v>
      </c>
      <c r="H57" s="544">
        <v>0.10199999999999999</v>
      </c>
      <c r="I57" s="544">
        <v>0.26800000000000002</v>
      </c>
      <c r="J57" s="544">
        <v>0.37</v>
      </c>
      <c r="K57" s="581">
        <v>0.27600000000000002</v>
      </c>
      <c r="L57" s="581">
        <f xml:space="preserve"> 27%</f>
        <v>0.27</v>
      </c>
      <c r="M57" s="581">
        <f xml:space="preserve"> 54.6%</f>
        <v>0.54600000000000004</v>
      </c>
      <c r="N57" s="544">
        <v>0.216</v>
      </c>
      <c r="O57" s="544">
        <v>0.45</v>
      </c>
      <c r="P57" s="544">
        <v>0.66600000000000004</v>
      </c>
      <c r="Q57" s="147">
        <v>0.18</v>
      </c>
      <c r="R57" s="514">
        <v>0.09</v>
      </c>
      <c r="S57" s="147">
        <v>0.08</v>
      </c>
      <c r="T57" s="147">
        <v>0.04</v>
      </c>
      <c r="U57" s="147">
        <v>0.03</v>
      </c>
      <c r="V57" s="581"/>
      <c r="W57" s="581"/>
      <c r="X57" s="147"/>
      <c r="Y57" s="581"/>
      <c r="Z57" s="581">
        <v>1.2E-2</v>
      </c>
      <c r="AA57" s="581">
        <v>0.76800000000000002</v>
      </c>
      <c r="AB57" s="581">
        <v>2.5999999999999999E-2</v>
      </c>
      <c r="AC57" s="581">
        <v>0.76200000000000001</v>
      </c>
      <c r="AD57" s="581"/>
      <c r="AE57" s="147"/>
      <c r="AF57" s="581"/>
      <c r="AG57" s="581"/>
      <c r="AH57" s="147">
        <v>0.43</v>
      </c>
      <c r="AI57" s="581">
        <v>0.248</v>
      </c>
      <c r="AJ57" s="581">
        <v>0.108</v>
      </c>
      <c r="AK57" s="581">
        <v>0.57199999999999995</v>
      </c>
      <c r="AL57" s="581">
        <v>4.2000000000000003E-2</v>
      </c>
      <c r="AM57" s="581">
        <v>0.85599999999999998</v>
      </c>
      <c r="AS57" s="147" t="s">
        <v>444</v>
      </c>
      <c r="AT57" s="578" t="str">
        <f>IF('Upper Extremity-Right'!T325="","",'Upper Extremity-Right'!T325)</f>
        <v/>
      </c>
      <c r="AU57" s="578" t="str">
        <f t="shared" si="0"/>
        <v/>
      </c>
      <c r="AV57" s="193">
        <f>IF(AU57="",0,VLOOKUP(AU57,$A$3:$AM$153,13))</f>
        <v>0</v>
      </c>
      <c r="BC57" s="147" t="s">
        <v>444</v>
      </c>
      <c r="BD57" s="578" t="str">
        <f>IF('Upper Extremity-Left'!T325="","",'Upper Extremity-Left'!T325)</f>
        <v/>
      </c>
      <c r="BE57" s="578" t="str">
        <f>IF(BD57="","",ROUND(BD57,0))</f>
        <v/>
      </c>
      <c r="BF57" s="193">
        <f>IF(BE57="",0,VLOOKUP(BE57,$A$3:$AM$153,13))</f>
        <v>0</v>
      </c>
      <c r="BG57" s="62"/>
      <c r="BH57" s="14"/>
    </row>
    <row r="58" spans="1:63" ht="15" customHeight="1" x14ac:dyDescent="0.2">
      <c r="A58" s="50">
        <v>55</v>
      </c>
      <c r="B58" s="544">
        <v>0.14000000000000001</v>
      </c>
      <c r="C58" s="544">
        <v>0.25</v>
      </c>
      <c r="D58" s="544">
        <v>0.39</v>
      </c>
      <c r="E58" s="544">
        <v>4.4999999999999998E-2</v>
      </c>
      <c r="F58" s="544">
        <v>0.70499999999999996</v>
      </c>
      <c r="G58" s="544">
        <v>0.75</v>
      </c>
      <c r="H58" s="544">
        <v>9.5000000000000001E-2</v>
      </c>
      <c r="I58" s="544">
        <v>0.28000000000000003</v>
      </c>
      <c r="J58" s="544">
        <v>0.375</v>
      </c>
      <c r="K58" s="581">
        <v>0.27</v>
      </c>
      <c r="L58" s="581">
        <f xml:space="preserve"> 28%</f>
        <v>0.28000000000000003</v>
      </c>
      <c r="M58" s="581">
        <f xml:space="preserve"> 55%</f>
        <v>0.55000000000000004</v>
      </c>
      <c r="N58" s="544">
        <v>0.21</v>
      </c>
      <c r="O58" s="544">
        <v>0.46500000000000002</v>
      </c>
      <c r="P58" s="544">
        <v>0.67500000000000004</v>
      </c>
      <c r="Q58" s="147">
        <v>0.18</v>
      </c>
      <c r="R58" s="514">
        <v>0.09</v>
      </c>
      <c r="S58" s="147">
        <v>0.09</v>
      </c>
      <c r="T58" s="147">
        <v>0.04</v>
      </c>
      <c r="U58" s="147">
        <v>0.03</v>
      </c>
      <c r="V58" s="581"/>
      <c r="W58" s="581"/>
      <c r="X58" s="147"/>
      <c r="Y58" s="581"/>
      <c r="Z58" s="581">
        <v>0.01</v>
      </c>
      <c r="AA58" s="581">
        <v>0.79</v>
      </c>
      <c r="AB58" s="581">
        <v>2.5000000000000001E-2</v>
      </c>
      <c r="AC58" s="581">
        <v>0.77</v>
      </c>
      <c r="AD58" s="581"/>
      <c r="AE58" s="147"/>
      <c r="AF58" s="581"/>
      <c r="AG58" s="581"/>
      <c r="AH58" s="147">
        <v>0.44</v>
      </c>
      <c r="AI58" s="581">
        <v>0.245</v>
      </c>
      <c r="AJ58" s="581">
        <v>0.11</v>
      </c>
      <c r="AK58" s="581">
        <v>0.56999999999999995</v>
      </c>
      <c r="AL58" s="581">
        <v>0.04</v>
      </c>
      <c r="AM58" s="581">
        <v>0.86</v>
      </c>
      <c r="BC58" s="147"/>
      <c r="BD58" s="62"/>
      <c r="BE58" s="62"/>
      <c r="BG58" s="62"/>
      <c r="BH58" s="14"/>
    </row>
    <row r="59" spans="1:63" ht="15" customHeight="1" x14ac:dyDescent="0.2">
      <c r="A59" s="50">
        <v>56</v>
      </c>
      <c r="B59" s="544">
        <v>0.13400000000000001</v>
      </c>
      <c r="C59" s="544">
        <v>0.25800000000000001</v>
      </c>
      <c r="D59" s="544">
        <v>0.39200000000000002</v>
      </c>
      <c r="E59" s="544">
        <v>3.5999999999999997E-2</v>
      </c>
      <c r="F59" s="544">
        <v>0.72399999999999998</v>
      </c>
      <c r="G59" s="544">
        <v>0.76</v>
      </c>
      <c r="H59" s="544">
        <v>8.7999999999999995E-2</v>
      </c>
      <c r="I59" s="544">
        <v>0.29199999999999998</v>
      </c>
      <c r="J59" s="544">
        <v>0.38</v>
      </c>
      <c r="K59" s="581">
        <v>0.26400000000000001</v>
      </c>
      <c r="L59" s="581">
        <f xml:space="preserve"> 29%</f>
        <v>0.28999999999999998</v>
      </c>
      <c r="M59" s="581">
        <f xml:space="preserve"> 55.4%</f>
        <v>0.55399999999999994</v>
      </c>
      <c r="N59" s="544">
        <v>0.20399999999999999</v>
      </c>
      <c r="O59" s="544">
        <v>0.48</v>
      </c>
      <c r="P59" s="544">
        <v>0.68400000000000005</v>
      </c>
      <c r="Q59" s="147">
        <v>0.18</v>
      </c>
      <c r="R59" s="514">
        <v>0.09</v>
      </c>
      <c r="S59" s="147">
        <v>0.09</v>
      </c>
      <c r="T59" s="147">
        <v>0.04</v>
      </c>
      <c r="U59" s="147">
        <v>0.03</v>
      </c>
      <c r="V59" s="581"/>
      <c r="W59" s="581"/>
      <c r="X59" s="147"/>
      <c r="Y59" s="581"/>
      <c r="Z59" s="581">
        <v>8.0000000000000002E-3</v>
      </c>
      <c r="AA59" s="581">
        <v>0.81200000000000006</v>
      </c>
      <c r="AB59" s="581">
        <v>2.4E-2</v>
      </c>
      <c r="AC59" s="581">
        <v>0.77800000000000002</v>
      </c>
      <c r="AD59" s="581"/>
      <c r="AE59" s="147"/>
      <c r="AF59" s="581"/>
      <c r="AG59" s="581"/>
      <c r="AH59" s="147">
        <v>0.45</v>
      </c>
      <c r="AI59" s="581">
        <v>0.24199999999999999</v>
      </c>
      <c r="AJ59" s="581">
        <v>0.112</v>
      </c>
      <c r="AK59" s="581">
        <v>0.56799999999999995</v>
      </c>
      <c r="AL59" s="581">
        <v>3.7999999999999999E-2</v>
      </c>
      <c r="AM59" s="581">
        <v>0.86399999999999999</v>
      </c>
      <c r="AS59" s="147" t="s">
        <v>445</v>
      </c>
      <c r="AT59" s="578" t="str">
        <f>IF('Upper Extremity-Right'!T327="","",'Upper Extremity-Right'!T327)</f>
        <v/>
      </c>
      <c r="AU59" s="578" t="str">
        <f t="shared" si="0"/>
        <v/>
      </c>
      <c r="AV59" s="193">
        <f>IF(AU59="",0,VLOOKUP(AU59,$A$3:$AM$153,14))</f>
        <v>0</v>
      </c>
      <c r="AX59" s="147" t="s">
        <v>446</v>
      </c>
      <c r="AY59" s="578" t="str">
        <f>IF('Upper Extremity-Right'!V327="","",'Upper Extremity-Right'!V327)</f>
        <v/>
      </c>
      <c r="AZ59" s="578" t="str">
        <f>IF(AY59="","",ROUND(AY59,0))</f>
        <v/>
      </c>
      <c r="BA59" s="193">
        <f>IF(AZ59="",0,VLOOKUP(AZ59,$A$3:$AM$153,14))</f>
        <v>0</v>
      </c>
      <c r="BC59" s="147" t="s">
        <v>445</v>
      </c>
      <c r="BD59" s="578" t="str">
        <f>IF('Upper Extremity-Left'!T327="","",'Upper Extremity-Left'!T327)</f>
        <v/>
      </c>
      <c r="BE59" s="578" t="str">
        <f>IF(BD59="","",ROUND(BD59,0))</f>
        <v/>
      </c>
      <c r="BF59" s="193">
        <f>IF(BE59="",0,VLOOKUP(BE59,$A$3:$AM$153,14))</f>
        <v>0</v>
      </c>
      <c r="BG59" s="62"/>
      <c r="BH59" s="147" t="s">
        <v>446</v>
      </c>
      <c r="BI59" s="578" t="str">
        <f>IF('Upper Extremity-Left'!V327="","",'Upper Extremity-Left'!V327)</f>
        <v/>
      </c>
      <c r="BJ59" s="578" t="str">
        <f>IF(BI59="","",ROUND(BI59,0))</f>
        <v/>
      </c>
      <c r="BK59" s="193">
        <f>IF(BJ59="",0,VLOOKUP(BJ59,$A$3:$AM$153,14))</f>
        <v>0</v>
      </c>
    </row>
    <row r="60" spans="1:63" ht="15" customHeight="1" x14ac:dyDescent="0.2">
      <c r="A60" s="50">
        <v>57</v>
      </c>
      <c r="B60" s="544">
        <v>0.128</v>
      </c>
      <c r="C60" s="544">
        <v>0.26600000000000001</v>
      </c>
      <c r="D60" s="544">
        <v>0.39400000000000002</v>
      </c>
      <c r="E60" s="544">
        <v>2.7E-2</v>
      </c>
      <c r="F60" s="544">
        <v>0.74299999999999999</v>
      </c>
      <c r="G60" s="544">
        <v>0.77</v>
      </c>
      <c r="H60" s="544">
        <v>8.1000000000000003E-2</v>
      </c>
      <c r="I60" s="544">
        <v>0.30399999999999999</v>
      </c>
      <c r="J60" s="544">
        <v>0.38500000000000001</v>
      </c>
      <c r="K60" s="581">
        <v>0.25800000000000001</v>
      </c>
      <c r="L60" s="581">
        <f xml:space="preserve"> 30%</f>
        <v>0.3</v>
      </c>
      <c r="M60" s="581">
        <f xml:space="preserve"> 55.8%</f>
        <v>0.55799999999999994</v>
      </c>
      <c r="N60" s="544">
        <v>0.19800000000000001</v>
      </c>
      <c r="O60" s="544">
        <v>0.495</v>
      </c>
      <c r="P60" s="544">
        <v>0.69299999999999995</v>
      </c>
      <c r="Q60" s="147">
        <v>0.19</v>
      </c>
      <c r="R60" s="514">
        <v>0.1</v>
      </c>
      <c r="S60" s="147">
        <v>0.09</v>
      </c>
      <c r="T60" s="147">
        <v>0.04</v>
      </c>
      <c r="U60" s="147">
        <v>0.03</v>
      </c>
      <c r="V60" s="581"/>
      <c r="W60" s="581"/>
      <c r="X60" s="147"/>
      <c r="Y60" s="581"/>
      <c r="Z60" s="581">
        <v>6.0000000000000001E-3</v>
      </c>
      <c r="AA60" s="581">
        <v>0.83399999999999996</v>
      </c>
      <c r="AB60" s="581">
        <v>2.3E-2</v>
      </c>
      <c r="AC60" s="581">
        <v>0.78600000000000003</v>
      </c>
      <c r="AD60" s="581"/>
      <c r="AE60" s="147"/>
      <c r="AF60" s="581"/>
      <c r="AG60" s="581"/>
      <c r="AH60" s="147">
        <v>0.46</v>
      </c>
      <c r="AI60" s="581">
        <v>0.23899999999999999</v>
      </c>
      <c r="AJ60" s="581">
        <v>0.114</v>
      </c>
      <c r="AK60" s="581">
        <v>0.56599999999999995</v>
      </c>
      <c r="AL60" s="581">
        <v>3.5999999999999997E-2</v>
      </c>
      <c r="AM60" s="581">
        <v>0.86799999999999999</v>
      </c>
      <c r="AS60" s="147" t="s">
        <v>447</v>
      </c>
      <c r="AT60" s="578" t="str">
        <f>IF('Upper Extremity-Right'!T328="","",'Upper Extremity-Right'!T328)</f>
        <v/>
      </c>
      <c r="AU60" s="578" t="str">
        <f t="shared" si="0"/>
        <v/>
      </c>
      <c r="AV60" s="193">
        <f>IF(AU60="",0,VLOOKUP(AU60,$A$3:$AM$153,15))</f>
        <v>0</v>
      </c>
      <c r="AX60" s="147" t="s">
        <v>446</v>
      </c>
      <c r="AY60" s="578" t="str">
        <f>IF('Upper Extremity-Right'!V328="","",'Upper Extremity-Right'!V328)</f>
        <v/>
      </c>
      <c r="AZ60" s="578" t="str">
        <f>IF(AY60="","",ROUND(AY60,0))</f>
        <v/>
      </c>
      <c r="BA60" s="193">
        <f>IF(AZ60="",0,VLOOKUP(AZ60,$A$3:$AM$153,15))</f>
        <v>0</v>
      </c>
      <c r="BC60" s="147" t="s">
        <v>447</v>
      </c>
      <c r="BD60" s="578" t="str">
        <f>IF('Upper Extremity-Left'!T328="","",'Upper Extremity-Left'!T328)</f>
        <v/>
      </c>
      <c r="BE60" s="578" t="str">
        <f>IF(BD60="","",ROUND(BD60,0))</f>
        <v/>
      </c>
      <c r="BF60" s="193">
        <f>IF(BE60="",0,VLOOKUP(BE60,$A$3:$AM$153,15))</f>
        <v>0</v>
      </c>
      <c r="BG60" s="62"/>
      <c r="BH60" s="147" t="s">
        <v>446</v>
      </c>
      <c r="BI60" s="578" t="str">
        <f>IF('Upper Extremity-Left'!V328="","",'Upper Extremity-Left'!V328)</f>
        <v/>
      </c>
      <c r="BJ60" s="578" t="str">
        <f>IF(BI60="","",ROUND(BI60,0))</f>
        <v/>
      </c>
      <c r="BK60" s="193">
        <f>IF(BJ60="",0,VLOOKUP(BJ60,$A$3:$AM$153,15))</f>
        <v>0</v>
      </c>
    </row>
    <row r="61" spans="1:63" ht="15" customHeight="1" x14ac:dyDescent="0.2">
      <c r="A61" s="50">
        <v>58</v>
      </c>
      <c r="B61" s="544">
        <v>0.122</v>
      </c>
      <c r="C61" s="544">
        <v>0.27400000000000002</v>
      </c>
      <c r="D61" s="544">
        <v>0.39600000000000002</v>
      </c>
      <c r="E61" s="544">
        <v>1.7999999999999999E-2</v>
      </c>
      <c r="F61" s="544">
        <v>0.76200000000000001</v>
      </c>
      <c r="G61" s="544">
        <v>0.78</v>
      </c>
      <c r="H61" s="544">
        <v>7.3999999999999996E-2</v>
      </c>
      <c r="I61" s="544">
        <v>0.316</v>
      </c>
      <c r="J61" s="544">
        <v>0.39</v>
      </c>
      <c r="K61" s="581">
        <v>0.252</v>
      </c>
      <c r="L61" s="581">
        <f xml:space="preserve"> 31%</f>
        <v>0.31</v>
      </c>
      <c r="M61" s="581">
        <f xml:space="preserve"> 56.2%</f>
        <v>0.56200000000000006</v>
      </c>
      <c r="N61" s="544">
        <v>0.192</v>
      </c>
      <c r="O61" s="544">
        <v>0.51</v>
      </c>
      <c r="P61" s="544">
        <v>0.70199999999999996</v>
      </c>
      <c r="Q61" s="147">
        <v>0.19</v>
      </c>
      <c r="R61" s="514">
        <v>0.1</v>
      </c>
      <c r="S61" s="147">
        <v>0.09</v>
      </c>
      <c r="T61" s="147">
        <v>0.04</v>
      </c>
      <c r="U61" s="147">
        <v>0.03</v>
      </c>
      <c r="V61" s="581"/>
      <c r="W61" s="581"/>
      <c r="X61" s="147"/>
      <c r="Y61" s="581"/>
      <c r="Z61" s="581">
        <v>4.0000000000000001E-3</v>
      </c>
      <c r="AA61" s="581">
        <v>0.85599999999999998</v>
      </c>
      <c r="AB61" s="581">
        <v>2.1999999999999999E-2</v>
      </c>
      <c r="AC61" s="581">
        <v>0.79400000000000004</v>
      </c>
      <c r="AD61" s="581"/>
      <c r="AE61" s="147"/>
      <c r="AF61" s="581"/>
      <c r="AG61" s="581"/>
      <c r="AH61" s="147">
        <v>0.46</v>
      </c>
      <c r="AI61" s="581">
        <v>0.23599999999999999</v>
      </c>
      <c r="AJ61" s="581">
        <v>0.11600000000000001</v>
      </c>
      <c r="AK61" s="581">
        <v>0.56399999999999995</v>
      </c>
      <c r="AL61" s="581">
        <v>3.4000000000000002E-2</v>
      </c>
      <c r="AM61" s="581">
        <v>0.872</v>
      </c>
      <c r="AS61" s="147" t="s">
        <v>448</v>
      </c>
      <c r="AT61" s="578" t="str">
        <f>IF('Upper Extremity-Right'!T329="","",'Upper Extremity-Right'!T329)</f>
        <v/>
      </c>
      <c r="AU61" s="578" t="str">
        <f t="shared" si="0"/>
        <v/>
      </c>
      <c r="AV61" s="193">
        <f>IF(AU61="",0,VLOOKUP(AU61,$A$3:$AM$153,16))</f>
        <v>0</v>
      </c>
      <c r="BC61" s="147" t="s">
        <v>448</v>
      </c>
      <c r="BD61" s="578" t="str">
        <f>IF('Upper Extremity-Left'!T329="","",'Upper Extremity-Left'!T329)</f>
        <v/>
      </c>
      <c r="BE61" s="578" t="str">
        <f>IF(BD61="","",ROUND(BD61,0))</f>
        <v/>
      </c>
      <c r="BF61" s="193">
        <f>IF(BE61="",0,VLOOKUP(BE61,$A$3:$AM$153,16))</f>
        <v>0</v>
      </c>
      <c r="BG61" s="62"/>
      <c r="BH61" s="14"/>
    </row>
    <row r="62" spans="1:63" ht="15" customHeight="1" x14ac:dyDescent="0.2">
      <c r="A62" s="50">
        <v>59</v>
      </c>
      <c r="B62" s="544">
        <v>0.11600000000000001</v>
      </c>
      <c r="C62" s="544">
        <v>0.28199999999999997</v>
      </c>
      <c r="D62" s="544">
        <v>0.39800000000000002</v>
      </c>
      <c r="E62" s="544">
        <v>8.9999999999999993E-3</v>
      </c>
      <c r="F62" s="544">
        <v>0.78100000000000003</v>
      </c>
      <c r="G62" s="544">
        <v>0.79</v>
      </c>
      <c r="H62" s="544">
        <v>6.7000000000000004E-2</v>
      </c>
      <c r="I62" s="544">
        <v>0.32800000000000001</v>
      </c>
      <c r="J62" s="544">
        <v>0.39500000000000002</v>
      </c>
      <c r="K62" s="581">
        <v>0.246</v>
      </c>
      <c r="L62" s="581">
        <f xml:space="preserve"> 32%</f>
        <v>0.32</v>
      </c>
      <c r="M62" s="581">
        <f xml:space="preserve"> 56.6%</f>
        <v>0.56600000000000006</v>
      </c>
      <c r="N62" s="544">
        <v>0.186</v>
      </c>
      <c r="O62" s="544">
        <v>0.52500000000000002</v>
      </c>
      <c r="P62" s="544">
        <v>0.71099999999999997</v>
      </c>
      <c r="Q62" s="147">
        <v>0.19</v>
      </c>
      <c r="R62" s="514">
        <v>0.1</v>
      </c>
      <c r="S62" s="147">
        <v>0.09</v>
      </c>
      <c r="T62" s="147">
        <v>0.04</v>
      </c>
      <c r="U62" s="147">
        <v>0.03</v>
      </c>
      <c r="V62" s="581"/>
      <c r="W62" s="581"/>
      <c r="X62" s="147"/>
      <c r="Y62" s="581"/>
      <c r="Z62" s="581">
        <v>2E-3</v>
      </c>
      <c r="AA62" s="581">
        <v>0.878</v>
      </c>
      <c r="AB62" s="581">
        <v>2.1000000000000001E-2</v>
      </c>
      <c r="AC62" s="581">
        <v>0.80200000000000005</v>
      </c>
      <c r="AD62" s="581"/>
      <c r="AE62" s="147"/>
      <c r="AF62" s="581"/>
      <c r="AG62" s="581"/>
      <c r="AH62" s="147">
        <v>0.47</v>
      </c>
      <c r="AI62" s="581">
        <v>0.23300000000000001</v>
      </c>
      <c r="AJ62" s="581">
        <v>0.11799999999999999</v>
      </c>
      <c r="AK62" s="581">
        <v>0.56200000000000006</v>
      </c>
      <c r="AL62" s="581">
        <v>3.2000000000000001E-2</v>
      </c>
      <c r="AM62" s="581">
        <v>0.876</v>
      </c>
      <c r="BC62" s="147"/>
      <c r="BD62" s="62"/>
      <c r="BE62" s="62"/>
      <c r="BG62" s="62"/>
      <c r="BH62" s="14"/>
    </row>
    <row r="63" spans="1:63" ht="15" customHeight="1" x14ac:dyDescent="0.2">
      <c r="A63" s="50">
        <v>60</v>
      </c>
      <c r="B63" s="544">
        <v>0.11</v>
      </c>
      <c r="C63" s="544">
        <v>0.28999999999999998</v>
      </c>
      <c r="D63" s="544">
        <v>0.4</v>
      </c>
      <c r="E63" s="544">
        <v>0</v>
      </c>
      <c r="F63" s="544">
        <v>0.8</v>
      </c>
      <c r="G63" s="544">
        <v>0.8</v>
      </c>
      <c r="H63" s="544">
        <v>0.06</v>
      </c>
      <c r="I63" s="544">
        <v>0.34</v>
      </c>
      <c r="J63" s="544">
        <v>0.4</v>
      </c>
      <c r="K63" s="581">
        <v>0.24</v>
      </c>
      <c r="L63" s="581">
        <f xml:space="preserve"> 33%</f>
        <v>0.33</v>
      </c>
      <c r="M63" s="581">
        <f xml:space="preserve"> 57%</f>
        <v>0.56999999999999995</v>
      </c>
      <c r="N63" s="544">
        <v>0.18</v>
      </c>
      <c r="O63" s="544">
        <v>0.54</v>
      </c>
      <c r="P63" s="544">
        <v>0.72</v>
      </c>
      <c r="Q63" s="147">
        <v>0.2</v>
      </c>
      <c r="R63" s="514">
        <v>0.1</v>
      </c>
      <c r="S63" s="147">
        <v>0.09</v>
      </c>
      <c r="T63" s="147">
        <v>0.05</v>
      </c>
      <c r="U63" s="147">
        <v>0.03</v>
      </c>
      <c r="V63" s="581"/>
      <c r="W63" s="581"/>
      <c r="X63" s="147"/>
      <c r="Y63" s="581"/>
      <c r="Z63" s="581">
        <v>0</v>
      </c>
      <c r="AA63" s="581">
        <v>0.9</v>
      </c>
      <c r="AB63" s="581">
        <v>0.02</v>
      </c>
      <c r="AC63" s="581">
        <v>0.81</v>
      </c>
      <c r="AD63" s="581"/>
      <c r="AE63" s="147"/>
      <c r="AF63" s="581"/>
      <c r="AG63" s="581"/>
      <c r="AH63" s="147">
        <v>0.48</v>
      </c>
      <c r="AI63" s="581">
        <v>0.23</v>
      </c>
      <c r="AJ63" s="581">
        <v>0.12</v>
      </c>
      <c r="AK63" s="581">
        <v>0.56000000000000005</v>
      </c>
      <c r="AL63" s="581">
        <v>0.03</v>
      </c>
      <c r="AM63" s="581">
        <v>0.88</v>
      </c>
      <c r="AS63" s="147" t="s">
        <v>1623</v>
      </c>
      <c r="BC63" s="147" t="s">
        <v>1623</v>
      </c>
      <c r="BD63" s="62"/>
      <c r="BE63" s="62"/>
      <c r="BG63" s="62"/>
      <c r="BH63" s="14"/>
    </row>
    <row r="64" spans="1:63" ht="15" customHeight="1" x14ac:dyDescent="0.2">
      <c r="A64" s="50">
        <v>61</v>
      </c>
      <c r="B64" s="544">
        <v>0.105</v>
      </c>
      <c r="C64" s="544">
        <v>0.29799999999999999</v>
      </c>
      <c r="D64" s="544">
        <v>0.40300000000000002</v>
      </c>
      <c r="E64" s="50"/>
      <c r="F64" s="50"/>
      <c r="G64" s="50"/>
      <c r="H64" s="544">
        <v>5.3999999999999999E-2</v>
      </c>
      <c r="I64" s="544">
        <v>0.35099999999999998</v>
      </c>
      <c r="J64" s="544">
        <v>0.40500000000000003</v>
      </c>
      <c r="K64" s="581">
        <v>0.23400000000000001</v>
      </c>
      <c r="L64" s="581">
        <f xml:space="preserve"> 33.9%</f>
        <v>0.33899999999999997</v>
      </c>
      <c r="M64" s="581">
        <f xml:space="preserve"> 57.3%</f>
        <v>0.57299999999999995</v>
      </c>
      <c r="N64" s="544">
        <v>0.17399999999999999</v>
      </c>
      <c r="O64" s="544">
        <v>0.55600000000000005</v>
      </c>
      <c r="P64" s="544">
        <v>0.73</v>
      </c>
      <c r="Q64" s="147">
        <v>0.2</v>
      </c>
      <c r="R64" s="514">
        <v>0.1</v>
      </c>
      <c r="S64" s="147">
        <v>0.09</v>
      </c>
      <c r="T64" s="147">
        <v>0.05</v>
      </c>
      <c r="U64" s="147">
        <v>0.03</v>
      </c>
      <c r="V64" s="581"/>
      <c r="W64" s="581"/>
      <c r="X64" s="147"/>
      <c r="Y64" s="581"/>
      <c r="Z64" s="581"/>
      <c r="AA64" s="581"/>
      <c r="AB64" s="581">
        <v>1.7999999999999999E-2</v>
      </c>
      <c r="AC64" s="581">
        <v>0.81899999999999995</v>
      </c>
      <c r="AD64" s="581"/>
      <c r="AE64" s="147"/>
      <c r="AF64" s="581"/>
      <c r="AG64" s="581"/>
      <c r="AH64" s="147">
        <v>0.49</v>
      </c>
      <c r="AI64" s="581">
        <v>0.22800000000000001</v>
      </c>
      <c r="AJ64" s="581">
        <v>0.122</v>
      </c>
      <c r="AK64" s="581">
        <v>0.55900000000000005</v>
      </c>
      <c r="AL64" s="581">
        <v>2.9000000000000001E-2</v>
      </c>
      <c r="AM64" s="581">
        <v>0.88300000000000001</v>
      </c>
      <c r="AS64" s="147" t="s">
        <v>449</v>
      </c>
      <c r="AT64" s="578" t="str">
        <f>IF('Upper Extremity-Right'!T394="","",'Upper Extremity-Right'!T394)</f>
        <v/>
      </c>
      <c r="AU64" s="578" t="str">
        <f t="shared" si="0"/>
        <v/>
      </c>
      <c r="AV64" s="193">
        <f>IF(AU64="",0,VLOOKUP(AU64,$A$3:$AM$153,22))</f>
        <v>0</v>
      </c>
      <c r="AX64" s="147" t="s">
        <v>450</v>
      </c>
      <c r="AY64" s="578" t="str">
        <f>IF('Upper Extremity-Right'!V394="","",'Upper Extremity-Right'!V394)</f>
        <v/>
      </c>
      <c r="AZ64" s="578" t="str">
        <f>IF(AY64="","",ROUND(AY64,0))</f>
        <v/>
      </c>
      <c r="BA64" s="193">
        <f>IF(AZ64="",0,VLOOKUP(AZ64,$A$3:$AM$153,22))</f>
        <v>0</v>
      </c>
      <c r="BC64" s="147" t="s">
        <v>449</v>
      </c>
      <c r="BD64" s="578" t="str">
        <f>IF('Upper Extremity-Left'!T394="","",'Upper Extremity-Left'!T394)</f>
        <v/>
      </c>
      <c r="BE64" s="578" t="str">
        <f>IF(BD64="","",ROUND(BD64,0))</f>
        <v/>
      </c>
      <c r="BF64" s="193">
        <f>IF(BE64="",0,VLOOKUP(BE64,$A$3:$AM$153,22))</f>
        <v>0</v>
      </c>
      <c r="BG64" s="62"/>
      <c r="BH64" s="147" t="s">
        <v>450</v>
      </c>
      <c r="BI64" s="578" t="str">
        <f>IF('Upper Extremity-Left'!V394="","",'Upper Extremity-Left'!V394)</f>
        <v/>
      </c>
      <c r="BJ64" s="578" t="str">
        <f>IF(BI64="","",ROUND(BI64,0))</f>
        <v/>
      </c>
      <c r="BK64" s="193">
        <f>IF(BJ64="",0,VLOOKUP(BJ64,$A$3:$AM$153,22))</f>
        <v>0</v>
      </c>
    </row>
    <row r="65" spans="1:63" ht="15" customHeight="1" x14ac:dyDescent="0.2">
      <c r="A65" s="50">
        <v>62</v>
      </c>
      <c r="B65" s="544">
        <v>0.1</v>
      </c>
      <c r="C65" s="544">
        <v>0.30599999999999999</v>
      </c>
      <c r="D65" s="544">
        <v>0.40600000000000003</v>
      </c>
      <c r="E65" s="50"/>
      <c r="F65" s="50"/>
      <c r="G65" s="50"/>
      <c r="H65" s="544">
        <v>4.8000000000000001E-2</v>
      </c>
      <c r="I65" s="544">
        <v>0.36199999999999999</v>
      </c>
      <c r="J65" s="544">
        <v>0.41</v>
      </c>
      <c r="K65" s="581">
        <v>0.22800000000000001</v>
      </c>
      <c r="L65" s="581">
        <f xml:space="preserve"> 34.8%</f>
        <v>0.34799999999999998</v>
      </c>
      <c r="M65" s="581">
        <f xml:space="preserve"> 57.6%</f>
        <v>0.57600000000000007</v>
      </c>
      <c r="N65" s="544">
        <v>0.16800000000000001</v>
      </c>
      <c r="O65" s="544">
        <v>0.57199999999999995</v>
      </c>
      <c r="P65" s="544">
        <v>0.74</v>
      </c>
      <c r="Q65" s="147">
        <v>0.2</v>
      </c>
      <c r="R65" s="514">
        <v>0.1</v>
      </c>
      <c r="S65" s="147">
        <v>0.1</v>
      </c>
      <c r="T65" s="147">
        <v>0.05</v>
      </c>
      <c r="U65" s="147">
        <v>0.03</v>
      </c>
      <c r="V65" s="581"/>
      <c r="W65" s="581"/>
      <c r="X65" s="147"/>
      <c r="Y65" s="581"/>
      <c r="Z65" s="581"/>
      <c r="AA65" s="581"/>
      <c r="AB65" s="581">
        <v>1.6E-2</v>
      </c>
      <c r="AC65" s="581">
        <v>0.82799999999999996</v>
      </c>
      <c r="AD65" s="581"/>
      <c r="AE65" s="147"/>
      <c r="AF65" s="581"/>
      <c r="AG65" s="581"/>
      <c r="AH65" s="147">
        <v>0.49</v>
      </c>
      <c r="AI65" s="581">
        <v>0.22600000000000001</v>
      </c>
      <c r="AJ65" s="581">
        <v>0.124</v>
      </c>
      <c r="AK65" s="581">
        <v>0.55800000000000005</v>
      </c>
      <c r="AL65" s="581">
        <v>2.8000000000000001E-2</v>
      </c>
      <c r="AM65" s="581">
        <v>0.88600000000000001</v>
      </c>
      <c r="AS65" s="147" t="s">
        <v>451</v>
      </c>
      <c r="AT65" s="578" t="str">
        <f>IF('Upper Extremity-Right'!T395="","",'Upper Extremity-Right'!T395)</f>
        <v/>
      </c>
      <c r="AU65" s="578" t="str">
        <f t="shared" si="0"/>
        <v/>
      </c>
      <c r="AV65" s="193">
        <f>IF(AU65="",0,VLOOKUP(AU65,$A$3:$AM$153,23))</f>
        <v>0</v>
      </c>
      <c r="AX65" s="147" t="s">
        <v>450</v>
      </c>
      <c r="AY65" s="578" t="str">
        <f>IF('Upper Extremity-Right'!V395="","",'Upper Extremity-Right'!V395)</f>
        <v/>
      </c>
      <c r="AZ65" s="578" t="str">
        <f>IF(AY65="","",ROUND(AY65,0))</f>
        <v/>
      </c>
      <c r="BA65" s="193">
        <f>IF(AZ65="",0,VLOOKUP(AZ65,$A$3:$AM$153,23))</f>
        <v>0</v>
      </c>
      <c r="BC65" s="147" t="s">
        <v>451</v>
      </c>
      <c r="BD65" s="578" t="str">
        <f>IF('Upper Extremity-Left'!T395="","",'Upper Extremity-Left'!T395)</f>
        <v/>
      </c>
      <c r="BE65" s="578" t="str">
        <f>IF(BD65="","",ROUND(BD65,0))</f>
        <v/>
      </c>
      <c r="BF65" s="193">
        <f>IF(BE65="",0,VLOOKUP(BE65,$A$3:$AM$153,23))</f>
        <v>0</v>
      </c>
      <c r="BG65" s="62"/>
      <c r="BH65" s="147" t="s">
        <v>450</v>
      </c>
      <c r="BI65" s="578" t="str">
        <f>IF('Upper Extremity-Left'!V395="","",'Upper Extremity-Left'!V395)</f>
        <v/>
      </c>
      <c r="BJ65" s="578" t="str">
        <f>IF(BI65="","",ROUND(BI65,0))</f>
        <v/>
      </c>
      <c r="BK65" s="193">
        <f>IF(BJ65="",0,VLOOKUP(BJ65,$A$3:$AM$153,23))</f>
        <v>0</v>
      </c>
    </row>
    <row r="66" spans="1:63" ht="15" customHeight="1" x14ac:dyDescent="0.2">
      <c r="A66" s="50">
        <v>63</v>
      </c>
      <c r="B66" s="544">
        <v>9.5000000000000001E-2</v>
      </c>
      <c r="C66" s="544">
        <v>0.314</v>
      </c>
      <c r="D66" s="544">
        <v>0.40899999999999997</v>
      </c>
      <c r="E66" s="50"/>
      <c r="F66" s="50"/>
      <c r="G66" s="50"/>
      <c r="H66" s="544">
        <v>4.2000000000000003E-2</v>
      </c>
      <c r="I66" s="544">
        <v>0.373</v>
      </c>
      <c r="J66" s="544">
        <v>0.41499999999999998</v>
      </c>
      <c r="K66" s="581">
        <v>0.222</v>
      </c>
      <c r="L66" s="581">
        <f xml:space="preserve"> 35.7%</f>
        <v>0.35700000000000004</v>
      </c>
      <c r="M66" s="581">
        <f xml:space="preserve"> 57.9%</f>
        <v>0.57899999999999996</v>
      </c>
      <c r="N66" s="544">
        <v>0.16200000000000001</v>
      </c>
      <c r="O66" s="544">
        <v>0.58799999999999997</v>
      </c>
      <c r="P66" s="544">
        <v>0.75</v>
      </c>
      <c r="Q66" s="147">
        <v>0.21</v>
      </c>
      <c r="R66" s="514">
        <v>0.11</v>
      </c>
      <c r="S66" s="147">
        <v>0.1</v>
      </c>
      <c r="T66" s="147">
        <v>0.05</v>
      </c>
      <c r="U66" s="147">
        <v>0.03</v>
      </c>
      <c r="V66" s="581"/>
      <c r="W66" s="581"/>
      <c r="X66" s="147"/>
      <c r="Y66" s="581"/>
      <c r="Z66" s="581"/>
      <c r="AA66" s="581"/>
      <c r="AB66" s="581">
        <v>1.4E-2</v>
      </c>
      <c r="AC66" s="581">
        <v>0.83699999999999997</v>
      </c>
      <c r="AD66" s="581"/>
      <c r="AE66" s="147"/>
      <c r="AF66" s="581"/>
      <c r="AG66" s="581"/>
      <c r="AH66" s="147">
        <v>0.5</v>
      </c>
      <c r="AI66" s="581">
        <v>0.224</v>
      </c>
      <c r="AJ66" s="581">
        <v>0.126</v>
      </c>
      <c r="AK66" s="581">
        <v>0.55700000000000005</v>
      </c>
      <c r="AL66" s="581">
        <v>2.7E-2</v>
      </c>
      <c r="AM66" s="581">
        <v>0.88900000000000001</v>
      </c>
      <c r="AS66" s="147" t="s">
        <v>452</v>
      </c>
      <c r="AT66" s="578" t="str">
        <f>IF('Upper Extremity-Right'!T396="","",'Upper Extremity-Right'!T396)</f>
        <v/>
      </c>
      <c r="AU66" s="578" t="str">
        <f t="shared" si="0"/>
        <v/>
      </c>
      <c r="AV66" s="193">
        <f>IF(AU66="",0,VLOOKUP(AU66,$A$3:$AM$153,24))</f>
        <v>0</v>
      </c>
      <c r="BC66" s="147" t="s">
        <v>452</v>
      </c>
      <c r="BD66" s="578" t="str">
        <f>IF('Upper Extremity-Left'!T396="","",'Upper Extremity-Left'!T396)</f>
        <v/>
      </c>
      <c r="BE66" s="578" t="str">
        <f>IF(BD66="","",ROUND(BD66,0))</f>
        <v/>
      </c>
      <c r="BF66" s="193">
        <f>IF(BE66="",0,VLOOKUP(BE66,$A$3:$AM$153,24))</f>
        <v>0</v>
      </c>
      <c r="BG66" s="62"/>
      <c r="BH66" s="14"/>
    </row>
    <row r="67" spans="1:63" ht="15" customHeight="1" x14ac:dyDescent="0.2">
      <c r="A67" s="50">
        <v>64</v>
      </c>
      <c r="B67" s="544">
        <v>0.09</v>
      </c>
      <c r="C67" s="544">
        <v>0.32200000000000001</v>
      </c>
      <c r="D67" s="544">
        <v>0.41199999999999998</v>
      </c>
      <c r="E67" s="50"/>
      <c r="F67" s="50"/>
      <c r="G67" s="50"/>
      <c r="H67" s="544">
        <v>3.5999999999999997E-2</v>
      </c>
      <c r="I67" s="544">
        <v>0.38400000000000001</v>
      </c>
      <c r="J67" s="544">
        <v>0.42</v>
      </c>
      <c r="K67" s="581">
        <v>0.216</v>
      </c>
      <c r="L67" s="581">
        <f xml:space="preserve"> 36.6%</f>
        <v>0.36599999999999999</v>
      </c>
      <c r="M67" s="581">
        <f xml:space="preserve"> 58.2%</f>
        <v>0.58200000000000007</v>
      </c>
      <c r="N67" s="544">
        <v>0.156</v>
      </c>
      <c r="O67" s="544">
        <v>0.60399999999999998</v>
      </c>
      <c r="P67" s="544">
        <v>0.76</v>
      </c>
      <c r="Q67" s="147">
        <v>0.21</v>
      </c>
      <c r="R67" s="514">
        <v>0.11</v>
      </c>
      <c r="S67" s="147">
        <v>0.1</v>
      </c>
      <c r="T67" s="147">
        <v>0.05</v>
      </c>
      <c r="U67" s="147">
        <v>0.03</v>
      </c>
      <c r="V67" s="581"/>
      <c r="W67" s="581"/>
      <c r="X67" s="147"/>
      <c r="Y67" s="581"/>
      <c r="Z67" s="581"/>
      <c r="AA67" s="581"/>
      <c r="AB67" s="581">
        <v>1.2E-2</v>
      </c>
      <c r="AC67" s="581">
        <v>0.84599999999999997</v>
      </c>
      <c r="AD67" s="581"/>
      <c r="AE67" s="147"/>
      <c r="AF67" s="581"/>
      <c r="AG67" s="581"/>
      <c r="AH67" s="147">
        <v>0.51</v>
      </c>
      <c r="AI67" s="581">
        <v>0.222</v>
      </c>
      <c r="AJ67" s="581">
        <v>0.128</v>
      </c>
      <c r="AK67" s="581">
        <v>0.55600000000000005</v>
      </c>
      <c r="AL67" s="581">
        <v>2.5999999999999999E-2</v>
      </c>
      <c r="AM67" s="581">
        <v>0.89200000000000002</v>
      </c>
      <c r="AS67" s="147" t="s">
        <v>453</v>
      </c>
      <c r="AT67" s="578" t="str">
        <f>IF('Upper Extremity-Right'!T397="","",'Upper Extremity-Right'!T397)</f>
        <v/>
      </c>
      <c r="AU67" s="578" t="str">
        <f t="shared" si="0"/>
        <v/>
      </c>
      <c r="AV67" s="193">
        <f>IF(AU67="",0,VLOOKUP(AU67,$A$3:$AM$153,25))</f>
        <v>0</v>
      </c>
      <c r="BC67" s="147" t="s">
        <v>453</v>
      </c>
      <c r="BD67" s="578" t="str">
        <f>IF('Upper Extremity-Left'!T397="","",'Upper Extremity-Left'!T397)</f>
        <v/>
      </c>
      <c r="BE67" s="578" t="str">
        <f>IF(BD67="","",ROUND(BD67,0))</f>
        <v/>
      </c>
      <c r="BF67" s="193">
        <f>IF(BE67="",0,VLOOKUP(BE67,$A$3:$AM$153,25))</f>
        <v>0</v>
      </c>
      <c r="BG67" s="62"/>
      <c r="BH67" s="14"/>
    </row>
    <row r="68" spans="1:63" ht="15" customHeight="1" x14ac:dyDescent="0.2">
      <c r="A68" s="50">
        <v>65</v>
      </c>
      <c r="B68" s="544">
        <v>8.5000000000000006E-2</v>
      </c>
      <c r="C68" s="544">
        <v>0.33</v>
      </c>
      <c r="D68" s="544">
        <v>0.41499999999999998</v>
      </c>
      <c r="E68" s="50"/>
      <c r="F68" s="50"/>
      <c r="G68" s="50"/>
      <c r="H68" s="544">
        <v>0.03</v>
      </c>
      <c r="I68" s="544">
        <v>0.39500000000000002</v>
      </c>
      <c r="J68" s="544">
        <v>0.42499999999999999</v>
      </c>
      <c r="K68" s="581">
        <v>0.21</v>
      </c>
      <c r="L68" s="581">
        <f xml:space="preserve"> 37.5%</f>
        <v>0.375</v>
      </c>
      <c r="M68" s="581">
        <f xml:space="preserve"> 58.5%</f>
        <v>0.58499999999999996</v>
      </c>
      <c r="N68" s="544">
        <v>0.15</v>
      </c>
      <c r="O68" s="544">
        <v>0.62</v>
      </c>
      <c r="P68" s="544">
        <v>0.77</v>
      </c>
      <c r="Q68" s="147">
        <v>0.21</v>
      </c>
      <c r="R68" s="514">
        <v>0.11</v>
      </c>
      <c r="S68" s="147">
        <v>0.1</v>
      </c>
      <c r="T68" s="147">
        <v>0.05</v>
      </c>
      <c r="U68" s="147">
        <v>0.03</v>
      </c>
      <c r="V68" s="581"/>
      <c r="W68" s="581"/>
      <c r="X68" s="147"/>
      <c r="Y68" s="581"/>
      <c r="Z68" s="581"/>
      <c r="AA68" s="581"/>
      <c r="AB68" s="581">
        <v>0.01</v>
      </c>
      <c r="AC68" s="581">
        <v>0.85499999999999998</v>
      </c>
      <c r="AD68" s="581"/>
      <c r="AE68" s="147"/>
      <c r="AF68" s="581"/>
      <c r="AG68" s="581"/>
      <c r="AH68" s="147">
        <v>0.52</v>
      </c>
      <c r="AI68" s="581">
        <v>0.22</v>
      </c>
      <c r="AJ68" s="581">
        <v>0.13</v>
      </c>
      <c r="AK68" s="581">
        <v>0.55500000000000005</v>
      </c>
      <c r="AL68" s="581">
        <v>2.5000000000000001E-2</v>
      </c>
      <c r="AM68" s="581">
        <v>0.89500000000000002</v>
      </c>
      <c r="BC68" s="147"/>
      <c r="BD68" s="62"/>
      <c r="BE68" s="62"/>
      <c r="BG68" s="62"/>
      <c r="BH68" s="14"/>
    </row>
    <row r="69" spans="1:63" ht="15" customHeight="1" x14ac:dyDescent="0.2">
      <c r="A69" s="50">
        <v>66</v>
      </c>
      <c r="B69" s="544">
        <v>0.08</v>
      </c>
      <c r="C69" s="544">
        <v>0.33800000000000002</v>
      </c>
      <c r="D69" s="544">
        <v>0.41799999999999998</v>
      </c>
      <c r="E69" s="50"/>
      <c r="F69" s="50"/>
      <c r="G69" s="50"/>
      <c r="H69" s="544">
        <v>2.4E-2</v>
      </c>
      <c r="I69" s="544">
        <v>0.40600000000000003</v>
      </c>
      <c r="J69" s="544">
        <v>0.43</v>
      </c>
      <c r="K69" s="581">
        <v>0.20399999999999999</v>
      </c>
      <c r="L69" s="581">
        <f xml:space="preserve"> 38.4%</f>
        <v>0.38400000000000001</v>
      </c>
      <c r="M69" s="581">
        <f xml:space="preserve"> 58.8%</f>
        <v>0.58799999999999997</v>
      </c>
      <c r="N69" s="544">
        <v>0.14399999999999999</v>
      </c>
      <c r="O69" s="544">
        <v>0.63600000000000001</v>
      </c>
      <c r="P69" s="544">
        <v>0.78</v>
      </c>
      <c r="Q69" s="147">
        <v>0.22</v>
      </c>
      <c r="R69" s="514">
        <v>0.11</v>
      </c>
      <c r="S69" s="147">
        <v>0.1</v>
      </c>
      <c r="T69" s="147">
        <v>0.05</v>
      </c>
      <c r="U69" s="147">
        <v>0.03</v>
      </c>
      <c r="V69" s="581"/>
      <c r="W69" s="581"/>
      <c r="X69" s="147"/>
      <c r="Y69" s="581"/>
      <c r="Z69" s="581"/>
      <c r="AA69" s="581"/>
      <c r="AB69" s="581">
        <v>8.0000000000000002E-3</v>
      </c>
      <c r="AC69" s="581">
        <v>0.86399999999999999</v>
      </c>
      <c r="AD69" s="581"/>
      <c r="AE69" s="147"/>
      <c r="AF69" s="581"/>
      <c r="AG69" s="581"/>
      <c r="AH69" s="147">
        <v>0.53</v>
      </c>
      <c r="AI69" s="581">
        <v>0.218</v>
      </c>
      <c r="AJ69" s="581">
        <v>0.13200000000000001</v>
      </c>
      <c r="AK69" s="581">
        <v>0.55400000000000005</v>
      </c>
      <c r="AL69" s="581">
        <v>2.4E-2</v>
      </c>
      <c r="AM69" s="581">
        <v>0.89800000000000002</v>
      </c>
      <c r="AS69" s="147" t="s">
        <v>399</v>
      </c>
      <c r="BC69" s="147" t="s">
        <v>399</v>
      </c>
      <c r="BD69" s="62"/>
      <c r="BE69" s="62"/>
      <c r="BG69" s="62"/>
      <c r="BH69" s="14"/>
    </row>
    <row r="70" spans="1:63" ht="15" customHeight="1" x14ac:dyDescent="0.2">
      <c r="A70" s="50">
        <v>67</v>
      </c>
      <c r="B70" s="544">
        <v>7.4999999999999997E-2</v>
      </c>
      <c r="C70" s="544">
        <v>0.34599999999999997</v>
      </c>
      <c r="D70" s="544">
        <v>0.42099999999999999</v>
      </c>
      <c r="E70" s="50"/>
      <c r="F70" s="50"/>
      <c r="G70" s="50"/>
      <c r="H70" s="544">
        <v>1.7999999999999999E-2</v>
      </c>
      <c r="I70" s="544">
        <v>0.41699999999999998</v>
      </c>
      <c r="J70" s="544">
        <v>0.435</v>
      </c>
      <c r="K70" s="581">
        <v>0.19800000000000001</v>
      </c>
      <c r="L70" s="581">
        <f xml:space="preserve"> 39.3%</f>
        <v>0.39299999999999996</v>
      </c>
      <c r="M70" s="581">
        <f xml:space="preserve"> 59.1%</f>
        <v>0.59099999999999997</v>
      </c>
      <c r="N70" s="544">
        <v>0.13800000000000001</v>
      </c>
      <c r="O70" s="544">
        <v>0.65200000000000002</v>
      </c>
      <c r="P70" s="544">
        <v>0.79</v>
      </c>
      <c r="Q70" s="147">
        <v>0.22</v>
      </c>
      <c r="R70" s="514">
        <v>0.11</v>
      </c>
      <c r="S70" s="147">
        <v>0.1</v>
      </c>
      <c r="T70" s="147">
        <v>0.05</v>
      </c>
      <c r="U70" s="147">
        <v>0.03</v>
      </c>
      <c r="V70" s="581"/>
      <c r="W70" s="581"/>
      <c r="X70" s="147"/>
      <c r="Y70" s="581"/>
      <c r="Z70" s="581"/>
      <c r="AA70" s="581"/>
      <c r="AB70" s="581">
        <v>6.0000000000000001E-3</v>
      </c>
      <c r="AC70" s="581">
        <v>0.873</v>
      </c>
      <c r="AD70" s="581"/>
      <c r="AE70" s="147"/>
      <c r="AF70" s="581"/>
      <c r="AG70" s="581"/>
      <c r="AH70" s="147">
        <v>0.53</v>
      </c>
      <c r="AI70" s="581">
        <v>0.216</v>
      </c>
      <c r="AJ70" s="581">
        <v>0.13400000000000001</v>
      </c>
      <c r="AK70" s="581">
        <v>0.55300000000000005</v>
      </c>
      <c r="AL70" s="581">
        <v>2.3E-2</v>
      </c>
      <c r="AM70" s="581">
        <v>0.90100000000000002</v>
      </c>
      <c r="AS70" s="147" t="s">
        <v>837</v>
      </c>
      <c r="AT70" s="578" t="str">
        <f>IF('Upper Extremity-Right'!T400="","",'Upper Extremity-Right'!T400)</f>
        <v/>
      </c>
      <c r="AU70" s="578" t="str">
        <f t="shared" ref="AU70:AU77" si="1">IF(AT70="","",ROUND(AT70,0))</f>
        <v/>
      </c>
      <c r="AV70" s="193">
        <f>IF(AU70="",0,VLOOKUP(AU70,$A$3:$AM$153,26))</f>
        <v>0</v>
      </c>
      <c r="AX70" s="147" t="s">
        <v>454</v>
      </c>
      <c r="AY70" s="578" t="str">
        <f>IF('Upper Extremity-Right'!V400="","",'Upper Extremity-Right'!V400)</f>
        <v/>
      </c>
      <c r="AZ70" s="578" t="str">
        <f>IF(AY70="","",ROUND(AY70,0))</f>
        <v/>
      </c>
      <c r="BA70" s="193">
        <f>IF(AZ70="",0,VLOOKUP(AZ70,$A$3:$AM$153,26))</f>
        <v>0</v>
      </c>
      <c r="BC70" s="147" t="s">
        <v>837</v>
      </c>
      <c r="BD70" s="578" t="str">
        <f>IF('Upper Extremity-Left'!T400="","",'Upper Extremity-Left'!T400)</f>
        <v/>
      </c>
      <c r="BE70" s="578" t="str">
        <f t="shared" ref="BE70:BE77" si="2">IF(BD70="","",ROUND(BD70,0))</f>
        <v/>
      </c>
      <c r="BF70" s="193">
        <f>IF(BE70="",0,VLOOKUP(BE70,$A$3:$AM$153,26))</f>
        <v>0</v>
      </c>
      <c r="BG70" s="62"/>
      <c r="BH70" s="147" t="s">
        <v>454</v>
      </c>
      <c r="BI70" s="578" t="str">
        <f>IF('Upper Extremity-Left'!V400="","",'Upper Extremity-Left'!V400)</f>
        <v/>
      </c>
      <c r="BJ70" s="578" t="str">
        <f>IF(BI70="","",ROUND(BI70,0))</f>
        <v/>
      </c>
      <c r="BK70" s="193">
        <f>IF(BJ70="",0,VLOOKUP(BJ70,$A$3:$AM$153,26))</f>
        <v>0</v>
      </c>
    </row>
    <row r="71" spans="1:63" ht="15" customHeight="1" x14ac:dyDescent="0.2">
      <c r="A71" s="50">
        <v>68</v>
      </c>
      <c r="B71" s="544">
        <v>7.0000000000000007E-2</v>
      </c>
      <c r="C71" s="544">
        <v>0.35399999999999998</v>
      </c>
      <c r="D71" s="544">
        <v>0.42399999999999999</v>
      </c>
      <c r="E71" s="50"/>
      <c r="F71" s="50"/>
      <c r="G71" s="50"/>
      <c r="H71" s="544">
        <v>1.2E-2</v>
      </c>
      <c r="I71" s="544">
        <v>0.42799999999999999</v>
      </c>
      <c r="J71" s="544">
        <v>0.44</v>
      </c>
      <c r="K71" s="581">
        <v>0.192</v>
      </c>
      <c r="L71" s="581">
        <f xml:space="preserve"> 40.2%</f>
        <v>0.40200000000000002</v>
      </c>
      <c r="M71" s="581">
        <f xml:space="preserve"> 59.4%</f>
        <v>0.59399999999999997</v>
      </c>
      <c r="N71" s="544">
        <v>0.13200000000000001</v>
      </c>
      <c r="O71" s="544">
        <v>0.66800000000000004</v>
      </c>
      <c r="P71" s="544">
        <v>0.8</v>
      </c>
      <c r="Q71" s="147">
        <v>0.22</v>
      </c>
      <c r="R71" s="514">
        <v>0.11</v>
      </c>
      <c r="S71" s="147">
        <v>0.1</v>
      </c>
      <c r="T71" s="147">
        <v>0.05</v>
      </c>
      <c r="U71" s="147">
        <v>0.03</v>
      </c>
      <c r="V71" s="581"/>
      <c r="W71" s="581"/>
      <c r="X71" s="147"/>
      <c r="Y71" s="581"/>
      <c r="Z71" s="581"/>
      <c r="AA71" s="581"/>
      <c r="AB71" s="581">
        <v>4.0000000000000001E-3</v>
      </c>
      <c r="AC71" s="581">
        <v>0.88200000000000001</v>
      </c>
      <c r="AD71" s="581"/>
      <c r="AE71" s="147"/>
      <c r="AF71" s="581"/>
      <c r="AG71" s="581"/>
      <c r="AH71" s="147">
        <v>0.54</v>
      </c>
      <c r="AI71" s="581">
        <v>0.214</v>
      </c>
      <c r="AJ71" s="581">
        <v>0.13600000000000001</v>
      </c>
      <c r="AK71" s="581">
        <v>0.55200000000000005</v>
      </c>
      <c r="AL71" s="581">
        <v>2.1999999999999999E-2</v>
      </c>
      <c r="AM71" s="581">
        <v>0.90400000000000003</v>
      </c>
      <c r="AS71" s="147" t="s">
        <v>1187</v>
      </c>
      <c r="AT71" s="578" t="str">
        <f>IF('Upper Extremity-Right'!T401="","",'Upper Extremity-Right'!T401)</f>
        <v/>
      </c>
      <c r="AU71" s="578" t="str">
        <f t="shared" si="1"/>
        <v/>
      </c>
      <c r="AV71" s="193">
        <f>IF(AU71="",0,VLOOKUP(AU71,$A$3:$AM$153,27))</f>
        <v>0</v>
      </c>
      <c r="BC71" s="147" t="s">
        <v>1187</v>
      </c>
      <c r="BD71" s="578" t="str">
        <f>IF('Upper Extremity-Left'!T401="","",'Upper Extremity-Left'!T401)</f>
        <v/>
      </c>
      <c r="BE71" s="578" t="str">
        <f t="shared" si="2"/>
        <v/>
      </c>
      <c r="BF71" s="193">
        <f>IF(BE71="",0,VLOOKUP(BE71,$A$3:$AM$153,27))</f>
        <v>0</v>
      </c>
      <c r="BG71" s="62"/>
      <c r="BH71" s="14"/>
    </row>
    <row r="72" spans="1:63" ht="15" customHeight="1" x14ac:dyDescent="0.2">
      <c r="A72" s="50">
        <v>69</v>
      </c>
      <c r="B72" s="544">
        <v>6.5000000000000002E-2</v>
      </c>
      <c r="C72" s="544">
        <v>0.36199999999999999</v>
      </c>
      <c r="D72" s="544">
        <v>0.42699999999999999</v>
      </c>
      <c r="E72" s="50"/>
      <c r="F72" s="50"/>
      <c r="G72" s="50"/>
      <c r="H72" s="544">
        <v>6.0000000000000001E-3</v>
      </c>
      <c r="I72" s="544">
        <v>0.439</v>
      </c>
      <c r="J72" s="544">
        <v>0.44500000000000001</v>
      </c>
      <c r="K72" s="581">
        <v>0.186</v>
      </c>
      <c r="L72" s="581">
        <f xml:space="preserve"> 41.1%</f>
        <v>0.41100000000000003</v>
      </c>
      <c r="M72" s="581">
        <f xml:space="preserve"> 59.7%</f>
        <v>0.59699999999999998</v>
      </c>
      <c r="N72" s="544">
        <v>0.126</v>
      </c>
      <c r="O72" s="544">
        <v>0.68400000000000005</v>
      </c>
      <c r="P72" s="544">
        <v>0.81</v>
      </c>
      <c r="Q72" s="147">
        <v>0.23</v>
      </c>
      <c r="R72" s="514">
        <v>0.12</v>
      </c>
      <c r="S72" s="147">
        <v>0.11</v>
      </c>
      <c r="T72" s="147">
        <v>0.05</v>
      </c>
      <c r="U72" s="147">
        <v>0.03</v>
      </c>
      <c r="V72" s="581"/>
      <c r="W72" s="581"/>
      <c r="X72" s="147"/>
      <c r="Y72" s="581"/>
      <c r="Z72" s="581"/>
      <c r="AA72" s="581"/>
      <c r="AB72" s="581">
        <v>2E-3</v>
      </c>
      <c r="AC72" s="581">
        <v>0.89100000000000001</v>
      </c>
      <c r="AD72" s="581"/>
      <c r="AE72" s="147"/>
      <c r="AF72" s="581"/>
      <c r="AG72" s="581"/>
      <c r="AH72" s="147">
        <v>0.55000000000000004</v>
      </c>
      <c r="AI72" s="581">
        <v>0.21199999999999999</v>
      </c>
      <c r="AJ72" s="581">
        <v>0.13800000000000001</v>
      </c>
      <c r="AK72" s="581">
        <v>0.55100000000000005</v>
      </c>
      <c r="AL72" s="581">
        <v>2.1000000000000001E-2</v>
      </c>
      <c r="AM72" s="581">
        <v>0.90700000000000003</v>
      </c>
      <c r="AS72" s="147" t="s">
        <v>836</v>
      </c>
      <c r="AT72" s="578" t="str">
        <f>IF('Upper Extremity-Right'!T402="","",'Upper Extremity-Right'!T402)</f>
        <v/>
      </c>
      <c r="AU72" s="578" t="str">
        <f t="shared" si="1"/>
        <v/>
      </c>
      <c r="AV72" s="193">
        <f>IF(AU72="",0,VLOOKUP(AU72,$A$3:$AM$153,28))</f>
        <v>0</v>
      </c>
      <c r="AX72" s="147" t="s">
        <v>1201</v>
      </c>
      <c r="AY72" s="578" t="str">
        <f>IF('Upper Extremity-Right'!V402="","",'Upper Extremity-Right'!V402)</f>
        <v/>
      </c>
      <c r="AZ72" s="578" t="str">
        <f>IF(AY72="","",ROUND(AY72,0))</f>
        <v/>
      </c>
      <c r="BA72" s="193">
        <f>IF(AZ72="",0,VLOOKUP(AZ72,$A$3:$AM$153,28))</f>
        <v>0</v>
      </c>
      <c r="BC72" s="147" t="s">
        <v>836</v>
      </c>
      <c r="BD72" s="578" t="str">
        <f>IF('Upper Extremity-Left'!T402="","",'Upper Extremity-Left'!T402)</f>
        <v/>
      </c>
      <c r="BE72" s="578" t="str">
        <f t="shared" si="2"/>
        <v/>
      </c>
      <c r="BF72" s="193">
        <f>IF(BE72="",0,VLOOKUP(BE72,$A$3:$AM$153,28))</f>
        <v>0</v>
      </c>
      <c r="BG72" s="62"/>
      <c r="BH72" s="147" t="s">
        <v>1201</v>
      </c>
      <c r="BI72" s="578" t="str">
        <f>IF('Upper Extremity-Left'!V402="","",'Upper Extremity-Left'!V402)</f>
        <v/>
      </c>
      <c r="BJ72" s="578" t="str">
        <f>IF(BI72="","",ROUND(BI72,0))</f>
        <v/>
      </c>
      <c r="BK72" s="193">
        <f>IF(BJ72="",0,VLOOKUP(BJ72,$A$3:$AM$153,28))</f>
        <v>0</v>
      </c>
    </row>
    <row r="73" spans="1:63" ht="15" customHeight="1" x14ac:dyDescent="0.2">
      <c r="A73" s="50">
        <v>70</v>
      </c>
      <c r="B73" s="544">
        <v>0.06</v>
      </c>
      <c r="C73" s="544">
        <v>0.37</v>
      </c>
      <c r="D73" s="544">
        <v>0.43</v>
      </c>
      <c r="E73" s="50"/>
      <c r="F73" s="50"/>
      <c r="G73" s="50"/>
      <c r="H73" s="544">
        <v>0</v>
      </c>
      <c r="I73" s="544">
        <v>0.45</v>
      </c>
      <c r="J73" s="544">
        <v>0.45</v>
      </c>
      <c r="K73" s="581">
        <v>0.18</v>
      </c>
      <c r="L73" s="581">
        <f xml:space="preserve"> 42%</f>
        <v>0.42</v>
      </c>
      <c r="M73" s="581">
        <f xml:space="preserve"> 60%</f>
        <v>0.6</v>
      </c>
      <c r="N73" s="544">
        <v>0.12</v>
      </c>
      <c r="O73" s="544">
        <v>0.7</v>
      </c>
      <c r="P73" s="544">
        <v>0.82</v>
      </c>
      <c r="Q73" s="147">
        <v>0.23</v>
      </c>
      <c r="R73" s="514">
        <v>0.12</v>
      </c>
      <c r="S73" s="147">
        <v>0.11</v>
      </c>
      <c r="T73" s="147">
        <v>0.05</v>
      </c>
      <c r="U73" s="147">
        <v>0.03</v>
      </c>
      <c r="V73" s="581"/>
      <c r="W73" s="581"/>
      <c r="X73" s="147"/>
      <c r="Y73" s="581"/>
      <c r="Z73" s="581"/>
      <c r="AA73" s="581"/>
      <c r="AB73" s="581">
        <v>0</v>
      </c>
      <c r="AC73" s="581">
        <v>0.9</v>
      </c>
      <c r="AD73" s="581"/>
      <c r="AE73" s="147"/>
      <c r="AF73" s="581"/>
      <c r="AG73" s="581"/>
      <c r="AH73" s="147">
        <v>0.56000000000000005</v>
      </c>
      <c r="AI73" s="581">
        <v>0.21</v>
      </c>
      <c r="AJ73" s="581">
        <v>0.14000000000000001</v>
      </c>
      <c r="AK73" s="581">
        <v>0.55000000000000004</v>
      </c>
      <c r="AL73" s="581">
        <v>0.02</v>
      </c>
      <c r="AM73" s="581">
        <v>0.91</v>
      </c>
      <c r="AS73" s="147" t="s">
        <v>1185</v>
      </c>
      <c r="AT73" s="578" t="str">
        <f>IF('Upper Extremity-Right'!T403="","",'Upper Extremity-Right'!T403)</f>
        <v/>
      </c>
      <c r="AU73" s="578" t="str">
        <f t="shared" si="1"/>
        <v/>
      </c>
      <c r="AV73" s="193">
        <f>IF(AU73="",0,VLOOKUP(AU73,$A$3:$AM$153,29))</f>
        <v>0</v>
      </c>
      <c r="BC73" s="147" t="s">
        <v>1185</v>
      </c>
      <c r="BD73" s="578" t="str">
        <f>IF('Upper Extremity-Left'!T403="","",'Upper Extremity-Left'!T403)</f>
        <v/>
      </c>
      <c r="BE73" s="578" t="str">
        <f t="shared" si="2"/>
        <v/>
      </c>
      <c r="BF73" s="193">
        <f>IF(BE73="",0,VLOOKUP(BE73,$A$3:$AM$153,29))</f>
        <v>0</v>
      </c>
      <c r="BG73" s="62"/>
      <c r="BH73" s="14"/>
    </row>
    <row r="74" spans="1:63" ht="15" customHeight="1" x14ac:dyDescent="0.2">
      <c r="A74" s="50">
        <v>71</v>
      </c>
      <c r="B74" s="544">
        <v>5.3999999999999999E-2</v>
      </c>
      <c r="C74" s="544">
        <v>0.378</v>
      </c>
      <c r="D74" s="544">
        <v>0.432</v>
      </c>
      <c r="E74" s="50"/>
      <c r="F74" s="50"/>
      <c r="G74" s="50"/>
      <c r="H74" s="50"/>
      <c r="I74" s="50"/>
      <c r="J74" s="50"/>
      <c r="K74" s="581">
        <v>0.17399999999999999</v>
      </c>
      <c r="L74" s="581">
        <f xml:space="preserve"> 42.9%</f>
        <v>0.42899999999999999</v>
      </c>
      <c r="M74" s="581">
        <f xml:space="preserve"> 60.3%</f>
        <v>0.60299999999999998</v>
      </c>
      <c r="N74" s="544">
        <v>0.114</v>
      </c>
      <c r="O74" s="544">
        <v>0.71499999999999997</v>
      </c>
      <c r="P74" s="544">
        <v>0.82899999999999996</v>
      </c>
      <c r="Q74" s="147">
        <v>0.23</v>
      </c>
      <c r="R74" s="514">
        <v>0.12</v>
      </c>
      <c r="S74" s="147">
        <v>0.11</v>
      </c>
      <c r="T74" s="147">
        <v>0.05</v>
      </c>
      <c r="U74" s="147">
        <v>0.03</v>
      </c>
      <c r="V74" s="581"/>
      <c r="W74" s="581"/>
      <c r="X74" s="147"/>
      <c r="Y74" s="581"/>
      <c r="Z74" s="581"/>
      <c r="AA74" s="581"/>
      <c r="AB74" s="581"/>
      <c r="AC74" s="581"/>
      <c r="AD74" s="581"/>
      <c r="AE74" s="147"/>
      <c r="AF74" s="581"/>
      <c r="AG74" s="581"/>
      <c r="AH74" s="147">
        <v>0.56999999999999995</v>
      </c>
      <c r="AI74" s="581">
        <v>0.20699999999999999</v>
      </c>
      <c r="AJ74" s="581">
        <v>0.14199999999999999</v>
      </c>
      <c r="AK74" s="581">
        <v>0.54800000000000004</v>
      </c>
      <c r="AL74" s="581">
        <v>1.7999999999999999E-2</v>
      </c>
      <c r="AM74" s="581">
        <v>0.91400000000000003</v>
      </c>
      <c r="AS74" s="147" t="s">
        <v>893</v>
      </c>
      <c r="AT74" s="578" t="str">
        <f>IF('Upper Extremity-Right'!T404="","",'Upper Extremity-Right'!T404)</f>
        <v/>
      </c>
      <c r="AU74" s="578" t="str">
        <f t="shared" si="1"/>
        <v/>
      </c>
      <c r="AV74" s="193">
        <f>IF(AU74="",0,VLOOKUP(AU74,$A$3:$AM$153,30))</f>
        <v>0</v>
      </c>
      <c r="AX74" s="147" t="s">
        <v>1202</v>
      </c>
      <c r="AY74" s="578" t="str">
        <f>IF('Upper Extremity-Right'!V404="","",'Upper Extremity-Right'!V404)</f>
        <v/>
      </c>
      <c r="AZ74" s="578" t="str">
        <f>IF(AY74="","",ROUND(AY74,0))</f>
        <v/>
      </c>
      <c r="BA74" s="193">
        <f>IF(AZ74="",0,VLOOKUP(AZ74,$A$3:$AM$153,30))</f>
        <v>0</v>
      </c>
      <c r="BC74" s="147" t="s">
        <v>893</v>
      </c>
      <c r="BD74" s="578" t="str">
        <f>IF('Upper Extremity-Left'!T404="","",'Upper Extremity-Left'!T404)</f>
        <v/>
      </c>
      <c r="BE74" s="578" t="str">
        <f t="shared" si="2"/>
        <v/>
      </c>
      <c r="BF74" s="193">
        <f>IF(BE74="",0,VLOOKUP(BE74,$A$3:$AM$153,30))</f>
        <v>0</v>
      </c>
      <c r="BG74" s="62"/>
      <c r="BH74" s="147" t="s">
        <v>1202</v>
      </c>
      <c r="BI74" s="578" t="str">
        <f>IF('Upper Extremity-Left'!V404="","",'Upper Extremity-Left'!V404)</f>
        <v/>
      </c>
      <c r="BJ74" s="578" t="str">
        <f>IF(BI74="","",ROUND(BI74,0))</f>
        <v/>
      </c>
      <c r="BK74" s="193">
        <f>IF(BJ74="",0,VLOOKUP(BJ74,$A$3:$AM$153,30))</f>
        <v>0</v>
      </c>
    </row>
    <row r="75" spans="1:63" ht="15" customHeight="1" x14ac:dyDescent="0.2">
      <c r="A75" s="50">
        <v>72</v>
      </c>
      <c r="B75" s="544">
        <v>4.8000000000000001E-2</v>
      </c>
      <c r="C75" s="544">
        <v>0.38600000000000001</v>
      </c>
      <c r="D75" s="544">
        <v>0.434</v>
      </c>
      <c r="E75" s="50"/>
      <c r="F75" s="50"/>
      <c r="G75" s="50"/>
      <c r="H75" s="50"/>
      <c r="I75" s="50"/>
      <c r="J75" s="50"/>
      <c r="K75" s="581">
        <v>0.16800000000000001</v>
      </c>
      <c r="L75" s="581">
        <f xml:space="preserve"> 43.8%</f>
        <v>0.43799999999999994</v>
      </c>
      <c r="M75" s="581">
        <f xml:space="preserve"> 60.6%</f>
        <v>0.60599999999999998</v>
      </c>
      <c r="N75" s="544">
        <v>0.108</v>
      </c>
      <c r="O75" s="544">
        <v>0.73</v>
      </c>
      <c r="P75" s="544">
        <v>0.83799999999999997</v>
      </c>
      <c r="Q75" s="147">
        <v>0.24</v>
      </c>
      <c r="R75" s="514">
        <v>0.12</v>
      </c>
      <c r="S75" s="147">
        <v>0.11</v>
      </c>
      <c r="T75" s="147">
        <v>0.05</v>
      </c>
      <c r="U75" s="147">
        <v>0.03</v>
      </c>
      <c r="V75" s="581"/>
      <c r="W75" s="581"/>
      <c r="X75" s="147"/>
      <c r="Y75" s="581"/>
      <c r="Z75" s="581"/>
      <c r="AA75" s="581"/>
      <c r="AB75" s="581"/>
      <c r="AC75" s="581"/>
      <c r="AD75" s="581"/>
      <c r="AE75" s="147"/>
      <c r="AF75" s="581"/>
      <c r="AG75" s="581"/>
      <c r="AH75" s="147">
        <v>0.56999999999999995</v>
      </c>
      <c r="AI75" s="581">
        <v>0.20399999999999999</v>
      </c>
      <c r="AJ75" s="581">
        <v>0.14399999999999999</v>
      </c>
      <c r="AK75" s="581">
        <v>0.54600000000000004</v>
      </c>
      <c r="AL75" s="581">
        <v>1.6E-2</v>
      </c>
      <c r="AM75" s="581">
        <v>0.91800000000000004</v>
      </c>
      <c r="AS75" s="147" t="s">
        <v>894</v>
      </c>
      <c r="AT75" s="578" t="str">
        <f>IF('Upper Extremity-Right'!T405="","",'Upper Extremity-Right'!T405)</f>
        <v/>
      </c>
      <c r="AU75" s="578" t="str">
        <f t="shared" si="1"/>
        <v/>
      </c>
      <c r="AV75" s="193">
        <f>IF(AU75="",0,VLOOKUP(AU75,$A$3:$AM$153,31))</f>
        <v>0</v>
      </c>
      <c r="BC75" s="147" t="s">
        <v>894</v>
      </c>
      <c r="BD75" s="578" t="str">
        <f>IF('Upper Extremity-Left'!T405="","",'Upper Extremity-Left'!T405)</f>
        <v/>
      </c>
      <c r="BE75" s="578" t="str">
        <f t="shared" si="2"/>
        <v/>
      </c>
      <c r="BF75" s="193">
        <f>IF(BE75="",0,VLOOKUP(BE75,$A$3:$AM$153,31))</f>
        <v>0</v>
      </c>
      <c r="BG75" s="62"/>
      <c r="BH75" s="14"/>
    </row>
    <row r="76" spans="1:63" ht="15" customHeight="1" x14ac:dyDescent="0.2">
      <c r="A76" s="50">
        <v>73</v>
      </c>
      <c r="B76" s="544">
        <v>4.2000000000000003E-2</v>
      </c>
      <c r="C76" s="544">
        <v>0.39400000000000002</v>
      </c>
      <c r="D76" s="544">
        <v>0.436</v>
      </c>
      <c r="E76" s="50"/>
      <c r="F76" s="50"/>
      <c r="G76" s="50"/>
      <c r="H76" s="50"/>
      <c r="I76" s="50"/>
      <c r="J76" s="50"/>
      <c r="K76" s="581">
        <v>0.16200000000000001</v>
      </c>
      <c r="L76" s="581">
        <f xml:space="preserve"> 44.7%</f>
        <v>0.44700000000000001</v>
      </c>
      <c r="M76" s="581">
        <f xml:space="preserve"> 60.9%</f>
        <v>0.60899999999999999</v>
      </c>
      <c r="N76" s="544">
        <v>0.10199999999999999</v>
      </c>
      <c r="O76" s="544">
        <v>0.745</v>
      </c>
      <c r="P76" s="544">
        <v>0.84699999999999998</v>
      </c>
      <c r="Q76" s="147">
        <v>0.24</v>
      </c>
      <c r="R76" s="514">
        <v>0.12</v>
      </c>
      <c r="S76" s="147">
        <v>0.11</v>
      </c>
      <c r="T76" s="147">
        <v>0.05</v>
      </c>
      <c r="U76" s="147">
        <v>0.03</v>
      </c>
      <c r="V76" s="581"/>
      <c r="W76" s="581"/>
      <c r="X76" s="147"/>
      <c r="Y76" s="581"/>
      <c r="Z76" s="581"/>
      <c r="AA76" s="581"/>
      <c r="AB76" s="581"/>
      <c r="AC76" s="581"/>
      <c r="AD76" s="581"/>
      <c r="AE76" s="147"/>
      <c r="AF76" s="581"/>
      <c r="AG76" s="581"/>
      <c r="AH76" s="147">
        <v>0.57999999999999996</v>
      </c>
      <c r="AI76" s="581">
        <v>0.20100000000000001</v>
      </c>
      <c r="AJ76" s="581">
        <v>0.14599999999999999</v>
      </c>
      <c r="AK76" s="581">
        <v>0.54400000000000004</v>
      </c>
      <c r="AL76" s="581">
        <v>1.4E-2</v>
      </c>
      <c r="AM76" s="581">
        <v>0.92200000000000004</v>
      </c>
      <c r="AS76" s="147" t="s">
        <v>895</v>
      </c>
      <c r="AT76" s="578" t="str">
        <f>IF('Upper Extremity-Right'!T406="","",'Upper Extremity-Right'!T406)</f>
        <v/>
      </c>
      <c r="AU76" s="578" t="str">
        <f t="shared" si="1"/>
        <v/>
      </c>
      <c r="AV76" s="193">
        <f>IF(AU76="",0,VLOOKUP(AU76,$A$3:$AM$153,32))</f>
        <v>0</v>
      </c>
      <c r="AX76" s="147" t="s">
        <v>1203</v>
      </c>
      <c r="AY76" s="578" t="str">
        <f>IF('Upper Extremity-Right'!V406="","",'Upper Extremity-Right'!V406)</f>
        <v/>
      </c>
      <c r="AZ76" s="578" t="str">
        <f>IF(AY76="","",ROUND(AY76,0))</f>
        <v/>
      </c>
      <c r="BA76" s="193">
        <f>IF(AZ76="",0,VLOOKUP(AZ76,$A$3:$AM$153,32))</f>
        <v>0</v>
      </c>
      <c r="BC76" s="147" t="s">
        <v>895</v>
      </c>
      <c r="BD76" s="578" t="str">
        <f>IF('Upper Extremity-Left'!T406="","",'Upper Extremity-Left'!T406)</f>
        <v/>
      </c>
      <c r="BE76" s="578" t="str">
        <f t="shared" si="2"/>
        <v/>
      </c>
      <c r="BF76" s="193">
        <f>IF(BE76="",0,VLOOKUP(BE76,$A$3:$AM$153,32))</f>
        <v>0</v>
      </c>
      <c r="BG76" s="62"/>
      <c r="BH76" s="147" t="s">
        <v>1203</v>
      </c>
      <c r="BI76" s="578" t="str">
        <f>IF('Upper Extremity-Left'!V406="","",'Upper Extremity-Left'!V406)</f>
        <v/>
      </c>
      <c r="BJ76" s="578" t="str">
        <f>IF(BI76="","",ROUND(BI76,0))</f>
        <v/>
      </c>
      <c r="BK76" s="193">
        <f>IF(BJ76="",0,VLOOKUP(BJ76,$A$3:$AM$153,32))</f>
        <v>0</v>
      </c>
    </row>
    <row r="77" spans="1:63" ht="15" customHeight="1" x14ac:dyDescent="0.2">
      <c r="A77" s="50">
        <v>74</v>
      </c>
      <c r="B77" s="544">
        <v>3.5999999999999997E-2</v>
      </c>
      <c r="C77" s="544">
        <v>0.40200000000000002</v>
      </c>
      <c r="D77" s="544">
        <v>0.438</v>
      </c>
      <c r="E77" s="50"/>
      <c r="F77" s="50"/>
      <c r="G77" s="50"/>
      <c r="H77" s="50"/>
      <c r="I77" s="50"/>
      <c r="J77" s="50"/>
      <c r="K77" s="581">
        <v>0.156</v>
      </c>
      <c r="L77" s="581">
        <f xml:space="preserve"> 45.6%</f>
        <v>0.45600000000000002</v>
      </c>
      <c r="M77" s="581">
        <f xml:space="preserve"> 61.2%</f>
        <v>0.61199999999999999</v>
      </c>
      <c r="N77" s="544">
        <v>9.6000000000000002E-2</v>
      </c>
      <c r="O77" s="544">
        <v>0.76</v>
      </c>
      <c r="P77" s="544">
        <v>0.85599999999999998</v>
      </c>
      <c r="Q77" s="147">
        <v>0.24</v>
      </c>
      <c r="R77" s="514">
        <v>0.12</v>
      </c>
      <c r="S77" s="147">
        <v>0.11</v>
      </c>
      <c r="T77" s="147">
        <v>0.05</v>
      </c>
      <c r="U77" s="147">
        <v>0.03</v>
      </c>
      <c r="V77" s="581"/>
      <c r="W77" s="581"/>
      <c r="X77" s="147"/>
      <c r="Y77" s="581"/>
      <c r="Z77" s="581"/>
      <c r="AA77" s="581"/>
      <c r="AB77" s="581"/>
      <c r="AC77" s="581"/>
      <c r="AD77" s="581"/>
      <c r="AE77" s="147"/>
      <c r="AF77" s="581"/>
      <c r="AG77" s="581"/>
      <c r="AH77" s="147">
        <v>0.59</v>
      </c>
      <c r="AI77" s="581">
        <v>0.19800000000000001</v>
      </c>
      <c r="AJ77" s="581">
        <v>0.14799999999999999</v>
      </c>
      <c r="AK77" s="581">
        <v>0.54200000000000004</v>
      </c>
      <c r="AL77" s="581">
        <v>1.2E-2</v>
      </c>
      <c r="AM77" s="581">
        <v>0.92600000000000005</v>
      </c>
      <c r="AS77" s="147" t="s">
        <v>896</v>
      </c>
      <c r="AT77" s="578" t="str">
        <f>IF('Upper Extremity-Right'!T407="","",'Upper Extremity-Right'!T407)</f>
        <v/>
      </c>
      <c r="AU77" s="578" t="str">
        <f t="shared" si="1"/>
        <v/>
      </c>
      <c r="AV77" s="193">
        <f>IF(AU77="",0,VLOOKUP(AU77,$A$3:$AM$153,33))</f>
        <v>0</v>
      </c>
      <c r="BC77" s="147" t="s">
        <v>896</v>
      </c>
      <c r="BD77" s="578" t="str">
        <f>IF('Upper Extremity-Left'!T407="","",'Upper Extremity-Left'!T407)</f>
        <v/>
      </c>
      <c r="BE77" s="578" t="str">
        <f t="shared" si="2"/>
        <v/>
      </c>
      <c r="BF77" s="193">
        <f>IF(BE77="",0,VLOOKUP(BE77,$A$3:$AM$153,33))</f>
        <v>0</v>
      </c>
      <c r="BG77" s="62"/>
      <c r="BH77" s="14"/>
    </row>
    <row r="78" spans="1:63" ht="15" customHeight="1" x14ac:dyDescent="0.2">
      <c r="A78" s="50">
        <v>75</v>
      </c>
      <c r="B78" s="544">
        <v>0.03</v>
      </c>
      <c r="C78" s="544">
        <v>0.41</v>
      </c>
      <c r="D78" s="544">
        <v>0.44</v>
      </c>
      <c r="E78" s="50"/>
      <c r="F78" s="50"/>
      <c r="G78" s="50"/>
      <c r="H78" s="50"/>
      <c r="I78" s="50"/>
      <c r="J78" s="50"/>
      <c r="K78" s="581">
        <v>0.15</v>
      </c>
      <c r="L78" s="581">
        <f xml:space="preserve"> 46.5%</f>
        <v>0.46500000000000002</v>
      </c>
      <c r="M78" s="581">
        <f xml:space="preserve"> 61.5%</f>
        <v>0.61499999999999999</v>
      </c>
      <c r="N78" s="544">
        <v>0.09</v>
      </c>
      <c r="O78" s="544">
        <v>0.77500000000000002</v>
      </c>
      <c r="P78" s="544">
        <v>0.86499999999999999</v>
      </c>
      <c r="Q78" s="147">
        <v>0.24</v>
      </c>
      <c r="R78" s="514">
        <v>0.12</v>
      </c>
      <c r="S78" s="147">
        <v>0.11</v>
      </c>
      <c r="T78" s="147">
        <v>0.06</v>
      </c>
      <c r="U78" s="147">
        <v>0.03</v>
      </c>
      <c r="V78" s="581"/>
      <c r="W78" s="581"/>
      <c r="X78" s="147"/>
      <c r="Y78" s="581"/>
      <c r="Z78" s="581"/>
      <c r="AA78" s="581"/>
      <c r="AB78" s="581"/>
      <c r="AC78" s="581"/>
      <c r="AD78" s="581"/>
      <c r="AE78" s="147"/>
      <c r="AF78" s="581"/>
      <c r="AG78" s="581"/>
      <c r="AH78" s="147">
        <v>0.6</v>
      </c>
      <c r="AI78" s="581">
        <v>0.19500000000000001</v>
      </c>
      <c r="AJ78" s="581">
        <f xml:space="preserve"> 15%</f>
        <v>0.15</v>
      </c>
      <c r="AK78" s="581">
        <v>0.54</v>
      </c>
      <c r="AL78" s="581">
        <v>0.01</v>
      </c>
      <c r="AM78" s="581">
        <v>0.93</v>
      </c>
      <c r="BC78" s="147"/>
      <c r="BD78" s="62"/>
      <c r="BE78" s="62"/>
      <c r="BG78" s="62"/>
      <c r="BH78" s="14"/>
    </row>
    <row r="79" spans="1:63" ht="15" customHeight="1" x14ac:dyDescent="0.2">
      <c r="A79" s="50">
        <v>76</v>
      </c>
      <c r="B79" s="544">
        <v>2.4E-2</v>
      </c>
      <c r="C79" s="544">
        <v>0.41799999999999998</v>
      </c>
      <c r="D79" s="544">
        <v>0.442</v>
      </c>
      <c r="E79" s="50"/>
      <c r="F79" s="50"/>
      <c r="G79" s="50"/>
      <c r="H79" s="50"/>
      <c r="I79" s="50"/>
      <c r="J79" s="50"/>
      <c r="K79" s="581">
        <f xml:space="preserve"> 14.4%</f>
        <v>0.14400000000000002</v>
      </c>
      <c r="L79" s="581">
        <f xml:space="preserve"> 47.4%</f>
        <v>0.47399999999999998</v>
      </c>
      <c r="M79" s="581">
        <f xml:space="preserve"> 61.8%</f>
        <v>0.61799999999999999</v>
      </c>
      <c r="N79" s="544">
        <v>8.4000000000000005E-2</v>
      </c>
      <c r="O79" s="544">
        <v>0.79</v>
      </c>
      <c r="P79" s="544">
        <v>0.874</v>
      </c>
      <c r="Q79" s="147">
        <v>0.25</v>
      </c>
      <c r="R79" s="514">
        <v>0.13</v>
      </c>
      <c r="S79" s="147">
        <v>0.12</v>
      </c>
      <c r="T79" s="147">
        <v>0.06</v>
      </c>
      <c r="U79" s="147">
        <v>0.04</v>
      </c>
      <c r="V79" s="581"/>
      <c r="W79" s="581"/>
      <c r="X79" s="147"/>
      <c r="Y79" s="581"/>
      <c r="Z79" s="581"/>
      <c r="AA79" s="581"/>
      <c r="AB79" s="581"/>
      <c r="AC79" s="581"/>
      <c r="AD79" s="581"/>
      <c r="AE79" s="147"/>
      <c r="AF79" s="581"/>
      <c r="AG79" s="581"/>
      <c r="AH79" s="147">
        <v>0.61</v>
      </c>
      <c r="AI79" s="581">
        <v>0.192</v>
      </c>
      <c r="AJ79" s="581">
        <f xml:space="preserve"> 15.2%</f>
        <v>0.152</v>
      </c>
      <c r="AK79" s="581">
        <f xml:space="preserve"> 53.8%</f>
        <v>0.53799999999999992</v>
      </c>
      <c r="AL79" s="581">
        <v>8.0000000000000002E-3</v>
      </c>
      <c r="AM79" s="581">
        <v>0.93400000000000005</v>
      </c>
      <c r="AS79" s="147" t="s">
        <v>400</v>
      </c>
      <c r="BC79" s="147" t="s">
        <v>400</v>
      </c>
      <c r="BD79" s="62"/>
      <c r="BE79" s="62"/>
      <c r="BG79" s="62"/>
      <c r="BH79" s="14"/>
    </row>
    <row r="80" spans="1:63" ht="15" customHeight="1" x14ac:dyDescent="0.2">
      <c r="A80" s="50">
        <v>77</v>
      </c>
      <c r="B80" s="544">
        <v>1.7999999999999999E-2</v>
      </c>
      <c r="C80" s="544">
        <v>0.42599999999999999</v>
      </c>
      <c r="D80" s="544">
        <v>0.44400000000000001</v>
      </c>
      <c r="E80" s="50"/>
      <c r="F80" s="50"/>
      <c r="G80" s="50"/>
      <c r="H80" s="50"/>
      <c r="I80" s="50"/>
      <c r="J80" s="50"/>
      <c r="K80" s="581">
        <f xml:space="preserve"> 13.8%</f>
        <v>0.13800000000000001</v>
      </c>
      <c r="L80" s="581">
        <f xml:space="preserve"> 48.3%</f>
        <v>0.48299999999999998</v>
      </c>
      <c r="M80" s="581">
        <f xml:space="preserve"> 62.1%</f>
        <v>0.621</v>
      </c>
      <c r="N80" s="544">
        <v>7.8E-2</v>
      </c>
      <c r="O80" s="544">
        <v>0.80500000000000005</v>
      </c>
      <c r="P80" s="544">
        <v>0.88300000000000001</v>
      </c>
      <c r="Q80" s="147">
        <v>0.25</v>
      </c>
      <c r="R80" s="514">
        <v>0.13</v>
      </c>
      <c r="S80" s="147">
        <v>0.12</v>
      </c>
      <c r="T80" s="147">
        <v>0.06</v>
      </c>
      <c r="U80" s="147">
        <v>0.04</v>
      </c>
      <c r="V80" s="581"/>
      <c r="W80" s="581"/>
      <c r="X80" s="147"/>
      <c r="Y80" s="581"/>
      <c r="Z80" s="581"/>
      <c r="AA80" s="581"/>
      <c r="AB80" s="581"/>
      <c r="AC80" s="581"/>
      <c r="AD80" s="581"/>
      <c r="AE80" s="147"/>
      <c r="AF80" s="581"/>
      <c r="AG80" s="581"/>
      <c r="AH80" s="147">
        <v>0.61</v>
      </c>
      <c r="AI80" s="581">
        <v>0.189</v>
      </c>
      <c r="AJ80" s="581">
        <f xml:space="preserve"> 15.4%</f>
        <v>0.154</v>
      </c>
      <c r="AK80" s="581">
        <f xml:space="preserve"> 53.6%</f>
        <v>0.53600000000000003</v>
      </c>
      <c r="AL80" s="581">
        <v>6.0000000000000001E-3</v>
      </c>
      <c r="AM80" s="581">
        <v>0.93799999999999994</v>
      </c>
      <c r="AS80" s="666" t="s">
        <v>1204</v>
      </c>
      <c r="AT80" s="578" t="str">
        <f>IF('Upper Extremity-Right'!T570="","",'Upper Extremity-Right'!T570)</f>
        <v/>
      </c>
      <c r="AU80" s="578" t="str">
        <f t="shared" ref="AU80:AU87" si="3">IF(AT80="","",ROUND(AT80,0))</f>
        <v/>
      </c>
      <c r="AV80" s="193">
        <f>IF(AU80="",0,VLOOKUP(AU80,$A$3:$AM$153,35))</f>
        <v>0</v>
      </c>
      <c r="AX80" s="147" t="s">
        <v>1201</v>
      </c>
      <c r="AY80" s="578" t="str">
        <f>IF('Upper Extremity-Right'!V570="","",'Upper Extremity-Right'!V570)</f>
        <v/>
      </c>
      <c r="AZ80" s="578" t="str">
        <f>IF(AY80="","",ROUND(AY80,0))</f>
        <v/>
      </c>
      <c r="BA80" s="193">
        <f>IF(AZ80="",0,VLOOKUP(AZ80,$A$3:$AM$153,35))</f>
        <v>0</v>
      </c>
      <c r="BC80" s="666" t="s">
        <v>1204</v>
      </c>
      <c r="BD80" s="578" t="str">
        <f>IF('Upper Extremity-Left'!T570="","",'Upper Extremity-Left'!T570)</f>
        <v/>
      </c>
      <c r="BE80" s="578" t="str">
        <f t="shared" ref="BE80:BE87" si="4">IF(BD80="","",ROUND(BD80,0))</f>
        <v/>
      </c>
      <c r="BF80" s="193">
        <f>IF(BE80="",0,VLOOKUP(BE80,$A$3:$AM$153,35))</f>
        <v>0</v>
      </c>
      <c r="BG80" s="62"/>
      <c r="BH80" s="147" t="s">
        <v>1201</v>
      </c>
      <c r="BI80" s="578" t="str">
        <f>IF('Upper Extremity-Left'!V570="","",'Upper Extremity-Left'!V570)</f>
        <v/>
      </c>
      <c r="BJ80" s="578" t="str">
        <f>IF(BI80="","",ROUND(BI80,0))</f>
        <v/>
      </c>
      <c r="BK80" s="193">
        <f>IF(BJ80="",0,VLOOKUP(BJ80,$A$3:$AM$153,35))</f>
        <v>0</v>
      </c>
    </row>
    <row r="81" spans="1:63" ht="15" customHeight="1" x14ac:dyDescent="0.2">
      <c r="A81" s="50">
        <v>78</v>
      </c>
      <c r="B81" s="544">
        <v>1.2E-2</v>
      </c>
      <c r="C81" s="544">
        <v>0.434</v>
      </c>
      <c r="D81" s="544">
        <v>0.44600000000000001</v>
      </c>
      <c r="E81" s="50"/>
      <c r="F81" s="50"/>
      <c r="G81" s="50"/>
      <c r="H81" s="50"/>
      <c r="I81" s="50"/>
      <c r="J81" s="50"/>
      <c r="K81" s="581">
        <f xml:space="preserve"> 13.2%</f>
        <v>0.13200000000000001</v>
      </c>
      <c r="L81" s="581">
        <f xml:space="preserve"> 49.2%</f>
        <v>0.49200000000000005</v>
      </c>
      <c r="M81" s="581">
        <f xml:space="preserve"> 62.4%</f>
        <v>0.624</v>
      </c>
      <c r="N81" s="544">
        <v>7.1999999999999995E-2</v>
      </c>
      <c r="O81" s="544">
        <v>0.82</v>
      </c>
      <c r="P81" s="544">
        <v>0.89200000000000002</v>
      </c>
      <c r="Q81" s="147">
        <v>0.25</v>
      </c>
      <c r="R81" s="514">
        <v>0.13</v>
      </c>
      <c r="S81" s="147">
        <v>0.12</v>
      </c>
      <c r="T81" s="147">
        <v>0.06</v>
      </c>
      <c r="U81" s="147">
        <v>0.04</v>
      </c>
      <c r="V81" s="581"/>
      <c r="W81" s="581"/>
      <c r="X81" s="147"/>
      <c r="Y81" s="581"/>
      <c r="Z81" s="581"/>
      <c r="AA81" s="581"/>
      <c r="AB81" s="581"/>
      <c r="AC81" s="581"/>
      <c r="AD81" s="581"/>
      <c r="AE81" s="147"/>
      <c r="AF81" s="581"/>
      <c r="AG81" s="581"/>
      <c r="AH81" s="147">
        <v>0.62</v>
      </c>
      <c r="AI81" s="581">
        <v>0.186</v>
      </c>
      <c r="AJ81" s="581">
        <f xml:space="preserve"> 15.6%</f>
        <v>0.156</v>
      </c>
      <c r="AK81" s="581">
        <f xml:space="preserve"> 53.4%</f>
        <v>0.53400000000000003</v>
      </c>
      <c r="AL81" s="581">
        <v>4.0000000000000001E-3</v>
      </c>
      <c r="AM81" s="581">
        <v>0.94199999999999995</v>
      </c>
      <c r="AS81" s="666" t="s">
        <v>1185</v>
      </c>
      <c r="AT81" s="578" t="str">
        <f>IF('Upper Extremity-Right'!T571="","",'Upper Extremity-Right'!T571)</f>
        <v/>
      </c>
      <c r="AU81" s="578" t="str">
        <f t="shared" si="3"/>
        <v/>
      </c>
      <c r="AV81" s="193">
        <f>IF(AU81="",0,VLOOKUP(AU81,$A$3:$AM$153,37))</f>
        <v>0</v>
      </c>
      <c r="BC81" s="666" t="s">
        <v>1185</v>
      </c>
      <c r="BD81" s="578" t="str">
        <f>IF('Upper Extremity-Left'!T571="","",'Upper Extremity-Left'!T571)</f>
        <v/>
      </c>
      <c r="BE81" s="578" t="str">
        <f t="shared" si="4"/>
        <v/>
      </c>
      <c r="BF81" s="193">
        <f>IF(BE81="",0,VLOOKUP(BE81,$A$3:$AM$153,37))</f>
        <v>0</v>
      </c>
      <c r="BG81" s="62"/>
      <c r="BH81" s="14"/>
    </row>
    <row r="82" spans="1:63" ht="15" customHeight="1" x14ac:dyDescent="0.2">
      <c r="A82" s="50">
        <v>79</v>
      </c>
      <c r="B82" s="544">
        <v>6.0000000000000001E-3</v>
      </c>
      <c r="C82" s="544">
        <v>0.442</v>
      </c>
      <c r="D82" s="544">
        <v>0.44800000000000001</v>
      </c>
      <c r="E82" s="50"/>
      <c r="F82" s="50"/>
      <c r="G82" s="50"/>
      <c r="H82" s="50"/>
      <c r="I82" s="50"/>
      <c r="J82" s="50"/>
      <c r="K82" s="581">
        <f xml:space="preserve"> 12.6%</f>
        <v>0.126</v>
      </c>
      <c r="L82" s="581">
        <f xml:space="preserve"> 50.1%</f>
        <v>0.501</v>
      </c>
      <c r="M82" s="581">
        <f xml:space="preserve"> 62.7%</f>
        <v>0.627</v>
      </c>
      <c r="N82" s="544">
        <v>6.6000000000000003E-2</v>
      </c>
      <c r="O82" s="544">
        <v>0.83499999999999996</v>
      </c>
      <c r="P82" s="544">
        <v>0.90100000000000002</v>
      </c>
      <c r="Q82" s="147">
        <v>0.26</v>
      </c>
      <c r="R82" s="514">
        <v>0.13</v>
      </c>
      <c r="S82" s="147">
        <v>0.12</v>
      </c>
      <c r="T82" s="147">
        <v>0.06</v>
      </c>
      <c r="U82" s="147">
        <v>0.04</v>
      </c>
      <c r="V82" s="581"/>
      <c r="W82" s="581"/>
      <c r="X82" s="147"/>
      <c r="Y82" s="581"/>
      <c r="Z82" s="581"/>
      <c r="AA82" s="581"/>
      <c r="AB82" s="581"/>
      <c r="AC82" s="581"/>
      <c r="AD82" s="581"/>
      <c r="AE82" s="147"/>
      <c r="AF82" s="581"/>
      <c r="AG82" s="581"/>
      <c r="AH82" s="147">
        <v>0.63</v>
      </c>
      <c r="AI82" s="581">
        <v>0.183</v>
      </c>
      <c r="AJ82" s="581">
        <f xml:space="preserve"> 15.8%</f>
        <v>0.158</v>
      </c>
      <c r="AK82" s="581">
        <f xml:space="preserve"> 53.2%</f>
        <v>0.53200000000000003</v>
      </c>
      <c r="AL82" s="581">
        <v>2E-3</v>
      </c>
      <c r="AM82" s="581">
        <v>0.94599999999999995</v>
      </c>
      <c r="AS82" s="666" t="s">
        <v>1205</v>
      </c>
      <c r="AT82" s="578" t="str">
        <f>IF('Upper Extremity-Right'!T572="","",'Upper Extremity-Right'!T572)</f>
        <v/>
      </c>
      <c r="AU82" s="578" t="str">
        <f t="shared" si="3"/>
        <v/>
      </c>
      <c r="AV82" s="193">
        <f>IF(AU82="",0,VLOOKUP(AU82,$A$3:$AM$153,36))</f>
        <v>0</v>
      </c>
      <c r="AX82" s="147" t="s">
        <v>454</v>
      </c>
      <c r="AY82" s="578" t="str">
        <f>IF('Upper Extremity-Right'!V572="","",'Upper Extremity-Right'!V572)</f>
        <v/>
      </c>
      <c r="AZ82" s="578" t="str">
        <f>IF(AY82="","",ROUND(AY82,0))</f>
        <v/>
      </c>
      <c r="BA82" s="193">
        <f>IF(AZ82="",0,VLOOKUP(AZ82,$A$3:$AM$153,36))</f>
        <v>0</v>
      </c>
      <c r="BC82" s="666" t="s">
        <v>1205</v>
      </c>
      <c r="BD82" s="578" t="str">
        <f>IF('Upper Extremity-Left'!T572="","",'Upper Extremity-Left'!T572)</f>
        <v/>
      </c>
      <c r="BE82" s="578" t="str">
        <f t="shared" si="4"/>
        <v/>
      </c>
      <c r="BF82" s="193">
        <f>IF(BE82="",0,VLOOKUP(BE82,$A$3:$AM$153,36))</f>
        <v>0</v>
      </c>
      <c r="BG82" s="62"/>
      <c r="BH82" s="147" t="s">
        <v>454</v>
      </c>
      <c r="BI82" s="578" t="str">
        <f>IF('Upper Extremity-Left'!V572="","",'Upper Extremity-Left'!V572)</f>
        <v/>
      </c>
      <c r="BJ82" s="578" t="str">
        <f>IF(BI82="","",ROUND(BI82,0))</f>
        <v/>
      </c>
      <c r="BK82" s="193">
        <f>IF(BJ82="",0,VLOOKUP(BJ82,$A$3:$AM$153,36))</f>
        <v>0</v>
      </c>
    </row>
    <row r="83" spans="1:63" ht="15" customHeight="1" x14ac:dyDescent="0.2">
      <c r="A83" s="50">
        <v>80</v>
      </c>
      <c r="B83" s="544">
        <v>0</v>
      </c>
      <c r="C83" s="544">
        <v>0.45</v>
      </c>
      <c r="D83" s="544">
        <v>0.45</v>
      </c>
      <c r="E83" s="50"/>
      <c r="F83" s="50"/>
      <c r="G83" s="50"/>
      <c r="H83" s="50"/>
      <c r="I83" s="50"/>
      <c r="J83" s="50"/>
      <c r="K83" s="581">
        <f xml:space="preserve"> 12%</f>
        <v>0.12</v>
      </c>
      <c r="L83" s="581">
        <f xml:space="preserve"> 51%</f>
        <v>0.51</v>
      </c>
      <c r="M83" s="581">
        <f xml:space="preserve"> 63%</f>
        <v>0.63</v>
      </c>
      <c r="N83" s="544">
        <v>0.06</v>
      </c>
      <c r="O83" s="544">
        <v>0.85</v>
      </c>
      <c r="P83" s="544">
        <v>0.91</v>
      </c>
      <c r="Q83" s="147">
        <v>0.26</v>
      </c>
      <c r="R83" s="514">
        <v>0.13</v>
      </c>
      <c r="S83" s="147">
        <v>0.12</v>
      </c>
      <c r="T83" s="147">
        <v>0.06</v>
      </c>
      <c r="U83" s="147">
        <v>0.04</v>
      </c>
      <c r="V83" s="581"/>
      <c r="W83" s="581"/>
      <c r="X83" s="147"/>
      <c r="Y83" s="581"/>
      <c r="Z83" s="581"/>
      <c r="AA83" s="581"/>
      <c r="AB83" s="581"/>
      <c r="AC83" s="581"/>
      <c r="AD83" s="581"/>
      <c r="AE83" s="147"/>
      <c r="AF83" s="581"/>
      <c r="AG83" s="581"/>
      <c r="AH83" s="147">
        <v>0.64</v>
      </c>
      <c r="AI83" s="581">
        <v>0.18</v>
      </c>
      <c r="AJ83" s="581">
        <f xml:space="preserve"> 16%</f>
        <v>0.16</v>
      </c>
      <c r="AK83" s="581">
        <f xml:space="preserve"> 53%</f>
        <v>0.53</v>
      </c>
      <c r="AL83" s="581">
        <v>0</v>
      </c>
      <c r="AM83" s="581">
        <v>0.95</v>
      </c>
      <c r="AS83" s="666" t="s">
        <v>1187</v>
      </c>
      <c r="AT83" s="578" t="str">
        <f>IF('Upper Extremity-Right'!T573="","",'Upper Extremity-Right'!T573)</f>
        <v/>
      </c>
      <c r="AU83" s="578" t="str">
        <f t="shared" si="3"/>
        <v/>
      </c>
      <c r="AV83" s="193">
        <f>IF(AU83="",0,VLOOKUP(AU83,$A$3:$AM$153,37))</f>
        <v>0</v>
      </c>
      <c r="BC83" s="666" t="s">
        <v>1187</v>
      </c>
      <c r="BD83" s="578" t="str">
        <f>IF('Upper Extremity-Left'!T573="","",'Upper Extremity-Left'!T573)</f>
        <v/>
      </c>
      <c r="BE83" s="578" t="str">
        <f t="shared" si="4"/>
        <v/>
      </c>
      <c r="BF83" s="193">
        <f>IF(BE83="",0,VLOOKUP(BE83,$A$3:$AM$153,37))</f>
        <v>0</v>
      </c>
      <c r="BG83" s="62"/>
      <c r="BH83" s="14"/>
    </row>
    <row r="84" spans="1:63" ht="15" customHeight="1" x14ac:dyDescent="0.2">
      <c r="A84" s="50">
        <v>81</v>
      </c>
      <c r="B84" s="50"/>
      <c r="C84" s="50"/>
      <c r="D84" s="50"/>
      <c r="E84" s="50"/>
      <c r="F84" s="50"/>
      <c r="G84" s="50"/>
      <c r="H84" s="50"/>
      <c r="I84" s="50"/>
      <c r="J84" s="50"/>
      <c r="K84" s="581">
        <f xml:space="preserve"> 11.4%</f>
        <v>0.114</v>
      </c>
      <c r="L84" s="581">
        <f xml:space="preserve"> 52%</f>
        <v>0.52</v>
      </c>
      <c r="M84" s="581">
        <f xml:space="preserve"> 63.4%</f>
        <v>0.63400000000000001</v>
      </c>
      <c r="N84" s="544">
        <v>5.3999999999999999E-2</v>
      </c>
      <c r="O84" s="544">
        <v>0.86499999999999999</v>
      </c>
      <c r="P84" s="544">
        <v>0.91900000000000004</v>
      </c>
      <c r="Q84" s="147">
        <v>0.26</v>
      </c>
      <c r="R84" s="514">
        <v>0.13</v>
      </c>
      <c r="S84" s="147">
        <v>0.12</v>
      </c>
      <c r="T84" s="147">
        <v>0.06</v>
      </c>
      <c r="U84" s="147">
        <v>0.04</v>
      </c>
      <c r="V84" s="581"/>
      <c r="W84" s="581"/>
      <c r="X84" s="147"/>
      <c r="Y84" s="581"/>
      <c r="Z84" s="581"/>
      <c r="AA84" s="581"/>
      <c r="AB84" s="581"/>
      <c r="AC84" s="581"/>
      <c r="AD84" s="581"/>
      <c r="AE84" s="147"/>
      <c r="AF84" s="581"/>
      <c r="AG84" s="581"/>
      <c r="AH84" s="147">
        <v>0.64</v>
      </c>
      <c r="AI84" s="581">
        <v>0.17799999999999999</v>
      </c>
      <c r="AJ84" s="581">
        <f xml:space="preserve"> 16.2%</f>
        <v>0.16200000000000001</v>
      </c>
      <c r="AK84" s="581">
        <f xml:space="preserve"> 52.9%</f>
        <v>0.52900000000000003</v>
      </c>
      <c r="AL84" s="581"/>
      <c r="AM84" s="581"/>
      <c r="AS84" s="666" t="s">
        <v>897</v>
      </c>
      <c r="AT84" s="578" t="str">
        <f>IF('Upper Extremity-Right'!T574="","",'Upper Extremity-Right'!T574)</f>
        <v/>
      </c>
      <c r="AU84" s="578" t="str">
        <f t="shared" si="3"/>
        <v/>
      </c>
      <c r="AV84" s="193">
        <f>IF(AU84="",0,VLOOKUP(AU84,$A$3:$AM$153,38))</f>
        <v>0</v>
      </c>
      <c r="AX84" s="147" t="s">
        <v>1206</v>
      </c>
      <c r="AY84" s="578" t="str">
        <f>IF('Upper Extremity-Right'!V574="","",'Upper Extremity-Right'!V574)</f>
        <v/>
      </c>
      <c r="AZ84" s="578" t="str">
        <f>IF(AY84="","",ROUND(AY84,0))</f>
        <v/>
      </c>
      <c r="BA84" s="193">
        <f>IF(AZ84="",0,VLOOKUP(AZ84,$A$3:$AM$153,38))</f>
        <v>0</v>
      </c>
      <c r="BC84" s="666" t="s">
        <v>897</v>
      </c>
      <c r="BD84" s="578" t="str">
        <f>IF('Upper Extremity-Left'!T574="","",'Upper Extremity-Left'!T574)</f>
        <v/>
      </c>
      <c r="BE84" s="578" t="str">
        <f t="shared" si="4"/>
        <v/>
      </c>
      <c r="BF84" s="193">
        <f>IF(BE84="",0,VLOOKUP(BE84,$A$3:$AM$153,38))</f>
        <v>0</v>
      </c>
      <c r="BG84" s="62"/>
      <c r="BH84" s="147" t="s">
        <v>1206</v>
      </c>
      <c r="BI84" s="578" t="str">
        <f>IF('Upper Extremity-Left'!V574="","",'Upper Extremity-Left'!V574)</f>
        <v/>
      </c>
      <c r="BJ84" s="578" t="str">
        <f>IF(BI84="","",ROUND(BI84,0))</f>
        <v/>
      </c>
      <c r="BK84" s="193">
        <f>IF(BJ84="",0,VLOOKUP(BJ84,$A$3:$AM$153,38))</f>
        <v>0</v>
      </c>
    </row>
    <row r="85" spans="1:63" ht="15" customHeight="1" x14ac:dyDescent="0.2">
      <c r="A85" s="50">
        <v>82</v>
      </c>
      <c r="B85" s="50"/>
      <c r="C85" s="50"/>
      <c r="D85" s="50"/>
      <c r="E85" s="50"/>
      <c r="F85" s="50"/>
      <c r="G85" s="50"/>
      <c r="H85" s="50"/>
      <c r="I85" s="50"/>
      <c r="J85" s="50"/>
      <c r="K85" s="581">
        <f xml:space="preserve"> 10.8%</f>
        <v>0.10800000000000001</v>
      </c>
      <c r="L85" s="581">
        <f xml:space="preserve"> 53%</f>
        <v>0.53</v>
      </c>
      <c r="M85" s="581">
        <f xml:space="preserve"> 63.8%</f>
        <v>0.63800000000000001</v>
      </c>
      <c r="N85" s="544">
        <v>4.8000000000000001E-2</v>
      </c>
      <c r="O85" s="544">
        <v>0.88</v>
      </c>
      <c r="P85" s="544">
        <v>0.92800000000000005</v>
      </c>
      <c r="Q85" s="147">
        <v>0.27</v>
      </c>
      <c r="R85" s="514">
        <v>0.14000000000000001</v>
      </c>
      <c r="S85" s="147">
        <v>0.13</v>
      </c>
      <c r="T85" s="147">
        <v>0.06</v>
      </c>
      <c r="U85" s="147">
        <v>0.04</v>
      </c>
      <c r="V85" s="581"/>
      <c r="W85" s="581"/>
      <c r="X85" s="147"/>
      <c r="Y85" s="581"/>
      <c r="Z85" s="581"/>
      <c r="AA85" s="581"/>
      <c r="AB85" s="581"/>
      <c r="AC85" s="581"/>
      <c r="AD85" s="581"/>
      <c r="AE85" s="147"/>
      <c r="AF85" s="581"/>
      <c r="AG85" s="581"/>
      <c r="AH85" s="147">
        <v>0.65</v>
      </c>
      <c r="AI85" s="581">
        <v>0.17599999999999999</v>
      </c>
      <c r="AJ85" s="581">
        <f xml:space="preserve"> 16.4%</f>
        <v>0.16399999999999998</v>
      </c>
      <c r="AK85" s="581">
        <f xml:space="preserve"> 52.8%</f>
        <v>0.52800000000000002</v>
      </c>
      <c r="AL85" s="581"/>
      <c r="AM85" s="581"/>
      <c r="AS85" s="666" t="s">
        <v>915</v>
      </c>
      <c r="AT85" s="578" t="str">
        <f>IF('Upper Extremity-Right'!T575="","",'Upper Extremity-Right'!T575)</f>
        <v/>
      </c>
      <c r="AU85" s="578" t="str">
        <f t="shared" si="3"/>
        <v/>
      </c>
      <c r="AV85" s="193">
        <f>IF(AU85="",0,VLOOKUP(AU85,$A$3:$AM$153,39))</f>
        <v>0</v>
      </c>
      <c r="BC85" s="666" t="s">
        <v>915</v>
      </c>
      <c r="BD85" s="578" t="str">
        <f>IF('Upper Extremity-Left'!T575="","",'Upper Extremity-Left'!T575)</f>
        <v/>
      </c>
      <c r="BE85" s="578" t="str">
        <f t="shared" si="4"/>
        <v/>
      </c>
      <c r="BF85" s="193">
        <f>IF(BE85="",0,VLOOKUP(BE85,$A$3:$AM$153,39))</f>
        <v>0</v>
      </c>
      <c r="BG85" s="62"/>
      <c r="BH85" s="14"/>
    </row>
    <row r="86" spans="1:63" ht="15" customHeight="1" x14ac:dyDescent="0.2">
      <c r="A86" s="50">
        <v>83</v>
      </c>
      <c r="B86" s="50"/>
      <c r="C86" s="50"/>
      <c r="D86" s="50"/>
      <c r="E86" s="50"/>
      <c r="F86" s="50"/>
      <c r="G86" s="50"/>
      <c r="H86" s="50"/>
      <c r="I86" s="50"/>
      <c r="J86" s="50"/>
      <c r="K86" s="581">
        <f xml:space="preserve"> 10.2%</f>
        <v>0.10199999999999999</v>
      </c>
      <c r="L86" s="581">
        <f xml:space="preserve"> 54%</f>
        <v>0.54</v>
      </c>
      <c r="M86" s="581">
        <f xml:space="preserve"> 64.2%</f>
        <v>0.64200000000000002</v>
      </c>
      <c r="N86" s="544">
        <v>4.2000000000000003E-2</v>
      </c>
      <c r="O86" s="544">
        <v>0.89500000000000002</v>
      </c>
      <c r="P86" s="544">
        <v>0.93700000000000006</v>
      </c>
      <c r="Q86" s="147">
        <v>0.27</v>
      </c>
      <c r="R86" s="514">
        <v>0.14000000000000001</v>
      </c>
      <c r="S86" s="147">
        <v>0.13</v>
      </c>
      <c r="T86" s="147">
        <v>0.06</v>
      </c>
      <c r="U86" s="147">
        <v>0.04</v>
      </c>
      <c r="V86" s="581"/>
      <c r="W86" s="581"/>
      <c r="X86" s="147"/>
      <c r="Y86" s="581"/>
      <c r="Z86" s="581"/>
      <c r="AA86" s="581"/>
      <c r="AB86" s="581"/>
      <c r="AC86" s="581"/>
      <c r="AD86" s="581"/>
      <c r="AE86" s="147"/>
      <c r="AF86" s="581"/>
      <c r="AG86" s="581"/>
      <c r="AH86" s="147">
        <v>0.66</v>
      </c>
      <c r="AI86" s="581">
        <v>0.17399999999999999</v>
      </c>
      <c r="AJ86" s="581">
        <f xml:space="preserve"> 16.6%</f>
        <v>0.16600000000000001</v>
      </c>
      <c r="AK86" s="581">
        <f xml:space="preserve"> 52.7%</f>
        <v>0.52700000000000002</v>
      </c>
      <c r="AL86" s="581"/>
      <c r="AM86" s="581"/>
      <c r="AS86" s="666" t="s">
        <v>898</v>
      </c>
      <c r="AT86" s="578" t="str">
        <f>IF('Upper Extremity-Right'!T576="","",'Upper Extremity-Right'!T576)</f>
        <v/>
      </c>
      <c r="AU86" s="578" t="str">
        <f t="shared" si="3"/>
        <v/>
      </c>
      <c r="AV86" s="193">
        <f>IF(AU86="",0,VLOOKUP(AU86,$A$3:$AM$153,38))</f>
        <v>0</v>
      </c>
      <c r="AX86" s="147" t="s">
        <v>1207</v>
      </c>
      <c r="AY86" s="578" t="str">
        <f>IF('Upper Extremity-Right'!V576="","",'Upper Extremity-Right'!V576)</f>
        <v/>
      </c>
      <c r="AZ86" s="578" t="str">
        <f>IF(AY86="","",ROUND(AY86,0))</f>
        <v/>
      </c>
      <c r="BA86" s="193">
        <f>IF(AZ86="",0,VLOOKUP(AZ86,$A$3:$AM$153,38))</f>
        <v>0</v>
      </c>
      <c r="BC86" s="666" t="s">
        <v>898</v>
      </c>
      <c r="BD86" s="578" t="str">
        <f>IF('Upper Extremity-Left'!T576="","",'Upper Extremity-Left'!T576)</f>
        <v/>
      </c>
      <c r="BE86" s="578" t="str">
        <f t="shared" si="4"/>
        <v/>
      </c>
      <c r="BF86" s="193">
        <f>IF(BE86="",0,VLOOKUP(BE86,$A$3:$AM$153,38))</f>
        <v>0</v>
      </c>
      <c r="BG86" s="62"/>
      <c r="BH86" s="147" t="s">
        <v>1207</v>
      </c>
      <c r="BI86" s="578" t="str">
        <f>IF('Upper Extremity-Left'!V576="","",'Upper Extremity-Left'!V576)</f>
        <v/>
      </c>
      <c r="BJ86" s="578" t="str">
        <f>IF(BI86="","",ROUND(BI86,0))</f>
        <v/>
      </c>
      <c r="BK86" s="193">
        <f>IF(BJ86="",0,VLOOKUP(BJ86,$A$3:$AM$153,38))</f>
        <v>0</v>
      </c>
    </row>
    <row r="87" spans="1:63" ht="15" customHeight="1" x14ac:dyDescent="0.2">
      <c r="A87" s="50">
        <v>84</v>
      </c>
      <c r="B87" s="50"/>
      <c r="C87" s="50"/>
      <c r="D87" s="50"/>
      <c r="E87" s="50"/>
      <c r="F87" s="50"/>
      <c r="G87" s="50"/>
      <c r="H87" s="50"/>
      <c r="I87" s="50"/>
      <c r="J87" s="50"/>
      <c r="K87" s="581">
        <f xml:space="preserve">   9.6%</f>
        <v>9.6000000000000002E-2</v>
      </c>
      <c r="L87" s="581">
        <f xml:space="preserve"> 55%</f>
        <v>0.55000000000000004</v>
      </c>
      <c r="M87" s="581">
        <f xml:space="preserve"> 64.6%</f>
        <v>0.64599999999999991</v>
      </c>
      <c r="N87" s="544">
        <v>3.5999999999999997E-2</v>
      </c>
      <c r="O87" s="544">
        <v>0.91</v>
      </c>
      <c r="P87" s="544">
        <v>0.94599999999999995</v>
      </c>
      <c r="Q87" s="147">
        <v>0.27</v>
      </c>
      <c r="R87" s="514">
        <v>0.14000000000000001</v>
      </c>
      <c r="S87" s="147">
        <v>0.13</v>
      </c>
      <c r="T87" s="147">
        <v>0.06</v>
      </c>
      <c r="U87" s="147">
        <v>0.04</v>
      </c>
      <c r="V87" s="581"/>
      <c r="W87" s="581"/>
      <c r="X87" s="147"/>
      <c r="Y87" s="581"/>
      <c r="Z87" s="581"/>
      <c r="AA87" s="581"/>
      <c r="AB87" s="581"/>
      <c r="AC87" s="581"/>
      <c r="AD87" s="581"/>
      <c r="AE87" s="147"/>
      <c r="AF87" s="581"/>
      <c r="AG87" s="581"/>
      <c r="AH87" s="147">
        <v>0.67</v>
      </c>
      <c r="AI87" s="581">
        <v>0.17199999999999999</v>
      </c>
      <c r="AJ87" s="581">
        <f xml:space="preserve"> 16.8%</f>
        <v>0.16800000000000001</v>
      </c>
      <c r="AK87" s="581">
        <f xml:space="preserve"> 52.6%</f>
        <v>0.52600000000000002</v>
      </c>
      <c r="AL87" s="581"/>
      <c r="AM87" s="581"/>
      <c r="AS87" s="666" t="s">
        <v>916</v>
      </c>
      <c r="AT87" s="578" t="str">
        <f>IF('Upper Extremity-Right'!T577="","",'Upper Extremity-Right'!T577)</f>
        <v/>
      </c>
      <c r="AU87" s="578" t="str">
        <f t="shared" si="3"/>
        <v/>
      </c>
      <c r="AV87" s="193">
        <f>IF(AU87="",0,VLOOKUP(AU87,$A$3:$AM$153,39))</f>
        <v>0</v>
      </c>
      <c r="BC87" s="666" t="s">
        <v>916</v>
      </c>
      <c r="BD87" s="578" t="str">
        <f>IF('Upper Extremity-Left'!T577="","",'Upper Extremity-Left'!T577)</f>
        <v/>
      </c>
      <c r="BE87" s="578" t="str">
        <f t="shared" si="4"/>
        <v/>
      </c>
      <c r="BF87" s="193">
        <f>IF(BE87="",0,VLOOKUP(BE87,$A$3:$AM$153,39))</f>
        <v>0</v>
      </c>
      <c r="BG87" s="62"/>
      <c r="BH87" s="14"/>
    </row>
    <row r="88" spans="1:63" ht="15" customHeight="1" x14ac:dyDescent="0.2">
      <c r="A88" s="50">
        <v>85</v>
      </c>
      <c r="B88" s="50"/>
      <c r="C88" s="50"/>
      <c r="D88" s="50"/>
      <c r="E88" s="50"/>
      <c r="F88" s="50"/>
      <c r="G88" s="50"/>
      <c r="H88" s="50"/>
      <c r="I88" s="50"/>
      <c r="J88" s="50"/>
      <c r="K88" s="581">
        <f xml:space="preserve">   9%</f>
        <v>0.09</v>
      </c>
      <c r="L88" s="581">
        <f xml:space="preserve"> 56%</f>
        <v>0.56000000000000005</v>
      </c>
      <c r="M88" s="581">
        <f xml:space="preserve"> 65%</f>
        <v>0.65</v>
      </c>
      <c r="N88" s="544">
        <v>0.03</v>
      </c>
      <c r="O88" s="544">
        <v>0.92500000000000004</v>
      </c>
      <c r="P88" s="544">
        <v>0.95499999999999996</v>
      </c>
      <c r="Q88" s="147">
        <v>0.28000000000000003</v>
      </c>
      <c r="R88" s="514">
        <v>0.14000000000000001</v>
      </c>
      <c r="S88" s="147">
        <v>0.13</v>
      </c>
      <c r="T88" s="147">
        <v>0.06</v>
      </c>
      <c r="U88" s="147">
        <v>0.04</v>
      </c>
      <c r="V88" s="581"/>
      <c r="W88" s="581"/>
      <c r="X88" s="147"/>
      <c r="Y88" s="581"/>
      <c r="Z88" s="581"/>
      <c r="AA88" s="581"/>
      <c r="AB88" s="581"/>
      <c r="AC88" s="581"/>
      <c r="AD88" s="581"/>
      <c r="AE88" s="147"/>
      <c r="AF88" s="581"/>
      <c r="AG88" s="581"/>
      <c r="AH88" s="147">
        <v>0.68</v>
      </c>
      <c r="AI88" s="581">
        <v>0.17</v>
      </c>
      <c r="AJ88" s="581">
        <f xml:space="preserve"> 17%</f>
        <v>0.17</v>
      </c>
      <c r="AK88" s="581">
        <f xml:space="preserve"> 52.5%</f>
        <v>0.52500000000000002</v>
      </c>
      <c r="AL88" s="581"/>
      <c r="AM88" s="581"/>
      <c r="BC88" s="147"/>
      <c r="BD88" s="62"/>
      <c r="BE88" s="62"/>
      <c r="BG88" s="62"/>
      <c r="BH88" s="14"/>
    </row>
    <row r="89" spans="1:63" ht="15" customHeight="1" x14ac:dyDescent="0.2">
      <c r="A89" s="50">
        <v>86</v>
      </c>
      <c r="B89" s="50"/>
      <c r="C89" s="50"/>
      <c r="D89" s="50"/>
      <c r="E89" s="50"/>
      <c r="F89" s="50"/>
      <c r="G89" s="50"/>
      <c r="H89" s="50"/>
      <c r="I89" s="50"/>
      <c r="J89" s="50"/>
      <c r="K89" s="581">
        <f xml:space="preserve">   8.4%</f>
        <v>8.4000000000000005E-2</v>
      </c>
      <c r="L89" s="581">
        <f xml:space="preserve"> 57%</f>
        <v>0.56999999999999995</v>
      </c>
      <c r="M89" s="581">
        <f xml:space="preserve"> 65.4%</f>
        <v>0.65400000000000003</v>
      </c>
      <c r="N89" s="544">
        <v>2.4E-2</v>
      </c>
      <c r="O89" s="544">
        <v>0.94</v>
      </c>
      <c r="P89" s="544">
        <v>0.96399999999999997</v>
      </c>
      <c r="Q89" s="147">
        <v>0.28000000000000003</v>
      </c>
      <c r="R89" s="514">
        <v>0.14000000000000001</v>
      </c>
      <c r="S89" s="147">
        <v>0.13</v>
      </c>
      <c r="T89" s="147">
        <v>0.06</v>
      </c>
      <c r="U89" s="147">
        <v>0.04</v>
      </c>
      <c r="V89" s="581"/>
      <c r="W89" s="581"/>
      <c r="X89" s="147"/>
      <c r="Y89" s="581"/>
      <c r="Z89" s="581"/>
      <c r="AA89" s="581"/>
      <c r="AB89" s="581"/>
      <c r="AC89" s="581"/>
      <c r="AD89" s="581"/>
      <c r="AE89" s="147"/>
      <c r="AF89" s="581"/>
      <c r="AG89" s="581"/>
      <c r="AH89" s="147">
        <v>0.68</v>
      </c>
      <c r="AI89" s="581">
        <v>0.16800000000000001</v>
      </c>
      <c r="AJ89" s="581">
        <f xml:space="preserve"> 17.2%</f>
        <v>0.17199999999999999</v>
      </c>
      <c r="AK89" s="581">
        <f xml:space="preserve"> 52.4%</f>
        <v>0.52400000000000002</v>
      </c>
      <c r="AL89" s="581"/>
      <c r="AM89" s="581"/>
      <c r="AS89" s="586" t="s">
        <v>1776</v>
      </c>
      <c r="AT89" s="675" t="s">
        <v>1759</v>
      </c>
      <c r="AY89" s="62"/>
      <c r="AZ89" s="62"/>
      <c r="BC89" s="147" t="s">
        <v>1776</v>
      </c>
      <c r="BD89" s="62"/>
      <c r="BE89" s="62"/>
      <c r="BF89" s="578" t="s">
        <v>1759</v>
      </c>
      <c r="BG89" s="62"/>
      <c r="BH89" s="14"/>
      <c r="BI89" s="62"/>
      <c r="BJ89" s="62"/>
    </row>
    <row r="90" spans="1:63" ht="15" customHeight="1" x14ac:dyDescent="0.2">
      <c r="A90" s="50">
        <v>87</v>
      </c>
      <c r="B90" s="50"/>
      <c r="C90" s="50"/>
      <c r="D90" s="50"/>
      <c r="E90" s="50"/>
      <c r="F90" s="50"/>
      <c r="G90" s="50"/>
      <c r="H90" s="50"/>
      <c r="I90" s="50"/>
      <c r="J90" s="50"/>
      <c r="K90" s="581">
        <f xml:space="preserve">   7.8%</f>
        <v>7.8E-2</v>
      </c>
      <c r="L90" s="581">
        <f xml:space="preserve"> 58%</f>
        <v>0.57999999999999996</v>
      </c>
      <c r="M90" s="581">
        <f xml:space="preserve"> 65.8%</f>
        <v>0.65799999999999992</v>
      </c>
      <c r="N90" s="544">
        <v>1.7999999999999999E-2</v>
      </c>
      <c r="O90" s="544">
        <v>0.95499999999999996</v>
      </c>
      <c r="P90" s="544">
        <v>0.97299999999999998</v>
      </c>
      <c r="Q90" s="147">
        <v>0.28000000000000003</v>
      </c>
      <c r="R90" s="514">
        <v>0.14000000000000001</v>
      </c>
      <c r="S90" s="147">
        <v>0.13</v>
      </c>
      <c r="T90" s="147">
        <v>0.06</v>
      </c>
      <c r="U90" s="147">
        <v>0.04</v>
      </c>
      <c r="V90" s="581"/>
      <c r="W90" s="581"/>
      <c r="X90" s="147"/>
      <c r="Y90" s="581"/>
      <c r="Z90" s="581"/>
      <c r="AA90" s="581"/>
      <c r="AB90" s="581"/>
      <c r="AC90" s="581"/>
      <c r="AD90" s="581"/>
      <c r="AE90" s="147"/>
      <c r="AF90" s="581"/>
      <c r="AG90" s="581"/>
      <c r="AH90" s="147">
        <v>0.69</v>
      </c>
      <c r="AI90" s="581">
        <v>0.16600000000000001</v>
      </c>
      <c r="AJ90" s="581">
        <f xml:space="preserve"> 17.4%</f>
        <v>0.17399999999999999</v>
      </c>
      <c r="AK90" s="581">
        <f xml:space="preserve"> 52.3%</f>
        <v>0.52300000000000002</v>
      </c>
      <c r="AL90" s="581"/>
      <c r="AM90" s="581"/>
      <c r="AS90" s="147" t="s">
        <v>1542</v>
      </c>
      <c r="AT90" s="578">
        <f>'Upper Extremity-Right'!C522*100</f>
        <v>0</v>
      </c>
      <c r="AU90" s="578">
        <f>IF(AT90="","",ROUND(AT90,0))</f>
        <v>0</v>
      </c>
      <c r="AV90" s="193">
        <f>IF(AU90="",0,VLOOKUP(AU90,$A$3:$AP$103,17))</f>
        <v>0</v>
      </c>
      <c r="AY90" s="62"/>
      <c r="AZ90" s="62"/>
      <c r="BA90" s="95"/>
      <c r="BC90" s="147" t="s">
        <v>1542</v>
      </c>
      <c r="BD90" s="578">
        <f>'Upper Extremity-Left'!C522*100</f>
        <v>0</v>
      </c>
      <c r="BE90" s="578">
        <f>IF(BD90="","",ROUND(BD90,0))</f>
        <v>0</v>
      </c>
      <c r="BF90" s="193">
        <f>IF(BE90="",0,VLOOKUP(BE90,$A$3:$AP$103,17))</f>
        <v>0</v>
      </c>
      <c r="BG90" s="62"/>
      <c r="BH90" s="14"/>
      <c r="BI90" s="62"/>
      <c r="BJ90" s="62"/>
      <c r="BK90" s="95"/>
    </row>
    <row r="91" spans="1:63" ht="15" customHeight="1" x14ac:dyDescent="0.2">
      <c r="A91" s="50">
        <v>88</v>
      </c>
      <c r="B91" s="50"/>
      <c r="C91" s="50"/>
      <c r="D91" s="50"/>
      <c r="E91" s="50"/>
      <c r="F91" s="50"/>
      <c r="G91" s="50"/>
      <c r="H91" s="50"/>
      <c r="I91" s="50"/>
      <c r="J91" s="50"/>
      <c r="K91" s="581">
        <f xml:space="preserve">   7.2%</f>
        <v>7.2000000000000008E-2</v>
      </c>
      <c r="L91" s="581">
        <f xml:space="preserve"> 59%</f>
        <v>0.59</v>
      </c>
      <c r="M91" s="581">
        <f xml:space="preserve"> 66.2%</f>
        <v>0.66200000000000003</v>
      </c>
      <c r="N91" s="544">
        <v>1.2E-2</v>
      </c>
      <c r="O91" s="544">
        <v>0.97</v>
      </c>
      <c r="P91" s="544">
        <v>0.98199999999999998</v>
      </c>
      <c r="Q91" s="147">
        <v>0.28999999999999998</v>
      </c>
      <c r="R91" s="514">
        <v>0.15</v>
      </c>
      <c r="S91" s="147">
        <v>0.13</v>
      </c>
      <c r="T91" s="147">
        <v>0.06</v>
      </c>
      <c r="U91" s="147">
        <v>0.04</v>
      </c>
      <c r="V91" s="581"/>
      <c r="W91" s="581"/>
      <c r="X91" s="147"/>
      <c r="Y91" s="581"/>
      <c r="Z91" s="581"/>
      <c r="AA91" s="581"/>
      <c r="AB91" s="581"/>
      <c r="AC91" s="581"/>
      <c r="AD91" s="581"/>
      <c r="AE91" s="147"/>
      <c r="AF91" s="581"/>
      <c r="AG91" s="581"/>
      <c r="AH91" s="147">
        <v>0.7</v>
      </c>
      <c r="AI91" s="581">
        <v>0.16400000000000001</v>
      </c>
      <c r="AJ91" s="581">
        <f xml:space="preserve"> 17.6%</f>
        <v>0.17600000000000002</v>
      </c>
      <c r="AK91" s="581">
        <f xml:space="preserve"> 52.2%</f>
        <v>0.52200000000000002</v>
      </c>
      <c r="AL91" s="581"/>
      <c r="AM91" s="581"/>
      <c r="AS91" s="147" t="s">
        <v>143</v>
      </c>
      <c r="AT91" s="578">
        <f>'Upper Extremity-Right'!C523*100</f>
        <v>0</v>
      </c>
      <c r="AU91" s="578">
        <f>IF(AT91="","",ROUND(AT91,0))</f>
        <v>0</v>
      </c>
      <c r="AV91" s="193">
        <f>IF(AU91="",0,VLOOKUP(AU91,$A$3:$AP$103,18))</f>
        <v>0</v>
      </c>
      <c r="AY91" s="62"/>
      <c r="AZ91" s="62"/>
      <c r="BA91" s="95"/>
      <c r="BC91" s="147" t="s">
        <v>143</v>
      </c>
      <c r="BD91" s="578">
        <f>'Upper Extremity-Left'!C523*100</f>
        <v>0</v>
      </c>
      <c r="BE91" s="578">
        <f>IF(BD91="","",ROUND(BD91,0))</f>
        <v>0</v>
      </c>
      <c r="BF91" s="193">
        <f>IF(BE91="",0,VLOOKUP(BE91,$A$3:$AP$103,18))</f>
        <v>0</v>
      </c>
      <c r="BG91" s="62"/>
      <c r="BH91" s="14"/>
      <c r="BI91" s="62"/>
      <c r="BJ91" s="62"/>
      <c r="BK91" s="95"/>
    </row>
    <row r="92" spans="1:63" ht="15" customHeight="1" x14ac:dyDescent="0.2">
      <c r="A92" s="50">
        <v>89</v>
      </c>
      <c r="B92" s="50"/>
      <c r="C92" s="50"/>
      <c r="D92" s="50"/>
      <c r="E92" s="50"/>
      <c r="F92" s="50"/>
      <c r="G92" s="50"/>
      <c r="H92" s="50"/>
      <c r="I92" s="50"/>
      <c r="J92" s="50"/>
      <c r="K92" s="581">
        <f xml:space="preserve">   6.6%</f>
        <v>6.6000000000000003E-2</v>
      </c>
      <c r="L92" s="581">
        <f xml:space="preserve"> 60%</f>
        <v>0.6</v>
      </c>
      <c r="M92" s="581">
        <f xml:space="preserve"> 66.6%</f>
        <v>0.66599999999999993</v>
      </c>
      <c r="N92" s="544">
        <v>6.0000000000000001E-3</v>
      </c>
      <c r="O92" s="544">
        <v>0.98499999999999999</v>
      </c>
      <c r="P92" s="544">
        <v>0.99099999999999999</v>
      </c>
      <c r="Q92" s="147">
        <v>0.28999999999999998</v>
      </c>
      <c r="R92" s="514">
        <v>0.15</v>
      </c>
      <c r="S92" s="147">
        <v>0.14000000000000001</v>
      </c>
      <c r="T92" s="147">
        <v>0.06</v>
      </c>
      <c r="U92" s="147">
        <v>0.04</v>
      </c>
      <c r="V92" s="581"/>
      <c r="W92" s="581"/>
      <c r="X92" s="147"/>
      <c r="Y92" s="581"/>
      <c r="Z92" s="581"/>
      <c r="AA92" s="581"/>
      <c r="AB92" s="581"/>
      <c r="AC92" s="581"/>
      <c r="AD92" s="581"/>
      <c r="AE92" s="147"/>
      <c r="AF92" s="581"/>
      <c r="AG92" s="581"/>
      <c r="AH92" s="147">
        <v>0.71</v>
      </c>
      <c r="AI92" s="581">
        <v>0.16200000000000001</v>
      </c>
      <c r="AJ92" s="581">
        <f xml:space="preserve"> 17.8%</f>
        <v>0.17800000000000002</v>
      </c>
      <c r="AK92" s="581">
        <f xml:space="preserve"> 52.1%</f>
        <v>0.52100000000000002</v>
      </c>
      <c r="AL92" s="581"/>
      <c r="AM92" s="581"/>
      <c r="AS92" s="147" t="s">
        <v>1536</v>
      </c>
      <c r="AT92" s="578">
        <f>'Upper Extremity-Right'!C524*100</f>
        <v>0</v>
      </c>
      <c r="AU92" s="578">
        <f>IF(AT92="","",ROUND(AT92,0))</f>
        <v>0</v>
      </c>
      <c r="AV92" s="193">
        <f>IF(AU92="",0,VLOOKUP(AU92,$A$3:$AP$103,19))</f>
        <v>0</v>
      </c>
      <c r="AY92" s="62"/>
      <c r="AZ92" s="62"/>
      <c r="BA92" s="95"/>
      <c r="BC92" s="147" t="s">
        <v>1536</v>
      </c>
      <c r="BD92" s="578">
        <f>'Upper Extremity-Left'!C524*100</f>
        <v>0</v>
      </c>
      <c r="BE92" s="578">
        <f>IF(BD92="","",ROUND(BD92,0))</f>
        <v>0</v>
      </c>
      <c r="BF92" s="193">
        <f>IF(BE92="",0,VLOOKUP(BE92,$A$3:$AP$103,19))</f>
        <v>0</v>
      </c>
      <c r="BG92" s="62"/>
      <c r="BH92" s="14"/>
      <c r="BI92" s="62"/>
      <c r="BJ92" s="62"/>
      <c r="BK92" s="95"/>
    </row>
    <row r="93" spans="1:63" ht="15" customHeight="1" x14ac:dyDescent="0.2">
      <c r="A93" s="50">
        <v>90</v>
      </c>
      <c r="B93" s="50"/>
      <c r="C93" s="50"/>
      <c r="D93" s="50"/>
      <c r="E93" s="50"/>
      <c r="F93" s="50"/>
      <c r="G93" s="50"/>
      <c r="H93" s="50"/>
      <c r="I93" s="50"/>
      <c r="J93" s="50"/>
      <c r="K93" s="581">
        <f xml:space="preserve">   6%</f>
        <v>0.06</v>
      </c>
      <c r="L93" s="581">
        <f xml:space="preserve"> 61%</f>
        <v>0.61</v>
      </c>
      <c r="M93" s="581">
        <f xml:space="preserve"> 67%</f>
        <v>0.67</v>
      </c>
      <c r="N93" s="544">
        <v>0</v>
      </c>
      <c r="O93" s="544">
        <v>1</v>
      </c>
      <c r="P93" s="544">
        <v>1</v>
      </c>
      <c r="Q93" s="147">
        <v>0.28999999999999998</v>
      </c>
      <c r="R93" s="514">
        <v>0.15</v>
      </c>
      <c r="S93" s="147">
        <v>0.14000000000000001</v>
      </c>
      <c r="T93" s="147">
        <v>7.0000000000000007E-2</v>
      </c>
      <c r="U93" s="147">
        <v>0.04</v>
      </c>
      <c r="V93" s="581"/>
      <c r="W93" s="581"/>
      <c r="X93" s="147"/>
      <c r="Y93" s="581"/>
      <c r="Z93" s="581"/>
      <c r="AA93" s="581"/>
      <c r="AB93" s="581"/>
      <c r="AC93" s="581"/>
      <c r="AD93" s="581"/>
      <c r="AE93" s="147"/>
      <c r="AF93" s="581"/>
      <c r="AG93" s="581"/>
      <c r="AH93" s="147">
        <v>0.72</v>
      </c>
      <c r="AI93" s="581">
        <v>0.16</v>
      </c>
      <c r="AJ93" s="581">
        <f xml:space="preserve"> 18%</f>
        <v>0.18</v>
      </c>
      <c r="AK93" s="581">
        <f xml:space="preserve"> 52%</f>
        <v>0.52</v>
      </c>
      <c r="AL93" s="581"/>
      <c r="AM93" s="581"/>
      <c r="AS93" s="147" t="s">
        <v>1538</v>
      </c>
      <c r="AT93" s="578">
        <f>'Upper Extremity-Right'!C525*100</f>
        <v>0</v>
      </c>
      <c r="AU93" s="578">
        <f>IF(AT93="","",ROUND(AT93,0))</f>
        <v>0</v>
      </c>
      <c r="AV93" s="193">
        <f>IF(AU93="",0,VLOOKUP(AU93,$A$3:$AP$103,20))</f>
        <v>0</v>
      </c>
      <c r="AY93" s="62"/>
      <c r="AZ93" s="62"/>
      <c r="BC93" s="147" t="s">
        <v>1538</v>
      </c>
      <c r="BD93" s="578">
        <f>'Upper Extremity-Left'!C525*100</f>
        <v>0</v>
      </c>
      <c r="BE93" s="578">
        <f>IF(BD93="","",ROUND(BD93,0))</f>
        <v>0</v>
      </c>
      <c r="BF93" s="193">
        <f>IF(BE93="",0,VLOOKUP(BE93,$A$3:$AP$103,20))</f>
        <v>0</v>
      </c>
      <c r="BG93" s="62"/>
      <c r="BH93" s="14"/>
      <c r="BI93" s="62"/>
      <c r="BJ93" s="62"/>
    </row>
    <row r="94" spans="1:63" ht="15" customHeight="1" x14ac:dyDescent="0.2">
      <c r="A94" s="50">
        <v>91</v>
      </c>
      <c r="B94" s="50"/>
      <c r="C94" s="50"/>
      <c r="D94" s="50"/>
      <c r="E94" s="50"/>
      <c r="F94" s="50"/>
      <c r="G94" s="50"/>
      <c r="H94" s="50"/>
      <c r="I94" s="50"/>
      <c r="J94" s="50"/>
      <c r="K94" s="581">
        <f xml:space="preserve">   5.4%</f>
        <v>5.4000000000000006E-2</v>
      </c>
      <c r="L94" s="581">
        <f xml:space="preserve"> 61.9%</f>
        <v>0.61899999999999999</v>
      </c>
      <c r="M94" s="581">
        <f xml:space="preserve"> 67.3%</f>
        <v>0.67299999999999993</v>
      </c>
      <c r="N94" s="50"/>
      <c r="O94" s="50"/>
      <c r="P94" s="50"/>
      <c r="Q94" s="147">
        <v>0.3</v>
      </c>
      <c r="R94" s="514">
        <v>0.15</v>
      </c>
      <c r="S94" s="147">
        <v>0.14000000000000001</v>
      </c>
      <c r="T94" s="147">
        <v>7.0000000000000007E-2</v>
      </c>
      <c r="U94" s="147">
        <v>0.04</v>
      </c>
      <c r="V94" s="581"/>
      <c r="W94" s="581"/>
      <c r="X94" s="147"/>
      <c r="Y94" s="581"/>
      <c r="Z94" s="581"/>
      <c r="AA94" s="581"/>
      <c r="AB94" s="581"/>
      <c r="AC94" s="581"/>
      <c r="AD94" s="581"/>
      <c r="AE94" s="147"/>
      <c r="AF94" s="581"/>
      <c r="AG94" s="581"/>
      <c r="AH94" s="147">
        <v>0.72</v>
      </c>
      <c r="AI94" s="581">
        <v>0.157</v>
      </c>
      <c r="AJ94" s="581">
        <f xml:space="preserve"> 18.2%</f>
        <v>0.182</v>
      </c>
      <c r="AK94" s="581">
        <f xml:space="preserve"> 51.8%</f>
        <v>0.51800000000000002</v>
      </c>
      <c r="AL94" s="581"/>
      <c r="AM94" s="581"/>
      <c r="AS94" s="147" t="s">
        <v>1540</v>
      </c>
      <c r="AT94" s="578">
        <f>'Upper Extremity-Right'!C526*100</f>
        <v>0</v>
      </c>
      <c r="AU94" s="578">
        <f>IF(AT94="","",ROUND(AT94,0))</f>
        <v>0</v>
      </c>
      <c r="AV94" s="193">
        <f>IF(AU94="",0,VLOOKUP(AU94,$A$3:$AP$103,21))</f>
        <v>0</v>
      </c>
      <c r="AY94" s="62"/>
      <c r="AZ94" s="62"/>
      <c r="BC94" s="147" t="s">
        <v>1540</v>
      </c>
      <c r="BD94" s="578">
        <f>'Upper Extremity-Left'!C526*100</f>
        <v>0</v>
      </c>
      <c r="BE94" s="578">
        <f>IF(BD94="","",ROUND(BD94,0))</f>
        <v>0</v>
      </c>
      <c r="BF94" s="193">
        <f>IF(BE94="",0,VLOOKUP(BE94,$A$3:$AP$103,21))</f>
        <v>0</v>
      </c>
      <c r="BG94" s="62"/>
      <c r="BH94" s="14"/>
      <c r="BI94" s="62"/>
      <c r="BJ94" s="62"/>
    </row>
    <row r="95" spans="1:63" ht="15" customHeight="1" x14ac:dyDescent="0.2">
      <c r="A95" s="50">
        <v>92</v>
      </c>
      <c r="B95" s="50"/>
      <c r="C95" s="50"/>
      <c r="D95" s="50"/>
      <c r="E95" s="50"/>
      <c r="F95" s="50"/>
      <c r="G95" s="50"/>
      <c r="H95" s="50"/>
      <c r="I95" s="50"/>
      <c r="J95" s="50"/>
      <c r="K95" s="581">
        <f xml:space="preserve">   4.8%</f>
        <v>4.8000000000000001E-2</v>
      </c>
      <c r="L95" s="581">
        <f xml:space="preserve"> 62.8%</f>
        <v>0.628</v>
      </c>
      <c r="M95" s="581">
        <f xml:space="preserve"> 67.6%</f>
        <v>0.67599999999999993</v>
      </c>
      <c r="N95" s="50"/>
      <c r="O95" s="50"/>
      <c r="P95" s="50"/>
      <c r="Q95" s="147">
        <v>0.3</v>
      </c>
      <c r="R95" s="514">
        <v>0.15</v>
      </c>
      <c r="S95" s="147">
        <v>0.14000000000000001</v>
      </c>
      <c r="T95" s="147">
        <v>7.0000000000000007E-2</v>
      </c>
      <c r="U95" s="147">
        <v>0.04</v>
      </c>
      <c r="V95" s="581"/>
      <c r="W95" s="581"/>
      <c r="X95" s="147"/>
      <c r="Y95" s="581"/>
      <c r="Z95" s="581"/>
      <c r="AA95" s="581"/>
      <c r="AB95" s="581"/>
      <c r="AC95" s="581"/>
      <c r="AD95" s="581"/>
      <c r="AE95" s="147"/>
      <c r="AF95" s="581"/>
      <c r="AG95" s="581"/>
      <c r="AH95" s="147">
        <v>0.73</v>
      </c>
      <c r="AI95" s="581">
        <v>0.154</v>
      </c>
      <c r="AJ95" s="581">
        <f xml:space="preserve"> 18.4%</f>
        <v>0.184</v>
      </c>
      <c r="AK95" s="581">
        <f xml:space="preserve"> 51.6%</f>
        <v>0.51600000000000001</v>
      </c>
      <c r="AL95" s="581"/>
      <c r="AM95" s="581"/>
      <c r="AY95" s="62"/>
      <c r="AZ95" s="62"/>
      <c r="BA95" s="95"/>
      <c r="BC95" s="147"/>
      <c r="BD95" s="62"/>
      <c r="BE95" s="62"/>
      <c r="BG95" s="62"/>
      <c r="BH95" s="14"/>
      <c r="BI95" s="62"/>
      <c r="BJ95" s="62"/>
      <c r="BK95" s="95"/>
    </row>
    <row r="96" spans="1:63" ht="15" customHeight="1" x14ac:dyDescent="0.2">
      <c r="A96" s="50">
        <v>93</v>
      </c>
      <c r="B96" s="50"/>
      <c r="C96" s="50"/>
      <c r="D96" s="50"/>
      <c r="E96" s="50"/>
      <c r="F96" s="50"/>
      <c r="G96" s="50"/>
      <c r="H96" s="50"/>
      <c r="I96" s="50"/>
      <c r="J96" s="50"/>
      <c r="K96" s="581">
        <f xml:space="preserve">   4.2%</f>
        <v>4.2000000000000003E-2</v>
      </c>
      <c r="L96" s="581">
        <f xml:space="preserve"> 63.7%</f>
        <v>0.63700000000000001</v>
      </c>
      <c r="M96" s="581">
        <f xml:space="preserve"> 67.9%</f>
        <v>0.67900000000000005</v>
      </c>
      <c r="N96" s="50"/>
      <c r="O96" s="50"/>
      <c r="P96" s="50"/>
      <c r="Q96" s="147">
        <v>0.3</v>
      </c>
      <c r="R96" s="514">
        <v>0.15</v>
      </c>
      <c r="S96" s="147">
        <v>0.14000000000000001</v>
      </c>
      <c r="T96" s="147">
        <v>7.0000000000000007E-2</v>
      </c>
      <c r="U96" s="147">
        <v>0.04</v>
      </c>
      <c r="V96" s="581"/>
      <c r="W96" s="581"/>
      <c r="X96" s="147"/>
      <c r="Y96" s="581"/>
      <c r="Z96" s="581"/>
      <c r="AA96" s="581"/>
      <c r="AB96" s="581"/>
      <c r="AC96" s="581"/>
      <c r="AD96" s="581"/>
      <c r="AE96" s="147"/>
      <c r="AF96" s="581"/>
      <c r="AG96" s="581"/>
      <c r="AH96" s="147">
        <v>0.74</v>
      </c>
      <c r="AI96" s="581">
        <v>0.151</v>
      </c>
      <c r="AJ96" s="581">
        <f xml:space="preserve"> 18.6%</f>
        <v>0.18600000000000003</v>
      </c>
      <c r="AK96" s="581">
        <f xml:space="preserve"> 51.4%</f>
        <v>0.51400000000000001</v>
      </c>
      <c r="AL96" s="581"/>
      <c r="AM96" s="581"/>
      <c r="AS96" s="586" t="s">
        <v>1894</v>
      </c>
      <c r="AV96" s="675" t="s">
        <v>1759</v>
      </c>
      <c r="AY96" s="62"/>
      <c r="AZ96" s="62"/>
      <c r="BA96" s="95"/>
      <c r="BC96" s="147" t="s">
        <v>1894</v>
      </c>
      <c r="BD96" s="62"/>
      <c r="BE96" s="62"/>
      <c r="BF96" s="578" t="s">
        <v>1759</v>
      </c>
      <c r="BG96" s="62"/>
      <c r="BH96" s="14"/>
      <c r="BI96" s="62"/>
      <c r="BJ96" s="62"/>
      <c r="BK96" s="95"/>
    </row>
    <row r="97" spans="1:63" ht="15" customHeight="1" x14ac:dyDescent="0.2">
      <c r="A97" s="50">
        <v>94</v>
      </c>
      <c r="B97" s="50"/>
      <c r="C97" s="50"/>
      <c r="D97" s="50"/>
      <c r="E97" s="50"/>
      <c r="F97" s="50"/>
      <c r="G97" s="50"/>
      <c r="H97" s="50"/>
      <c r="I97" s="50"/>
      <c r="J97" s="50"/>
      <c r="K97" s="581">
        <f xml:space="preserve">   3.6%</f>
        <v>3.6000000000000004E-2</v>
      </c>
      <c r="L97" s="581">
        <f xml:space="preserve"> 64.6%</f>
        <v>0.64599999999999991</v>
      </c>
      <c r="M97" s="581">
        <f xml:space="preserve"> 68.2%</f>
        <v>0.68200000000000005</v>
      </c>
      <c r="N97" s="50"/>
      <c r="O97" s="50"/>
      <c r="P97" s="50"/>
      <c r="Q97" s="147">
        <v>0.31</v>
      </c>
      <c r="R97" s="514">
        <v>0.16</v>
      </c>
      <c r="S97" s="147">
        <v>0.14000000000000001</v>
      </c>
      <c r="T97" s="147">
        <v>7.0000000000000007E-2</v>
      </c>
      <c r="U97" s="147">
        <v>0.04</v>
      </c>
      <c r="V97" s="581"/>
      <c r="W97" s="581"/>
      <c r="X97" s="147"/>
      <c r="Y97" s="581"/>
      <c r="Z97" s="581"/>
      <c r="AA97" s="581"/>
      <c r="AB97" s="581"/>
      <c r="AC97" s="581"/>
      <c r="AD97" s="581"/>
      <c r="AE97" s="147"/>
      <c r="AF97" s="581"/>
      <c r="AG97" s="581"/>
      <c r="AH97" s="147">
        <v>0.75</v>
      </c>
      <c r="AI97" s="581">
        <v>0.14799999999999999</v>
      </c>
      <c r="AJ97" s="581">
        <f xml:space="preserve"> 18.8%</f>
        <v>0.188</v>
      </c>
      <c r="AK97" s="581">
        <f xml:space="preserve"> 51.2%</f>
        <v>0.51200000000000001</v>
      </c>
      <c r="AL97" s="581"/>
      <c r="AM97" s="581"/>
      <c r="AS97" s="147" t="s">
        <v>1895</v>
      </c>
      <c r="AT97" s="578">
        <f>'Upper Extremity-Right'!P531*100</f>
        <v>0</v>
      </c>
      <c r="AU97" s="578">
        <f>IF(AT97="","",ROUND(AT97,0))</f>
        <v>0</v>
      </c>
      <c r="AV97" s="193">
        <f>IF(AU97="",0,VLOOKUP(AU97,$A$3:$AP$103,34))</f>
        <v>0</v>
      </c>
      <c r="AY97" s="62"/>
      <c r="AZ97" s="62"/>
      <c r="BA97" s="95"/>
      <c r="BC97" s="147" t="s">
        <v>1895</v>
      </c>
      <c r="BD97" s="578">
        <f>'Upper Extremity-Left'!P531*100</f>
        <v>0</v>
      </c>
      <c r="BE97" s="578">
        <f>IF(BD97="","",ROUND(BD97,0))</f>
        <v>0</v>
      </c>
      <c r="BF97" s="193">
        <f>IF(BE97="",0,VLOOKUP(BE97,$A$3:$AP$103,34))</f>
        <v>0</v>
      </c>
      <c r="BG97" s="62"/>
      <c r="BH97" s="14"/>
      <c r="BI97" s="62"/>
      <c r="BJ97" s="62"/>
      <c r="BK97" s="95"/>
    </row>
    <row r="98" spans="1:63" ht="15" customHeight="1" x14ac:dyDescent="0.2">
      <c r="A98" s="50">
        <v>95</v>
      </c>
      <c r="B98" s="50"/>
      <c r="C98" s="50"/>
      <c r="D98" s="50"/>
      <c r="E98" s="50"/>
      <c r="F98" s="50"/>
      <c r="G98" s="50"/>
      <c r="H98" s="50"/>
      <c r="I98" s="50"/>
      <c r="J98" s="50"/>
      <c r="K98" s="581">
        <f xml:space="preserve">   3%</f>
        <v>0.03</v>
      </c>
      <c r="L98" s="581">
        <f xml:space="preserve"> 65.5%</f>
        <v>0.65500000000000003</v>
      </c>
      <c r="M98" s="581">
        <f xml:space="preserve"> 68.5%</f>
        <v>0.68500000000000005</v>
      </c>
      <c r="N98" s="50"/>
      <c r="O98" s="50"/>
      <c r="P98" s="50"/>
      <c r="Q98" s="147">
        <v>0.31</v>
      </c>
      <c r="R98" s="514">
        <v>0.16</v>
      </c>
      <c r="S98" s="147">
        <v>0.14000000000000001</v>
      </c>
      <c r="T98" s="147">
        <v>7.0000000000000007E-2</v>
      </c>
      <c r="U98" s="147">
        <v>0.04</v>
      </c>
      <c r="V98" s="581"/>
      <c r="W98" s="581"/>
      <c r="X98" s="147"/>
      <c r="Y98" s="581"/>
      <c r="Z98" s="581"/>
      <c r="AA98" s="581"/>
      <c r="AB98" s="581"/>
      <c r="AC98" s="581"/>
      <c r="AD98" s="581"/>
      <c r="AE98" s="147"/>
      <c r="AF98" s="581"/>
      <c r="AG98" s="581"/>
      <c r="AH98" s="147">
        <v>0.76</v>
      </c>
      <c r="AI98" s="581">
        <v>0.14499999999999999</v>
      </c>
      <c r="AJ98" s="581">
        <f xml:space="preserve"> 19%</f>
        <v>0.19</v>
      </c>
      <c r="AK98" s="581">
        <f xml:space="preserve"> 51%</f>
        <v>0.51</v>
      </c>
      <c r="AL98" s="581"/>
      <c r="AM98" s="581"/>
      <c r="AY98" s="62"/>
      <c r="AZ98" s="62"/>
      <c r="BD98" s="62"/>
      <c r="BE98" s="62"/>
      <c r="BG98" s="62"/>
      <c r="BH98" s="14"/>
      <c r="BI98" s="62"/>
      <c r="BJ98" s="62"/>
    </row>
    <row r="99" spans="1:63" ht="15" customHeight="1" x14ac:dyDescent="0.2">
      <c r="A99" s="50">
        <v>96</v>
      </c>
      <c r="B99" s="50"/>
      <c r="C99" s="50"/>
      <c r="D99" s="50"/>
      <c r="E99" s="50"/>
      <c r="F99" s="50"/>
      <c r="G99" s="50"/>
      <c r="H99" s="50"/>
      <c r="I99" s="50"/>
      <c r="J99" s="50"/>
      <c r="K99" s="581">
        <f xml:space="preserve">   2.4%</f>
        <v>2.4E-2</v>
      </c>
      <c r="L99" s="581">
        <f xml:space="preserve"> 66.4%</f>
        <v>0.66400000000000003</v>
      </c>
      <c r="M99" s="581">
        <f xml:space="preserve"> 68.8%</f>
        <v>0.68799999999999994</v>
      </c>
      <c r="N99" s="50"/>
      <c r="O99" s="50"/>
      <c r="P99" s="50"/>
      <c r="Q99" s="147">
        <v>0.31</v>
      </c>
      <c r="R99" s="514">
        <v>0.16</v>
      </c>
      <c r="S99" s="147">
        <v>0.15</v>
      </c>
      <c r="T99" s="147">
        <v>7.0000000000000007E-2</v>
      </c>
      <c r="U99" s="147">
        <v>0.04</v>
      </c>
      <c r="V99" s="581"/>
      <c r="W99" s="581"/>
      <c r="X99" s="147"/>
      <c r="Y99" s="581"/>
      <c r="Z99" s="581"/>
      <c r="AA99" s="581"/>
      <c r="AB99" s="581"/>
      <c r="AC99" s="581"/>
      <c r="AD99" s="581"/>
      <c r="AE99" s="147"/>
      <c r="AF99" s="581"/>
      <c r="AG99" s="581"/>
      <c r="AH99" s="147">
        <v>0.76</v>
      </c>
      <c r="AI99" s="581">
        <v>0.14199999999999999</v>
      </c>
      <c r="AJ99" s="581">
        <f xml:space="preserve"> 19.2%</f>
        <v>0.192</v>
      </c>
      <c r="AK99" s="581">
        <f xml:space="preserve"> 50.8%</f>
        <v>0.50800000000000001</v>
      </c>
      <c r="AL99" s="581"/>
      <c r="AM99" s="581"/>
      <c r="AY99" s="62"/>
      <c r="AZ99" s="62"/>
      <c r="BD99" s="62"/>
      <c r="BE99" s="62"/>
      <c r="BG99" s="62"/>
      <c r="BH99" s="14"/>
      <c r="BI99" s="62"/>
      <c r="BJ99" s="62"/>
    </row>
    <row r="100" spans="1:63" ht="15" customHeight="1" x14ac:dyDescent="0.2">
      <c r="A100" s="50">
        <v>97</v>
      </c>
      <c r="B100" s="50"/>
      <c r="C100" s="50"/>
      <c r="D100" s="50"/>
      <c r="E100" s="50"/>
      <c r="F100" s="50"/>
      <c r="G100" s="50"/>
      <c r="H100" s="50"/>
      <c r="I100" s="50"/>
      <c r="J100" s="50"/>
      <c r="K100" s="581">
        <f xml:space="preserve">   1.8%</f>
        <v>1.8000000000000002E-2</v>
      </c>
      <c r="L100" s="581">
        <f xml:space="preserve"> 67.3%</f>
        <v>0.67299999999999993</v>
      </c>
      <c r="M100" s="581">
        <f xml:space="preserve"> 69.1%</f>
        <v>0.69099999999999995</v>
      </c>
      <c r="N100" s="50"/>
      <c r="O100" s="50"/>
      <c r="P100" s="50"/>
      <c r="Q100" s="147">
        <f xml:space="preserve"> 32%</f>
        <v>0.32</v>
      </c>
      <c r="R100" s="514">
        <v>0.16</v>
      </c>
      <c r="S100" s="147">
        <v>0.15</v>
      </c>
      <c r="T100" s="147">
        <v>7.0000000000000007E-2</v>
      </c>
      <c r="U100" s="147">
        <v>0.04</v>
      </c>
      <c r="V100" s="581"/>
      <c r="W100" s="581"/>
      <c r="X100" s="147"/>
      <c r="Y100" s="581"/>
      <c r="Z100" s="581"/>
      <c r="AA100" s="581"/>
      <c r="AB100" s="581"/>
      <c r="AC100" s="581"/>
      <c r="AD100" s="581"/>
      <c r="AE100" s="147"/>
      <c r="AF100" s="581"/>
      <c r="AG100" s="581"/>
      <c r="AH100" s="147">
        <v>0.77</v>
      </c>
      <c r="AI100" s="581">
        <v>0.13900000000000001</v>
      </c>
      <c r="AJ100" s="581">
        <f xml:space="preserve"> 19.4%</f>
        <v>0.19399999999999998</v>
      </c>
      <c r="AK100" s="581">
        <f xml:space="preserve"> 50.6%</f>
        <v>0.50600000000000001</v>
      </c>
      <c r="AL100" s="581"/>
      <c r="AM100" s="581"/>
      <c r="AV100" s="95"/>
      <c r="AY100" s="62"/>
      <c r="AZ100" s="62"/>
      <c r="BA100" s="95"/>
      <c r="BD100" s="62"/>
      <c r="BE100" s="62"/>
      <c r="BF100" s="95"/>
      <c r="BG100" s="62"/>
      <c r="BH100" s="14"/>
      <c r="BI100" s="62"/>
      <c r="BJ100" s="62"/>
      <c r="BK100" s="95"/>
    </row>
    <row r="101" spans="1:63" ht="15" customHeight="1" x14ac:dyDescent="0.2">
      <c r="A101" s="50">
        <v>98</v>
      </c>
      <c r="B101" s="50"/>
      <c r="C101" s="50"/>
      <c r="D101" s="50"/>
      <c r="E101" s="50"/>
      <c r="F101" s="50"/>
      <c r="G101" s="50"/>
      <c r="H101" s="50"/>
      <c r="I101" s="50"/>
      <c r="J101" s="50"/>
      <c r="K101" s="581">
        <f xml:space="preserve">   1.2%</f>
        <v>1.2E-2</v>
      </c>
      <c r="L101" s="581">
        <f xml:space="preserve"> 68.2%</f>
        <v>0.68200000000000005</v>
      </c>
      <c r="M101" s="581">
        <f xml:space="preserve"> 69.4%</f>
        <v>0.69400000000000006</v>
      </c>
      <c r="N101" s="50"/>
      <c r="O101" s="50"/>
      <c r="P101" s="50"/>
      <c r="Q101" s="147">
        <f xml:space="preserve"> 32%</f>
        <v>0.32</v>
      </c>
      <c r="R101" s="514">
        <v>0.16</v>
      </c>
      <c r="S101" s="147">
        <v>0.15</v>
      </c>
      <c r="T101" s="147">
        <v>7.0000000000000007E-2</v>
      </c>
      <c r="U101" s="147">
        <v>0.04</v>
      </c>
      <c r="V101" s="581"/>
      <c r="W101" s="581"/>
      <c r="X101" s="147"/>
      <c r="Y101" s="581"/>
      <c r="Z101" s="581"/>
      <c r="AA101" s="581"/>
      <c r="AB101" s="581"/>
      <c r="AC101" s="581"/>
      <c r="AD101" s="581"/>
      <c r="AE101" s="147"/>
      <c r="AF101" s="581"/>
      <c r="AG101" s="581"/>
      <c r="AH101" s="147">
        <v>0.78</v>
      </c>
      <c r="AI101" s="581">
        <v>0.13600000000000001</v>
      </c>
      <c r="AJ101" s="581">
        <f xml:space="preserve"> 19.6%</f>
        <v>0.19600000000000001</v>
      </c>
      <c r="AK101" s="581">
        <f xml:space="preserve"> 50.4%</f>
        <v>0.504</v>
      </c>
      <c r="AL101" s="581"/>
      <c r="AM101" s="581"/>
      <c r="AV101" s="95"/>
      <c r="AY101" s="62"/>
      <c r="AZ101" s="62"/>
      <c r="BA101" s="95"/>
      <c r="BD101" s="62"/>
      <c r="BE101" s="62"/>
      <c r="BF101" s="95"/>
      <c r="BG101" s="62"/>
      <c r="BH101" s="14"/>
      <c r="BI101" s="62"/>
      <c r="BJ101" s="62"/>
      <c r="BK101" s="95"/>
    </row>
    <row r="102" spans="1:63" ht="15" customHeight="1" x14ac:dyDescent="0.2">
      <c r="A102" s="50">
        <v>99</v>
      </c>
      <c r="B102" s="50"/>
      <c r="C102" s="50"/>
      <c r="D102" s="50"/>
      <c r="E102" s="50"/>
      <c r="F102" s="50"/>
      <c r="G102" s="50"/>
      <c r="H102" s="50"/>
      <c r="I102" s="50"/>
      <c r="J102" s="50"/>
      <c r="K102" s="581">
        <f xml:space="preserve">   0.6%</f>
        <v>6.0000000000000001E-3</v>
      </c>
      <c r="L102" s="581">
        <f xml:space="preserve"> 69.1%</f>
        <v>0.69099999999999995</v>
      </c>
      <c r="M102" s="581">
        <f xml:space="preserve"> 69.7%</f>
        <v>0.69700000000000006</v>
      </c>
      <c r="N102" s="50"/>
      <c r="O102" s="50"/>
      <c r="P102" s="50"/>
      <c r="Q102" s="147">
        <f xml:space="preserve"> 32%</f>
        <v>0.32</v>
      </c>
      <c r="R102" s="514">
        <v>0.16</v>
      </c>
      <c r="S102" s="147">
        <v>0.15</v>
      </c>
      <c r="T102" s="147">
        <v>7.0000000000000007E-2</v>
      </c>
      <c r="U102" s="147">
        <v>0.04</v>
      </c>
      <c r="V102" s="581"/>
      <c r="W102" s="581"/>
      <c r="X102" s="147"/>
      <c r="Y102" s="581"/>
      <c r="Z102" s="581"/>
      <c r="AA102" s="581"/>
      <c r="AB102" s="581"/>
      <c r="AC102" s="581"/>
      <c r="AD102" s="581"/>
      <c r="AE102" s="147"/>
      <c r="AF102" s="581"/>
      <c r="AG102" s="581"/>
      <c r="AH102" s="147">
        <v>0.79</v>
      </c>
      <c r="AI102" s="581">
        <v>0.13300000000000001</v>
      </c>
      <c r="AJ102" s="581">
        <f xml:space="preserve"> 19.8%</f>
        <v>0.19800000000000001</v>
      </c>
      <c r="AK102" s="581">
        <f xml:space="preserve"> 50.2%</f>
        <v>0.502</v>
      </c>
      <c r="AL102" s="581"/>
      <c r="AM102" s="581"/>
      <c r="AV102" s="95"/>
      <c r="AY102" s="62"/>
      <c r="AZ102" s="62"/>
      <c r="BA102" s="95"/>
      <c r="BD102" s="62"/>
      <c r="BE102" s="62"/>
      <c r="BF102" s="95"/>
      <c r="BG102" s="62"/>
      <c r="BH102" s="14"/>
      <c r="BI102" s="62"/>
      <c r="BJ102" s="62"/>
      <c r="BK102" s="95"/>
    </row>
    <row r="103" spans="1:63" ht="15" customHeight="1" x14ac:dyDescent="0.2">
      <c r="A103" s="50">
        <v>100</v>
      </c>
      <c r="B103" s="50"/>
      <c r="C103" s="50"/>
      <c r="D103" s="50"/>
      <c r="E103" s="50"/>
      <c r="F103" s="50"/>
      <c r="G103" s="50"/>
      <c r="H103" s="50"/>
      <c r="I103" s="50"/>
      <c r="J103" s="50"/>
      <c r="K103" s="670">
        <v>0</v>
      </c>
      <c r="L103" s="581">
        <f xml:space="preserve"> 70%</f>
        <v>0.7</v>
      </c>
      <c r="M103" s="581">
        <f xml:space="preserve"> 70%</f>
        <v>0.7</v>
      </c>
      <c r="N103" s="50"/>
      <c r="O103" s="50"/>
      <c r="P103" s="50"/>
      <c r="Q103" s="147">
        <f xml:space="preserve"> 32%</f>
        <v>0.32</v>
      </c>
      <c r="R103" s="514">
        <v>0.16</v>
      </c>
      <c r="S103" s="147">
        <v>0.15</v>
      </c>
      <c r="T103" s="147">
        <v>7.0000000000000007E-2</v>
      </c>
      <c r="U103" s="147">
        <v>0.04</v>
      </c>
      <c r="V103" s="581"/>
      <c r="W103" s="581"/>
      <c r="X103" s="147"/>
      <c r="Y103" s="581"/>
      <c r="Z103" s="581"/>
      <c r="AA103" s="581"/>
      <c r="AB103" s="581"/>
      <c r="AC103" s="581"/>
      <c r="AD103" s="581"/>
      <c r="AE103" s="147"/>
      <c r="AF103" s="581"/>
      <c r="AG103" s="581"/>
      <c r="AH103" s="147">
        <f xml:space="preserve">  79%</f>
        <v>0.79</v>
      </c>
      <c r="AI103" s="581">
        <v>0.13</v>
      </c>
      <c r="AJ103" s="581">
        <f xml:space="preserve"> 20%</f>
        <v>0.2</v>
      </c>
      <c r="AK103" s="581">
        <f xml:space="preserve"> 50%</f>
        <v>0.5</v>
      </c>
      <c r="AL103" s="581"/>
      <c r="AM103" s="581"/>
      <c r="AY103" s="62"/>
      <c r="AZ103" s="62"/>
      <c r="BD103" s="62"/>
      <c r="BE103" s="62"/>
      <c r="BG103" s="62"/>
      <c r="BH103" s="14"/>
      <c r="BI103" s="62"/>
      <c r="BJ103" s="62"/>
    </row>
    <row r="104" spans="1:63" ht="15" customHeight="1" x14ac:dyDescent="0.2">
      <c r="A104" s="50">
        <v>101</v>
      </c>
      <c r="B104" s="50"/>
      <c r="C104" s="50"/>
      <c r="D104" s="50"/>
      <c r="E104" s="50"/>
      <c r="F104" s="50"/>
      <c r="G104" s="50"/>
      <c r="H104" s="50"/>
      <c r="I104" s="50"/>
      <c r="J104" s="50"/>
      <c r="K104" s="581"/>
      <c r="L104" s="581"/>
      <c r="M104" s="581"/>
      <c r="N104" s="50"/>
      <c r="O104" s="50"/>
      <c r="P104" s="50"/>
      <c r="Q104" s="147"/>
      <c r="R104" s="147"/>
      <c r="S104" s="147"/>
      <c r="T104" s="147"/>
      <c r="U104" s="147"/>
      <c r="V104" s="581"/>
      <c r="W104" s="581"/>
      <c r="X104" s="147"/>
      <c r="Y104" s="581"/>
      <c r="Z104" s="581"/>
      <c r="AA104" s="581"/>
      <c r="AB104" s="581"/>
      <c r="AC104" s="581"/>
      <c r="AD104" s="581"/>
      <c r="AE104" s="147"/>
      <c r="AF104" s="581"/>
      <c r="AG104" s="581"/>
      <c r="AH104" s="147"/>
      <c r="AI104" s="581">
        <v>0.127</v>
      </c>
      <c r="AJ104" s="581">
        <f xml:space="preserve"> 20.2%</f>
        <v>0.20199999999999999</v>
      </c>
      <c r="AK104" s="581">
        <f xml:space="preserve"> 50.9%</f>
        <v>0.50900000000000001</v>
      </c>
      <c r="AL104" s="581"/>
      <c r="AM104" s="581"/>
      <c r="AY104" s="62"/>
      <c r="AZ104" s="62"/>
      <c r="BD104" s="62"/>
      <c r="BE104" s="62"/>
      <c r="BG104" s="62"/>
      <c r="BH104" s="14"/>
      <c r="BI104" s="62"/>
      <c r="BJ104" s="62"/>
    </row>
    <row r="105" spans="1:63" ht="15" customHeight="1" x14ac:dyDescent="0.2">
      <c r="A105" s="50">
        <v>102</v>
      </c>
      <c r="B105" s="50"/>
      <c r="C105" s="50"/>
      <c r="D105" s="50"/>
      <c r="E105" s="50"/>
      <c r="F105" s="50"/>
      <c r="G105" s="50"/>
      <c r="H105" s="50"/>
      <c r="I105" s="50"/>
      <c r="J105" s="50"/>
      <c r="K105" s="581"/>
      <c r="L105" s="581"/>
      <c r="M105" s="581"/>
      <c r="N105" s="50"/>
      <c r="O105" s="50"/>
      <c r="P105" s="50"/>
      <c r="Q105" s="147"/>
      <c r="R105" s="147"/>
      <c r="S105" s="147"/>
      <c r="T105" s="147"/>
      <c r="U105" s="147"/>
      <c r="V105" s="581"/>
      <c r="W105" s="581"/>
      <c r="X105" s="147"/>
      <c r="Y105" s="581"/>
      <c r="Z105" s="581"/>
      <c r="AA105" s="581"/>
      <c r="AB105" s="581"/>
      <c r="AC105" s="581"/>
      <c r="AD105" s="581"/>
      <c r="AE105" s="147"/>
      <c r="AF105" s="581"/>
      <c r="AG105" s="581"/>
      <c r="AH105" s="147"/>
      <c r="AI105" s="581">
        <v>0.124</v>
      </c>
      <c r="AJ105" s="581">
        <f xml:space="preserve"> 20.4%</f>
        <v>0.20399999999999999</v>
      </c>
      <c r="AK105" s="581">
        <f xml:space="preserve"> 51.8%</f>
        <v>0.51800000000000002</v>
      </c>
      <c r="AL105" s="581"/>
      <c r="AM105" s="581"/>
      <c r="AV105" s="95"/>
      <c r="AY105" s="62"/>
      <c r="AZ105" s="62"/>
      <c r="BA105" s="95"/>
      <c r="BD105" s="62"/>
      <c r="BE105" s="62"/>
      <c r="BF105" s="95"/>
      <c r="BG105" s="62"/>
      <c r="BH105" s="14"/>
      <c r="BI105" s="62"/>
      <c r="BJ105" s="62"/>
      <c r="BK105" s="95"/>
    </row>
    <row r="106" spans="1:63" ht="15" customHeight="1" x14ac:dyDescent="0.2">
      <c r="A106" s="50">
        <v>103</v>
      </c>
      <c r="B106" s="50"/>
      <c r="C106" s="50"/>
      <c r="D106" s="50"/>
      <c r="E106" s="50"/>
      <c r="F106" s="50"/>
      <c r="G106" s="50"/>
      <c r="H106" s="50"/>
      <c r="I106" s="50"/>
      <c r="J106" s="50"/>
      <c r="K106" s="581"/>
      <c r="L106" s="581"/>
      <c r="M106" s="581"/>
      <c r="N106" s="50"/>
      <c r="O106" s="50"/>
      <c r="P106" s="50"/>
      <c r="Q106" s="147"/>
      <c r="R106" s="147"/>
      <c r="S106" s="147"/>
      <c r="T106" s="147"/>
      <c r="U106" s="147"/>
      <c r="V106" s="581"/>
      <c r="W106" s="581"/>
      <c r="X106" s="147"/>
      <c r="Y106" s="581"/>
      <c r="Z106" s="581"/>
      <c r="AA106" s="581"/>
      <c r="AB106" s="581"/>
      <c r="AC106" s="581"/>
      <c r="AD106" s="581"/>
      <c r="AE106" s="147"/>
      <c r="AF106" s="581"/>
      <c r="AG106" s="581"/>
      <c r="AH106" s="147"/>
      <c r="AI106" s="581">
        <v>0.121</v>
      </c>
      <c r="AJ106" s="581">
        <f xml:space="preserve"> 20.6%</f>
        <v>0.20600000000000002</v>
      </c>
      <c r="AK106" s="581">
        <f xml:space="preserve"> 52.7%</f>
        <v>0.52700000000000002</v>
      </c>
      <c r="AL106" s="581"/>
      <c r="AM106" s="581"/>
      <c r="AV106" s="95"/>
      <c r="AY106" s="62"/>
      <c r="AZ106" s="62"/>
      <c r="BA106" s="95"/>
      <c r="BD106" s="62"/>
      <c r="BE106" s="62"/>
      <c r="BF106" s="95"/>
      <c r="BG106" s="62"/>
      <c r="BH106" s="14"/>
      <c r="BI106" s="62"/>
      <c r="BJ106" s="62"/>
      <c r="BK106" s="95"/>
    </row>
    <row r="107" spans="1:63" ht="15" customHeight="1" x14ac:dyDescent="0.2">
      <c r="A107" s="50">
        <v>104</v>
      </c>
      <c r="B107" s="50"/>
      <c r="C107" s="50"/>
      <c r="D107" s="50"/>
      <c r="E107" s="50"/>
      <c r="F107" s="50"/>
      <c r="G107" s="50"/>
      <c r="H107" s="50"/>
      <c r="I107" s="50"/>
      <c r="J107" s="50"/>
      <c r="K107" s="581"/>
      <c r="L107" s="581"/>
      <c r="M107" s="581"/>
      <c r="N107" s="50"/>
      <c r="O107" s="50"/>
      <c r="P107" s="50"/>
      <c r="Q107" s="147"/>
      <c r="R107" s="147"/>
      <c r="S107" s="147"/>
      <c r="T107" s="147"/>
      <c r="U107" s="147"/>
      <c r="V107" s="581"/>
      <c r="W107" s="581"/>
      <c r="X107" s="147"/>
      <c r="Y107" s="581"/>
      <c r="Z107" s="581"/>
      <c r="AA107" s="581"/>
      <c r="AB107" s="581"/>
      <c r="AC107" s="581"/>
      <c r="AD107" s="581"/>
      <c r="AE107" s="147"/>
      <c r="AF107" s="581"/>
      <c r="AG107" s="581"/>
      <c r="AH107" s="147"/>
      <c r="AI107" s="581">
        <v>0.11799999999999999</v>
      </c>
      <c r="AJ107" s="581">
        <f xml:space="preserve"> 20.8%</f>
        <v>0.20800000000000002</v>
      </c>
      <c r="AK107" s="581">
        <f xml:space="preserve"> 53.6%</f>
        <v>0.53600000000000003</v>
      </c>
      <c r="AL107" s="581"/>
      <c r="AM107" s="581"/>
      <c r="AV107" s="95"/>
      <c r="AY107" s="62"/>
      <c r="AZ107" s="62"/>
      <c r="BA107" s="95"/>
      <c r="BD107" s="62"/>
      <c r="BE107" s="62"/>
      <c r="BF107" s="95"/>
      <c r="BG107" s="62"/>
      <c r="BH107" s="14"/>
      <c r="BI107" s="62"/>
      <c r="BJ107" s="62"/>
      <c r="BK107" s="95"/>
    </row>
    <row r="108" spans="1:63" ht="15" customHeight="1" x14ac:dyDescent="0.2">
      <c r="A108" s="50">
        <v>105</v>
      </c>
      <c r="B108" s="50"/>
      <c r="C108" s="50"/>
      <c r="D108" s="50"/>
      <c r="E108" s="50"/>
      <c r="F108" s="50"/>
      <c r="G108" s="50"/>
      <c r="H108" s="50"/>
      <c r="I108" s="50"/>
      <c r="J108" s="50"/>
      <c r="K108" s="581"/>
      <c r="L108" s="581"/>
      <c r="M108" s="581"/>
      <c r="N108" s="50"/>
      <c r="O108" s="50"/>
      <c r="P108" s="50"/>
      <c r="Q108" s="147"/>
      <c r="R108" s="147"/>
      <c r="S108" s="147"/>
      <c r="T108" s="147"/>
      <c r="U108" s="147"/>
      <c r="V108" s="581"/>
      <c r="W108" s="581"/>
      <c r="X108" s="147"/>
      <c r="Y108" s="581"/>
      <c r="Z108" s="581"/>
      <c r="AA108" s="581"/>
      <c r="AB108" s="581"/>
      <c r="AC108" s="581"/>
      <c r="AD108" s="581"/>
      <c r="AE108" s="147"/>
      <c r="AF108" s="581"/>
      <c r="AG108" s="581"/>
      <c r="AH108" s="147"/>
      <c r="AI108" s="581">
        <v>0.115</v>
      </c>
      <c r="AJ108" s="581">
        <f xml:space="preserve"> 21%</f>
        <v>0.21</v>
      </c>
      <c r="AK108" s="581">
        <f xml:space="preserve"> 54.5%</f>
        <v>0.54500000000000004</v>
      </c>
      <c r="AL108" s="581"/>
      <c r="AM108" s="581"/>
      <c r="AY108" s="62"/>
      <c r="AZ108" s="62"/>
      <c r="BD108" s="62"/>
      <c r="BE108" s="62"/>
      <c r="BG108" s="62"/>
      <c r="BH108" s="14"/>
      <c r="BI108" s="62"/>
      <c r="BJ108" s="62"/>
    </row>
    <row r="109" spans="1:63" ht="15" customHeight="1" x14ac:dyDescent="0.2">
      <c r="A109" s="50">
        <v>106</v>
      </c>
      <c r="B109" s="50"/>
      <c r="C109" s="50"/>
      <c r="D109" s="50"/>
      <c r="E109" s="50"/>
      <c r="F109" s="50"/>
      <c r="G109" s="50"/>
      <c r="H109" s="50"/>
      <c r="I109" s="50"/>
      <c r="J109" s="50"/>
      <c r="K109" s="581"/>
      <c r="L109" s="581"/>
      <c r="M109" s="581"/>
      <c r="N109" s="50"/>
      <c r="O109" s="50"/>
      <c r="P109" s="50"/>
      <c r="Q109" s="147"/>
      <c r="R109" s="147"/>
      <c r="S109" s="147"/>
      <c r="T109" s="147"/>
      <c r="U109" s="147"/>
      <c r="V109" s="581"/>
      <c r="W109" s="581"/>
      <c r="X109" s="147"/>
      <c r="Y109" s="581"/>
      <c r="Z109" s="581"/>
      <c r="AA109" s="581"/>
      <c r="AB109" s="581"/>
      <c r="AC109" s="581"/>
      <c r="AD109" s="581"/>
      <c r="AE109" s="147"/>
      <c r="AF109" s="581"/>
      <c r="AG109" s="581"/>
      <c r="AH109" s="147"/>
      <c r="AI109" s="581">
        <v>0.112</v>
      </c>
      <c r="AJ109" s="581">
        <f xml:space="preserve"> 21.2%</f>
        <v>0.21199999999999999</v>
      </c>
      <c r="AK109" s="581">
        <f xml:space="preserve"> 55.4%</f>
        <v>0.55399999999999994</v>
      </c>
      <c r="AL109" s="581"/>
      <c r="AM109" s="581"/>
      <c r="AY109" s="62"/>
      <c r="AZ109" s="62"/>
      <c r="BD109" s="62"/>
      <c r="BE109" s="62"/>
      <c r="BG109" s="62"/>
      <c r="BH109" s="14"/>
      <c r="BI109" s="62"/>
      <c r="BJ109" s="62"/>
    </row>
    <row r="110" spans="1:63" ht="15" customHeight="1" x14ac:dyDescent="0.2">
      <c r="A110" s="50">
        <v>107</v>
      </c>
      <c r="B110" s="50"/>
      <c r="C110" s="50"/>
      <c r="D110" s="50"/>
      <c r="E110" s="50"/>
      <c r="F110" s="50"/>
      <c r="G110" s="50"/>
      <c r="H110" s="50"/>
      <c r="I110" s="50"/>
      <c r="J110" s="50"/>
      <c r="K110" s="581"/>
      <c r="L110" s="581"/>
      <c r="M110" s="581"/>
      <c r="N110" s="50"/>
      <c r="O110" s="50"/>
      <c r="P110" s="50"/>
      <c r="Q110" s="147"/>
      <c r="R110" s="147"/>
      <c r="S110" s="147"/>
      <c r="T110" s="147"/>
      <c r="U110" s="147"/>
      <c r="V110" s="581"/>
      <c r="W110" s="581"/>
      <c r="X110" s="147"/>
      <c r="Y110" s="581"/>
      <c r="Z110" s="581"/>
      <c r="AA110" s="581"/>
      <c r="AB110" s="581"/>
      <c r="AC110" s="581"/>
      <c r="AD110" s="581"/>
      <c r="AE110" s="147"/>
      <c r="AF110" s="581"/>
      <c r="AG110" s="581"/>
      <c r="AH110" s="147"/>
      <c r="AI110" s="581">
        <v>0.109</v>
      </c>
      <c r="AJ110" s="581">
        <f xml:space="preserve"> 21.4%</f>
        <v>0.214</v>
      </c>
      <c r="AK110" s="581">
        <f xml:space="preserve"> 56.3%</f>
        <v>0.56299999999999994</v>
      </c>
      <c r="AL110" s="581"/>
      <c r="AM110" s="581"/>
      <c r="AV110" s="95"/>
      <c r="AY110" s="62"/>
      <c r="AZ110" s="62"/>
      <c r="BA110" s="95"/>
      <c r="BD110" s="62"/>
      <c r="BE110" s="62"/>
      <c r="BF110" s="95"/>
      <c r="BG110" s="62"/>
      <c r="BH110" s="14"/>
      <c r="BI110" s="62"/>
      <c r="BJ110" s="62"/>
      <c r="BK110" s="95"/>
    </row>
    <row r="111" spans="1:63" ht="15" customHeight="1" x14ac:dyDescent="0.2">
      <c r="A111" s="50">
        <v>108</v>
      </c>
      <c r="B111" s="50"/>
      <c r="C111" s="50"/>
      <c r="D111" s="50"/>
      <c r="E111" s="50"/>
      <c r="F111" s="50"/>
      <c r="G111" s="50"/>
      <c r="H111" s="50"/>
      <c r="I111" s="50"/>
      <c r="J111" s="50"/>
      <c r="K111" s="581"/>
      <c r="L111" s="581"/>
      <c r="M111" s="581"/>
      <c r="N111" s="50"/>
      <c r="O111" s="50"/>
      <c r="P111" s="50"/>
      <c r="Q111" s="147"/>
      <c r="R111" s="147"/>
      <c r="S111" s="147"/>
      <c r="T111" s="147"/>
      <c r="U111" s="147"/>
      <c r="V111" s="581"/>
      <c r="W111" s="581"/>
      <c r="X111" s="147"/>
      <c r="Y111" s="581"/>
      <c r="Z111" s="581"/>
      <c r="AA111" s="581"/>
      <c r="AB111" s="581"/>
      <c r="AC111" s="581"/>
      <c r="AD111" s="581"/>
      <c r="AE111" s="147"/>
      <c r="AF111" s="581"/>
      <c r="AG111" s="581"/>
      <c r="AH111" s="147"/>
      <c r="AI111" s="581">
        <v>0.106</v>
      </c>
      <c r="AJ111" s="581">
        <f xml:space="preserve"> 21.6%</f>
        <v>0.21600000000000003</v>
      </c>
      <c r="AK111" s="581">
        <f xml:space="preserve"> 57.2%</f>
        <v>0.57200000000000006</v>
      </c>
      <c r="AL111" s="581"/>
      <c r="AM111" s="581"/>
      <c r="AV111" s="95"/>
      <c r="AY111" s="62"/>
      <c r="AZ111" s="62"/>
      <c r="BA111" s="95"/>
      <c r="BD111" s="62"/>
      <c r="BE111" s="62"/>
      <c r="BF111" s="95"/>
      <c r="BG111" s="62"/>
      <c r="BH111" s="14"/>
      <c r="BI111" s="62"/>
      <c r="BJ111" s="62"/>
      <c r="BK111" s="95"/>
    </row>
    <row r="112" spans="1:63" ht="15" customHeight="1" x14ac:dyDescent="0.2">
      <c r="A112" s="50">
        <v>109</v>
      </c>
      <c r="B112" s="50"/>
      <c r="C112" s="50"/>
      <c r="D112" s="50"/>
      <c r="E112" s="50"/>
      <c r="F112" s="50"/>
      <c r="G112" s="50"/>
      <c r="H112" s="50"/>
      <c r="I112" s="50"/>
      <c r="J112" s="50"/>
      <c r="K112" s="581"/>
      <c r="L112" s="581"/>
      <c r="M112" s="581"/>
      <c r="N112" s="50"/>
      <c r="O112" s="50"/>
      <c r="P112" s="50"/>
      <c r="Q112" s="147"/>
      <c r="R112" s="147"/>
      <c r="S112" s="147"/>
      <c r="T112" s="147"/>
      <c r="U112" s="147"/>
      <c r="V112" s="581"/>
      <c r="W112" s="581"/>
      <c r="X112" s="147"/>
      <c r="Y112" s="581"/>
      <c r="Z112" s="581"/>
      <c r="AA112" s="581"/>
      <c r="AB112" s="581"/>
      <c r="AC112" s="581"/>
      <c r="AD112" s="581"/>
      <c r="AE112" s="147"/>
      <c r="AF112" s="581"/>
      <c r="AG112" s="581"/>
      <c r="AH112" s="147"/>
      <c r="AI112" s="581">
        <v>0.10299999999999999</v>
      </c>
      <c r="AJ112" s="581">
        <f xml:space="preserve"> 21.8%</f>
        <v>0.218</v>
      </c>
      <c r="AK112" s="581">
        <f xml:space="preserve"> 58.1%</f>
        <v>0.58099999999999996</v>
      </c>
      <c r="AL112" s="581"/>
      <c r="AM112" s="581"/>
      <c r="AV112" s="95"/>
      <c r="AY112" s="62"/>
      <c r="AZ112" s="62"/>
      <c r="BA112" s="95"/>
      <c r="BD112" s="62"/>
      <c r="BE112" s="62"/>
      <c r="BF112" s="95"/>
      <c r="BG112" s="62"/>
      <c r="BH112" s="14"/>
      <c r="BI112" s="62"/>
      <c r="BJ112" s="62"/>
      <c r="BK112" s="95"/>
    </row>
    <row r="113" spans="1:63" ht="15" customHeight="1" x14ac:dyDescent="0.2">
      <c r="A113" s="50">
        <v>110</v>
      </c>
      <c r="B113" s="50"/>
      <c r="C113" s="50"/>
      <c r="D113" s="50"/>
      <c r="E113" s="50"/>
      <c r="F113" s="50"/>
      <c r="G113" s="50"/>
      <c r="H113" s="50"/>
      <c r="I113" s="50"/>
      <c r="J113" s="50"/>
      <c r="K113" s="581"/>
      <c r="L113" s="581"/>
      <c r="M113" s="581"/>
      <c r="N113" s="50"/>
      <c r="O113" s="50"/>
      <c r="P113" s="50"/>
      <c r="Q113" s="147"/>
      <c r="R113" s="147"/>
      <c r="S113" s="147"/>
      <c r="T113" s="147"/>
      <c r="U113" s="147"/>
      <c r="V113" s="581"/>
      <c r="W113" s="581"/>
      <c r="X113" s="147"/>
      <c r="Y113" s="581"/>
      <c r="Z113" s="581"/>
      <c r="AA113" s="581"/>
      <c r="AB113" s="581"/>
      <c r="AC113" s="581"/>
      <c r="AD113" s="581"/>
      <c r="AE113" s="147"/>
      <c r="AF113" s="581"/>
      <c r="AG113" s="581"/>
      <c r="AH113" s="147"/>
      <c r="AI113" s="581">
        <v>0.1</v>
      </c>
      <c r="AJ113" s="581">
        <f xml:space="preserve"> 22%</f>
        <v>0.22</v>
      </c>
      <c r="AK113" s="581">
        <f xml:space="preserve"> 59%</f>
        <v>0.59</v>
      </c>
      <c r="AL113" s="581"/>
      <c r="AM113" s="581"/>
      <c r="AY113" s="62"/>
      <c r="AZ113" s="62"/>
      <c r="BD113" s="62"/>
      <c r="BE113" s="62"/>
      <c r="BG113" s="62"/>
      <c r="BH113" s="14"/>
      <c r="BI113" s="62"/>
      <c r="BJ113" s="62"/>
    </row>
    <row r="114" spans="1:63" ht="15" customHeight="1" x14ac:dyDescent="0.2">
      <c r="A114" s="50">
        <v>111</v>
      </c>
      <c r="B114" s="50"/>
      <c r="C114" s="50"/>
      <c r="D114" s="50"/>
      <c r="E114" s="50"/>
      <c r="F114" s="50"/>
      <c r="G114" s="50"/>
      <c r="H114" s="50"/>
      <c r="I114" s="50"/>
      <c r="J114" s="50"/>
      <c r="K114" s="581"/>
      <c r="L114" s="581"/>
      <c r="M114" s="581"/>
      <c r="N114" s="50"/>
      <c r="O114" s="50"/>
      <c r="P114" s="50"/>
      <c r="Q114" s="147"/>
      <c r="R114" s="147"/>
      <c r="S114" s="147"/>
      <c r="T114" s="147"/>
      <c r="U114" s="147"/>
      <c r="V114" s="581"/>
      <c r="W114" s="581"/>
      <c r="X114" s="147"/>
      <c r="Y114" s="581"/>
      <c r="Z114" s="581"/>
      <c r="AA114" s="581"/>
      <c r="AB114" s="581"/>
      <c r="AC114" s="581"/>
      <c r="AD114" s="581"/>
      <c r="AE114" s="147"/>
      <c r="AF114" s="581"/>
      <c r="AG114" s="581"/>
      <c r="AH114" s="147"/>
      <c r="AI114" s="581">
        <v>9.8000000000000004E-2</v>
      </c>
      <c r="AJ114" s="581">
        <f xml:space="preserve"> 22.2%</f>
        <v>0.222</v>
      </c>
      <c r="AK114" s="581">
        <f xml:space="preserve"> 59.9%</f>
        <v>0.59899999999999998</v>
      </c>
      <c r="AL114" s="581"/>
      <c r="AM114" s="581"/>
      <c r="AY114" s="62"/>
      <c r="AZ114" s="62"/>
      <c r="BD114" s="62"/>
      <c r="BE114" s="62"/>
      <c r="BG114" s="62"/>
      <c r="BH114" s="14"/>
      <c r="BI114" s="62"/>
      <c r="BJ114" s="62"/>
    </row>
    <row r="115" spans="1:63" ht="15" customHeight="1" x14ac:dyDescent="0.2">
      <c r="A115" s="50">
        <v>112</v>
      </c>
      <c r="B115" s="50"/>
      <c r="C115" s="50"/>
      <c r="D115" s="50"/>
      <c r="E115" s="50"/>
      <c r="F115" s="50"/>
      <c r="G115" s="50"/>
      <c r="H115" s="50"/>
      <c r="I115" s="50"/>
      <c r="J115" s="50"/>
      <c r="K115" s="581"/>
      <c r="L115" s="581"/>
      <c r="M115" s="581"/>
      <c r="N115" s="50"/>
      <c r="O115" s="50"/>
      <c r="P115" s="50"/>
      <c r="Q115" s="147"/>
      <c r="R115" s="147"/>
      <c r="S115" s="147"/>
      <c r="T115" s="147"/>
      <c r="U115" s="147"/>
      <c r="V115" s="581"/>
      <c r="W115" s="581"/>
      <c r="X115" s="147"/>
      <c r="Y115" s="581"/>
      <c r="Z115" s="581"/>
      <c r="AA115" s="581"/>
      <c r="AB115" s="581"/>
      <c r="AC115" s="581"/>
      <c r="AD115" s="581"/>
      <c r="AE115" s="147"/>
      <c r="AF115" s="581"/>
      <c r="AG115" s="581"/>
      <c r="AH115" s="147"/>
      <c r="AI115" s="581">
        <v>9.6000000000000002E-2</v>
      </c>
      <c r="AJ115" s="581">
        <f xml:space="preserve"> 22.4%</f>
        <v>0.22399999999999998</v>
      </c>
      <c r="AK115" s="581">
        <f xml:space="preserve"> 60.8%</f>
        <v>0.60799999999999998</v>
      </c>
      <c r="AL115" s="581"/>
      <c r="AM115" s="581"/>
      <c r="AV115" s="95"/>
      <c r="AY115" s="62"/>
      <c r="AZ115" s="62"/>
      <c r="BA115" s="95"/>
      <c r="BD115" s="62"/>
      <c r="BE115" s="62"/>
      <c r="BF115" s="95"/>
      <c r="BG115" s="62"/>
      <c r="BH115" s="14"/>
      <c r="BI115" s="62"/>
      <c r="BJ115" s="62"/>
      <c r="BK115" s="95"/>
    </row>
    <row r="116" spans="1:63" ht="15" customHeight="1" x14ac:dyDescent="0.2">
      <c r="A116" s="50">
        <v>113</v>
      </c>
      <c r="B116" s="50"/>
      <c r="C116" s="50"/>
      <c r="D116" s="50"/>
      <c r="E116" s="50"/>
      <c r="F116" s="50"/>
      <c r="G116" s="50"/>
      <c r="H116" s="50"/>
      <c r="I116" s="50"/>
      <c r="J116" s="50"/>
      <c r="K116" s="581"/>
      <c r="L116" s="581"/>
      <c r="M116" s="581"/>
      <c r="N116" s="50"/>
      <c r="O116" s="50"/>
      <c r="P116" s="50"/>
      <c r="Q116" s="147"/>
      <c r="R116" s="147"/>
      <c r="S116" s="147"/>
      <c r="T116" s="147"/>
      <c r="U116" s="147"/>
      <c r="V116" s="581"/>
      <c r="W116" s="581"/>
      <c r="X116" s="147"/>
      <c r="Y116" s="581"/>
      <c r="Z116" s="581"/>
      <c r="AA116" s="581"/>
      <c r="AB116" s="581"/>
      <c r="AC116" s="581"/>
      <c r="AD116" s="581"/>
      <c r="AE116" s="147"/>
      <c r="AF116" s="581"/>
      <c r="AG116" s="581"/>
      <c r="AH116" s="147"/>
      <c r="AI116" s="581">
        <v>9.4E-2</v>
      </c>
      <c r="AJ116" s="581">
        <f xml:space="preserve"> 22.6%</f>
        <v>0.22600000000000001</v>
      </c>
      <c r="AK116" s="581">
        <f xml:space="preserve"> 61.7%</f>
        <v>0.61699999999999999</v>
      </c>
      <c r="AL116" s="581"/>
      <c r="AM116" s="581"/>
      <c r="AV116" s="95"/>
      <c r="AY116" s="62"/>
      <c r="AZ116" s="62"/>
      <c r="BA116" s="95"/>
      <c r="BD116" s="62"/>
      <c r="BE116" s="62"/>
      <c r="BF116" s="95"/>
      <c r="BG116" s="62"/>
      <c r="BH116" s="14"/>
      <c r="BI116" s="62"/>
      <c r="BJ116" s="62"/>
      <c r="BK116" s="95"/>
    </row>
    <row r="117" spans="1:63" ht="15" customHeight="1" x14ac:dyDescent="0.2">
      <c r="A117" s="50">
        <v>114</v>
      </c>
      <c r="B117" s="50"/>
      <c r="C117" s="50"/>
      <c r="D117" s="50"/>
      <c r="E117" s="50"/>
      <c r="F117" s="50"/>
      <c r="G117" s="50"/>
      <c r="H117" s="50"/>
      <c r="I117" s="50"/>
      <c r="J117" s="50"/>
      <c r="K117" s="581"/>
      <c r="L117" s="581"/>
      <c r="M117" s="581"/>
      <c r="N117" s="50"/>
      <c r="O117" s="50"/>
      <c r="P117" s="50"/>
      <c r="Q117" s="147"/>
      <c r="R117" s="147"/>
      <c r="S117" s="147"/>
      <c r="T117" s="147"/>
      <c r="U117" s="147"/>
      <c r="V117" s="581"/>
      <c r="W117" s="581"/>
      <c r="X117" s="147"/>
      <c r="Y117" s="581"/>
      <c r="Z117" s="581"/>
      <c r="AA117" s="581"/>
      <c r="AB117" s="581"/>
      <c r="AC117" s="581"/>
      <c r="AD117" s="581"/>
      <c r="AE117" s="147"/>
      <c r="AF117" s="581"/>
      <c r="AG117" s="581"/>
      <c r="AH117" s="147"/>
      <c r="AI117" s="581">
        <v>9.1999999999999998E-2</v>
      </c>
      <c r="AJ117" s="581">
        <f xml:space="preserve"> 22.8%</f>
        <v>0.22800000000000001</v>
      </c>
      <c r="AK117" s="581">
        <f xml:space="preserve"> 62.6%</f>
        <v>0.626</v>
      </c>
      <c r="AL117" s="581"/>
      <c r="AM117" s="581"/>
      <c r="AV117" s="95"/>
      <c r="AY117" s="62"/>
      <c r="AZ117" s="62"/>
      <c r="BA117" s="95"/>
      <c r="BD117" s="62"/>
      <c r="BE117" s="62"/>
      <c r="BF117" s="95"/>
      <c r="BG117" s="62"/>
      <c r="BH117" s="14"/>
      <c r="BI117" s="62"/>
      <c r="BJ117" s="62"/>
      <c r="BK117" s="95"/>
    </row>
    <row r="118" spans="1:63" ht="15" customHeight="1" x14ac:dyDescent="0.2">
      <c r="A118" s="50">
        <v>115</v>
      </c>
      <c r="B118" s="50"/>
      <c r="C118" s="50"/>
      <c r="D118" s="50"/>
      <c r="E118" s="50"/>
      <c r="F118" s="50"/>
      <c r="G118" s="50"/>
      <c r="H118" s="50"/>
      <c r="I118" s="50"/>
      <c r="J118" s="50"/>
      <c r="K118" s="581"/>
      <c r="L118" s="581"/>
      <c r="M118" s="581"/>
      <c r="N118" s="50"/>
      <c r="O118" s="50"/>
      <c r="P118" s="50"/>
      <c r="Q118" s="147"/>
      <c r="R118" s="147"/>
      <c r="S118" s="147"/>
      <c r="T118" s="147"/>
      <c r="U118" s="147"/>
      <c r="V118" s="581"/>
      <c r="W118" s="581"/>
      <c r="X118" s="147"/>
      <c r="Y118" s="581"/>
      <c r="Z118" s="581"/>
      <c r="AA118" s="581"/>
      <c r="AB118" s="581"/>
      <c r="AC118" s="581"/>
      <c r="AD118" s="581"/>
      <c r="AE118" s="147"/>
      <c r="AF118" s="581"/>
      <c r="AG118" s="581"/>
      <c r="AH118" s="147"/>
      <c r="AI118" s="581">
        <v>0.09</v>
      </c>
      <c r="AJ118" s="581">
        <f xml:space="preserve"> 23%</f>
        <v>0.23</v>
      </c>
      <c r="AK118" s="581">
        <f xml:space="preserve"> 63.5%</f>
        <v>0.63500000000000001</v>
      </c>
      <c r="AL118" s="581"/>
      <c r="AM118" s="581"/>
      <c r="AY118" s="62"/>
      <c r="AZ118" s="62"/>
      <c r="BD118" s="62"/>
      <c r="BE118" s="62"/>
      <c r="BG118" s="62"/>
      <c r="BH118" s="14"/>
      <c r="BI118" s="62"/>
      <c r="BJ118" s="62"/>
    </row>
    <row r="119" spans="1:63" ht="15" customHeight="1" x14ac:dyDescent="0.2">
      <c r="A119" s="50">
        <v>116</v>
      </c>
      <c r="B119" s="50"/>
      <c r="C119" s="50"/>
      <c r="D119" s="50"/>
      <c r="E119" s="50"/>
      <c r="F119" s="50"/>
      <c r="G119" s="50"/>
      <c r="H119" s="50"/>
      <c r="I119" s="50"/>
      <c r="J119" s="50"/>
      <c r="K119" s="581"/>
      <c r="L119" s="581"/>
      <c r="M119" s="581"/>
      <c r="N119" s="50"/>
      <c r="O119" s="50"/>
      <c r="P119" s="50"/>
      <c r="Q119" s="147"/>
      <c r="R119" s="147"/>
      <c r="S119" s="147"/>
      <c r="T119" s="147"/>
      <c r="U119" s="147"/>
      <c r="V119" s="581"/>
      <c r="W119" s="581"/>
      <c r="X119" s="147"/>
      <c r="Y119" s="581"/>
      <c r="Z119" s="581"/>
      <c r="AA119" s="581"/>
      <c r="AB119" s="581"/>
      <c r="AC119" s="581"/>
      <c r="AD119" s="581"/>
      <c r="AE119" s="147"/>
      <c r="AF119" s="581"/>
      <c r="AG119" s="581"/>
      <c r="AH119" s="147"/>
      <c r="AI119" s="581">
        <v>8.7999999999999995E-2</v>
      </c>
      <c r="AJ119" s="581">
        <f xml:space="preserve"> 23.2%</f>
        <v>0.23199999999999998</v>
      </c>
      <c r="AK119" s="581">
        <f xml:space="preserve"> 64.4%</f>
        <v>0.64400000000000002</v>
      </c>
      <c r="AL119" s="581"/>
      <c r="AM119" s="581"/>
      <c r="AY119" s="62"/>
      <c r="AZ119" s="62"/>
      <c r="BD119" s="62"/>
      <c r="BE119" s="62"/>
      <c r="BG119" s="62"/>
      <c r="BH119" s="14"/>
      <c r="BI119" s="62"/>
      <c r="BJ119" s="62"/>
    </row>
    <row r="120" spans="1:63" ht="15" customHeight="1" x14ac:dyDescent="0.2">
      <c r="A120" s="50">
        <v>117</v>
      </c>
      <c r="B120" s="50"/>
      <c r="C120" s="50"/>
      <c r="D120" s="50"/>
      <c r="E120" s="50"/>
      <c r="F120" s="50"/>
      <c r="G120" s="50"/>
      <c r="H120" s="50"/>
      <c r="I120" s="50"/>
      <c r="J120" s="50"/>
      <c r="K120" s="581"/>
      <c r="L120" s="581"/>
      <c r="M120" s="581"/>
      <c r="N120" s="50"/>
      <c r="O120" s="50"/>
      <c r="P120" s="50"/>
      <c r="Q120" s="147"/>
      <c r="R120" s="147"/>
      <c r="S120" s="147"/>
      <c r="T120" s="147"/>
      <c r="U120" s="147"/>
      <c r="V120" s="581"/>
      <c r="W120" s="581"/>
      <c r="X120" s="147"/>
      <c r="Y120" s="581"/>
      <c r="Z120" s="581"/>
      <c r="AA120" s="581"/>
      <c r="AB120" s="581"/>
      <c r="AC120" s="581"/>
      <c r="AD120" s="581"/>
      <c r="AE120" s="147"/>
      <c r="AF120" s="581"/>
      <c r="AG120" s="581"/>
      <c r="AH120" s="147"/>
      <c r="AI120" s="581">
        <v>8.5999999999999993E-2</v>
      </c>
      <c r="AJ120" s="581">
        <f xml:space="preserve"> 23.4%</f>
        <v>0.23399999999999999</v>
      </c>
      <c r="AK120" s="581">
        <f xml:space="preserve"> 65.3%</f>
        <v>0.65300000000000002</v>
      </c>
      <c r="AL120" s="581"/>
      <c r="AM120" s="581"/>
      <c r="AV120" s="95"/>
      <c r="AY120" s="62"/>
      <c r="AZ120" s="62"/>
      <c r="BA120" s="95"/>
      <c r="BD120" s="62"/>
      <c r="BE120" s="62"/>
      <c r="BF120" s="95"/>
      <c r="BG120" s="62"/>
      <c r="BH120" s="14"/>
      <c r="BI120" s="62"/>
      <c r="BJ120" s="62"/>
      <c r="BK120" s="95"/>
    </row>
    <row r="121" spans="1:63" ht="15" customHeight="1" x14ac:dyDescent="0.2">
      <c r="A121" s="50">
        <v>118</v>
      </c>
      <c r="B121" s="50"/>
      <c r="C121" s="50"/>
      <c r="D121" s="50"/>
      <c r="E121" s="50"/>
      <c r="F121" s="50"/>
      <c r="G121" s="50"/>
      <c r="H121" s="50"/>
      <c r="I121" s="50"/>
      <c r="J121" s="50"/>
      <c r="K121" s="581"/>
      <c r="L121" s="581"/>
      <c r="M121" s="581"/>
      <c r="N121" s="50"/>
      <c r="O121" s="50"/>
      <c r="P121" s="50"/>
      <c r="Q121" s="147"/>
      <c r="R121" s="147"/>
      <c r="S121" s="147"/>
      <c r="T121" s="147"/>
      <c r="U121" s="147"/>
      <c r="V121" s="581"/>
      <c r="W121" s="581"/>
      <c r="X121" s="147"/>
      <c r="Y121" s="581"/>
      <c r="Z121" s="581"/>
      <c r="AA121" s="581"/>
      <c r="AB121" s="581"/>
      <c r="AC121" s="581"/>
      <c r="AD121" s="581"/>
      <c r="AE121" s="147"/>
      <c r="AF121" s="581"/>
      <c r="AG121" s="581"/>
      <c r="AH121" s="147"/>
      <c r="AI121" s="581">
        <v>8.4000000000000005E-2</v>
      </c>
      <c r="AJ121" s="581">
        <f xml:space="preserve"> 23.6%</f>
        <v>0.23600000000000002</v>
      </c>
      <c r="AK121" s="581">
        <f xml:space="preserve"> 66.2%</f>
        <v>0.66200000000000003</v>
      </c>
      <c r="AL121" s="581"/>
      <c r="AM121" s="581"/>
      <c r="AV121" s="95"/>
      <c r="AY121" s="62"/>
      <c r="AZ121" s="62"/>
      <c r="BA121" s="95"/>
      <c r="BD121" s="62"/>
      <c r="BE121" s="62"/>
      <c r="BF121" s="95"/>
      <c r="BG121" s="62"/>
      <c r="BH121" s="14"/>
      <c r="BI121" s="62"/>
      <c r="BJ121" s="62"/>
      <c r="BK121" s="95"/>
    </row>
    <row r="122" spans="1:63" ht="15" customHeight="1" x14ac:dyDescent="0.2">
      <c r="A122" s="50">
        <v>119</v>
      </c>
      <c r="B122" s="50"/>
      <c r="C122" s="50"/>
      <c r="D122" s="50"/>
      <c r="E122" s="50"/>
      <c r="F122" s="50"/>
      <c r="G122" s="50"/>
      <c r="H122" s="50"/>
      <c r="I122" s="50"/>
      <c r="J122" s="50"/>
      <c r="K122" s="581"/>
      <c r="L122" s="581"/>
      <c r="M122" s="581"/>
      <c r="N122" s="50"/>
      <c r="O122" s="50"/>
      <c r="P122" s="50"/>
      <c r="Q122" s="147"/>
      <c r="R122" s="147"/>
      <c r="S122" s="147"/>
      <c r="T122" s="147"/>
      <c r="U122" s="147"/>
      <c r="V122" s="581"/>
      <c r="W122" s="581"/>
      <c r="X122" s="147"/>
      <c r="Y122" s="581"/>
      <c r="Z122" s="581"/>
      <c r="AA122" s="581"/>
      <c r="AB122" s="581"/>
      <c r="AC122" s="581"/>
      <c r="AD122" s="581"/>
      <c r="AE122" s="147"/>
      <c r="AF122" s="581"/>
      <c r="AG122" s="581"/>
      <c r="AH122" s="147"/>
      <c r="AI122" s="581">
        <v>8.2000000000000003E-2</v>
      </c>
      <c r="AJ122" s="581">
        <f xml:space="preserve"> 23.8%</f>
        <v>0.23800000000000002</v>
      </c>
      <c r="AK122" s="581">
        <f xml:space="preserve"> 67.1%</f>
        <v>0.67099999999999993</v>
      </c>
      <c r="AL122" s="581"/>
      <c r="AM122" s="581"/>
      <c r="AV122" s="95"/>
      <c r="AY122" s="62"/>
      <c r="AZ122" s="62"/>
      <c r="BA122" s="95"/>
      <c r="BD122" s="62"/>
      <c r="BE122" s="62"/>
      <c r="BF122" s="95"/>
      <c r="BG122" s="62"/>
      <c r="BH122" s="14"/>
      <c r="BI122" s="62"/>
      <c r="BJ122" s="62"/>
      <c r="BK122" s="95"/>
    </row>
    <row r="123" spans="1:63" ht="15" customHeight="1" x14ac:dyDescent="0.2">
      <c r="A123" s="50">
        <v>120</v>
      </c>
      <c r="B123" s="50"/>
      <c r="C123" s="50"/>
      <c r="D123" s="50"/>
      <c r="E123" s="50"/>
      <c r="F123" s="50"/>
      <c r="G123" s="50"/>
      <c r="H123" s="50"/>
      <c r="I123" s="50"/>
      <c r="J123" s="50"/>
      <c r="K123" s="581"/>
      <c r="L123" s="581"/>
      <c r="M123" s="581"/>
      <c r="N123" s="50"/>
      <c r="O123" s="50"/>
      <c r="P123" s="50"/>
      <c r="Q123" s="147"/>
      <c r="R123" s="147"/>
      <c r="S123" s="147"/>
      <c r="T123" s="147"/>
      <c r="U123" s="147"/>
      <c r="V123" s="581"/>
      <c r="W123" s="581"/>
      <c r="X123" s="147"/>
      <c r="Y123" s="581"/>
      <c r="Z123" s="581"/>
      <c r="AA123" s="581"/>
      <c r="AB123" s="581"/>
      <c r="AC123" s="581"/>
      <c r="AD123" s="581"/>
      <c r="AE123" s="147"/>
      <c r="AF123" s="581"/>
      <c r="AG123" s="581"/>
      <c r="AH123" s="147"/>
      <c r="AI123" s="581">
        <v>0.08</v>
      </c>
      <c r="AJ123" s="581">
        <f xml:space="preserve"> 24%</f>
        <v>0.24</v>
      </c>
      <c r="AK123" s="581">
        <f xml:space="preserve"> 68%</f>
        <v>0.68</v>
      </c>
      <c r="AL123" s="581"/>
      <c r="AM123" s="581"/>
      <c r="AY123" s="62"/>
      <c r="AZ123" s="62"/>
      <c r="BD123" s="62"/>
      <c r="BE123" s="62"/>
      <c r="BG123" s="62"/>
      <c r="BH123" s="14"/>
      <c r="BI123" s="62"/>
      <c r="BJ123" s="62"/>
    </row>
    <row r="124" spans="1:63" ht="15" customHeight="1" x14ac:dyDescent="0.2">
      <c r="A124" s="50">
        <v>121</v>
      </c>
      <c r="B124" s="50"/>
      <c r="C124" s="50"/>
      <c r="D124" s="50"/>
      <c r="E124" s="50"/>
      <c r="F124" s="50"/>
      <c r="G124" s="50"/>
      <c r="H124" s="50"/>
      <c r="I124" s="50"/>
      <c r="J124" s="50"/>
      <c r="K124" s="581"/>
      <c r="L124" s="581"/>
      <c r="M124" s="581"/>
      <c r="N124" s="50"/>
      <c r="O124" s="50"/>
      <c r="P124" s="50"/>
      <c r="Q124" s="147"/>
      <c r="R124" s="147"/>
      <c r="S124" s="147"/>
      <c r="T124" s="147"/>
      <c r="U124" s="147"/>
      <c r="V124" s="581"/>
      <c r="W124" s="581"/>
      <c r="X124" s="147"/>
      <c r="Y124" s="581"/>
      <c r="Z124" s="581"/>
      <c r="AA124" s="581"/>
      <c r="AB124" s="581"/>
      <c r="AC124" s="581"/>
      <c r="AD124" s="581"/>
      <c r="AE124" s="147"/>
      <c r="AF124" s="581"/>
      <c r="AG124" s="581"/>
      <c r="AH124" s="147"/>
      <c r="AI124" s="581">
        <v>7.6999999999999999E-2</v>
      </c>
      <c r="AJ124" s="581">
        <f xml:space="preserve"> 24.2%</f>
        <v>0.24199999999999999</v>
      </c>
      <c r="AK124" s="581">
        <f xml:space="preserve"> 68.9%</f>
        <v>0.68900000000000006</v>
      </c>
      <c r="AL124" s="581"/>
      <c r="AM124" s="581"/>
      <c r="AY124" s="62"/>
      <c r="AZ124" s="62"/>
      <c r="BD124" s="62"/>
      <c r="BE124" s="62"/>
      <c r="BG124" s="62"/>
      <c r="BH124" s="14"/>
      <c r="BI124" s="62"/>
      <c r="BJ124" s="62"/>
    </row>
    <row r="125" spans="1:63" ht="15" customHeight="1" x14ac:dyDescent="0.2">
      <c r="A125" s="50">
        <v>122</v>
      </c>
      <c r="B125" s="50"/>
      <c r="C125" s="50"/>
      <c r="D125" s="50"/>
      <c r="E125" s="50"/>
      <c r="F125" s="50"/>
      <c r="G125" s="50"/>
      <c r="H125" s="50"/>
      <c r="I125" s="50"/>
      <c r="J125" s="50"/>
      <c r="K125" s="581"/>
      <c r="L125" s="581"/>
      <c r="M125" s="581"/>
      <c r="N125" s="50"/>
      <c r="O125" s="50"/>
      <c r="P125" s="50"/>
      <c r="Q125" s="147"/>
      <c r="R125" s="147"/>
      <c r="S125" s="147"/>
      <c r="T125" s="147"/>
      <c r="U125" s="147"/>
      <c r="V125" s="581"/>
      <c r="W125" s="581"/>
      <c r="X125" s="147"/>
      <c r="Y125" s="581"/>
      <c r="Z125" s="581"/>
      <c r="AA125" s="581"/>
      <c r="AB125" s="581"/>
      <c r="AC125" s="581"/>
      <c r="AD125" s="581"/>
      <c r="AE125" s="147"/>
      <c r="AF125" s="581"/>
      <c r="AG125" s="581"/>
      <c r="AH125" s="147"/>
      <c r="AI125" s="581">
        <v>7.3999999999999996E-2</v>
      </c>
      <c r="AJ125" s="581">
        <f xml:space="preserve"> 24.4%</f>
        <v>0.24399999999999999</v>
      </c>
      <c r="AK125" s="581">
        <f xml:space="preserve"> 79.8%</f>
        <v>0.79799999999999993</v>
      </c>
      <c r="AL125" s="581"/>
      <c r="AM125" s="581"/>
      <c r="AV125" s="95"/>
      <c r="AY125" s="62"/>
      <c r="AZ125" s="62"/>
      <c r="BA125" s="95"/>
      <c r="BD125" s="62"/>
      <c r="BE125" s="62"/>
      <c r="BF125" s="95"/>
      <c r="BG125" s="62"/>
      <c r="BH125" s="14"/>
      <c r="BI125" s="62"/>
      <c r="BJ125" s="62"/>
      <c r="BK125" s="95"/>
    </row>
    <row r="126" spans="1:63" ht="15" customHeight="1" x14ac:dyDescent="0.2">
      <c r="A126" s="50">
        <v>123</v>
      </c>
      <c r="B126" s="50"/>
      <c r="C126" s="50"/>
      <c r="D126" s="50"/>
      <c r="E126" s="50"/>
      <c r="F126" s="50"/>
      <c r="G126" s="50"/>
      <c r="H126" s="50"/>
      <c r="I126" s="50"/>
      <c r="J126" s="50"/>
      <c r="K126" s="581"/>
      <c r="L126" s="581"/>
      <c r="M126" s="581"/>
      <c r="N126" s="50"/>
      <c r="O126" s="50"/>
      <c r="P126" s="50"/>
      <c r="Q126" s="147"/>
      <c r="R126" s="147"/>
      <c r="S126" s="147"/>
      <c r="T126" s="147"/>
      <c r="U126" s="147"/>
      <c r="V126" s="581"/>
      <c r="W126" s="581"/>
      <c r="X126" s="147"/>
      <c r="Y126" s="581"/>
      <c r="Z126" s="581"/>
      <c r="AA126" s="581"/>
      <c r="AB126" s="581"/>
      <c r="AC126" s="581"/>
      <c r="AD126" s="581"/>
      <c r="AE126" s="147"/>
      <c r="AF126" s="581"/>
      <c r="AG126" s="581"/>
      <c r="AH126" s="147"/>
      <c r="AI126" s="581">
        <v>7.0999999999999994E-2</v>
      </c>
      <c r="AJ126" s="581">
        <f xml:space="preserve"> 24.6%</f>
        <v>0.24600000000000002</v>
      </c>
      <c r="AK126" s="581">
        <f xml:space="preserve"> 70.7%</f>
        <v>0.70700000000000007</v>
      </c>
      <c r="AL126" s="581"/>
      <c r="AM126" s="581"/>
      <c r="AV126" s="95"/>
      <c r="AY126" s="62"/>
      <c r="AZ126" s="62"/>
      <c r="BA126" s="95"/>
      <c r="BD126" s="62"/>
      <c r="BE126" s="62"/>
      <c r="BF126" s="95"/>
      <c r="BG126" s="62"/>
      <c r="BH126" s="14"/>
      <c r="BI126" s="62"/>
      <c r="BJ126" s="62"/>
      <c r="BK126" s="95"/>
    </row>
    <row r="127" spans="1:63" ht="15" customHeight="1" x14ac:dyDescent="0.2">
      <c r="A127" s="50">
        <v>124</v>
      </c>
      <c r="B127" s="50"/>
      <c r="C127" s="50"/>
      <c r="D127" s="50"/>
      <c r="E127" s="50"/>
      <c r="F127" s="50"/>
      <c r="G127" s="50"/>
      <c r="H127" s="50"/>
      <c r="I127" s="50"/>
      <c r="J127" s="50"/>
      <c r="K127" s="581"/>
      <c r="L127" s="581"/>
      <c r="M127" s="581"/>
      <c r="N127" s="50"/>
      <c r="O127" s="50"/>
      <c r="P127" s="50"/>
      <c r="Q127" s="147"/>
      <c r="R127" s="147"/>
      <c r="S127" s="147"/>
      <c r="T127" s="147"/>
      <c r="U127" s="147"/>
      <c r="V127" s="581"/>
      <c r="W127" s="581"/>
      <c r="X127" s="147"/>
      <c r="Y127" s="581"/>
      <c r="Z127" s="581"/>
      <c r="AA127" s="581"/>
      <c r="AB127" s="581"/>
      <c r="AC127" s="581"/>
      <c r="AD127" s="581"/>
      <c r="AE127" s="147"/>
      <c r="AF127" s="581"/>
      <c r="AG127" s="581"/>
      <c r="AH127" s="147"/>
      <c r="AI127" s="581">
        <v>6.8000000000000005E-2</v>
      </c>
      <c r="AJ127" s="581">
        <f xml:space="preserve"> 24.8%</f>
        <v>0.248</v>
      </c>
      <c r="AK127" s="581">
        <f xml:space="preserve"> 71.6%</f>
        <v>0.71599999999999997</v>
      </c>
      <c r="AL127" s="581"/>
      <c r="AM127" s="581"/>
      <c r="AV127" s="95"/>
      <c r="AY127" s="62"/>
      <c r="AZ127" s="62"/>
      <c r="BA127" s="95"/>
      <c r="BD127" s="62"/>
      <c r="BE127" s="62"/>
      <c r="BF127" s="95"/>
      <c r="BG127" s="62"/>
      <c r="BH127" s="14"/>
      <c r="BI127" s="62"/>
      <c r="BJ127" s="62"/>
      <c r="BK127" s="95"/>
    </row>
    <row r="128" spans="1:63" ht="15" customHeight="1" x14ac:dyDescent="0.2">
      <c r="A128" s="50">
        <v>125</v>
      </c>
      <c r="B128" s="50"/>
      <c r="C128" s="50"/>
      <c r="D128" s="50"/>
      <c r="E128" s="50"/>
      <c r="F128" s="50"/>
      <c r="G128" s="50"/>
      <c r="H128" s="50"/>
      <c r="I128" s="50"/>
      <c r="J128" s="50"/>
      <c r="K128" s="581"/>
      <c r="L128" s="581"/>
      <c r="M128" s="581"/>
      <c r="N128" s="50"/>
      <c r="O128" s="50"/>
      <c r="P128" s="50"/>
      <c r="Q128" s="147"/>
      <c r="R128" s="147"/>
      <c r="S128" s="147"/>
      <c r="T128" s="147"/>
      <c r="U128" s="147"/>
      <c r="V128" s="581"/>
      <c r="W128" s="581"/>
      <c r="X128" s="147"/>
      <c r="Y128" s="581"/>
      <c r="Z128" s="581"/>
      <c r="AA128" s="581"/>
      <c r="AB128" s="581"/>
      <c r="AC128" s="581"/>
      <c r="AD128" s="581"/>
      <c r="AE128" s="147"/>
      <c r="AF128" s="581"/>
      <c r="AG128" s="581"/>
      <c r="AH128" s="147"/>
      <c r="AI128" s="581">
        <v>6.5000000000000002E-2</v>
      </c>
      <c r="AJ128" s="581">
        <f xml:space="preserve"> 25%</f>
        <v>0.25</v>
      </c>
      <c r="AK128" s="581">
        <f xml:space="preserve"> 72.5%</f>
        <v>0.72499999999999998</v>
      </c>
      <c r="AL128" s="581"/>
      <c r="AM128" s="581"/>
      <c r="AY128" s="62"/>
      <c r="AZ128" s="62"/>
      <c r="BD128" s="62"/>
      <c r="BE128" s="62"/>
      <c r="BG128" s="62"/>
      <c r="BH128" s="14"/>
      <c r="BI128" s="62"/>
      <c r="BJ128" s="62"/>
    </row>
    <row r="129" spans="1:63" ht="15" customHeight="1" x14ac:dyDescent="0.2">
      <c r="A129" s="50">
        <v>126</v>
      </c>
      <c r="B129" s="50"/>
      <c r="C129" s="50"/>
      <c r="D129" s="50"/>
      <c r="E129" s="50"/>
      <c r="F129" s="50"/>
      <c r="G129" s="50"/>
      <c r="H129" s="50"/>
      <c r="I129" s="50"/>
      <c r="J129" s="50"/>
      <c r="K129" s="581"/>
      <c r="L129" s="581"/>
      <c r="M129" s="581"/>
      <c r="N129" s="50"/>
      <c r="O129" s="50"/>
      <c r="P129" s="50"/>
      <c r="Q129" s="147"/>
      <c r="R129" s="147"/>
      <c r="S129" s="147"/>
      <c r="T129" s="147"/>
      <c r="U129" s="147"/>
      <c r="V129" s="581"/>
      <c r="W129" s="581"/>
      <c r="X129" s="147"/>
      <c r="Y129" s="581"/>
      <c r="Z129" s="581"/>
      <c r="AA129" s="581"/>
      <c r="AB129" s="581"/>
      <c r="AC129" s="581"/>
      <c r="AD129" s="581"/>
      <c r="AE129" s="147"/>
      <c r="AF129" s="581"/>
      <c r="AG129" s="581"/>
      <c r="AH129" s="147"/>
      <c r="AI129" s="581">
        <v>6.2E-2</v>
      </c>
      <c r="AJ129" s="581">
        <f xml:space="preserve"> 25.2%</f>
        <v>0.252</v>
      </c>
      <c r="AK129" s="581">
        <f xml:space="preserve"> 73.4%</f>
        <v>0.7340000000000001</v>
      </c>
      <c r="AL129" s="581"/>
      <c r="AM129" s="581"/>
      <c r="AY129" s="62"/>
      <c r="AZ129" s="62"/>
      <c r="BD129" s="62"/>
      <c r="BE129" s="62"/>
      <c r="BG129" s="62"/>
      <c r="BH129" s="14"/>
      <c r="BI129" s="62"/>
      <c r="BJ129" s="62"/>
    </row>
    <row r="130" spans="1:63" ht="15" customHeight="1" x14ac:dyDescent="0.2">
      <c r="A130" s="50">
        <v>127</v>
      </c>
      <c r="B130" s="50"/>
      <c r="C130" s="50"/>
      <c r="D130" s="50"/>
      <c r="E130" s="50"/>
      <c r="F130" s="50"/>
      <c r="G130" s="50"/>
      <c r="H130" s="50"/>
      <c r="I130" s="50"/>
      <c r="J130" s="50"/>
      <c r="K130" s="581"/>
      <c r="L130" s="581"/>
      <c r="M130" s="581"/>
      <c r="N130" s="50"/>
      <c r="O130" s="50"/>
      <c r="P130" s="50"/>
      <c r="Q130" s="147"/>
      <c r="R130" s="147"/>
      <c r="S130" s="147"/>
      <c r="T130" s="147"/>
      <c r="U130" s="147"/>
      <c r="V130" s="581"/>
      <c r="W130" s="581"/>
      <c r="X130" s="147"/>
      <c r="Y130" s="581"/>
      <c r="Z130" s="581"/>
      <c r="AA130" s="581"/>
      <c r="AB130" s="581"/>
      <c r="AC130" s="581"/>
      <c r="AD130" s="581"/>
      <c r="AE130" s="147"/>
      <c r="AF130" s="581"/>
      <c r="AG130" s="581"/>
      <c r="AH130" s="147"/>
      <c r="AI130" s="581">
        <v>5.8999999999999997E-2</v>
      </c>
      <c r="AJ130" s="581">
        <f xml:space="preserve"> 25.4%</f>
        <v>0.254</v>
      </c>
      <c r="AK130" s="581">
        <f xml:space="preserve"> 74.3%</f>
        <v>0.74299999999999999</v>
      </c>
      <c r="AL130" s="581"/>
      <c r="AM130" s="581"/>
      <c r="AV130" s="95"/>
      <c r="AY130" s="62"/>
      <c r="AZ130" s="62"/>
      <c r="BA130" s="95"/>
      <c r="BD130" s="62"/>
      <c r="BE130" s="62"/>
      <c r="BF130" s="95"/>
      <c r="BG130" s="62"/>
      <c r="BH130" s="14"/>
      <c r="BI130" s="62"/>
      <c r="BJ130" s="62"/>
      <c r="BK130" s="95"/>
    </row>
    <row r="131" spans="1:63" ht="15" customHeight="1" x14ac:dyDescent="0.2">
      <c r="A131" s="50">
        <v>128</v>
      </c>
      <c r="B131" s="50"/>
      <c r="C131" s="50"/>
      <c r="D131" s="50"/>
      <c r="E131" s="50"/>
      <c r="F131" s="50"/>
      <c r="G131" s="50"/>
      <c r="H131" s="50"/>
      <c r="I131" s="50"/>
      <c r="J131" s="50"/>
      <c r="K131" s="581"/>
      <c r="L131" s="581"/>
      <c r="M131" s="581"/>
      <c r="N131" s="50"/>
      <c r="O131" s="50"/>
      <c r="P131" s="50"/>
      <c r="Q131" s="147"/>
      <c r="R131" s="147"/>
      <c r="S131" s="147"/>
      <c r="T131" s="147"/>
      <c r="U131" s="147"/>
      <c r="V131" s="581"/>
      <c r="W131" s="581"/>
      <c r="X131" s="147"/>
      <c r="Y131" s="581"/>
      <c r="Z131" s="581"/>
      <c r="AA131" s="581"/>
      <c r="AB131" s="581"/>
      <c r="AC131" s="581"/>
      <c r="AD131" s="581"/>
      <c r="AE131" s="147"/>
      <c r="AF131" s="581"/>
      <c r="AG131" s="581"/>
      <c r="AH131" s="147"/>
      <c r="AI131" s="581">
        <v>5.6000000000000001E-2</v>
      </c>
      <c r="AJ131" s="581">
        <f xml:space="preserve"> 25.6%</f>
        <v>0.25600000000000001</v>
      </c>
      <c r="AK131" s="581">
        <f xml:space="preserve"> 75.2%</f>
        <v>0.752</v>
      </c>
      <c r="AL131" s="581"/>
      <c r="AM131" s="581"/>
      <c r="AV131" s="95"/>
      <c r="AY131" s="62"/>
      <c r="AZ131" s="62"/>
      <c r="BA131" s="95"/>
      <c r="BD131" s="62"/>
      <c r="BE131" s="62"/>
      <c r="BF131" s="95"/>
      <c r="BG131" s="62"/>
      <c r="BH131" s="14"/>
      <c r="BI131" s="62"/>
      <c r="BJ131" s="62"/>
      <c r="BK131" s="95"/>
    </row>
    <row r="132" spans="1:63" ht="15" customHeight="1" x14ac:dyDescent="0.2">
      <c r="A132" s="50">
        <v>129</v>
      </c>
      <c r="B132" s="50"/>
      <c r="C132" s="50"/>
      <c r="D132" s="50"/>
      <c r="E132" s="50"/>
      <c r="F132" s="50"/>
      <c r="G132" s="50"/>
      <c r="H132" s="50"/>
      <c r="I132" s="50"/>
      <c r="J132" s="50"/>
      <c r="K132" s="581"/>
      <c r="L132" s="581"/>
      <c r="M132" s="581"/>
      <c r="N132" s="50"/>
      <c r="O132" s="50"/>
      <c r="P132" s="50"/>
      <c r="Q132" s="147"/>
      <c r="R132" s="147"/>
      <c r="S132" s="147"/>
      <c r="T132" s="147"/>
      <c r="U132" s="147"/>
      <c r="V132" s="581"/>
      <c r="W132" s="581"/>
      <c r="X132" s="147"/>
      <c r="Y132" s="581"/>
      <c r="Z132" s="581"/>
      <c r="AA132" s="581"/>
      <c r="AB132" s="581"/>
      <c r="AC132" s="581"/>
      <c r="AD132" s="581"/>
      <c r="AE132" s="147"/>
      <c r="AF132" s="581"/>
      <c r="AG132" s="581"/>
      <c r="AH132" s="147"/>
      <c r="AI132" s="581">
        <v>5.2999999999999999E-2</v>
      </c>
      <c r="AJ132" s="581">
        <f xml:space="preserve"> 25.8%</f>
        <v>0.25800000000000001</v>
      </c>
      <c r="AK132" s="581">
        <f xml:space="preserve"> 76.1%</f>
        <v>0.7609999999999999</v>
      </c>
      <c r="AL132" s="581"/>
      <c r="AM132" s="581"/>
      <c r="AV132" s="95"/>
      <c r="AY132" s="62"/>
      <c r="AZ132" s="62"/>
      <c r="BA132" s="95"/>
      <c r="BD132" s="62"/>
      <c r="BE132" s="62"/>
      <c r="BF132" s="95"/>
      <c r="BG132" s="62"/>
      <c r="BH132" s="14"/>
      <c r="BI132" s="62"/>
      <c r="BJ132" s="62"/>
      <c r="BK132" s="95"/>
    </row>
    <row r="133" spans="1:63" ht="15" customHeight="1" x14ac:dyDescent="0.2">
      <c r="A133" s="50">
        <v>130</v>
      </c>
      <c r="B133" s="50"/>
      <c r="C133" s="50"/>
      <c r="D133" s="50"/>
      <c r="E133" s="50"/>
      <c r="F133" s="50"/>
      <c r="G133" s="50"/>
      <c r="H133" s="50"/>
      <c r="I133" s="50"/>
      <c r="J133" s="50"/>
      <c r="K133" s="581"/>
      <c r="L133" s="581"/>
      <c r="M133" s="581"/>
      <c r="N133" s="50"/>
      <c r="O133" s="50"/>
      <c r="P133" s="50"/>
      <c r="Q133" s="147"/>
      <c r="R133" s="147"/>
      <c r="S133" s="147"/>
      <c r="T133" s="147"/>
      <c r="U133" s="147"/>
      <c r="V133" s="581"/>
      <c r="W133" s="581"/>
      <c r="X133" s="147"/>
      <c r="Y133" s="581"/>
      <c r="Z133" s="581"/>
      <c r="AA133" s="581"/>
      <c r="AB133" s="581"/>
      <c r="AC133" s="581"/>
      <c r="AD133" s="581"/>
      <c r="AE133" s="147"/>
      <c r="AF133" s="581"/>
      <c r="AG133" s="581"/>
      <c r="AH133" s="147"/>
      <c r="AI133" s="581">
        <v>0.05</v>
      </c>
      <c r="AJ133" s="581">
        <f xml:space="preserve"> 26%</f>
        <v>0.26</v>
      </c>
      <c r="AK133" s="581">
        <f xml:space="preserve"> 77%</f>
        <v>0.77</v>
      </c>
      <c r="AL133" s="581"/>
      <c r="AM133" s="581"/>
      <c r="AY133" s="62"/>
      <c r="AZ133" s="62"/>
      <c r="BD133" s="62"/>
      <c r="BE133" s="62"/>
      <c r="BG133" s="62"/>
      <c r="BH133" s="14"/>
      <c r="BI133" s="62"/>
      <c r="BJ133" s="62"/>
    </row>
    <row r="134" spans="1:63" ht="15" customHeight="1" x14ac:dyDescent="0.2">
      <c r="A134" s="50">
        <v>131</v>
      </c>
      <c r="B134" s="50"/>
      <c r="C134" s="50"/>
      <c r="D134" s="50"/>
      <c r="E134" s="50"/>
      <c r="F134" s="50"/>
      <c r="G134" s="50"/>
      <c r="H134" s="50"/>
      <c r="I134" s="50"/>
      <c r="J134" s="50"/>
      <c r="K134" s="581"/>
      <c r="L134" s="581"/>
      <c r="M134" s="581"/>
      <c r="N134" s="50"/>
      <c r="O134" s="50"/>
      <c r="P134" s="50"/>
      <c r="Q134" s="147"/>
      <c r="R134" s="147"/>
      <c r="S134" s="147"/>
      <c r="T134" s="147"/>
      <c r="U134" s="147"/>
      <c r="V134" s="581"/>
      <c r="W134" s="581"/>
      <c r="X134" s="147"/>
      <c r="Y134" s="581"/>
      <c r="Z134" s="581"/>
      <c r="AA134" s="581"/>
      <c r="AB134" s="581"/>
      <c r="AC134" s="581"/>
      <c r="AD134" s="581"/>
      <c r="AE134" s="147"/>
      <c r="AF134" s="581"/>
      <c r="AG134" s="581"/>
      <c r="AH134" s="147"/>
      <c r="AI134" s="581">
        <v>4.8000000000000001E-2</v>
      </c>
      <c r="AJ134" s="581">
        <f xml:space="preserve"> 26.2%</f>
        <v>0.26200000000000001</v>
      </c>
      <c r="AK134" s="581">
        <f xml:space="preserve"> 77.9%</f>
        <v>0.77900000000000003</v>
      </c>
      <c r="AL134" s="581"/>
      <c r="AM134" s="581"/>
      <c r="AY134" s="62"/>
      <c r="AZ134" s="62"/>
      <c r="BD134" s="62"/>
      <c r="BE134" s="62"/>
      <c r="BG134" s="62"/>
      <c r="BH134" s="14"/>
      <c r="BI134" s="62"/>
      <c r="BJ134" s="62"/>
    </row>
    <row r="135" spans="1:63" ht="15" customHeight="1" x14ac:dyDescent="0.2">
      <c r="A135" s="50">
        <v>132</v>
      </c>
      <c r="B135" s="50"/>
      <c r="C135" s="50"/>
      <c r="D135" s="50"/>
      <c r="E135" s="50"/>
      <c r="F135" s="50"/>
      <c r="G135" s="50"/>
      <c r="H135" s="50"/>
      <c r="I135" s="50"/>
      <c r="J135" s="50"/>
      <c r="K135" s="581"/>
      <c r="L135" s="581"/>
      <c r="M135" s="581"/>
      <c r="N135" s="50"/>
      <c r="O135" s="50"/>
      <c r="P135" s="50"/>
      <c r="Q135" s="147"/>
      <c r="R135" s="147"/>
      <c r="S135" s="147"/>
      <c r="T135" s="147"/>
      <c r="U135" s="147"/>
      <c r="V135" s="581"/>
      <c r="W135" s="581"/>
      <c r="X135" s="147"/>
      <c r="Y135" s="581"/>
      <c r="Z135" s="581"/>
      <c r="AA135" s="581"/>
      <c r="AB135" s="581"/>
      <c r="AC135" s="581"/>
      <c r="AD135" s="581"/>
      <c r="AE135" s="147"/>
      <c r="AF135" s="581"/>
      <c r="AG135" s="581"/>
      <c r="AH135" s="147"/>
      <c r="AI135" s="581">
        <v>4.5999999999999999E-2</v>
      </c>
      <c r="AJ135" s="581">
        <f xml:space="preserve"> 26.4%</f>
        <v>0.26400000000000001</v>
      </c>
      <c r="AK135" s="581">
        <f xml:space="preserve"> 78.8%</f>
        <v>0.78799999999999992</v>
      </c>
      <c r="AL135" s="581"/>
      <c r="AM135" s="581"/>
      <c r="AV135" s="95"/>
      <c r="AY135" s="62"/>
      <c r="AZ135" s="62"/>
      <c r="BA135" s="95"/>
      <c r="BD135" s="62"/>
      <c r="BE135" s="62"/>
      <c r="BF135" s="95"/>
      <c r="BG135" s="62"/>
      <c r="BH135" s="14"/>
      <c r="BI135" s="62"/>
      <c r="BJ135" s="62"/>
      <c r="BK135" s="95"/>
    </row>
    <row r="136" spans="1:63" ht="15" customHeight="1" x14ac:dyDescent="0.2">
      <c r="A136" s="50">
        <v>133</v>
      </c>
      <c r="B136" s="50"/>
      <c r="C136" s="50"/>
      <c r="D136" s="50"/>
      <c r="E136" s="50"/>
      <c r="F136" s="50"/>
      <c r="G136" s="50"/>
      <c r="H136" s="50"/>
      <c r="I136" s="50"/>
      <c r="J136" s="50"/>
      <c r="K136" s="581"/>
      <c r="L136" s="581"/>
      <c r="M136" s="581"/>
      <c r="N136" s="50"/>
      <c r="O136" s="50"/>
      <c r="P136" s="50"/>
      <c r="Q136" s="147"/>
      <c r="R136" s="147"/>
      <c r="S136" s="147"/>
      <c r="T136" s="147"/>
      <c r="U136" s="147"/>
      <c r="V136" s="581"/>
      <c r="W136" s="581"/>
      <c r="X136" s="147"/>
      <c r="Y136" s="581"/>
      <c r="Z136" s="581"/>
      <c r="AA136" s="581"/>
      <c r="AB136" s="581"/>
      <c r="AC136" s="581"/>
      <c r="AD136" s="581"/>
      <c r="AE136" s="147"/>
      <c r="AF136" s="581"/>
      <c r="AG136" s="581"/>
      <c r="AH136" s="147"/>
      <c r="AI136" s="581">
        <v>4.3999999999999997E-2</v>
      </c>
      <c r="AJ136" s="581">
        <f xml:space="preserve"> 26.6%</f>
        <v>0.26600000000000001</v>
      </c>
      <c r="AK136" s="581">
        <f xml:space="preserve"> 79.7%</f>
        <v>0.79700000000000004</v>
      </c>
      <c r="AL136" s="581"/>
      <c r="AM136" s="581"/>
      <c r="AV136" s="95"/>
      <c r="AY136" s="62"/>
      <c r="AZ136" s="62"/>
      <c r="BA136" s="95"/>
      <c r="BD136" s="62"/>
      <c r="BE136" s="62"/>
      <c r="BF136" s="95"/>
      <c r="BG136" s="62"/>
      <c r="BH136" s="14"/>
      <c r="BI136" s="62"/>
      <c r="BJ136" s="62"/>
      <c r="BK136" s="95"/>
    </row>
    <row r="137" spans="1:63" ht="15" customHeight="1" x14ac:dyDescent="0.2">
      <c r="A137" s="50">
        <v>134</v>
      </c>
      <c r="B137" s="50"/>
      <c r="C137" s="50"/>
      <c r="D137" s="50"/>
      <c r="E137" s="50"/>
      <c r="F137" s="50"/>
      <c r="G137" s="50"/>
      <c r="H137" s="50"/>
      <c r="I137" s="50"/>
      <c r="J137" s="50"/>
      <c r="K137" s="581"/>
      <c r="L137" s="581"/>
      <c r="M137" s="581"/>
      <c r="N137" s="50"/>
      <c r="O137" s="50"/>
      <c r="P137" s="50"/>
      <c r="Q137" s="147"/>
      <c r="R137" s="147"/>
      <c r="S137" s="147"/>
      <c r="T137" s="147"/>
      <c r="U137" s="147"/>
      <c r="V137" s="581"/>
      <c r="W137" s="581"/>
      <c r="X137" s="147"/>
      <c r="Y137" s="581"/>
      <c r="Z137" s="581"/>
      <c r="AA137" s="581"/>
      <c r="AB137" s="581"/>
      <c r="AC137" s="581"/>
      <c r="AD137" s="581"/>
      <c r="AE137" s="147"/>
      <c r="AF137" s="581"/>
      <c r="AG137" s="581"/>
      <c r="AH137" s="147"/>
      <c r="AI137" s="581">
        <v>4.2000000000000003E-2</v>
      </c>
      <c r="AJ137" s="581">
        <f xml:space="preserve"> 26.8%</f>
        <v>0.26800000000000002</v>
      </c>
      <c r="AK137" s="581">
        <f xml:space="preserve"> 80.6%</f>
        <v>0.80599999999999994</v>
      </c>
      <c r="AL137" s="581"/>
      <c r="AM137" s="581"/>
      <c r="AV137" s="95"/>
      <c r="AY137" s="62"/>
      <c r="AZ137" s="62"/>
      <c r="BA137" s="95"/>
      <c r="BD137" s="62"/>
      <c r="BE137" s="62"/>
      <c r="BF137" s="95"/>
      <c r="BG137" s="62"/>
      <c r="BH137" s="14"/>
      <c r="BI137" s="62"/>
      <c r="BJ137" s="62"/>
      <c r="BK137" s="95"/>
    </row>
    <row r="138" spans="1:63" ht="15" customHeight="1" x14ac:dyDescent="0.2">
      <c r="A138" s="50">
        <v>135</v>
      </c>
      <c r="B138" s="50"/>
      <c r="C138" s="50"/>
      <c r="D138" s="50"/>
      <c r="E138" s="50"/>
      <c r="F138" s="50"/>
      <c r="G138" s="50"/>
      <c r="H138" s="50"/>
      <c r="I138" s="50"/>
      <c r="J138" s="50"/>
      <c r="K138" s="581"/>
      <c r="L138" s="581"/>
      <c r="M138" s="581"/>
      <c r="N138" s="50"/>
      <c r="O138" s="50"/>
      <c r="P138" s="50"/>
      <c r="Q138" s="147"/>
      <c r="R138" s="147"/>
      <c r="S138" s="147"/>
      <c r="T138" s="147"/>
      <c r="U138" s="147"/>
      <c r="V138" s="581"/>
      <c r="W138" s="581"/>
      <c r="X138" s="147"/>
      <c r="Y138" s="581"/>
      <c r="Z138" s="581"/>
      <c r="AA138" s="581"/>
      <c r="AB138" s="581"/>
      <c r="AC138" s="581"/>
      <c r="AD138" s="581"/>
      <c r="AE138" s="147"/>
      <c r="AF138" s="581"/>
      <c r="AG138" s="581"/>
      <c r="AH138" s="147"/>
      <c r="AI138" s="581">
        <v>0.04</v>
      </c>
      <c r="AJ138" s="581">
        <f xml:space="preserve"> 27%</f>
        <v>0.27</v>
      </c>
      <c r="AK138" s="581">
        <f xml:space="preserve"> 81.5%</f>
        <v>0.81499999999999995</v>
      </c>
      <c r="AL138" s="581"/>
      <c r="AM138" s="581"/>
      <c r="BD138" s="62"/>
      <c r="BE138" s="62"/>
      <c r="BG138" s="62"/>
      <c r="BH138" s="14"/>
    </row>
    <row r="139" spans="1:63" ht="15" customHeight="1" x14ac:dyDescent="0.2">
      <c r="A139" s="50">
        <v>136</v>
      </c>
      <c r="B139" s="50"/>
      <c r="C139" s="50"/>
      <c r="D139" s="50"/>
      <c r="E139" s="50"/>
      <c r="F139" s="50"/>
      <c r="G139" s="50"/>
      <c r="H139" s="50"/>
      <c r="I139" s="50"/>
      <c r="J139" s="50"/>
      <c r="K139" s="581"/>
      <c r="L139" s="581"/>
      <c r="M139" s="581"/>
      <c r="N139" s="50"/>
      <c r="O139" s="50"/>
      <c r="P139" s="50"/>
      <c r="Q139" s="147"/>
      <c r="R139" s="147"/>
      <c r="S139" s="147"/>
      <c r="T139" s="147"/>
      <c r="U139" s="147"/>
      <c r="V139" s="581"/>
      <c r="W139" s="581"/>
      <c r="X139" s="147"/>
      <c r="Y139" s="581"/>
      <c r="Z139" s="581"/>
      <c r="AA139" s="581"/>
      <c r="AB139" s="581"/>
      <c r="AC139" s="581"/>
      <c r="AD139" s="581"/>
      <c r="AE139" s="147"/>
      <c r="AF139" s="581"/>
      <c r="AG139" s="581"/>
      <c r="AH139" s="147"/>
      <c r="AI139" s="581">
        <v>3.7999999999999999E-2</v>
      </c>
      <c r="AJ139" s="581">
        <f xml:space="preserve"> 27.2%</f>
        <v>0.27200000000000002</v>
      </c>
      <c r="AK139" s="581">
        <f xml:space="preserve"> 82.4%</f>
        <v>0.82400000000000007</v>
      </c>
      <c r="AL139" s="581"/>
      <c r="AM139" s="581"/>
      <c r="BG139" s="62"/>
      <c r="BH139" s="14"/>
    </row>
    <row r="140" spans="1:63" ht="15" customHeight="1" x14ac:dyDescent="0.2">
      <c r="A140" s="50">
        <v>137</v>
      </c>
      <c r="B140" s="50"/>
      <c r="C140" s="50"/>
      <c r="D140" s="50"/>
      <c r="E140" s="50"/>
      <c r="F140" s="50"/>
      <c r="G140" s="50"/>
      <c r="H140" s="50"/>
      <c r="I140" s="50"/>
      <c r="J140" s="50"/>
      <c r="K140" s="581"/>
      <c r="L140" s="581"/>
      <c r="M140" s="581"/>
      <c r="N140" s="50"/>
      <c r="O140" s="50"/>
      <c r="P140" s="50"/>
      <c r="Q140" s="147"/>
      <c r="R140" s="147"/>
      <c r="S140" s="147"/>
      <c r="T140" s="147"/>
      <c r="U140" s="147"/>
      <c r="V140" s="581"/>
      <c r="W140" s="581"/>
      <c r="X140" s="147"/>
      <c r="Y140" s="581"/>
      <c r="Z140" s="581"/>
      <c r="AA140" s="581"/>
      <c r="AB140" s="581"/>
      <c r="AC140" s="581"/>
      <c r="AD140" s="581"/>
      <c r="AE140" s="147"/>
      <c r="AF140" s="581"/>
      <c r="AG140" s="581"/>
      <c r="AH140" s="147"/>
      <c r="AI140" s="581">
        <v>3.5999999999999997E-2</v>
      </c>
      <c r="AJ140" s="581">
        <f xml:space="preserve"> 27.4%</f>
        <v>0.27399999999999997</v>
      </c>
      <c r="AK140" s="581">
        <f xml:space="preserve"> 83.3%</f>
        <v>0.83299999999999996</v>
      </c>
      <c r="AL140" s="581"/>
      <c r="AM140" s="581"/>
      <c r="BG140" s="62"/>
      <c r="BH140" s="14"/>
    </row>
    <row r="141" spans="1:63" ht="15" customHeight="1" x14ac:dyDescent="0.2">
      <c r="A141" s="50">
        <v>138</v>
      </c>
      <c r="B141" s="50"/>
      <c r="C141" s="50"/>
      <c r="D141" s="50"/>
      <c r="E141" s="50"/>
      <c r="F141" s="50"/>
      <c r="G141" s="50"/>
      <c r="H141" s="50"/>
      <c r="I141" s="50"/>
      <c r="J141" s="50"/>
      <c r="K141" s="581"/>
      <c r="L141" s="581"/>
      <c r="M141" s="581"/>
      <c r="N141" s="50"/>
      <c r="O141" s="50"/>
      <c r="P141" s="50"/>
      <c r="Q141" s="147"/>
      <c r="R141" s="147"/>
      <c r="S141" s="147"/>
      <c r="T141" s="147"/>
      <c r="U141" s="147"/>
      <c r="V141" s="581"/>
      <c r="W141" s="581"/>
      <c r="X141" s="147"/>
      <c r="Y141" s="581"/>
      <c r="Z141" s="581"/>
      <c r="AA141" s="581"/>
      <c r="AB141" s="581"/>
      <c r="AC141" s="581"/>
      <c r="AD141" s="581"/>
      <c r="AE141" s="147"/>
      <c r="AF141" s="581"/>
      <c r="AG141" s="581"/>
      <c r="AH141" s="147"/>
      <c r="AI141" s="581">
        <v>3.4000000000000002E-2</v>
      </c>
      <c r="AJ141" s="581">
        <f xml:space="preserve"> 27.6%</f>
        <v>0.27600000000000002</v>
      </c>
      <c r="AK141" s="581">
        <f xml:space="preserve"> 84.2%</f>
        <v>0.84200000000000008</v>
      </c>
      <c r="AL141" s="581"/>
      <c r="AM141" s="581"/>
      <c r="BG141" s="62"/>
      <c r="BH141" s="14"/>
    </row>
    <row r="142" spans="1:63" ht="15" customHeight="1" x14ac:dyDescent="0.2">
      <c r="A142" s="50">
        <v>139</v>
      </c>
      <c r="B142" s="50"/>
      <c r="C142" s="50"/>
      <c r="D142" s="50"/>
      <c r="E142" s="50"/>
      <c r="F142" s="50"/>
      <c r="G142" s="50"/>
      <c r="H142" s="50"/>
      <c r="I142" s="50"/>
      <c r="J142" s="50"/>
      <c r="K142" s="581"/>
      <c r="L142" s="581"/>
      <c r="M142" s="581"/>
      <c r="N142" s="50"/>
      <c r="O142" s="50"/>
      <c r="P142" s="50"/>
      <c r="Q142" s="147"/>
      <c r="R142" s="147"/>
      <c r="S142" s="147"/>
      <c r="T142" s="147"/>
      <c r="U142" s="147"/>
      <c r="V142" s="581"/>
      <c r="W142" s="581"/>
      <c r="X142" s="147"/>
      <c r="Y142" s="581"/>
      <c r="Z142" s="581"/>
      <c r="AA142" s="581"/>
      <c r="AB142" s="581"/>
      <c r="AC142" s="581"/>
      <c r="AD142" s="581"/>
      <c r="AE142" s="147"/>
      <c r="AF142" s="581"/>
      <c r="AG142" s="581"/>
      <c r="AH142" s="147"/>
      <c r="AI142" s="581">
        <v>3.2000000000000001E-2</v>
      </c>
      <c r="AJ142" s="581">
        <f xml:space="preserve"> 27.8%</f>
        <v>0.27800000000000002</v>
      </c>
      <c r="AK142" s="581">
        <f xml:space="preserve"> 85.1%</f>
        <v>0.85099999999999998</v>
      </c>
      <c r="AL142" s="581"/>
      <c r="AM142" s="581"/>
      <c r="BG142" s="62"/>
      <c r="BH142" s="14"/>
    </row>
    <row r="143" spans="1:63" ht="15" customHeight="1" x14ac:dyDescent="0.2">
      <c r="A143" s="50">
        <v>140</v>
      </c>
      <c r="B143" s="50"/>
      <c r="C143" s="50"/>
      <c r="D143" s="50"/>
      <c r="E143" s="50"/>
      <c r="F143" s="50"/>
      <c r="G143" s="50"/>
      <c r="H143" s="50"/>
      <c r="I143" s="50"/>
      <c r="J143" s="50"/>
      <c r="K143" s="581"/>
      <c r="L143" s="581"/>
      <c r="M143" s="581"/>
      <c r="N143" s="50"/>
      <c r="O143" s="50"/>
      <c r="P143" s="50"/>
      <c r="Q143" s="147"/>
      <c r="R143" s="147"/>
      <c r="S143" s="147"/>
      <c r="T143" s="147"/>
      <c r="U143" s="147"/>
      <c r="V143" s="581"/>
      <c r="W143" s="581"/>
      <c r="X143" s="147"/>
      <c r="Y143" s="581"/>
      <c r="Z143" s="581"/>
      <c r="AA143" s="581"/>
      <c r="AB143" s="581"/>
      <c r="AC143" s="581"/>
      <c r="AD143" s="581"/>
      <c r="AE143" s="147"/>
      <c r="AF143" s="581"/>
      <c r="AG143" s="581"/>
      <c r="AH143" s="147"/>
      <c r="AI143" s="581">
        <v>0.03</v>
      </c>
      <c r="AJ143" s="581">
        <f xml:space="preserve"> 28%</f>
        <v>0.28000000000000003</v>
      </c>
      <c r="AK143" s="581">
        <f xml:space="preserve"> 86%</f>
        <v>0.86</v>
      </c>
      <c r="AL143" s="581"/>
      <c r="AM143" s="581"/>
      <c r="BG143" s="62"/>
      <c r="BH143" s="14"/>
    </row>
    <row r="144" spans="1:63" ht="15" customHeight="1" x14ac:dyDescent="0.2">
      <c r="A144" s="50">
        <v>141</v>
      </c>
      <c r="B144" s="50"/>
      <c r="C144" s="50"/>
      <c r="D144" s="50"/>
      <c r="E144" s="50"/>
      <c r="F144" s="50"/>
      <c r="G144" s="50"/>
      <c r="H144" s="50"/>
      <c r="I144" s="50"/>
      <c r="J144" s="50"/>
      <c r="K144" s="581"/>
      <c r="L144" s="581"/>
      <c r="M144" s="581"/>
      <c r="N144" s="50"/>
      <c r="O144" s="50"/>
      <c r="P144" s="50"/>
      <c r="Q144" s="147"/>
      <c r="R144" s="147"/>
      <c r="S144" s="147"/>
      <c r="T144" s="147"/>
      <c r="U144" s="147"/>
      <c r="V144" s="581"/>
      <c r="W144" s="581"/>
      <c r="X144" s="147"/>
      <c r="Y144" s="581"/>
      <c r="Z144" s="581"/>
      <c r="AA144" s="581"/>
      <c r="AB144" s="581"/>
      <c r="AC144" s="581"/>
      <c r="AD144" s="581"/>
      <c r="AE144" s="147"/>
      <c r="AF144" s="581"/>
      <c r="AG144" s="581"/>
      <c r="AH144" s="147"/>
      <c r="AI144" s="581">
        <v>2.7E-2</v>
      </c>
      <c r="AJ144" s="581">
        <f xml:space="preserve"> 28.2%</f>
        <v>0.28199999999999997</v>
      </c>
      <c r="AK144" s="581">
        <f xml:space="preserve"> 86.9%</f>
        <v>0.86900000000000011</v>
      </c>
      <c r="AL144" s="581"/>
      <c r="AM144" s="581"/>
      <c r="BG144" s="62"/>
      <c r="BH144" s="14"/>
    </row>
    <row r="145" spans="1:63" ht="15" customHeight="1" x14ac:dyDescent="0.2">
      <c r="A145" s="50">
        <v>142</v>
      </c>
      <c r="B145" s="50"/>
      <c r="C145" s="50"/>
      <c r="D145" s="50"/>
      <c r="E145" s="50"/>
      <c r="F145" s="50"/>
      <c r="G145" s="50"/>
      <c r="H145" s="50"/>
      <c r="I145" s="50"/>
      <c r="J145" s="50"/>
      <c r="K145" s="581"/>
      <c r="L145" s="581"/>
      <c r="M145" s="581"/>
      <c r="N145" s="50"/>
      <c r="O145" s="50"/>
      <c r="P145" s="50"/>
      <c r="Q145" s="147"/>
      <c r="R145" s="147"/>
      <c r="S145" s="147"/>
      <c r="T145" s="147"/>
      <c r="U145" s="147"/>
      <c r="V145" s="581"/>
      <c r="W145" s="581"/>
      <c r="X145" s="147"/>
      <c r="Y145" s="581"/>
      <c r="Z145" s="581"/>
      <c r="AA145" s="581"/>
      <c r="AB145" s="581"/>
      <c r="AC145" s="581"/>
      <c r="AD145" s="581"/>
      <c r="AE145" s="147"/>
      <c r="AF145" s="581"/>
      <c r="AG145" s="581"/>
      <c r="AH145" s="147"/>
      <c r="AI145" s="581">
        <v>2.4E-2</v>
      </c>
      <c r="AJ145" s="581">
        <f xml:space="preserve"> 28.4%</f>
        <v>0.28399999999999997</v>
      </c>
      <c r="AK145" s="581">
        <f xml:space="preserve"> 87.8%</f>
        <v>0.878</v>
      </c>
      <c r="AL145" s="581"/>
      <c r="AM145" s="581"/>
      <c r="BG145" s="62"/>
      <c r="BH145" s="14"/>
    </row>
    <row r="146" spans="1:63" ht="15" customHeight="1" x14ac:dyDescent="0.2">
      <c r="A146" s="50">
        <v>143</v>
      </c>
      <c r="B146" s="50"/>
      <c r="C146" s="50"/>
      <c r="D146" s="50"/>
      <c r="E146" s="50"/>
      <c r="F146" s="50"/>
      <c r="G146" s="50"/>
      <c r="H146" s="50"/>
      <c r="I146" s="50"/>
      <c r="J146" s="50"/>
      <c r="K146" s="581"/>
      <c r="L146" s="581"/>
      <c r="M146" s="581"/>
      <c r="N146" s="50"/>
      <c r="O146" s="50"/>
      <c r="P146" s="50"/>
      <c r="Q146" s="147"/>
      <c r="R146" s="147"/>
      <c r="S146" s="147"/>
      <c r="T146" s="147"/>
      <c r="U146" s="147"/>
      <c r="V146" s="581"/>
      <c r="W146" s="581"/>
      <c r="X146" s="147"/>
      <c r="Y146" s="581"/>
      <c r="Z146" s="581"/>
      <c r="AA146" s="581"/>
      <c r="AB146" s="581"/>
      <c r="AC146" s="581"/>
      <c r="AD146" s="581"/>
      <c r="AE146" s="147"/>
      <c r="AF146" s="581"/>
      <c r="AG146" s="581"/>
      <c r="AH146" s="147"/>
      <c r="AI146" s="581">
        <v>2.1000000000000001E-2</v>
      </c>
      <c r="AJ146" s="581">
        <f xml:space="preserve"> 28.6%</f>
        <v>0.28600000000000003</v>
      </c>
      <c r="AK146" s="581">
        <f xml:space="preserve"> 88.7%</f>
        <v>0.88700000000000001</v>
      </c>
      <c r="AL146" s="581"/>
      <c r="AM146" s="581"/>
      <c r="BG146" s="62"/>
      <c r="BH146" s="14"/>
    </row>
    <row r="147" spans="1:63" ht="15" customHeight="1" x14ac:dyDescent="0.2">
      <c r="A147" s="50">
        <v>144</v>
      </c>
      <c r="B147" s="50"/>
      <c r="C147" s="50"/>
      <c r="D147" s="50"/>
      <c r="E147" s="50"/>
      <c r="F147" s="50"/>
      <c r="G147" s="50"/>
      <c r="H147" s="50"/>
      <c r="I147" s="50"/>
      <c r="J147" s="50"/>
      <c r="K147" s="581"/>
      <c r="L147" s="581"/>
      <c r="M147" s="581"/>
      <c r="N147" s="50"/>
      <c r="O147" s="50"/>
      <c r="P147" s="50"/>
      <c r="Q147" s="147"/>
      <c r="R147" s="147"/>
      <c r="S147" s="147"/>
      <c r="T147" s="147"/>
      <c r="U147" s="147"/>
      <c r="V147" s="581"/>
      <c r="W147" s="581"/>
      <c r="X147" s="147"/>
      <c r="Y147" s="581"/>
      <c r="Z147" s="581"/>
      <c r="AA147" s="581"/>
      <c r="AB147" s="581"/>
      <c r="AC147" s="581"/>
      <c r="AD147" s="581"/>
      <c r="AE147" s="147"/>
      <c r="AF147" s="581"/>
      <c r="AG147" s="581"/>
      <c r="AH147" s="147"/>
      <c r="AI147" s="581">
        <v>1.7999999999999999E-2</v>
      </c>
      <c r="AJ147" s="581">
        <f xml:space="preserve"> 28.8%</f>
        <v>0.28800000000000003</v>
      </c>
      <c r="AK147" s="581">
        <f xml:space="preserve"> 89.6%</f>
        <v>0.89599999999999991</v>
      </c>
      <c r="AL147" s="581"/>
      <c r="AM147" s="581"/>
      <c r="BG147" s="62"/>
      <c r="BH147" s="14"/>
    </row>
    <row r="148" spans="1:63" ht="15" customHeight="1" x14ac:dyDescent="0.2">
      <c r="A148" s="50">
        <v>145</v>
      </c>
      <c r="B148" s="50"/>
      <c r="C148" s="50"/>
      <c r="D148" s="50"/>
      <c r="E148" s="50"/>
      <c r="F148" s="50"/>
      <c r="G148" s="50"/>
      <c r="H148" s="50"/>
      <c r="I148" s="50"/>
      <c r="J148" s="50"/>
      <c r="K148" s="581"/>
      <c r="L148" s="581"/>
      <c r="M148" s="581"/>
      <c r="N148" s="50"/>
      <c r="O148" s="50"/>
      <c r="P148" s="50"/>
      <c r="Q148" s="147"/>
      <c r="R148" s="147"/>
      <c r="S148" s="147"/>
      <c r="T148" s="147"/>
      <c r="U148" s="147"/>
      <c r="V148" s="581"/>
      <c r="W148" s="581"/>
      <c r="X148" s="147"/>
      <c r="Y148" s="581"/>
      <c r="Z148" s="581"/>
      <c r="AA148" s="581"/>
      <c r="AB148" s="581"/>
      <c r="AC148" s="581"/>
      <c r="AD148" s="581"/>
      <c r="AE148" s="147"/>
      <c r="AF148" s="581"/>
      <c r="AG148" s="581"/>
      <c r="AH148" s="147"/>
      <c r="AI148" s="581">
        <v>1.4999999999999999E-2</v>
      </c>
      <c r="AJ148" s="581">
        <f xml:space="preserve"> 29%</f>
        <v>0.28999999999999998</v>
      </c>
      <c r="AK148" s="581">
        <f xml:space="preserve"> 90.5%</f>
        <v>0.90500000000000003</v>
      </c>
      <c r="AL148" s="581"/>
      <c r="AM148" s="581"/>
      <c r="BD148" s="62"/>
      <c r="BE148" s="62"/>
      <c r="BF148" s="95"/>
      <c r="BG148" s="62"/>
      <c r="BH148" s="14"/>
    </row>
    <row r="149" spans="1:63" ht="15" customHeight="1" x14ac:dyDescent="0.2">
      <c r="A149" s="50">
        <v>146</v>
      </c>
      <c r="B149" s="50"/>
      <c r="C149" s="50"/>
      <c r="D149" s="50"/>
      <c r="E149" s="50"/>
      <c r="F149" s="50"/>
      <c r="G149" s="50"/>
      <c r="H149" s="50"/>
      <c r="I149" s="50"/>
      <c r="J149" s="50"/>
      <c r="K149" s="581"/>
      <c r="L149" s="581"/>
      <c r="M149" s="581"/>
      <c r="N149" s="50"/>
      <c r="O149" s="50"/>
      <c r="P149" s="50"/>
      <c r="Q149" s="147"/>
      <c r="R149" s="147"/>
      <c r="S149" s="147"/>
      <c r="T149" s="147"/>
      <c r="U149" s="147"/>
      <c r="V149" s="581"/>
      <c r="W149" s="581"/>
      <c r="X149" s="147"/>
      <c r="Y149" s="581"/>
      <c r="Z149" s="581"/>
      <c r="AA149" s="581"/>
      <c r="AB149" s="581"/>
      <c r="AC149" s="581"/>
      <c r="AD149" s="581"/>
      <c r="AE149" s="147"/>
      <c r="AF149" s="581"/>
      <c r="AG149" s="581"/>
      <c r="AH149" s="147"/>
      <c r="AI149" s="581">
        <v>1.2E-2</v>
      </c>
      <c r="AJ149" s="581">
        <f xml:space="preserve"> 29.2%</f>
        <v>0.29199999999999998</v>
      </c>
      <c r="AK149" s="581">
        <f xml:space="preserve"> 91.4%</f>
        <v>0.91400000000000003</v>
      </c>
      <c r="AL149" s="581"/>
      <c r="AM149" s="581"/>
      <c r="AV149" s="62"/>
      <c r="AY149" s="62"/>
      <c r="AZ149" s="62"/>
      <c r="BA149" s="62"/>
      <c r="BD149" s="62"/>
      <c r="BE149" s="62"/>
      <c r="BF149" s="62"/>
      <c r="BG149" s="62"/>
      <c r="BH149" s="14"/>
      <c r="BI149" s="62"/>
      <c r="BJ149" s="62"/>
      <c r="BK149" s="62"/>
    </row>
    <row r="150" spans="1:63" ht="15" customHeight="1" x14ac:dyDescent="0.2">
      <c r="A150" s="50">
        <v>147</v>
      </c>
      <c r="B150" s="50"/>
      <c r="C150" s="50"/>
      <c r="D150" s="50"/>
      <c r="E150" s="50"/>
      <c r="F150" s="50"/>
      <c r="G150" s="50"/>
      <c r="H150" s="50"/>
      <c r="I150" s="50"/>
      <c r="J150" s="50"/>
      <c r="K150" s="581"/>
      <c r="L150" s="581"/>
      <c r="M150" s="581"/>
      <c r="N150" s="50"/>
      <c r="O150" s="50"/>
      <c r="P150" s="50"/>
      <c r="Q150" s="147"/>
      <c r="R150" s="147"/>
      <c r="S150" s="147"/>
      <c r="T150" s="147"/>
      <c r="U150" s="147"/>
      <c r="V150" s="581"/>
      <c r="W150" s="581"/>
      <c r="X150" s="147"/>
      <c r="Y150" s="581"/>
      <c r="Z150" s="581"/>
      <c r="AA150" s="581"/>
      <c r="AB150" s="581"/>
      <c r="AC150" s="581"/>
      <c r="AD150" s="581"/>
      <c r="AE150" s="147"/>
      <c r="AF150" s="581"/>
      <c r="AG150" s="581"/>
      <c r="AH150" s="147"/>
      <c r="AI150" s="581">
        <v>8.9999999999999993E-3</v>
      </c>
      <c r="AJ150" s="581">
        <f xml:space="preserve"> 29.4%</f>
        <v>0.29399999999999998</v>
      </c>
      <c r="AK150" s="581">
        <f xml:space="preserve"> 92.3%</f>
        <v>0.92299999999999993</v>
      </c>
      <c r="AL150" s="581"/>
      <c r="AM150" s="581"/>
      <c r="AS150" s="99"/>
      <c r="AV150" s="95"/>
      <c r="AY150" s="62"/>
      <c r="AZ150" s="62"/>
      <c r="BA150" s="95"/>
      <c r="BC150" s="99"/>
      <c r="BD150" s="62"/>
      <c r="BE150" s="62"/>
      <c r="BF150" s="95"/>
      <c r="BG150" s="62"/>
      <c r="BH150" s="14"/>
      <c r="BI150" s="62"/>
      <c r="BJ150" s="62"/>
      <c r="BK150" s="95"/>
    </row>
    <row r="151" spans="1:63" ht="15" customHeight="1" x14ac:dyDescent="0.2">
      <c r="A151" s="50">
        <v>148</v>
      </c>
      <c r="B151" s="50"/>
      <c r="C151" s="50"/>
      <c r="D151" s="50"/>
      <c r="E151" s="50"/>
      <c r="F151" s="50"/>
      <c r="G151" s="50"/>
      <c r="H151" s="50"/>
      <c r="I151" s="50"/>
      <c r="J151" s="50"/>
      <c r="K151" s="581"/>
      <c r="L151" s="581"/>
      <c r="M151" s="581"/>
      <c r="N151" s="50"/>
      <c r="O151" s="50"/>
      <c r="P151" s="50"/>
      <c r="Q151" s="147"/>
      <c r="R151" s="147"/>
      <c r="S151" s="147"/>
      <c r="T151" s="147"/>
      <c r="U151" s="147"/>
      <c r="V151" s="581"/>
      <c r="W151" s="581"/>
      <c r="X151" s="147"/>
      <c r="Y151" s="581"/>
      <c r="Z151" s="581"/>
      <c r="AA151" s="581"/>
      <c r="AB151" s="581"/>
      <c r="AC151" s="581"/>
      <c r="AD151" s="581"/>
      <c r="AE151" s="147"/>
      <c r="AF151" s="581"/>
      <c r="AG151" s="581"/>
      <c r="AH151" s="147"/>
      <c r="AI151" s="581">
        <v>6.0000000000000001E-3</v>
      </c>
      <c r="AJ151" s="581">
        <f xml:space="preserve"> 29.6%</f>
        <v>0.29600000000000004</v>
      </c>
      <c r="AK151" s="581">
        <f xml:space="preserve"> 93.2%</f>
        <v>0.93200000000000005</v>
      </c>
      <c r="AL151" s="581"/>
      <c r="AM151" s="581"/>
      <c r="AS151" s="99"/>
      <c r="AV151" s="95"/>
      <c r="AY151" s="62"/>
      <c r="AZ151" s="62"/>
      <c r="BA151" s="95"/>
      <c r="BC151" s="99"/>
      <c r="BD151" s="62"/>
      <c r="BE151" s="62"/>
      <c r="BF151" s="95"/>
      <c r="BG151" s="62"/>
      <c r="BH151" s="14"/>
      <c r="BI151" s="62"/>
      <c r="BJ151" s="62"/>
      <c r="BK151" s="95"/>
    </row>
    <row r="152" spans="1:63" ht="15" customHeight="1" x14ac:dyDescent="0.2">
      <c r="A152" s="50">
        <v>149</v>
      </c>
      <c r="B152" s="50"/>
      <c r="C152" s="50"/>
      <c r="D152" s="50"/>
      <c r="E152" s="50"/>
      <c r="F152" s="50"/>
      <c r="G152" s="50"/>
      <c r="H152" s="50"/>
      <c r="I152" s="50"/>
      <c r="J152" s="50"/>
      <c r="K152" s="581"/>
      <c r="L152" s="581"/>
      <c r="M152" s="581"/>
      <c r="N152" s="50"/>
      <c r="O152" s="50"/>
      <c r="P152" s="50"/>
      <c r="Q152" s="147"/>
      <c r="R152" s="147"/>
      <c r="S152" s="147"/>
      <c r="T152" s="147"/>
      <c r="U152" s="147"/>
      <c r="V152" s="581"/>
      <c r="W152" s="581"/>
      <c r="X152" s="147"/>
      <c r="Y152" s="581"/>
      <c r="Z152" s="581"/>
      <c r="AA152" s="581"/>
      <c r="AB152" s="581"/>
      <c r="AC152" s="581"/>
      <c r="AD152" s="581"/>
      <c r="AE152" s="147"/>
      <c r="AF152" s="581"/>
      <c r="AG152" s="581"/>
      <c r="AH152" s="147"/>
      <c r="AI152" s="581">
        <v>3.0000000000000001E-3</v>
      </c>
      <c r="AJ152" s="581">
        <f xml:space="preserve"> 29.8%</f>
        <v>0.29799999999999999</v>
      </c>
      <c r="AK152" s="581">
        <f xml:space="preserve"> 94.1%</f>
        <v>0.94099999999999995</v>
      </c>
      <c r="AL152" s="581"/>
      <c r="AM152" s="581"/>
      <c r="BD152" s="62"/>
      <c r="BE152" s="62"/>
      <c r="BG152" s="62"/>
      <c r="BH152" s="14"/>
    </row>
    <row r="153" spans="1:63" ht="15" customHeight="1" x14ac:dyDescent="0.2">
      <c r="A153" s="50">
        <v>150</v>
      </c>
      <c r="B153" s="50"/>
      <c r="C153" s="50"/>
      <c r="D153" s="50"/>
      <c r="E153" s="50"/>
      <c r="F153" s="50"/>
      <c r="G153" s="50"/>
      <c r="H153" s="50"/>
      <c r="I153" s="50"/>
      <c r="J153" s="50"/>
      <c r="K153" s="581"/>
      <c r="L153" s="581"/>
      <c r="M153" s="581"/>
      <c r="N153" s="50"/>
      <c r="O153" s="50"/>
      <c r="P153" s="50"/>
      <c r="Q153" s="147"/>
      <c r="R153" s="147"/>
      <c r="S153" s="147"/>
      <c r="T153" s="147"/>
      <c r="U153" s="147"/>
      <c r="V153" s="581"/>
      <c r="W153" s="581"/>
      <c r="X153" s="147"/>
      <c r="Y153" s="581"/>
      <c r="Z153" s="581"/>
      <c r="AA153" s="581"/>
      <c r="AB153" s="581"/>
      <c r="AC153" s="581"/>
      <c r="AD153" s="581"/>
      <c r="AE153" s="147"/>
      <c r="AF153" s="581"/>
      <c r="AG153" s="581"/>
      <c r="AH153" s="147"/>
      <c r="AI153" s="581">
        <v>0</v>
      </c>
      <c r="AJ153" s="581">
        <f xml:space="preserve"> 30%</f>
        <v>0.3</v>
      </c>
      <c r="AK153" s="581">
        <f xml:space="preserve"> 95%</f>
        <v>0.95</v>
      </c>
      <c r="AL153" s="581"/>
      <c r="AM153" s="581"/>
      <c r="BD153" s="62"/>
      <c r="BE153" s="62"/>
      <c r="BG153" s="62"/>
      <c r="BH153" s="14"/>
    </row>
    <row r="154" spans="1:63" x14ac:dyDescent="0.2">
      <c r="BD154" s="62"/>
      <c r="BE154" s="62"/>
      <c r="BG154" s="62"/>
      <c r="BH154" s="14"/>
    </row>
    <row r="155" spans="1:63" x14ac:dyDescent="0.2">
      <c r="BD155" s="62"/>
      <c r="BE155" s="62"/>
      <c r="BG155" s="62"/>
      <c r="BH155" s="14"/>
    </row>
    <row r="156" spans="1:63" x14ac:dyDescent="0.2">
      <c r="BD156" s="62"/>
      <c r="BE156" s="62"/>
      <c r="BG156" s="62"/>
      <c r="BH156" s="14"/>
    </row>
    <row r="157" spans="1:63" x14ac:dyDescent="0.2">
      <c r="BD157" s="62"/>
      <c r="BE157" s="62"/>
      <c r="BG157" s="62"/>
      <c r="BH157" s="14"/>
    </row>
    <row r="158" spans="1:63" x14ac:dyDescent="0.2">
      <c r="BD158" s="62"/>
      <c r="BE158" s="62"/>
      <c r="BG158" s="62"/>
      <c r="BH158" s="14"/>
    </row>
    <row r="159" spans="1:63" x14ac:dyDescent="0.2">
      <c r="BD159" s="62"/>
      <c r="BE159" s="62"/>
      <c r="BG159" s="62"/>
      <c r="BH159" s="14"/>
    </row>
    <row r="160" spans="1:63" x14ac:dyDescent="0.2">
      <c r="BD160" s="62"/>
      <c r="BE160" s="62"/>
      <c r="BG160" s="62"/>
      <c r="BH160" s="14"/>
    </row>
    <row r="161" spans="56:60" x14ac:dyDescent="0.2">
      <c r="BD161" s="62"/>
      <c r="BE161" s="62"/>
      <c r="BG161" s="62"/>
      <c r="BH161" s="14"/>
    </row>
    <row r="162" spans="56:60" x14ac:dyDescent="0.2">
      <c r="BD162" s="62"/>
      <c r="BE162" s="62"/>
      <c r="BG162" s="62"/>
      <c r="BH162" s="14"/>
    </row>
    <row r="163" spans="56:60" x14ac:dyDescent="0.2">
      <c r="BD163" s="62"/>
      <c r="BE163" s="62"/>
      <c r="BG163" s="62"/>
      <c r="BH163" s="14"/>
    </row>
    <row r="164" spans="56:60" x14ac:dyDescent="0.2">
      <c r="BD164" s="62"/>
      <c r="BE164" s="62"/>
      <c r="BG164" s="62"/>
      <c r="BH164" s="14"/>
    </row>
    <row r="165" spans="56:60" x14ac:dyDescent="0.2">
      <c r="BD165" s="62"/>
      <c r="BE165" s="62"/>
      <c r="BG165" s="62"/>
      <c r="BH165" s="14"/>
    </row>
    <row r="166" spans="56:60" x14ac:dyDescent="0.2">
      <c r="BD166" s="62"/>
      <c r="BE166" s="62"/>
      <c r="BG166" s="62"/>
      <c r="BH166" s="14"/>
    </row>
    <row r="167" spans="56:60" x14ac:dyDescent="0.2">
      <c r="BD167" s="62"/>
      <c r="BE167" s="62"/>
      <c r="BG167" s="62"/>
      <c r="BH167" s="14"/>
    </row>
    <row r="168" spans="56:60" x14ac:dyDescent="0.2">
      <c r="BD168" s="62"/>
      <c r="BE168" s="62"/>
      <c r="BG168" s="62"/>
      <c r="BH168" s="14"/>
    </row>
    <row r="169" spans="56:60" x14ac:dyDescent="0.2">
      <c r="BD169" s="62"/>
      <c r="BE169" s="62"/>
      <c r="BG169" s="62"/>
      <c r="BH169" s="14"/>
    </row>
    <row r="170" spans="56:60" x14ac:dyDescent="0.2">
      <c r="BD170" s="62"/>
      <c r="BE170" s="62"/>
      <c r="BG170" s="62"/>
      <c r="BH170" s="14"/>
    </row>
    <row r="171" spans="56:60" x14ac:dyDescent="0.2">
      <c r="BD171" s="62"/>
      <c r="BE171" s="62"/>
      <c r="BG171" s="62"/>
      <c r="BH171" s="14"/>
    </row>
    <row r="172" spans="56:60" x14ac:dyDescent="0.2">
      <c r="BD172" s="62"/>
      <c r="BE172" s="62"/>
      <c r="BG172" s="62"/>
      <c r="BH172" s="14"/>
    </row>
    <row r="173" spans="56:60" x14ac:dyDescent="0.2">
      <c r="BD173" s="62"/>
      <c r="BE173" s="62"/>
      <c r="BG173" s="62"/>
      <c r="BH173" s="14"/>
    </row>
    <row r="174" spans="56:60" x14ac:dyDescent="0.2">
      <c r="BD174" s="62"/>
      <c r="BE174" s="62"/>
      <c r="BG174" s="62"/>
      <c r="BH174" s="14"/>
    </row>
    <row r="175" spans="56:60" x14ac:dyDescent="0.2">
      <c r="BD175" s="62"/>
      <c r="BE175" s="62"/>
      <c r="BG175" s="62"/>
      <c r="BH175" s="14"/>
    </row>
    <row r="176" spans="56:60" x14ac:dyDescent="0.2">
      <c r="BD176" s="62"/>
      <c r="BE176" s="62"/>
      <c r="BG176" s="62"/>
      <c r="BH176" s="14"/>
    </row>
    <row r="177" spans="56:60" x14ac:dyDescent="0.2">
      <c r="BD177" s="62"/>
      <c r="BE177" s="62"/>
      <c r="BG177" s="62"/>
      <c r="BH177" s="14"/>
    </row>
    <row r="178" spans="56:60" x14ac:dyDescent="0.2">
      <c r="BD178" s="62"/>
      <c r="BE178" s="62"/>
      <c r="BG178" s="62"/>
      <c r="BH178" s="14"/>
    </row>
    <row r="179" spans="56:60" x14ac:dyDescent="0.2">
      <c r="BD179" s="62"/>
      <c r="BE179" s="62"/>
      <c r="BG179" s="62"/>
      <c r="BH179" s="14"/>
    </row>
    <row r="180" spans="56:60" x14ac:dyDescent="0.2">
      <c r="BD180" s="62"/>
      <c r="BE180" s="62"/>
      <c r="BG180" s="62"/>
      <c r="BH180" s="14"/>
    </row>
    <row r="304" spans="3:3" x14ac:dyDescent="0.2">
      <c r="C304" s="14"/>
    </row>
    <row r="305" spans="1:3" x14ac:dyDescent="0.2">
      <c r="C305" s="14"/>
    </row>
    <row r="306" spans="1:3" x14ac:dyDescent="0.2">
      <c r="C306" s="14"/>
    </row>
    <row r="307" spans="1:3" x14ac:dyDescent="0.2">
      <c r="A307" s="14"/>
      <c r="C307" s="14"/>
    </row>
    <row r="308" spans="1:3" x14ac:dyDescent="0.2">
      <c r="A308" s="14"/>
      <c r="C308" s="14"/>
    </row>
    <row r="309" spans="1:3" x14ac:dyDescent="0.2">
      <c r="A309" s="14"/>
      <c r="C309" s="14"/>
    </row>
    <row r="310" spans="1:3" x14ac:dyDescent="0.2">
      <c r="A310" s="14"/>
      <c r="C310" s="14"/>
    </row>
    <row r="311" spans="1:3" x14ac:dyDescent="0.2">
      <c r="A311" s="14"/>
      <c r="C311" s="14"/>
    </row>
    <row r="312" spans="1:3" x14ac:dyDescent="0.2">
      <c r="A312" s="14"/>
    </row>
    <row r="313" spans="1:3" x14ac:dyDescent="0.2">
      <c r="A313" s="14"/>
    </row>
    <row r="314" spans="1:3" x14ac:dyDescent="0.2">
      <c r="A314" s="14"/>
    </row>
    <row r="315" spans="1:3" x14ac:dyDescent="0.2">
      <c r="A315" s="14"/>
    </row>
    <row r="316" spans="1:3" x14ac:dyDescent="0.2">
      <c r="A316" s="14"/>
    </row>
    <row r="317" spans="1:3" x14ac:dyDescent="0.2">
      <c r="A317" s="14"/>
    </row>
    <row r="318" spans="1:3" x14ac:dyDescent="0.2">
      <c r="A318" s="14"/>
    </row>
    <row r="319" spans="1:3" x14ac:dyDescent="0.2">
      <c r="A319" s="14"/>
    </row>
    <row r="320" spans="1:3" x14ac:dyDescent="0.2">
      <c r="A320" s="14"/>
    </row>
    <row r="321" spans="1:1" x14ac:dyDescent="0.2">
      <c r="A321" s="14"/>
    </row>
    <row r="322" spans="1:1" x14ac:dyDescent="0.2">
      <c r="A322" s="14"/>
    </row>
    <row r="323" spans="1:1" x14ac:dyDescent="0.2">
      <c r="A323" s="14"/>
    </row>
    <row r="324" spans="1:1" x14ac:dyDescent="0.2">
      <c r="A324" s="14"/>
    </row>
    <row r="325" spans="1:1" x14ac:dyDescent="0.2">
      <c r="A325" s="14"/>
    </row>
    <row r="326" spans="1:1" x14ac:dyDescent="0.2">
      <c r="A326" s="14"/>
    </row>
    <row r="327" spans="1:1" x14ac:dyDescent="0.2">
      <c r="A327" s="14"/>
    </row>
    <row r="328" spans="1:1" x14ac:dyDescent="0.2">
      <c r="A328" s="14"/>
    </row>
    <row r="329" spans="1:1" x14ac:dyDescent="0.2">
      <c r="A329" s="14"/>
    </row>
    <row r="330" spans="1:1" x14ac:dyDescent="0.2">
      <c r="A330" s="14"/>
    </row>
    <row r="331" spans="1:1" x14ac:dyDescent="0.2">
      <c r="A331" s="14"/>
    </row>
    <row r="332" spans="1:1" x14ac:dyDescent="0.2">
      <c r="A332" s="14"/>
    </row>
    <row r="333" spans="1:1" x14ac:dyDescent="0.2">
      <c r="A333" s="14"/>
    </row>
    <row r="334" spans="1:1" x14ac:dyDescent="0.2">
      <c r="A334" s="14"/>
    </row>
    <row r="335" spans="1:1" x14ac:dyDescent="0.2">
      <c r="A335" s="14"/>
    </row>
    <row r="336" spans="1:1" x14ac:dyDescent="0.2">
      <c r="A336" s="14"/>
    </row>
    <row r="337" spans="1:1" x14ac:dyDescent="0.2">
      <c r="A337" s="14"/>
    </row>
    <row r="338" spans="1:1" x14ac:dyDescent="0.2">
      <c r="A338" s="14"/>
    </row>
    <row r="339" spans="1:1" x14ac:dyDescent="0.2">
      <c r="A339" s="14"/>
    </row>
    <row r="340" spans="1:1" x14ac:dyDescent="0.2">
      <c r="A340" s="14"/>
    </row>
    <row r="341" spans="1:1" x14ac:dyDescent="0.2">
      <c r="A341" s="14"/>
    </row>
    <row r="342" spans="1:1" x14ac:dyDescent="0.2">
      <c r="A342" s="14"/>
    </row>
    <row r="343" spans="1:1" x14ac:dyDescent="0.2">
      <c r="A343" s="14"/>
    </row>
    <row r="344" spans="1:1" x14ac:dyDescent="0.2">
      <c r="A344" s="14"/>
    </row>
    <row r="345" spans="1:1" x14ac:dyDescent="0.2">
      <c r="A345" s="14"/>
    </row>
    <row r="346" spans="1:1" x14ac:dyDescent="0.2">
      <c r="A346" s="14"/>
    </row>
    <row r="347" spans="1:1" x14ac:dyDescent="0.2">
      <c r="A347" s="14"/>
    </row>
    <row r="348" spans="1:1" x14ac:dyDescent="0.2">
      <c r="A348" s="14"/>
    </row>
    <row r="349" spans="1:1" x14ac:dyDescent="0.2">
      <c r="A349" s="14"/>
    </row>
    <row r="350" spans="1:1" x14ac:dyDescent="0.2">
      <c r="A350" s="14"/>
    </row>
    <row r="351" spans="1:1" x14ac:dyDescent="0.2">
      <c r="A351" s="14"/>
    </row>
    <row r="352" spans="1:1" x14ac:dyDescent="0.2">
      <c r="A352" s="14"/>
    </row>
    <row r="353" spans="1:1" x14ac:dyDescent="0.2">
      <c r="A353" s="14"/>
    </row>
    <row r="354" spans="1:1" x14ac:dyDescent="0.2">
      <c r="A354" s="14"/>
    </row>
    <row r="355" spans="1:1" x14ac:dyDescent="0.2">
      <c r="A355" s="14"/>
    </row>
    <row r="356" spans="1:1" x14ac:dyDescent="0.2">
      <c r="A356" s="14"/>
    </row>
    <row r="357" spans="1:1" x14ac:dyDescent="0.2">
      <c r="A357" s="14"/>
    </row>
    <row r="358" spans="1:1" x14ac:dyDescent="0.2">
      <c r="A358" s="14"/>
    </row>
    <row r="359" spans="1:1" x14ac:dyDescent="0.2">
      <c r="A359" s="14"/>
    </row>
    <row r="360" spans="1:1" x14ac:dyDescent="0.2">
      <c r="A360" s="14"/>
    </row>
    <row r="361" spans="1:1" x14ac:dyDescent="0.2">
      <c r="A361" s="14"/>
    </row>
    <row r="362" spans="1:1" x14ac:dyDescent="0.2">
      <c r="A362" s="14"/>
    </row>
    <row r="363" spans="1:1" x14ac:dyDescent="0.2">
      <c r="A363" s="14"/>
    </row>
    <row r="364" spans="1:1" x14ac:dyDescent="0.2">
      <c r="A364" s="14"/>
    </row>
    <row r="365" spans="1:1" x14ac:dyDescent="0.2">
      <c r="A365" s="14"/>
    </row>
    <row r="366" spans="1:1" x14ac:dyDescent="0.2">
      <c r="A366" s="14"/>
    </row>
    <row r="367" spans="1:1" x14ac:dyDescent="0.2">
      <c r="A367" s="14"/>
    </row>
    <row r="368" spans="1:1" x14ac:dyDescent="0.2">
      <c r="A368" s="14"/>
    </row>
    <row r="369" spans="1:1" x14ac:dyDescent="0.2">
      <c r="A369" s="14"/>
    </row>
    <row r="370" spans="1:1" x14ac:dyDescent="0.2">
      <c r="A370" s="14"/>
    </row>
    <row r="371" spans="1:1" x14ac:dyDescent="0.2">
      <c r="A371" s="14"/>
    </row>
    <row r="372" spans="1:1" x14ac:dyDescent="0.2">
      <c r="A372" s="14"/>
    </row>
    <row r="373" spans="1:1" x14ac:dyDescent="0.2">
      <c r="A373" s="14"/>
    </row>
    <row r="374" spans="1:1" x14ac:dyDescent="0.2">
      <c r="A374" s="14"/>
    </row>
    <row r="375" spans="1:1" x14ac:dyDescent="0.2">
      <c r="A375" s="14"/>
    </row>
    <row r="376" spans="1:1" x14ac:dyDescent="0.2">
      <c r="A376" s="14"/>
    </row>
    <row r="377" spans="1:1" x14ac:dyDescent="0.2">
      <c r="A377" s="14"/>
    </row>
    <row r="378" spans="1:1" x14ac:dyDescent="0.2">
      <c r="A378" s="14"/>
    </row>
    <row r="379" spans="1:1" x14ac:dyDescent="0.2">
      <c r="A379" s="14"/>
    </row>
    <row r="380" spans="1:1" x14ac:dyDescent="0.2">
      <c r="A380" s="14"/>
    </row>
    <row r="381" spans="1:1" x14ac:dyDescent="0.2">
      <c r="A381" s="14"/>
    </row>
    <row r="382" spans="1:1" x14ac:dyDescent="0.2">
      <c r="A382" s="14"/>
    </row>
    <row r="383" spans="1:1" x14ac:dyDescent="0.2">
      <c r="A383" s="14"/>
    </row>
    <row r="384" spans="1:1" x14ac:dyDescent="0.2">
      <c r="A384" s="14"/>
    </row>
    <row r="385" spans="1:1" x14ac:dyDescent="0.2">
      <c r="A385" s="14"/>
    </row>
    <row r="386" spans="1:1" x14ac:dyDescent="0.2">
      <c r="A386" s="14"/>
    </row>
    <row r="387" spans="1:1" x14ac:dyDescent="0.2">
      <c r="A387" s="14"/>
    </row>
    <row r="388" spans="1:1" x14ac:dyDescent="0.2">
      <c r="A388" s="14"/>
    </row>
    <row r="389" spans="1:1" x14ac:dyDescent="0.2">
      <c r="A389" s="14"/>
    </row>
    <row r="390" spans="1:1" x14ac:dyDescent="0.2">
      <c r="A390" s="14"/>
    </row>
    <row r="391" spans="1:1" x14ac:dyDescent="0.2">
      <c r="A391" s="14"/>
    </row>
    <row r="392" spans="1:1" x14ac:dyDescent="0.2">
      <c r="A392" s="14"/>
    </row>
    <row r="393" spans="1:1" x14ac:dyDescent="0.2">
      <c r="A393" s="14"/>
    </row>
    <row r="394" spans="1:1" x14ac:dyDescent="0.2">
      <c r="A394" s="14"/>
    </row>
    <row r="395" spans="1:1" x14ac:dyDescent="0.2">
      <c r="A395" s="14"/>
    </row>
    <row r="396" spans="1:1" x14ac:dyDescent="0.2">
      <c r="A396" s="14"/>
    </row>
    <row r="397" spans="1:1" x14ac:dyDescent="0.2">
      <c r="A397" s="14"/>
    </row>
    <row r="398" spans="1:1" x14ac:dyDescent="0.2">
      <c r="A398" s="14"/>
    </row>
    <row r="399" spans="1:1" x14ac:dyDescent="0.2">
      <c r="A399" s="14"/>
    </row>
    <row r="400" spans="1:1" x14ac:dyDescent="0.2">
      <c r="A400" s="14"/>
    </row>
    <row r="401" spans="1:1" x14ac:dyDescent="0.2">
      <c r="A401" s="14"/>
    </row>
    <row r="402" spans="1:1" x14ac:dyDescent="0.2">
      <c r="A402" s="14"/>
    </row>
    <row r="403" spans="1:1" x14ac:dyDescent="0.2">
      <c r="A403" s="14"/>
    </row>
    <row r="404" spans="1:1" x14ac:dyDescent="0.2">
      <c r="A404" s="14"/>
    </row>
    <row r="405" spans="1:1" x14ac:dyDescent="0.2">
      <c r="A405" s="14"/>
    </row>
    <row r="406" spans="1:1" x14ac:dyDescent="0.2">
      <c r="A406" s="14"/>
    </row>
    <row r="407" spans="1:1" x14ac:dyDescent="0.2">
      <c r="A407" s="14"/>
    </row>
    <row r="408" spans="1:1" x14ac:dyDescent="0.2">
      <c r="A408" s="14"/>
    </row>
    <row r="409" spans="1:1" x14ac:dyDescent="0.2">
      <c r="A409" s="14"/>
    </row>
    <row r="410" spans="1:1" x14ac:dyDescent="0.2">
      <c r="A410" s="14"/>
    </row>
    <row r="411" spans="1:1" x14ac:dyDescent="0.2">
      <c r="A411" s="14"/>
    </row>
    <row r="412" spans="1:1" x14ac:dyDescent="0.2">
      <c r="A412" s="14"/>
    </row>
    <row r="413" spans="1:1" x14ac:dyDescent="0.2">
      <c r="A413" s="14"/>
    </row>
    <row r="414" spans="1:1" x14ac:dyDescent="0.2">
      <c r="A414" s="14"/>
    </row>
    <row r="415" spans="1:1" x14ac:dyDescent="0.2">
      <c r="A415" s="14"/>
    </row>
    <row r="416" spans="1:1" x14ac:dyDescent="0.2">
      <c r="A416" s="14"/>
    </row>
    <row r="417" spans="1:1" x14ac:dyDescent="0.2">
      <c r="A417" s="14"/>
    </row>
    <row r="418" spans="1:1" x14ac:dyDescent="0.2">
      <c r="A418" s="14"/>
    </row>
    <row r="419" spans="1:1" x14ac:dyDescent="0.2">
      <c r="A419" s="14"/>
    </row>
    <row r="420" spans="1:1" x14ac:dyDescent="0.2">
      <c r="A420" s="14"/>
    </row>
    <row r="421" spans="1:1" x14ac:dyDescent="0.2">
      <c r="A421" s="14"/>
    </row>
    <row r="422" spans="1:1" x14ac:dyDescent="0.2">
      <c r="A422" s="14"/>
    </row>
    <row r="423" spans="1:1" x14ac:dyDescent="0.2">
      <c r="A423" s="14"/>
    </row>
    <row r="424" spans="1:1" x14ac:dyDescent="0.2">
      <c r="A424" s="14"/>
    </row>
    <row r="425" spans="1:1" x14ac:dyDescent="0.2">
      <c r="A425" s="14"/>
    </row>
    <row r="426" spans="1:1" x14ac:dyDescent="0.2">
      <c r="A426" s="14"/>
    </row>
    <row r="427" spans="1:1" x14ac:dyDescent="0.2">
      <c r="A427" s="14"/>
    </row>
    <row r="428" spans="1:1" x14ac:dyDescent="0.2">
      <c r="A428" s="14"/>
    </row>
    <row r="429" spans="1:1" x14ac:dyDescent="0.2">
      <c r="A429" s="14"/>
    </row>
    <row r="430" spans="1:1" x14ac:dyDescent="0.2">
      <c r="A430" s="14"/>
    </row>
    <row r="431" spans="1:1" x14ac:dyDescent="0.2">
      <c r="A431" s="14"/>
    </row>
    <row r="432" spans="1:1" x14ac:dyDescent="0.2">
      <c r="A432" s="14"/>
    </row>
    <row r="433" spans="1:1" x14ac:dyDescent="0.2">
      <c r="A433" s="14"/>
    </row>
    <row r="434" spans="1:1" x14ac:dyDescent="0.2">
      <c r="A434" s="14"/>
    </row>
    <row r="435" spans="1:1" x14ac:dyDescent="0.2">
      <c r="A435" s="14"/>
    </row>
    <row r="436" spans="1:1" x14ac:dyDescent="0.2">
      <c r="A436" s="14"/>
    </row>
    <row r="437" spans="1:1" x14ac:dyDescent="0.2">
      <c r="A437" s="14"/>
    </row>
    <row r="438" spans="1:1" x14ac:dyDescent="0.2">
      <c r="A438" s="14"/>
    </row>
    <row r="439" spans="1:1" x14ac:dyDescent="0.2">
      <c r="A439" s="14"/>
    </row>
    <row r="440" spans="1:1" x14ac:dyDescent="0.2">
      <c r="A440" s="14"/>
    </row>
    <row r="441" spans="1:1" x14ac:dyDescent="0.2">
      <c r="A441" s="14"/>
    </row>
    <row r="442" spans="1:1" x14ac:dyDescent="0.2">
      <c r="A442" s="14"/>
    </row>
    <row r="443" spans="1:1" x14ac:dyDescent="0.2">
      <c r="A443" s="14"/>
    </row>
    <row r="444" spans="1:1" x14ac:dyDescent="0.2">
      <c r="A444" s="14"/>
    </row>
    <row r="445" spans="1:1" x14ac:dyDescent="0.2">
      <c r="A445" s="14"/>
    </row>
    <row r="446" spans="1:1" x14ac:dyDescent="0.2">
      <c r="A446" s="14"/>
    </row>
    <row r="447" spans="1:1" x14ac:dyDescent="0.2">
      <c r="A447" s="14"/>
    </row>
    <row r="448" spans="1:1" x14ac:dyDescent="0.2">
      <c r="A448" s="14"/>
    </row>
    <row r="449" spans="1:1" x14ac:dyDescent="0.2">
      <c r="A449" s="14"/>
    </row>
    <row r="450" spans="1:1" x14ac:dyDescent="0.2">
      <c r="A450" s="14"/>
    </row>
    <row r="451" spans="1:1" x14ac:dyDescent="0.2">
      <c r="A451" s="14"/>
    </row>
    <row r="452" spans="1:1" x14ac:dyDescent="0.2">
      <c r="A452" s="14"/>
    </row>
    <row r="453" spans="1:1" x14ac:dyDescent="0.2">
      <c r="A453" s="14"/>
    </row>
    <row r="454" spans="1:1" x14ac:dyDescent="0.2">
      <c r="A454" s="14"/>
    </row>
    <row r="455" spans="1:1" x14ac:dyDescent="0.2">
      <c r="A455" s="14"/>
    </row>
    <row r="456" spans="1:1" x14ac:dyDescent="0.2">
      <c r="A456" s="14"/>
    </row>
    <row r="457" spans="1:1" x14ac:dyDescent="0.2">
      <c r="A457" s="14"/>
    </row>
    <row r="458" spans="1:1" x14ac:dyDescent="0.2">
      <c r="A458" s="14"/>
    </row>
    <row r="459" spans="1:1" x14ac:dyDescent="0.2">
      <c r="A459" s="14"/>
    </row>
    <row r="460" spans="1:1" x14ac:dyDescent="0.2">
      <c r="A460" s="14"/>
    </row>
    <row r="461" spans="1:1" x14ac:dyDescent="0.2">
      <c r="A461" s="14"/>
    </row>
    <row r="462" spans="1:1" x14ac:dyDescent="0.2">
      <c r="A462" s="14"/>
    </row>
    <row r="463" spans="1:1" x14ac:dyDescent="0.2">
      <c r="A463" s="14"/>
    </row>
    <row r="464" spans="1:1" x14ac:dyDescent="0.2">
      <c r="A464" s="14"/>
    </row>
    <row r="465" spans="1:1" x14ac:dyDescent="0.2">
      <c r="A465" s="14"/>
    </row>
    <row r="466" spans="1:1" x14ac:dyDescent="0.2">
      <c r="A466" s="14"/>
    </row>
    <row r="467" spans="1:1" x14ac:dyDescent="0.2">
      <c r="A467" s="14"/>
    </row>
    <row r="468" spans="1:1" x14ac:dyDescent="0.2">
      <c r="A468" s="14"/>
    </row>
    <row r="469" spans="1:1" x14ac:dyDescent="0.2">
      <c r="A469" s="14"/>
    </row>
    <row r="470" spans="1:1" x14ac:dyDescent="0.2">
      <c r="A470" s="14"/>
    </row>
    <row r="471" spans="1:1" x14ac:dyDescent="0.2">
      <c r="A471" s="14"/>
    </row>
    <row r="472" spans="1:1" x14ac:dyDescent="0.2">
      <c r="A472" s="14"/>
    </row>
    <row r="473" spans="1:1" x14ac:dyDescent="0.2">
      <c r="A473" s="14"/>
    </row>
    <row r="474" spans="1:1" x14ac:dyDescent="0.2">
      <c r="A474" s="14"/>
    </row>
    <row r="475" spans="1:1" x14ac:dyDescent="0.2">
      <c r="A475" s="14"/>
    </row>
    <row r="476" spans="1:1" x14ac:dyDescent="0.2">
      <c r="A476" s="14"/>
    </row>
    <row r="477" spans="1:1" x14ac:dyDescent="0.2">
      <c r="A477" s="14"/>
    </row>
    <row r="478" spans="1:1" x14ac:dyDescent="0.2">
      <c r="A478" s="14"/>
    </row>
    <row r="479" spans="1:1" x14ac:dyDescent="0.2">
      <c r="A479" s="14"/>
    </row>
    <row r="480" spans="1:1" x14ac:dyDescent="0.2">
      <c r="A480" s="14"/>
    </row>
    <row r="481" spans="1:1" x14ac:dyDescent="0.2">
      <c r="A481" s="14"/>
    </row>
    <row r="482" spans="1:1" x14ac:dyDescent="0.2">
      <c r="A482" s="14"/>
    </row>
    <row r="483" spans="1:1" x14ac:dyDescent="0.2">
      <c r="A483" s="14"/>
    </row>
    <row r="484" spans="1:1" x14ac:dyDescent="0.2">
      <c r="A484" s="14"/>
    </row>
    <row r="485" spans="1:1" x14ac:dyDescent="0.2">
      <c r="A485" s="14"/>
    </row>
    <row r="486" spans="1:1" x14ac:dyDescent="0.2">
      <c r="A486" s="14"/>
    </row>
    <row r="487" spans="1:1" x14ac:dyDescent="0.2">
      <c r="A487" s="14"/>
    </row>
    <row r="488" spans="1:1" x14ac:dyDescent="0.2">
      <c r="A488" s="14"/>
    </row>
    <row r="489" spans="1:1" x14ac:dyDescent="0.2">
      <c r="A489" s="14"/>
    </row>
    <row r="490" spans="1:1" x14ac:dyDescent="0.2">
      <c r="A490" s="14"/>
    </row>
    <row r="491" spans="1:1" x14ac:dyDescent="0.2">
      <c r="A491" s="14"/>
    </row>
    <row r="492" spans="1:1" x14ac:dyDescent="0.2">
      <c r="A492" s="14"/>
    </row>
    <row r="493" spans="1:1" x14ac:dyDescent="0.2">
      <c r="A493" s="14"/>
    </row>
    <row r="494" spans="1:1" x14ac:dyDescent="0.2">
      <c r="A494" s="14"/>
    </row>
    <row r="495" spans="1:1" x14ac:dyDescent="0.2">
      <c r="A495" s="14"/>
    </row>
    <row r="496" spans="1:1" x14ac:dyDescent="0.2">
      <c r="A496" s="14"/>
    </row>
    <row r="497" spans="1:1" x14ac:dyDescent="0.2">
      <c r="A497" s="14"/>
    </row>
    <row r="498" spans="1:1" x14ac:dyDescent="0.2">
      <c r="A498" s="14"/>
    </row>
    <row r="499" spans="1:1" x14ac:dyDescent="0.2">
      <c r="A499" s="14"/>
    </row>
    <row r="500" spans="1:1" x14ac:dyDescent="0.2">
      <c r="A500" s="14"/>
    </row>
    <row r="501" spans="1:1" x14ac:dyDescent="0.2">
      <c r="A501" s="14"/>
    </row>
    <row r="502" spans="1:1" x14ac:dyDescent="0.2">
      <c r="A502" s="14"/>
    </row>
    <row r="503" spans="1:1" x14ac:dyDescent="0.2">
      <c r="A503" s="14"/>
    </row>
    <row r="504" spans="1:1" x14ac:dyDescent="0.2">
      <c r="A504" s="14"/>
    </row>
    <row r="505" spans="1:1" x14ac:dyDescent="0.2">
      <c r="A505" s="14"/>
    </row>
    <row r="506" spans="1:1" x14ac:dyDescent="0.2">
      <c r="A506" s="14"/>
    </row>
    <row r="507" spans="1:1" x14ac:dyDescent="0.2">
      <c r="A507" s="14"/>
    </row>
    <row r="508" spans="1:1" x14ac:dyDescent="0.2">
      <c r="A508" s="14"/>
    </row>
    <row r="509" spans="1:1" x14ac:dyDescent="0.2">
      <c r="A509" s="14"/>
    </row>
    <row r="510" spans="1:1" x14ac:dyDescent="0.2">
      <c r="A510" s="14"/>
    </row>
    <row r="511" spans="1:1" x14ac:dyDescent="0.2">
      <c r="A511" s="14"/>
    </row>
    <row r="512" spans="1:1" x14ac:dyDescent="0.2">
      <c r="A512" s="14"/>
    </row>
    <row r="513" spans="1:1" x14ac:dyDescent="0.2">
      <c r="A513" s="14"/>
    </row>
    <row r="514" spans="1:1" x14ac:dyDescent="0.2">
      <c r="A514" s="14"/>
    </row>
    <row r="515" spans="1:1" x14ac:dyDescent="0.2">
      <c r="A515" s="14"/>
    </row>
    <row r="516" spans="1:1" x14ac:dyDescent="0.2">
      <c r="A516" s="14"/>
    </row>
    <row r="517" spans="1:1" x14ac:dyDescent="0.2">
      <c r="A517" s="14"/>
    </row>
    <row r="518" spans="1:1" x14ac:dyDescent="0.2">
      <c r="A518" s="14"/>
    </row>
    <row r="519" spans="1:1" x14ac:dyDescent="0.2">
      <c r="A519" s="14"/>
    </row>
    <row r="520" spans="1:1" x14ac:dyDescent="0.2">
      <c r="A520" s="14"/>
    </row>
    <row r="521" spans="1:1" x14ac:dyDescent="0.2">
      <c r="A521" s="14"/>
    </row>
    <row r="522" spans="1:1" x14ac:dyDescent="0.2">
      <c r="A522" s="14"/>
    </row>
    <row r="523" spans="1:1" x14ac:dyDescent="0.2">
      <c r="A523" s="14"/>
    </row>
    <row r="524" spans="1:1" x14ac:dyDescent="0.2">
      <c r="A524" s="14"/>
    </row>
    <row r="525" spans="1:1" x14ac:dyDescent="0.2">
      <c r="A525" s="14"/>
    </row>
    <row r="526" spans="1:1" x14ac:dyDescent="0.2">
      <c r="A526" s="14"/>
    </row>
    <row r="527" spans="1:1" x14ac:dyDescent="0.2">
      <c r="A527" s="14"/>
    </row>
    <row r="528" spans="1:1" x14ac:dyDescent="0.2">
      <c r="A528" s="14"/>
    </row>
    <row r="529" spans="1:1" x14ac:dyDescent="0.2">
      <c r="A529" s="14"/>
    </row>
    <row r="530" spans="1:1" x14ac:dyDescent="0.2">
      <c r="A530" s="14"/>
    </row>
    <row r="531" spans="1:1" x14ac:dyDescent="0.2">
      <c r="A531" s="14"/>
    </row>
    <row r="532" spans="1:1" x14ac:dyDescent="0.2">
      <c r="A532" s="14"/>
    </row>
    <row r="533" spans="1:1" x14ac:dyDescent="0.2">
      <c r="A533" s="14"/>
    </row>
    <row r="534" spans="1:1" x14ac:dyDescent="0.2">
      <c r="A534" s="14"/>
    </row>
    <row r="535" spans="1:1" x14ac:dyDescent="0.2">
      <c r="A535" s="14"/>
    </row>
    <row r="536" spans="1:1" x14ac:dyDescent="0.2">
      <c r="A536" s="14"/>
    </row>
    <row r="537" spans="1:1" x14ac:dyDescent="0.2">
      <c r="A537" s="14"/>
    </row>
    <row r="538" spans="1:1" x14ac:dyDescent="0.2">
      <c r="A538" s="14"/>
    </row>
    <row r="539" spans="1:1" x14ac:dyDescent="0.2">
      <c r="A539" s="14"/>
    </row>
    <row r="540" spans="1:1" x14ac:dyDescent="0.2">
      <c r="A540" s="14"/>
    </row>
    <row r="541" spans="1:1" x14ac:dyDescent="0.2">
      <c r="A541" s="14"/>
    </row>
    <row r="542" spans="1:1" x14ac:dyDescent="0.2">
      <c r="A542" s="14"/>
    </row>
    <row r="543" spans="1:1" x14ac:dyDescent="0.2">
      <c r="A543" s="14"/>
    </row>
    <row r="544" spans="1:1" x14ac:dyDescent="0.2">
      <c r="A544" s="14"/>
    </row>
    <row r="545" spans="1:1" x14ac:dyDescent="0.2">
      <c r="A545" s="14"/>
    </row>
    <row r="546" spans="1:1" x14ac:dyDescent="0.2">
      <c r="A546" s="14"/>
    </row>
    <row r="547" spans="1:1" x14ac:dyDescent="0.2">
      <c r="A547" s="14"/>
    </row>
    <row r="548" spans="1:1" x14ac:dyDescent="0.2">
      <c r="A548" s="14"/>
    </row>
    <row r="549" spans="1:1" x14ac:dyDescent="0.2">
      <c r="A549" s="14"/>
    </row>
    <row r="550" spans="1:1" x14ac:dyDescent="0.2">
      <c r="A550" s="14"/>
    </row>
    <row r="551" spans="1:1" x14ac:dyDescent="0.2">
      <c r="A551" s="14"/>
    </row>
    <row r="552" spans="1:1" x14ac:dyDescent="0.2">
      <c r="A552" s="14"/>
    </row>
    <row r="553" spans="1:1" x14ac:dyDescent="0.2">
      <c r="A553" s="14"/>
    </row>
    <row r="554" spans="1:1" x14ac:dyDescent="0.2">
      <c r="A554" s="14"/>
    </row>
    <row r="555" spans="1:1" x14ac:dyDescent="0.2">
      <c r="A555" s="14"/>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N94"/>
  <sheetViews>
    <sheetView showGridLines="0" zoomScale="120" zoomScaleNormal="120" workbookViewId="0"/>
  </sheetViews>
  <sheetFormatPr defaultColWidth="2.5703125" defaultRowHeight="12.75" x14ac:dyDescent="0.2"/>
  <cols>
    <col min="1" max="1" width="1.5703125" style="2" customWidth="1"/>
    <col min="2" max="2" width="18.7109375" style="2" customWidth="1"/>
    <col min="3" max="3" width="3.42578125" style="2" customWidth="1"/>
    <col min="4" max="4" width="3.5703125" style="2" customWidth="1"/>
    <col min="5" max="5" width="3.42578125" style="2" customWidth="1"/>
    <col min="6" max="6" width="3.140625" style="2" customWidth="1"/>
    <col min="7" max="7" width="3.42578125" style="2" customWidth="1"/>
    <col min="8" max="8" width="3.7109375" style="2" customWidth="1"/>
    <col min="9" max="9" width="3.28515625" style="2" customWidth="1"/>
    <col min="10" max="10" width="3.140625" style="2" customWidth="1"/>
    <col min="11" max="12" width="4.28515625" style="2" customWidth="1"/>
    <col min="13" max="13" width="3" style="2" customWidth="1"/>
    <col min="14" max="14" width="3.7109375" style="2" customWidth="1"/>
    <col min="15" max="15" width="8.5703125" style="2" customWidth="1"/>
    <col min="16" max="16" width="3" style="2" customWidth="1"/>
    <col min="17" max="17" width="13.140625" style="2" customWidth="1"/>
    <col min="18" max="18" width="1.28515625" style="2" customWidth="1"/>
    <col min="19" max="19" width="9.140625" style="2" hidden="1" customWidth="1"/>
    <col min="20" max="21" width="10.85546875" style="2" hidden="1" customWidth="1"/>
    <col min="22" max="22" width="14.42578125" style="2" hidden="1" customWidth="1"/>
    <col min="23" max="23" width="10.7109375" style="1" hidden="1" customWidth="1"/>
    <col min="24" max="24" width="13.42578125" style="2" hidden="1" customWidth="1"/>
    <col min="25" max="26" width="9.140625" style="2" hidden="1" customWidth="1"/>
    <col min="27" max="27" width="9.85546875" style="2" hidden="1" customWidth="1"/>
    <col min="28" max="29" width="9.140625" style="2" hidden="1" customWidth="1"/>
    <col min="30" max="30" width="14.85546875" style="2" hidden="1" customWidth="1"/>
    <col min="31" max="130" width="9.140625" style="2" hidden="1" customWidth="1"/>
    <col min="131" max="255" width="9.140625" style="2" customWidth="1"/>
    <col min="256" max="16384" width="2.5703125" style="2"/>
  </cols>
  <sheetData>
    <row r="1" spans="1:170" ht="15" customHeight="1" x14ac:dyDescent="0.2">
      <c r="B1" s="724" t="s">
        <v>1697</v>
      </c>
      <c r="C1" s="771"/>
      <c r="D1" s="732" t="str">
        <f>IF('Start here'!A6="","",'Start here'!A6)</f>
        <v/>
      </c>
      <c r="E1" s="736"/>
      <c r="F1" s="736"/>
      <c r="G1" s="736"/>
      <c r="H1" s="736"/>
      <c r="I1" s="736"/>
      <c r="J1" s="736"/>
      <c r="K1" s="737"/>
      <c r="M1" s="732" t="str">
        <f>IF('Start here'!A7="","",'Start here'!A7)</f>
        <v/>
      </c>
      <c r="N1" s="736"/>
      <c r="O1" s="736"/>
      <c r="P1" s="736"/>
      <c r="Q1" s="737"/>
      <c r="R1" s="6"/>
      <c r="T1" s="13" t="s">
        <v>2263</v>
      </c>
      <c r="U1" s="242" t="str">
        <f>IF('Start here'!A9="","",'Start here'!A9)</f>
        <v/>
      </c>
      <c r="V1" s="13" t="s">
        <v>2262</v>
      </c>
      <c r="W1" s="242" t="str">
        <f>IF('Start here'!A11="","",'Start here'!A11)</f>
        <v/>
      </c>
      <c r="X1" s="13" t="s">
        <v>2264</v>
      </c>
      <c r="Y1" s="13" t="str">
        <f>IF(OR(U1="",W1=""),"",DATEDIF(U1,W1,"y"))</f>
        <v/>
      </c>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2">
      <c r="B2" s="777"/>
      <c r="C2" s="777"/>
      <c r="D2" s="777"/>
      <c r="E2" s="777"/>
      <c r="F2" s="777"/>
      <c r="G2" s="777"/>
      <c r="H2" s="777"/>
      <c r="I2" s="777"/>
      <c r="J2" s="777"/>
      <c r="K2" s="777"/>
      <c r="L2" s="777"/>
      <c r="M2" s="777"/>
      <c r="N2" s="777"/>
      <c r="O2" s="777"/>
      <c r="P2" s="777"/>
      <c r="Q2" s="777"/>
    </row>
    <row r="3" spans="1:170" ht="36" customHeight="1" x14ac:dyDescent="0.3">
      <c r="A3" s="15"/>
      <c r="B3" s="904" t="str">
        <f>IF(N51="",T3,IF(N51&gt;S43,T4,T3))</f>
        <v>Permanent Partial Disability Determination
for dates of injury before 1/1/2005</v>
      </c>
      <c r="C3" s="905"/>
      <c r="D3" s="905"/>
      <c r="E3" s="905"/>
      <c r="F3" s="906"/>
      <c r="G3" s="905"/>
      <c r="H3" s="905"/>
      <c r="I3" s="905"/>
      <c r="J3" s="905"/>
      <c r="K3" s="905"/>
      <c r="L3" s="905"/>
      <c r="M3" s="905"/>
      <c r="N3" s="905"/>
      <c r="O3" s="905"/>
      <c r="P3" s="905"/>
      <c r="Q3" s="905"/>
      <c r="T3" s="58" t="s">
        <v>2137</v>
      </c>
    </row>
    <row r="4" spans="1:170" ht="18" customHeight="1" x14ac:dyDescent="0.25">
      <c r="B4" s="909" t="s">
        <v>1115</v>
      </c>
      <c r="C4" s="909"/>
      <c r="D4" s="909"/>
      <c r="E4" s="909"/>
      <c r="F4" s="909"/>
      <c r="G4" s="909"/>
      <c r="H4" s="909"/>
      <c r="I4" s="909"/>
      <c r="J4" s="909"/>
      <c r="K4" s="909"/>
      <c r="L4" s="909"/>
      <c r="M4" s="909"/>
      <c r="N4" s="909"/>
      <c r="O4" s="909"/>
      <c r="P4" s="909"/>
      <c r="Q4" s="909"/>
      <c r="T4" s="2" t="s">
        <v>2136</v>
      </c>
    </row>
    <row r="5" spans="1:170" ht="25.5" customHeight="1" x14ac:dyDescent="0.2">
      <c r="B5" s="19" t="s">
        <v>65</v>
      </c>
      <c r="C5" s="910" t="s">
        <v>1759</v>
      </c>
      <c r="D5" s="910"/>
      <c r="E5" s="910"/>
      <c r="F5" s="18"/>
      <c r="G5" s="907" t="s">
        <v>1042</v>
      </c>
      <c r="H5" s="911"/>
      <c r="I5" s="908"/>
      <c r="J5" s="18"/>
      <c r="K5" s="912" t="s">
        <v>355</v>
      </c>
      <c r="L5" s="912"/>
      <c r="M5" s="19"/>
      <c r="N5" s="907" t="s">
        <v>1850</v>
      </c>
      <c r="O5" s="908"/>
      <c r="P5" s="269"/>
      <c r="Q5" s="18" t="s">
        <v>1173</v>
      </c>
    </row>
    <row r="6" spans="1:170" ht="17.45" customHeight="1" x14ac:dyDescent="0.2">
      <c r="B6" s="150" t="s">
        <v>873</v>
      </c>
      <c r="C6" s="765">
        <f>'Upper Extremity-Right'!R644</f>
        <v>0</v>
      </c>
      <c r="D6" s="766"/>
      <c r="E6" s="767"/>
      <c r="F6" s="18" t="s">
        <v>1754</v>
      </c>
      <c r="G6" s="731">
        <v>192</v>
      </c>
      <c r="H6" s="731"/>
      <c r="I6" s="731"/>
      <c r="J6" s="18" t="s">
        <v>1756</v>
      </c>
      <c r="K6" s="882">
        <f t="shared" ref="K6:K14" si="0">ROUND(C6*G6,2)</f>
        <v>0</v>
      </c>
      <c r="L6" s="883"/>
      <c r="M6" s="18" t="s">
        <v>1754</v>
      </c>
      <c r="N6" s="745">
        <f>IF(C6&gt;0,'Dol Per Deg'!$H$11,0)</f>
        <v>0</v>
      </c>
      <c r="O6" s="846"/>
      <c r="P6" s="18" t="s">
        <v>1756</v>
      </c>
      <c r="Q6" s="156">
        <f t="shared" ref="Q6:Q33" si="1">ROUND(K6*N6,2)</f>
        <v>0</v>
      </c>
      <c r="T6" s="2" t="s">
        <v>354</v>
      </c>
    </row>
    <row r="7" spans="1:170" ht="17.45" customHeight="1" x14ac:dyDescent="0.2">
      <c r="B7" s="150" t="s">
        <v>602</v>
      </c>
      <c r="C7" s="727">
        <f>'Upper Extremity-Right'!R643</f>
        <v>0</v>
      </c>
      <c r="D7" s="728"/>
      <c r="E7" s="729"/>
      <c r="F7" s="18" t="s">
        <v>1754</v>
      </c>
      <c r="G7" s="732">
        <v>150</v>
      </c>
      <c r="H7" s="736"/>
      <c r="I7" s="737"/>
      <c r="J7" s="18" t="s">
        <v>1756</v>
      </c>
      <c r="K7" s="882">
        <f t="shared" si="0"/>
        <v>0</v>
      </c>
      <c r="L7" s="883"/>
      <c r="M7" s="18" t="s">
        <v>1754</v>
      </c>
      <c r="N7" s="745">
        <f>IF(C7&gt;0,'Dol Per Deg'!$H$11,0)</f>
        <v>0</v>
      </c>
      <c r="O7" s="846"/>
      <c r="P7" s="18" t="s">
        <v>1756</v>
      </c>
      <c r="Q7" s="156">
        <f t="shared" si="1"/>
        <v>0</v>
      </c>
      <c r="T7" s="2" t="s">
        <v>1198</v>
      </c>
    </row>
    <row r="8" spans="1:170" ht="17.45" customHeight="1" x14ac:dyDescent="0.2">
      <c r="B8" s="150" t="s">
        <v>1896</v>
      </c>
      <c r="C8" s="727">
        <f>'Upper Extremity-Right'!R638</f>
        <v>0</v>
      </c>
      <c r="D8" s="728"/>
      <c r="E8" s="729"/>
      <c r="F8" s="18" t="s">
        <v>1754</v>
      </c>
      <c r="G8" s="732">
        <v>48</v>
      </c>
      <c r="H8" s="736"/>
      <c r="I8" s="737"/>
      <c r="J8" s="18" t="s">
        <v>1756</v>
      </c>
      <c r="K8" s="882">
        <f t="shared" si="0"/>
        <v>0</v>
      </c>
      <c r="L8" s="883"/>
      <c r="M8" s="18" t="s">
        <v>1754</v>
      </c>
      <c r="N8" s="745">
        <f>IF(C8&gt;0,'Dol Per Deg'!$H$11,0)</f>
        <v>0</v>
      </c>
      <c r="O8" s="846"/>
      <c r="P8" s="18" t="s">
        <v>1756</v>
      </c>
      <c r="Q8" s="156">
        <f t="shared" si="1"/>
        <v>0</v>
      </c>
      <c r="T8" s="2" t="s">
        <v>1164</v>
      </c>
    </row>
    <row r="9" spans="1:170" ht="17.45" customHeight="1" x14ac:dyDescent="0.2">
      <c r="B9" s="150" t="s">
        <v>112</v>
      </c>
      <c r="C9" s="727">
        <f>'Upper Extremity-Right'!R639</f>
        <v>0</v>
      </c>
      <c r="D9" s="728"/>
      <c r="E9" s="729"/>
      <c r="F9" s="18" t="s">
        <v>1754</v>
      </c>
      <c r="G9" s="732">
        <v>24</v>
      </c>
      <c r="H9" s="736"/>
      <c r="I9" s="737"/>
      <c r="J9" s="18" t="s">
        <v>1756</v>
      </c>
      <c r="K9" s="882">
        <f t="shared" si="0"/>
        <v>0</v>
      </c>
      <c r="L9" s="883"/>
      <c r="M9" s="18" t="s">
        <v>1754</v>
      </c>
      <c r="N9" s="745">
        <f>IF(C9&gt;0,'Dol Per Deg'!$H$11,0)</f>
        <v>0</v>
      </c>
      <c r="O9" s="846"/>
      <c r="P9" s="18" t="s">
        <v>1756</v>
      </c>
      <c r="Q9" s="156">
        <f t="shared" si="1"/>
        <v>0</v>
      </c>
      <c r="T9" s="2" t="s">
        <v>941</v>
      </c>
    </row>
    <row r="10" spans="1:170" ht="17.45" customHeight="1" x14ac:dyDescent="0.2">
      <c r="B10" s="150" t="s">
        <v>114</v>
      </c>
      <c r="C10" s="727">
        <f>'Upper Extremity-Right'!R640</f>
        <v>0</v>
      </c>
      <c r="D10" s="728"/>
      <c r="E10" s="729"/>
      <c r="F10" s="18" t="s">
        <v>1754</v>
      </c>
      <c r="G10" s="732">
        <v>22</v>
      </c>
      <c r="H10" s="736"/>
      <c r="I10" s="737"/>
      <c r="J10" s="18" t="s">
        <v>1756</v>
      </c>
      <c r="K10" s="882">
        <f t="shared" si="0"/>
        <v>0</v>
      </c>
      <c r="L10" s="883"/>
      <c r="M10" s="18" t="s">
        <v>1754</v>
      </c>
      <c r="N10" s="745">
        <f>IF(C10&gt;0,'Dol Per Deg'!$H$11,0)</f>
        <v>0</v>
      </c>
      <c r="O10" s="846"/>
      <c r="P10" s="18" t="s">
        <v>1756</v>
      </c>
      <c r="Q10" s="156">
        <f t="shared" si="1"/>
        <v>0</v>
      </c>
      <c r="T10" s="2" t="s">
        <v>870</v>
      </c>
    </row>
    <row r="11" spans="1:170" ht="17.45" customHeight="1" x14ac:dyDescent="0.2">
      <c r="B11" s="150" t="s">
        <v>116</v>
      </c>
      <c r="C11" s="727">
        <f>'Upper Extremity-Right'!R641</f>
        <v>0</v>
      </c>
      <c r="D11" s="728"/>
      <c r="E11" s="729"/>
      <c r="F11" s="18" t="s">
        <v>1754</v>
      </c>
      <c r="G11" s="732">
        <v>10</v>
      </c>
      <c r="H11" s="736"/>
      <c r="I11" s="737"/>
      <c r="J11" s="18" t="s">
        <v>1756</v>
      </c>
      <c r="K11" s="882">
        <f t="shared" si="0"/>
        <v>0</v>
      </c>
      <c r="L11" s="883"/>
      <c r="M11" s="18" t="s">
        <v>1754</v>
      </c>
      <c r="N11" s="745">
        <f>IF(C11&gt;0,'Dol Per Deg'!$H$11,0)</f>
        <v>0</v>
      </c>
      <c r="O11" s="846"/>
      <c r="P11" s="18" t="s">
        <v>1756</v>
      </c>
      <c r="Q11" s="156">
        <f t="shared" si="1"/>
        <v>0</v>
      </c>
    </row>
    <row r="12" spans="1:170" ht="17.45" customHeight="1" x14ac:dyDescent="0.2">
      <c r="B12" s="150" t="s">
        <v>1366</v>
      </c>
      <c r="C12" s="727">
        <f>'Upper Extremity-Right'!R642</f>
        <v>0</v>
      </c>
      <c r="D12" s="728"/>
      <c r="E12" s="729"/>
      <c r="F12" s="18" t="s">
        <v>1754</v>
      </c>
      <c r="G12" s="732">
        <v>6</v>
      </c>
      <c r="H12" s="736"/>
      <c r="I12" s="737"/>
      <c r="J12" s="18" t="s">
        <v>1756</v>
      </c>
      <c r="K12" s="882">
        <f t="shared" si="0"/>
        <v>0</v>
      </c>
      <c r="L12" s="883"/>
      <c r="M12" s="18" t="s">
        <v>1754</v>
      </c>
      <c r="N12" s="745">
        <f>IF(C12&gt;0,'Dol Per Deg'!$H$11,0)</f>
        <v>0</v>
      </c>
      <c r="O12" s="846"/>
      <c r="P12" s="18" t="s">
        <v>1756</v>
      </c>
      <c r="Q12" s="156">
        <f t="shared" si="1"/>
        <v>0</v>
      </c>
      <c r="T12" s="10" t="s">
        <v>2108</v>
      </c>
    </row>
    <row r="13" spans="1:170" ht="17.45" customHeight="1" x14ac:dyDescent="0.2">
      <c r="B13" s="150" t="s">
        <v>1891</v>
      </c>
      <c r="C13" s="727">
        <f>'Upper Extremity-Left'!R644</f>
        <v>0</v>
      </c>
      <c r="D13" s="736"/>
      <c r="E13" s="737"/>
      <c r="F13" s="18" t="s">
        <v>1754</v>
      </c>
      <c r="G13" s="732">
        <v>192</v>
      </c>
      <c r="H13" s="736"/>
      <c r="I13" s="737"/>
      <c r="J13" s="18" t="s">
        <v>1756</v>
      </c>
      <c r="K13" s="882">
        <f t="shared" si="0"/>
        <v>0</v>
      </c>
      <c r="L13" s="883"/>
      <c r="M13" s="18" t="s">
        <v>1754</v>
      </c>
      <c r="N13" s="745">
        <f>IF(C13&gt;0,'Dol Per Deg'!$H$11,0)</f>
        <v>0</v>
      </c>
      <c r="O13" s="846"/>
      <c r="P13" s="18" t="s">
        <v>1756</v>
      </c>
      <c r="Q13" s="156">
        <f t="shared" si="1"/>
        <v>0</v>
      </c>
      <c r="T13" s="10" t="s">
        <v>2109</v>
      </c>
    </row>
    <row r="14" spans="1:170" ht="17.45" customHeight="1" x14ac:dyDescent="0.2">
      <c r="B14" s="150" t="s">
        <v>1506</v>
      </c>
      <c r="C14" s="727">
        <f>'Upper Extremity-Left'!R643</f>
        <v>0</v>
      </c>
      <c r="D14" s="736"/>
      <c r="E14" s="737"/>
      <c r="F14" s="18" t="s">
        <v>1754</v>
      </c>
      <c r="G14" s="732">
        <v>150</v>
      </c>
      <c r="H14" s="736"/>
      <c r="I14" s="737"/>
      <c r="J14" s="18" t="s">
        <v>1756</v>
      </c>
      <c r="K14" s="882">
        <f t="shared" si="0"/>
        <v>0</v>
      </c>
      <c r="L14" s="883"/>
      <c r="M14" s="18" t="s">
        <v>1754</v>
      </c>
      <c r="N14" s="745">
        <f>IF(C14&gt;0,'Dol Per Deg'!$H$11,0)</f>
        <v>0</v>
      </c>
      <c r="O14" s="846"/>
      <c r="P14" s="18" t="s">
        <v>1756</v>
      </c>
      <c r="Q14" s="156">
        <f t="shared" si="1"/>
        <v>0</v>
      </c>
      <c r="T14" s="1"/>
    </row>
    <row r="15" spans="1:170" ht="17.45" customHeight="1" x14ac:dyDescent="0.2">
      <c r="B15" s="150" t="s">
        <v>926</v>
      </c>
      <c r="C15" s="727">
        <f>'Upper Extremity-Left'!R638</f>
        <v>0</v>
      </c>
      <c r="D15" s="736"/>
      <c r="E15" s="737"/>
      <c r="F15" s="18" t="s">
        <v>1754</v>
      </c>
      <c r="G15" s="732">
        <v>48</v>
      </c>
      <c r="H15" s="736"/>
      <c r="I15" s="737"/>
      <c r="J15" s="18" t="s">
        <v>1756</v>
      </c>
      <c r="K15" s="882">
        <f>ROUND(C15*G15,2)</f>
        <v>0</v>
      </c>
      <c r="L15" s="883"/>
      <c r="M15" s="18" t="s">
        <v>1754</v>
      </c>
      <c r="N15" s="745">
        <f>IF(C15&gt;0,'Dol Per Deg'!$H$11,0)</f>
        <v>0</v>
      </c>
      <c r="O15" s="846"/>
      <c r="P15" s="18" t="s">
        <v>1756</v>
      </c>
      <c r="Q15" s="156">
        <f t="shared" si="1"/>
        <v>0</v>
      </c>
      <c r="T15" s="1"/>
    </row>
    <row r="16" spans="1:170" ht="17.45" customHeight="1" x14ac:dyDescent="0.2">
      <c r="B16" s="150" t="s">
        <v>1388</v>
      </c>
      <c r="C16" s="727">
        <f>'Upper Extremity-Left'!R639</f>
        <v>0</v>
      </c>
      <c r="D16" s="736"/>
      <c r="E16" s="737"/>
      <c r="F16" s="18" t="s">
        <v>1754</v>
      </c>
      <c r="G16" s="732">
        <v>24</v>
      </c>
      <c r="H16" s="736"/>
      <c r="I16" s="737"/>
      <c r="J16" s="18" t="s">
        <v>1756</v>
      </c>
      <c r="K16" s="882">
        <f>ROUND(C16*G16,2)</f>
        <v>0</v>
      </c>
      <c r="L16" s="883"/>
      <c r="M16" s="18" t="s">
        <v>1754</v>
      </c>
      <c r="N16" s="745">
        <f>IF(C16&gt;0,'Dol Per Deg'!$H$11,0)</f>
        <v>0</v>
      </c>
      <c r="O16" s="846"/>
      <c r="P16" s="18" t="s">
        <v>1756</v>
      </c>
      <c r="Q16" s="156">
        <f t="shared" si="1"/>
        <v>0</v>
      </c>
      <c r="T16" s="1"/>
    </row>
    <row r="17" spans="2:33" ht="17.45" customHeight="1" x14ac:dyDescent="0.2">
      <c r="B17" s="150" t="s">
        <v>571</v>
      </c>
      <c r="C17" s="727">
        <f>'Upper Extremity-Left'!R640</f>
        <v>0</v>
      </c>
      <c r="D17" s="736"/>
      <c r="E17" s="737"/>
      <c r="F17" s="18" t="s">
        <v>1754</v>
      </c>
      <c r="G17" s="732">
        <v>22</v>
      </c>
      <c r="H17" s="736"/>
      <c r="I17" s="737"/>
      <c r="J17" s="18" t="s">
        <v>1756</v>
      </c>
      <c r="K17" s="882">
        <f>ROUND(C17*G17,2)</f>
        <v>0</v>
      </c>
      <c r="L17" s="883"/>
      <c r="M17" s="18" t="s">
        <v>1754</v>
      </c>
      <c r="N17" s="745">
        <f>IF(C17&gt;0,'Dol Per Deg'!$H$11,0)</f>
        <v>0</v>
      </c>
      <c r="O17" s="846"/>
      <c r="P17" s="18" t="s">
        <v>1756</v>
      </c>
      <c r="Q17" s="156">
        <f t="shared" si="1"/>
        <v>0</v>
      </c>
      <c r="T17" s="1"/>
    </row>
    <row r="18" spans="2:33" ht="17.45" customHeight="1" x14ac:dyDescent="0.2">
      <c r="B18" s="150" t="s">
        <v>1426</v>
      </c>
      <c r="C18" s="727">
        <f>'Upper Extremity-Left'!R641</f>
        <v>0</v>
      </c>
      <c r="D18" s="736"/>
      <c r="E18" s="737"/>
      <c r="F18" s="18" t="s">
        <v>1754</v>
      </c>
      <c r="G18" s="732">
        <v>10</v>
      </c>
      <c r="H18" s="736"/>
      <c r="I18" s="737"/>
      <c r="J18" s="18" t="s">
        <v>1756</v>
      </c>
      <c r="K18" s="882">
        <f>ROUND(C18*G18,2)</f>
        <v>0</v>
      </c>
      <c r="L18" s="883"/>
      <c r="M18" s="18" t="s">
        <v>1754</v>
      </c>
      <c r="N18" s="745">
        <f>IF(C18&gt;0,'Dol Per Deg'!$H$11,0)</f>
        <v>0</v>
      </c>
      <c r="O18" s="846"/>
      <c r="P18" s="18" t="s">
        <v>1756</v>
      </c>
      <c r="Q18" s="156">
        <f t="shared" si="1"/>
        <v>0</v>
      </c>
      <c r="T18" s="1"/>
    </row>
    <row r="19" spans="2:33" ht="17.45" customHeight="1" x14ac:dyDescent="0.2">
      <c r="B19" s="150" t="s">
        <v>1634</v>
      </c>
      <c r="C19" s="727">
        <f>'Upper Extremity-Left'!R642</f>
        <v>0</v>
      </c>
      <c r="D19" s="736"/>
      <c r="E19" s="737"/>
      <c r="F19" s="18" t="s">
        <v>1754</v>
      </c>
      <c r="G19" s="732">
        <v>6</v>
      </c>
      <c r="H19" s="736"/>
      <c r="I19" s="737"/>
      <c r="J19" s="18" t="s">
        <v>1756</v>
      </c>
      <c r="K19" s="882">
        <f>ROUND(C19*G19,2)</f>
        <v>0</v>
      </c>
      <c r="L19" s="883"/>
      <c r="M19" s="18" t="s">
        <v>1754</v>
      </c>
      <c r="N19" s="745">
        <f>IF(C19&gt;0,'Dol Per Deg'!$H$11,0)</f>
        <v>0</v>
      </c>
      <c r="O19" s="846"/>
      <c r="P19" s="18" t="s">
        <v>1756</v>
      </c>
      <c r="Q19" s="156">
        <f t="shared" si="1"/>
        <v>0</v>
      </c>
      <c r="T19" s="1"/>
    </row>
    <row r="20" spans="2:33" ht="17.45" customHeight="1" x14ac:dyDescent="0.2">
      <c r="B20" s="150" t="s">
        <v>1341</v>
      </c>
      <c r="C20" s="738">
        <f>'Lower Extremity-Right'!R498</f>
        <v>0</v>
      </c>
      <c r="D20" s="739"/>
      <c r="E20" s="740"/>
      <c r="F20" s="18" t="s">
        <v>1754</v>
      </c>
      <c r="G20" s="731">
        <v>150</v>
      </c>
      <c r="H20" s="731"/>
      <c r="I20" s="731"/>
      <c r="J20" s="18" t="s">
        <v>1756</v>
      </c>
      <c r="K20" s="882">
        <f t="shared" ref="K20:K26" si="2">ROUND(C20*G20,2)</f>
        <v>0</v>
      </c>
      <c r="L20" s="883"/>
      <c r="M20" s="18" t="s">
        <v>1754</v>
      </c>
      <c r="N20" s="745">
        <f>IF(C20&gt;0,'Dol Per Deg'!$H$11,0)</f>
        <v>0</v>
      </c>
      <c r="O20" s="846"/>
      <c r="P20" s="18" t="s">
        <v>1756</v>
      </c>
      <c r="Q20" s="156">
        <f t="shared" si="1"/>
        <v>0</v>
      </c>
      <c r="T20" s="1"/>
    </row>
    <row r="21" spans="2:33" ht="17.45" customHeight="1" x14ac:dyDescent="0.2">
      <c r="B21" s="150" t="s">
        <v>1322</v>
      </c>
      <c r="C21" s="738">
        <f>'Lower Extremity-Right'!R497</f>
        <v>0</v>
      </c>
      <c r="D21" s="739"/>
      <c r="E21" s="740"/>
      <c r="F21" s="18" t="s">
        <v>1754</v>
      </c>
      <c r="G21" s="731">
        <v>135</v>
      </c>
      <c r="H21" s="731"/>
      <c r="I21" s="731"/>
      <c r="J21" s="18" t="s">
        <v>1756</v>
      </c>
      <c r="K21" s="882">
        <f t="shared" si="2"/>
        <v>0</v>
      </c>
      <c r="L21" s="883"/>
      <c r="M21" s="18" t="s">
        <v>1754</v>
      </c>
      <c r="N21" s="745">
        <f>IF(C21&gt;0,'Dol Per Deg'!$H$11,0)</f>
        <v>0</v>
      </c>
      <c r="O21" s="846"/>
      <c r="P21" s="18" t="s">
        <v>1756</v>
      </c>
      <c r="Q21" s="156">
        <f t="shared" si="1"/>
        <v>0</v>
      </c>
      <c r="T21" s="1"/>
      <c r="AA21" s="24"/>
      <c r="AC21" s="8"/>
      <c r="AE21" s="96"/>
      <c r="AG21" s="96"/>
    </row>
    <row r="22" spans="2:33" ht="17.45" customHeight="1" x14ac:dyDescent="0.2">
      <c r="B22" s="150" t="s">
        <v>1336</v>
      </c>
      <c r="C22" s="738">
        <f>'Lower Extremity-Right'!R492</f>
        <v>0</v>
      </c>
      <c r="D22" s="739"/>
      <c r="E22" s="740"/>
      <c r="F22" s="18" t="s">
        <v>1754</v>
      </c>
      <c r="G22" s="732">
        <v>18</v>
      </c>
      <c r="H22" s="736"/>
      <c r="I22" s="737"/>
      <c r="J22" s="18" t="s">
        <v>1756</v>
      </c>
      <c r="K22" s="882">
        <f t="shared" si="2"/>
        <v>0</v>
      </c>
      <c r="L22" s="883"/>
      <c r="M22" s="18" t="s">
        <v>1754</v>
      </c>
      <c r="N22" s="745">
        <f>IF(C22&gt;0,'Dol Per Deg'!$H$11,0)</f>
        <v>0</v>
      </c>
      <c r="O22" s="846"/>
      <c r="P22" s="18" t="s">
        <v>1756</v>
      </c>
      <c r="Q22" s="156">
        <f t="shared" si="1"/>
        <v>0</v>
      </c>
      <c r="T22" s="1"/>
      <c r="AA22" s="24"/>
      <c r="AC22" s="8"/>
      <c r="AE22" s="96"/>
      <c r="AG22" s="96"/>
    </row>
    <row r="23" spans="2:33" ht="17.45" customHeight="1" x14ac:dyDescent="0.2">
      <c r="B23" s="150" t="s">
        <v>231</v>
      </c>
      <c r="C23" s="738">
        <f>'Lower Extremity-Right'!R493</f>
        <v>0</v>
      </c>
      <c r="D23" s="739"/>
      <c r="E23" s="740"/>
      <c r="F23" s="18" t="s">
        <v>1754</v>
      </c>
      <c r="G23" s="732">
        <v>4</v>
      </c>
      <c r="H23" s="736"/>
      <c r="I23" s="737"/>
      <c r="J23" s="18" t="s">
        <v>1756</v>
      </c>
      <c r="K23" s="882">
        <f t="shared" si="2"/>
        <v>0</v>
      </c>
      <c r="L23" s="883"/>
      <c r="M23" s="18" t="s">
        <v>1754</v>
      </c>
      <c r="N23" s="745">
        <f>IF(C23&gt;0,'Dol Per Deg'!$H$11,0)</f>
        <v>0</v>
      </c>
      <c r="O23" s="846"/>
      <c r="P23" s="18" t="s">
        <v>1756</v>
      </c>
      <c r="Q23" s="156">
        <f t="shared" si="1"/>
        <v>0</v>
      </c>
      <c r="T23" s="1"/>
      <c r="AA23" s="24"/>
      <c r="AC23" s="8"/>
      <c r="AE23" s="96"/>
      <c r="AG23" s="96"/>
    </row>
    <row r="24" spans="2:33" ht="17.45" customHeight="1" x14ac:dyDescent="0.2">
      <c r="B24" s="150" t="s">
        <v>232</v>
      </c>
      <c r="C24" s="738">
        <f>'Lower Extremity-Right'!R494</f>
        <v>0</v>
      </c>
      <c r="D24" s="739"/>
      <c r="E24" s="740"/>
      <c r="F24" s="18" t="s">
        <v>1754</v>
      </c>
      <c r="G24" s="731">
        <v>4</v>
      </c>
      <c r="H24" s="731"/>
      <c r="I24" s="731"/>
      <c r="J24" s="18" t="s">
        <v>1756</v>
      </c>
      <c r="K24" s="882">
        <f t="shared" si="2"/>
        <v>0</v>
      </c>
      <c r="L24" s="883"/>
      <c r="M24" s="18" t="s">
        <v>1754</v>
      </c>
      <c r="N24" s="745">
        <f>IF(C24&gt;0,'Dol Per Deg'!$H$11,0)</f>
        <v>0</v>
      </c>
      <c r="O24" s="846"/>
      <c r="P24" s="18" t="s">
        <v>1756</v>
      </c>
      <c r="Q24" s="156">
        <f t="shared" si="1"/>
        <v>0</v>
      </c>
      <c r="T24" s="1"/>
      <c r="AA24" s="24"/>
      <c r="AC24" s="8"/>
      <c r="AE24" s="96"/>
      <c r="AG24" s="96"/>
    </row>
    <row r="25" spans="2:33" ht="17.45" customHeight="1" x14ac:dyDescent="0.25">
      <c r="B25" s="150" t="s">
        <v>233</v>
      </c>
      <c r="C25" s="738">
        <f>'Lower Extremity-Right'!R495</f>
        <v>0</v>
      </c>
      <c r="D25" s="739"/>
      <c r="E25" s="740"/>
      <c r="F25" s="18" t="s">
        <v>1754</v>
      </c>
      <c r="G25" s="731">
        <v>4</v>
      </c>
      <c r="H25" s="731"/>
      <c r="I25" s="731"/>
      <c r="J25" s="18" t="s">
        <v>1756</v>
      </c>
      <c r="K25" s="882">
        <f t="shared" si="2"/>
        <v>0</v>
      </c>
      <c r="L25" s="883"/>
      <c r="M25" s="18" t="s">
        <v>1754</v>
      </c>
      <c r="N25" s="745">
        <f>IF(C25&gt;0,'Dol Per Deg'!$H$11,0)</f>
        <v>0</v>
      </c>
      <c r="O25" s="846"/>
      <c r="P25" s="18" t="s">
        <v>1756</v>
      </c>
      <c r="Q25" s="156">
        <f t="shared" si="1"/>
        <v>0</v>
      </c>
      <c r="T25" s="1"/>
      <c r="AA25" s="24"/>
      <c r="AC25" s="166"/>
      <c r="AE25" s="166"/>
      <c r="AG25" s="166"/>
    </row>
    <row r="26" spans="2:33" ht="17.45" customHeight="1" x14ac:dyDescent="0.2">
      <c r="B26" s="150" t="s">
        <v>234</v>
      </c>
      <c r="C26" s="738">
        <f>'Lower Extremity-Right'!R496</f>
        <v>0</v>
      </c>
      <c r="D26" s="739"/>
      <c r="E26" s="740"/>
      <c r="F26" s="18" t="s">
        <v>1754</v>
      </c>
      <c r="G26" s="731">
        <v>4</v>
      </c>
      <c r="H26" s="731"/>
      <c r="I26" s="731"/>
      <c r="J26" s="18" t="s">
        <v>1756</v>
      </c>
      <c r="K26" s="882">
        <f t="shared" si="2"/>
        <v>0</v>
      </c>
      <c r="L26" s="883"/>
      <c r="M26" s="18" t="s">
        <v>1754</v>
      </c>
      <c r="N26" s="745">
        <f>IF(C26&gt;0,'Dol Per Deg'!$H$11,0)</f>
        <v>0</v>
      </c>
      <c r="O26" s="846"/>
      <c r="P26" s="18" t="s">
        <v>1756</v>
      </c>
      <c r="Q26" s="156">
        <f t="shared" si="1"/>
        <v>0</v>
      </c>
      <c r="T26" s="1"/>
      <c r="AA26" s="24"/>
      <c r="AC26" s="8"/>
      <c r="AE26" s="96"/>
      <c r="AG26" s="96"/>
    </row>
    <row r="27" spans="2:33" ht="17.45" customHeight="1" x14ac:dyDescent="0.2">
      <c r="B27" s="150" t="s">
        <v>1225</v>
      </c>
      <c r="C27" s="738">
        <f>'Lower Extremity-Left'!R498</f>
        <v>0</v>
      </c>
      <c r="D27" s="739"/>
      <c r="E27" s="740"/>
      <c r="F27" s="18" t="s">
        <v>1754</v>
      </c>
      <c r="G27" s="731">
        <v>150</v>
      </c>
      <c r="H27" s="731"/>
      <c r="I27" s="731"/>
      <c r="J27" s="18" t="s">
        <v>1756</v>
      </c>
      <c r="K27" s="882">
        <f t="shared" ref="K27:K33" si="3">ROUND(C27*G27,2)</f>
        <v>0</v>
      </c>
      <c r="L27" s="883"/>
      <c r="M27" s="18" t="s">
        <v>1754</v>
      </c>
      <c r="N27" s="745">
        <f>IF(C27&gt;0,'Dol Per Deg'!$H$11,0)</f>
        <v>0</v>
      </c>
      <c r="O27" s="846"/>
      <c r="P27" s="18" t="s">
        <v>1756</v>
      </c>
      <c r="Q27" s="156">
        <f t="shared" si="1"/>
        <v>0</v>
      </c>
      <c r="AA27" s="24"/>
      <c r="AC27" s="8"/>
      <c r="AE27" s="96"/>
      <c r="AG27" s="96"/>
    </row>
    <row r="28" spans="2:33" ht="17.45" customHeight="1" x14ac:dyDescent="0.2">
      <c r="B28" s="150" t="s">
        <v>463</v>
      </c>
      <c r="C28" s="738">
        <f>'Lower Extremity-Left'!R497</f>
        <v>0</v>
      </c>
      <c r="D28" s="739"/>
      <c r="E28" s="740"/>
      <c r="F28" s="18" t="s">
        <v>1754</v>
      </c>
      <c r="G28" s="731">
        <v>135</v>
      </c>
      <c r="H28" s="731"/>
      <c r="I28" s="731"/>
      <c r="J28" s="18" t="s">
        <v>1756</v>
      </c>
      <c r="K28" s="882">
        <f t="shared" si="3"/>
        <v>0</v>
      </c>
      <c r="L28" s="883"/>
      <c r="M28" s="18" t="s">
        <v>1754</v>
      </c>
      <c r="N28" s="745">
        <f>IF(C28&gt;0,'Dol Per Deg'!$H$11,0)</f>
        <v>0</v>
      </c>
      <c r="O28" s="846"/>
      <c r="P28" s="18" t="s">
        <v>1756</v>
      </c>
      <c r="Q28" s="156">
        <f t="shared" si="1"/>
        <v>0</v>
      </c>
      <c r="AA28" s="24"/>
      <c r="AC28" s="8"/>
      <c r="AE28" s="96"/>
      <c r="AG28" s="96"/>
    </row>
    <row r="29" spans="2:33" ht="17.45" customHeight="1" x14ac:dyDescent="0.2">
      <c r="B29" s="150" t="s">
        <v>1342</v>
      </c>
      <c r="C29" s="738">
        <f>'Lower Extremity-Left'!R492</f>
        <v>0</v>
      </c>
      <c r="D29" s="739"/>
      <c r="E29" s="740"/>
      <c r="F29" s="18" t="s">
        <v>1754</v>
      </c>
      <c r="G29" s="732">
        <v>18</v>
      </c>
      <c r="H29" s="736"/>
      <c r="I29" s="737"/>
      <c r="J29" s="18" t="s">
        <v>1756</v>
      </c>
      <c r="K29" s="882">
        <f t="shared" si="3"/>
        <v>0</v>
      </c>
      <c r="L29" s="883"/>
      <c r="M29" s="18" t="s">
        <v>1754</v>
      </c>
      <c r="N29" s="745">
        <f>IF(C29&gt;0,'Dol Per Deg'!$H$11,0)</f>
        <v>0</v>
      </c>
      <c r="O29" s="846"/>
      <c r="P29" s="18" t="s">
        <v>1756</v>
      </c>
      <c r="Q29" s="156">
        <f t="shared" si="1"/>
        <v>0</v>
      </c>
      <c r="AA29" s="24"/>
      <c r="AC29" s="8"/>
      <c r="AE29" s="96"/>
      <c r="AG29" s="96"/>
    </row>
    <row r="30" spans="2:33" ht="17.45" customHeight="1" x14ac:dyDescent="0.2">
      <c r="B30" s="150" t="s">
        <v>1343</v>
      </c>
      <c r="C30" s="738">
        <f>'Lower Extremity-Left'!R493</f>
        <v>0</v>
      </c>
      <c r="D30" s="739"/>
      <c r="E30" s="740"/>
      <c r="F30" s="18" t="s">
        <v>1754</v>
      </c>
      <c r="G30" s="732">
        <v>4</v>
      </c>
      <c r="H30" s="736"/>
      <c r="I30" s="737"/>
      <c r="J30" s="18" t="s">
        <v>1756</v>
      </c>
      <c r="K30" s="882">
        <f t="shared" si="3"/>
        <v>0</v>
      </c>
      <c r="L30" s="883"/>
      <c r="M30" s="18" t="s">
        <v>1754</v>
      </c>
      <c r="N30" s="745">
        <f>IF(C30&gt;0,'Dol Per Deg'!$H$11,0)</f>
        <v>0</v>
      </c>
      <c r="O30" s="846"/>
      <c r="P30" s="18" t="s">
        <v>1756</v>
      </c>
      <c r="Q30" s="156">
        <f t="shared" si="1"/>
        <v>0</v>
      </c>
      <c r="AA30" s="24"/>
      <c r="AC30" s="8"/>
      <c r="AE30" s="96"/>
      <c r="AG30" s="96"/>
    </row>
    <row r="31" spans="2:33" ht="17.45" customHeight="1" x14ac:dyDescent="0.2">
      <c r="B31" s="150" t="s">
        <v>1344</v>
      </c>
      <c r="C31" s="738">
        <f>'Lower Extremity-Left'!R494</f>
        <v>0</v>
      </c>
      <c r="D31" s="739"/>
      <c r="E31" s="740"/>
      <c r="F31" s="18" t="s">
        <v>1754</v>
      </c>
      <c r="G31" s="731">
        <v>4</v>
      </c>
      <c r="H31" s="731"/>
      <c r="I31" s="731"/>
      <c r="J31" s="18" t="s">
        <v>1756</v>
      </c>
      <c r="K31" s="882">
        <f t="shared" si="3"/>
        <v>0</v>
      </c>
      <c r="L31" s="883"/>
      <c r="M31" s="18" t="s">
        <v>1754</v>
      </c>
      <c r="N31" s="745">
        <f>IF(C31&gt;0,'Dol Per Deg'!$H$11,0)</f>
        <v>0</v>
      </c>
      <c r="O31" s="846"/>
      <c r="P31" s="18" t="s">
        <v>1756</v>
      </c>
      <c r="Q31" s="156">
        <f t="shared" si="1"/>
        <v>0</v>
      </c>
      <c r="AA31" s="24"/>
      <c r="AC31" s="8"/>
      <c r="AE31" s="96"/>
      <c r="AG31" s="96"/>
    </row>
    <row r="32" spans="2:33" ht="17.45" customHeight="1" x14ac:dyDescent="0.2">
      <c r="B32" s="150" t="s">
        <v>1345</v>
      </c>
      <c r="C32" s="738">
        <f>'Lower Extremity-Left'!R495</f>
        <v>0</v>
      </c>
      <c r="D32" s="739"/>
      <c r="E32" s="740"/>
      <c r="F32" s="18" t="s">
        <v>1754</v>
      </c>
      <c r="G32" s="731">
        <v>4</v>
      </c>
      <c r="H32" s="731"/>
      <c r="I32" s="731"/>
      <c r="J32" s="18" t="s">
        <v>1756</v>
      </c>
      <c r="K32" s="882">
        <f t="shared" si="3"/>
        <v>0</v>
      </c>
      <c r="L32" s="883"/>
      <c r="M32" s="18" t="s">
        <v>1754</v>
      </c>
      <c r="N32" s="745">
        <f>IF(C32&gt;0,'Dol Per Deg'!$H$11,0)</f>
        <v>0</v>
      </c>
      <c r="O32" s="846"/>
      <c r="P32" s="18" t="s">
        <v>1756</v>
      </c>
      <c r="Q32" s="156">
        <f t="shared" si="1"/>
        <v>0</v>
      </c>
      <c r="AA32" s="24"/>
      <c r="AC32" s="8"/>
      <c r="AE32" s="96"/>
      <c r="AG32" s="96"/>
    </row>
    <row r="33" spans="2:33" ht="17.45" customHeight="1" x14ac:dyDescent="0.2">
      <c r="B33" s="150" t="s">
        <v>1346</v>
      </c>
      <c r="C33" s="738">
        <f>'Lower Extremity-Left'!R496</f>
        <v>0</v>
      </c>
      <c r="D33" s="739"/>
      <c r="E33" s="740"/>
      <c r="F33" s="18" t="s">
        <v>1754</v>
      </c>
      <c r="G33" s="731">
        <v>4</v>
      </c>
      <c r="H33" s="731"/>
      <c r="I33" s="731"/>
      <c r="J33" s="18" t="s">
        <v>1756</v>
      </c>
      <c r="K33" s="882">
        <f t="shared" si="3"/>
        <v>0</v>
      </c>
      <c r="L33" s="883"/>
      <c r="M33" s="18" t="s">
        <v>1754</v>
      </c>
      <c r="N33" s="745">
        <f>IF(C33&gt;0,'Dol Per Deg'!$H$11,0)</f>
        <v>0</v>
      </c>
      <c r="O33" s="846"/>
      <c r="P33" s="18" t="s">
        <v>1756</v>
      </c>
      <c r="Q33" s="156">
        <f t="shared" si="1"/>
        <v>0</v>
      </c>
      <c r="AA33" s="24"/>
      <c r="AC33" s="8"/>
      <c r="AE33" s="96"/>
      <c r="AG33" s="96"/>
    </row>
    <row r="34" spans="2:33" ht="17.45" customHeight="1" x14ac:dyDescent="0.2">
      <c r="B34" s="150" t="s">
        <v>28</v>
      </c>
      <c r="C34" s="802">
        <f>Hearing!C34</f>
        <v>0</v>
      </c>
      <c r="D34" s="736"/>
      <c r="E34" s="737"/>
      <c r="F34" s="18" t="s">
        <v>1754</v>
      </c>
      <c r="G34" s="731">
        <v>60</v>
      </c>
      <c r="H34" s="731"/>
      <c r="I34" s="731"/>
      <c r="J34" s="18" t="s">
        <v>1756</v>
      </c>
      <c r="K34" s="882">
        <f t="shared" ref="K34:K39" si="4">ROUND(C34*G34,2)</f>
        <v>0</v>
      </c>
      <c r="L34" s="883"/>
      <c r="M34" s="18" t="s">
        <v>1754</v>
      </c>
      <c r="N34" s="745">
        <f>IF(C34&gt;0,'Dol Per Deg'!$H$11,0)</f>
        <v>0</v>
      </c>
      <c r="O34" s="846"/>
      <c r="P34" s="18" t="s">
        <v>1756</v>
      </c>
      <c r="Q34" s="168">
        <f>IF(T34=4,"See below.",ROUND(K34*N34,2))</f>
        <v>0</v>
      </c>
      <c r="T34" s="13">
        <f>Hearing!S40</f>
        <v>0</v>
      </c>
      <c r="AA34" s="24"/>
      <c r="AC34" s="8"/>
      <c r="AE34" s="96"/>
      <c r="AG34" s="96"/>
    </row>
    <row r="35" spans="2:33" ht="17.45" customHeight="1" x14ac:dyDescent="0.2">
      <c r="B35" s="150" t="s">
        <v>29</v>
      </c>
      <c r="C35" s="867">
        <f>Hearing!C35</f>
        <v>0</v>
      </c>
      <c r="D35" s="867"/>
      <c r="E35" s="867"/>
      <c r="F35" s="18" t="s">
        <v>1754</v>
      </c>
      <c r="G35" s="731">
        <v>60</v>
      </c>
      <c r="H35" s="731"/>
      <c r="I35" s="731"/>
      <c r="J35" s="18" t="s">
        <v>1756</v>
      </c>
      <c r="K35" s="845">
        <f t="shared" si="4"/>
        <v>0</v>
      </c>
      <c r="L35" s="845"/>
      <c r="M35" s="18" t="s">
        <v>1754</v>
      </c>
      <c r="N35" s="745">
        <f>IF(C35&gt;0,'Dol Per Deg'!$H$11,0)</f>
        <v>0</v>
      </c>
      <c r="O35" s="846"/>
      <c r="P35" s="18" t="s">
        <v>1756</v>
      </c>
      <c r="Q35" s="168">
        <f>IF(T34=4,"See below.",ROUND(K35*N35,2))</f>
        <v>0</v>
      </c>
      <c r="AA35" s="32"/>
      <c r="AC35" s="8"/>
      <c r="AE35" s="96"/>
      <c r="AG35" s="96"/>
    </row>
    <row r="36" spans="2:33" ht="17.45" customHeight="1" x14ac:dyDescent="0.2">
      <c r="B36" s="150" t="s">
        <v>1746</v>
      </c>
      <c r="C36" s="802">
        <f>IF(T34=4,Hearing!C42,0)</f>
        <v>0</v>
      </c>
      <c r="D36" s="884"/>
      <c r="E36" s="885"/>
      <c r="F36" s="18" t="s">
        <v>1754</v>
      </c>
      <c r="G36" s="731">
        <v>192</v>
      </c>
      <c r="H36" s="731"/>
      <c r="I36" s="731"/>
      <c r="J36" s="18" t="s">
        <v>1756</v>
      </c>
      <c r="K36" s="882">
        <f t="shared" si="4"/>
        <v>0</v>
      </c>
      <c r="L36" s="883"/>
      <c r="M36" s="18" t="s">
        <v>1754</v>
      </c>
      <c r="N36" s="745">
        <f>IF(C36&gt;0,'Dol Per Deg'!$H$11,0)</f>
        <v>0</v>
      </c>
      <c r="O36" s="846"/>
      <c r="P36" s="18" t="s">
        <v>1756</v>
      </c>
      <c r="Q36" s="156">
        <f>ROUND(K36*N36,2)</f>
        <v>0</v>
      </c>
      <c r="AA36" s="225"/>
      <c r="AC36" s="225"/>
      <c r="AE36" s="225"/>
      <c r="AG36" s="225"/>
    </row>
    <row r="37" spans="2:33" ht="17.45" customHeight="1" x14ac:dyDescent="0.2">
      <c r="B37" s="150" t="s">
        <v>134</v>
      </c>
      <c r="C37" s="867">
        <f>Vision!M85</f>
        <v>0</v>
      </c>
      <c r="D37" s="867"/>
      <c r="E37" s="867"/>
      <c r="F37" s="18" t="s">
        <v>1754</v>
      </c>
      <c r="G37" s="731">
        <v>100</v>
      </c>
      <c r="H37" s="731"/>
      <c r="I37" s="731"/>
      <c r="J37" s="18" t="s">
        <v>1756</v>
      </c>
      <c r="K37" s="845">
        <f t="shared" si="4"/>
        <v>0</v>
      </c>
      <c r="L37" s="845"/>
      <c r="M37" s="18" t="s">
        <v>1754</v>
      </c>
      <c r="N37" s="745">
        <f>IF(C37&gt;0,'Dol Per Deg'!$H$11,0)</f>
        <v>0</v>
      </c>
      <c r="O37" s="846"/>
      <c r="P37" s="18" t="s">
        <v>1756</v>
      </c>
      <c r="Q37" s="168">
        <f>IF(T37=4,"See below.",ROUND(K37*N37,2))</f>
        <v>0</v>
      </c>
      <c r="T37" s="549">
        <f>Vision!AL95</f>
        <v>0</v>
      </c>
      <c r="AA37" s="24"/>
      <c r="AC37" s="8"/>
      <c r="AE37" s="96"/>
      <c r="AG37" s="96"/>
    </row>
    <row r="38" spans="2:33" ht="17.45" customHeight="1" x14ac:dyDescent="0.2">
      <c r="B38" s="150" t="s">
        <v>135</v>
      </c>
      <c r="C38" s="867">
        <f>Vision!M86</f>
        <v>0</v>
      </c>
      <c r="D38" s="867"/>
      <c r="E38" s="867"/>
      <c r="F38" s="18" t="s">
        <v>1754</v>
      </c>
      <c r="G38" s="731">
        <v>100</v>
      </c>
      <c r="H38" s="731"/>
      <c r="I38" s="731"/>
      <c r="J38" s="18" t="s">
        <v>1756</v>
      </c>
      <c r="K38" s="845">
        <f t="shared" si="4"/>
        <v>0</v>
      </c>
      <c r="L38" s="845"/>
      <c r="M38" s="18" t="s">
        <v>1754</v>
      </c>
      <c r="N38" s="745">
        <f>IF(C38&gt;0,'Dol Per Deg'!$H$11,0)</f>
        <v>0</v>
      </c>
      <c r="O38" s="846"/>
      <c r="P38" s="18" t="s">
        <v>1756</v>
      </c>
      <c r="Q38" s="168">
        <f>IF(T37=4,"See below.",ROUND(K38*N38,2))</f>
        <v>0</v>
      </c>
      <c r="U38" s="169"/>
      <c r="AA38" s="24"/>
      <c r="AC38" s="8"/>
      <c r="AE38" s="96"/>
      <c r="AG38" s="96"/>
    </row>
    <row r="39" spans="2:33" ht="17.45" customHeight="1" x14ac:dyDescent="0.2">
      <c r="B39" s="150" t="s">
        <v>592</v>
      </c>
      <c r="C39" s="867">
        <f>IF(T37=4,Vision!M94,0)</f>
        <v>0</v>
      </c>
      <c r="D39" s="731"/>
      <c r="E39" s="731"/>
      <c r="F39" s="18" t="s">
        <v>1754</v>
      </c>
      <c r="G39" s="731">
        <v>300</v>
      </c>
      <c r="H39" s="731"/>
      <c r="I39" s="731"/>
      <c r="J39" s="18" t="s">
        <v>1756</v>
      </c>
      <c r="K39" s="845">
        <f t="shared" si="4"/>
        <v>0</v>
      </c>
      <c r="L39" s="845"/>
      <c r="M39" s="18" t="s">
        <v>1754</v>
      </c>
      <c r="N39" s="745">
        <f>IF(C39&gt;0,'Dol Per Deg'!$H$11,0)</f>
        <v>0</v>
      </c>
      <c r="O39" s="846"/>
      <c r="P39" s="170" t="s">
        <v>1756</v>
      </c>
      <c r="Q39" s="156">
        <f>ROUND(K39*N39,2)</f>
        <v>0</v>
      </c>
      <c r="AA39" s="24"/>
      <c r="AC39" s="8"/>
      <c r="AE39" s="96"/>
      <c r="AG39" s="96"/>
    </row>
    <row r="40" spans="2:33" ht="17.45" customHeight="1" x14ac:dyDescent="0.2">
      <c r="N40" s="863" t="s">
        <v>62</v>
      </c>
      <c r="O40" s="863"/>
      <c r="P40" s="863"/>
      <c r="Q40" s="224">
        <f>SUM(Q6:Q39)</f>
        <v>0</v>
      </c>
      <c r="Z40" s="10"/>
      <c r="AB40" s="10"/>
      <c r="AD40" s="10"/>
      <c r="AE40" s="10"/>
      <c r="AF40" s="10"/>
      <c r="AG40" s="10"/>
    </row>
    <row r="41" spans="2:33" ht="8.25" customHeight="1" x14ac:dyDescent="0.2">
      <c r="B41" s="777"/>
      <c r="C41" s="777"/>
      <c r="D41" s="777"/>
      <c r="E41" s="777"/>
      <c r="F41" s="777"/>
      <c r="G41" s="777"/>
      <c r="H41" s="777"/>
      <c r="I41" s="777"/>
      <c r="J41" s="777"/>
      <c r="K41" s="777"/>
      <c r="L41" s="777"/>
      <c r="M41" s="777"/>
      <c r="N41" s="777"/>
      <c r="O41" s="777"/>
      <c r="P41" s="777"/>
      <c r="Q41" s="777"/>
      <c r="Z41" s="10"/>
      <c r="AA41" s="32"/>
      <c r="AB41" s="10"/>
      <c r="AC41" s="8"/>
      <c r="AD41" s="10"/>
      <c r="AE41" s="10"/>
      <c r="AF41" s="10"/>
      <c r="AG41" s="10"/>
    </row>
    <row r="42" spans="2:33" ht="21" customHeight="1" x14ac:dyDescent="0.25">
      <c r="B42" s="909" t="s">
        <v>1114</v>
      </c>
      <c r="C42" s="909"/>
      <c r="D42" s="909"/>
      <c r="E42" s="909"/>
      <c r="F42" s="909"/>
      <c r="G42" s="909"/>
      <c r="H42" s="909"/>
      <c r="I42" s="909"/>
      <c r="J42" s="909"/>
      <c r="K42" s="909"/>
      <c r="L42" s="909"/>
      <c r="M42" s="909"/>
      <c r="N42" s="909"/>
      <c r="O42" s="909"/>
      <c r="P42" s="909"/>
      <c r="Q42" s="909"/>
      <c r="Z42" s="10"/>
      <c r="AA42" s="32"/>
      <c r="AB42" s="10"/>
      <c r="AC42" s="8"/>
      <c r="AD42" s="10"/>
      <c r="AE42" s="10"/>
      <c r="AF42" s="10"/>
      <c r="AG42" s="10"/>
    </row>
    <row r="43" spans="2:33" ht="21" customHeight="1" x14ac:dyDescent="0.2">
      <c r="G43" s="850" t="s">
        <v>1247</v>
      </c>
      <c r="H43" s="851"/>
      <c r="I43" s="851"/>
      <c r="J43" s="851"/>
      <c r="K43" s="851"/>
      <c r="L43" s="851"/>
      <c r="M43" s="851"/>
      <c r="N43" s="851"/>
      <c r="O43" s="851"/>
      <c r="P43" s="851"/>
      <c r="Q43" s="852"/>
      <c r="S43" s="329">
        <v>38352</v>
      </c>
      <c r="T43" s="146" t="s">
        <v>1285</v>
      </c>
      <c r="U43" s="146" t="s">
        <v>1286</v>
      </c>
      <c r="V43" s="146" t="s">
        <v>1287</v>
      </c>
    </row>
    <row r="44" spans="2:33" ht="21" customHeight="1" x14ac:dyDescent="0.2">
      <c r="B44" s="150" t="s">
        <v>27</v>
      </c>
      <c r="C44" s="755">
        <f>'Shoulder-Right'!P90</f>
        <v>0</v>
      </c>
      <c r="D44" s="731"/>
      <c r="E44" s="731"/>
      <c r="F44" s="1"/>
      <c r="G44" s="854"/>
      <c r="H44" s="853" t="s">
        <v>2162</v>
      </c>
      <c r="I44" s="853"/>
      <c r="J44" s="853"/>
      <c r="K44" s="853"/>
      <c r="L44" s="853"/>
      <c r="M44" s="853"/>
      <c r="N44" s="853"/>
      <c r="O44" s="853"/>
      <c r="P44" s="853"/>
      <c r="Q44" s="853"/>
      <c r="S44" s="547" t="b">
        <v>1</v>
      </c>
      <c r="T44" s="365">
        <f>LARGE($C$44:$C$62,1)</f>
        <v>0</v>
      </c>
      <c r="U44" s="550">
        <f>T44+T45*(1-T44)</f>
        <v>0</v>
      </c>
      <c r="V44" s="550">
        <f>ROUND(U44,2)</f>
        <v>0</v>
      </c>
    </row>
    <row r="45" spans="2:33" ht="21" customHeight="1" x14ac:dyDescent="0.2">
      <c r="B45" s="150" t="s">
        <v>1442</v>
      </c>
      <c r="C45" s="755">
        <f>'Shoulder-Left'!P90</f>
        <v>0</v>
      </c>
      <c r="D45" s="731"/>
      <c r="E45" s="731"/>
      <c r="F45" s="308"/>
      <c r="G45" s="855"/>
      <c r="H45" s="853"/>
      <c r="I45" s="853"/>
      <c r="J45" s="853"/>
      <c r="K45" s="853"/>
      <c r="L45" s="853"/>
      <c r="M45" s="853"/>
      <c r="N45" s="853"/>
      <c r="O45" s="853"/>
      <c r="P45" s="853"/>
      <c r="Q45" s="853"/>
      <c r="S45" s="547" t="b">
        <v>0</v>
      </c>
      <c r="T45" s="365">
        <f>LARGE($C$44:$C$62,2)</f>
        <v>0</v>
      </c>
      <c r="U45" s="550">
        <f>V44+T46*(1-V44)</f>
        <v>0</v>
      </c>
      <c r="V45" s="550">
        <f>ROUND(U45,2)</f>
        <v>0</v>
      </c>
    </row>
    <row r="46" spans="2:33" ht="21" customHeight="1" x14ac:dyDescent="0.2">
      <c r="B46" s="150" t="s">
        <v>1443</v>
      </c>
      <c r="C46" s="755">
        <f>'Hip-Right'!P32</f>
        <v>0</v>
      </c>
      <c r="D46" s="731"/>
      <c r="E46" s="731"/>
      <c r="F46" s="1"/>
      <c r="G46" s="855"/>
      <c r="H46" s="853"/>
      <c r="I46" s="853"/>
      <c r="J46" s="853"/>
      <c r="K46" s="853"/>
      <c r="L46" s="853"/>
      <c r="M46" s="853"/>
      <c r="N46" s="853"/>
      <c r="O46" s="853"/>
      <c r="P46" s="853"/>
      <c r="Q46" s="853"/>
      <c r="S46" s="547" t="b">
        <v>0</v>
      </c>
      <c r="T46" s="365">
        <f>LARGE($C$44:$C$62,3)</f>
        <v>0</v>
      </c>
      <c r="U46" s="550">
        <f>V45+T47*(1-V45)</f>
        <v>0</v>
      </c>
      <c r="V46" s="550">
        <f t="shared" ref="V46:V61" si="5">ROUND(U46,2)</f>
        <v>0</v>
      </c>
    </row>
    <row r="47" spans="2:33" ht="21" customHeight="1" x14ac:dyDescent="0.2">
      <c r="B47" s="150" t="s">
        <v>1444</v>
      </c>
      <c r="C47" s="755">
        <f>'Hip-Left'!P32</f>
        <v>0</v>
      </c>
      <c r="D47" s="731"/>
      <c r="E47" s="731"/>
      <c r="F47" s="1"/>
      <c r="G47" s="856"/>
      <c r="H47" s="853"/>
      <c r="I47" s="853"/>
      <c r="J47" s="853"/>
      <c r="K47" s="853"/>
      <c r="L47" s="853"/>
      <c r="M47" s="853"/>
      <c r="N47" s="853"/>
      <c r="O47" s="853"/>
      <c r="P47" s="853"/>
      <c r="Q47" s="853"/>
      <c r="S47" s="547" t="b">
        <v>0</v>
      </c>
      <c r="T47" s="365">
        <f>LARGE($C$44:$C$62,4)</f>
        <v>0</v>
      </c>
      <c r="U47" s="550">
        <f>V46+T48*(1-V46)</f>
        <v>0</v>
      </c>
      <c r="V47" s="550">
        <f t="shared" si="5"/>
        <v>0</v>
      </c>
    </row>
    <row r="48" spans="2:33" ht="18" customHeight="1" x14ac:dyDescent="0.2">
      <c r="B48" s="150" t="s">
        <v>1464</v>
      </c>
      <c r="C48" s="755">
        <f>Spine!P170</f>
        <v>0</v>
      </c>
      <c r="D48" s="731"/>
      <c r="E48" s="731"/>
      <c r="F48" s="1"/>
      <c r="G48" s="833" t="str">
        <f>IF(AND(S51=0,S52=0),T13,IF(AND(S51=1,S52=1),T12,IF(S51=1,T8,IF(S52=1,T9,""))))</f>
        <v>Because the worker has returned or been released to regular work, age, education, and adaptability are not considered in calculating the award</v>
      </c>
      <c r="H48" s="834"/>
      <c r="I48" s="834"/>
      <c r="J48" s="834"/>
      <c r="K48" s="834"/>
      <c r="L48" s="834"/>
      <c r="M48" s="834"/>
      <c r="N48" s="834"/>
      <c r="O48" s="834"/>
      <c r="P48" s="835"/>
      <c r="Q48" s="842" t="str">
        <f>IF(OR(Q66=0,S52=1),"",IF(N51="",T6,IF(AND(N53="",'Start here'!A10=""),"Enter date of issuance.",IF(N53&lt;N51,T7,IF(AND(S52=0,OR(N55="",N56="",N60="",N61="")),"Missing social-vocational data","")))))</f>
        <v/>
      </c>
      <c r="S48" s="146">
        <f>IF(S44=TRUE,1,0)</f>
        <v>1</v>
      </c>
      <c r="T48" s="365">
        <f>LARGE($C$44:$C$62,5)</f>
        <v>0</v>
      </c>
      <c r="U48" s="550">
        <f>V47+T49*(1-V47)</f>
        <v>0</v>
      </c>
      <c r="V48" s="550">
        <f t="shared" si="5"/>
        <v>0</v>
      </c>
    </row>
    <row r="49" spans="2:22" ht="18" customHeight="1" x14ac:dyDescent="0.2">
      <c r="B49" s="150" t="s">
        <v>1465</v>
      </c>
      <c r="C49" s="755">
        <f>Pelvis!P18</f>
        <v>0</v>
      </c>
      <c r="D49" s="731"/>
      <c r="E49" s="731"/>
      <c r="F49" s="1"/>
      <c r="G49" s="836"/>
      <c r="H49" s="837"/>
      <c r="I49" s="837"/>
      <c r="J49" s="837"/>
      <c r="K49" s="837"/>
      <c r="L49" s="837"/>
      <c r="M49" s="837"/>
      <c r="N49" s="837"/>
      <c r="O49" s="837"/>
      <c r="P49" s="838"/>
      <c r="Q49" s="843"/>
      <c r="S49" s="146">
        <f>IF(S45=TRUE,1,0)</f>
        <v>0</v>
      </c>
      <c r="T49" s="365">
        <f>LARGE($C$44:$C$62,6)</f>
        <v>0</v>
      </c>
      <c r="U49" s="550">
        <f>V48+T50*(1-V48)</f>
        <v>0</v>
      </c>
      <c r="V49" s="550">
        <f t="shared" si="5"/>
        <v>0</v>
      </c>
    </row>
    <row r="50" spans="2:22" ht="17.100000000000001" customHeight="1" x14ac:dyDescent="0.2">
      <c r="B50" s="150" t="s">
        <v>1463</v>
      </c>
      <c r="C50" s="755">
        <f>Abdomen!P7</f>
        <v>0</v>
      </c>
      <c r="D50" s="731"/>
      <c r="E50" s="731"/>
      <c r="F50" s="1"/>
      <c r="G50" s="839"/>
      <c r="H50" s="840"/>
      <c r="I50" s="840"/>
      <c r="J50" s="840"/>
      <c r="K50" s="840"/>
      <c r="L50" s="840"/>
      <c r="M50" s="840"/>
      <c r="N50" s="840"/>
      <c r="O50" s="840"/>
      <c r="P50" s="841"/>
      <c r="Q50" s="843"/>
      <c r="S50" s="146">
        <f>IF(S46=TRUE,1,0)</f>
        <v>0</v>
      </c>
      <c r="T50" s="365">
        <f>LARGE($C$44:$C$62,7)</f>
        <v>0</v>
      </c>
      <c r="U50" s="550">
        <f t="shared" ref="U50:U61" si="6">V49+T51*(1-V49)</f>
        <v>0</v>
      </c>
      <c r="V50" s="550">
        <f t="shared" si="5"/>
        <v>0</v>
      </c>
    </row>
    <row r="51" spans="2:22" ht="17.100000000000001" customHeight="1" x14ac:dyDescent="0.2">
      <c r="B51" s="150" t="s">
        <v>555</v>
      </c>
      <c r="C51" s="727">
        <f>Chest!P5</f>
        <v>0</v>
      </c>
      <c r="D51" s="728"/>
      <c r="E51" s="729"/>
      <c r="F51" s="1"/>
      <c r="G51" s="742" t="s">
        <v>353</v>
      </c>
      <c r="H51" s="743"/>
      <c r="I51" s="743"/>
      <c r="J51" s="743"/>
      <c r="K51" s="743"/>
      <c r="L51" s="743"/>
      <c r="M51" s="744"/>
      <c r="N51" s="759" t="str">
        <f>IF('Start here'!A8="","",'Start here'!A8)</f>
        <v/>
      </c>
      <c r="O51" s="759"/>
      <c r="P51" s="759"/>
      <c r="Q51" s="843"/>
      <c r="S51" s="146">
        <f>IF(S47=TRUE,1,0)</f>
        <v>0</v>
      </c>
      <c r="T51" s="365">
        <f>LARGE($C$44:$C$62,8)</f>
        <v>0</v>
      </c>
      <c r="U51" s="550">
        <f t="shared" si="6"/>
        <v>0</v>
      </c>
      <c r="V51" s="550">
        <f t="shared" si="5"/>
        <v>0</v>
      </c>
    </row>
    <row r="52" spans="2:22" ht="17.100000000000001" customHeight="1" x14ac:dyDescent="0.2">
      <c r="B52" s="150" t="s">
        <v>1079</v>
      </c>
      <c r="C52" s="755">
        <f>Cardiovascular!P12</f>
        <v>0</v>
      </c>
      <c r="D52" s="731"/>
      <c r="E52" s="731"/>
      <c r="F52" s="1"/>
      <c r="G52" s="782" t="s">
        <v>1299</v>
      </c>
      <c r="H52" s="783"/>
      <c r="I52" s="783"/>
      <c r="J52" s="783"/>
      <c r="K52" s="783"/>
      <c r="L52" s="783"/>
      <c r="M52" s="784"/>
      <c r="N52" s="759" t="str">
        <f>IF('Start here'!A9="","",'Start here'!A9)</f>
        <v/>
      </c>
      <c r="O52" s="759"/>
      <c r="P52" s="759"/>
      <c r="Q52" s="843"/>
      <c r="S52" s="146">
        <f>MAX(S48:S50)</f>
        <v>1</v>
      </c>
      <c r="T52" s="365">
        <f>LARGE($C$44:$C$62,9)</f>
        <v>0</v>
      </c>
      <c r="U52" s="550">
        <f t="shared" si="6"/>
        <v>0</v>
      </c>
      <c r="V52" s="550">
        <f t="shared" si="5"/>
        <v>0</v>
      </c>
    </row>
    <row r="53" spans="2:22" ht="17.100000000000001" customHeight="1" x14ac:dyDescent="0.2">
      <c r="B53" s="150" t="s">
        <v>1078</v>
      </c>
      <c r="C53" s="755">
        <f>Respiratory!P9</f>
        <v>0</v>
      </c>
      <c r="D53" s="731"/>
      <c r="E53" s="731"/>
      <c r="F53" s="1"/>
      <c r="G53" s="742" t="s">
        <v>1300</v>
      </c>
      <c r="H53" s="743"/>
      <c r="I53" s="743"/>
      <c r="J53" s="743"/>
      <c r="K53" s="743"/>
      <c r="L53" s="743"/>
      <c r="M53" s="744"/>
      <c r="N53" s="759" t="str">
        <f>IF('Start here'!A11="","",'Start here'!A11)</f>
        <v/>
      </c>
      <c r="O53" s="759"/>
      <c r="P53" s="759"/>
      <c r="Q53" s="844"/>
      <c r="T53" s="365">
        <f>LARGE($C$44:$C$62,10)</f>
        <v>0</v>
      </c>
      <c r="U53" s="550">
        <f t="shared" si="6"/>
        <v>0</v>
      </c>
      <c r="V53" s="550">
        <f t="shared" si="5"/>
        <v>0</v>
      </c>
    </row>
    <row r="54" spans="2:22" ht="23.25" customHeight="1" x14ac:dyDescent="0.2">
      <c r="B54" s="150" t="s">
        <v>1916</v>
      </c>
      <c r="C54" s="755">
        <f>'Cranial Nerves-Brain'!P51</f>
        <v>0</v>
      </c>
      <c r="D54" s="731"/>
      <c r="E54" s="731"/>
      <c r="F54" s="1"/>
      <c r="G54" s="742" t="str">
        <f>IF(S52=1,"Not applicable","Age 40 or above, add 1.")</f>
        <v>Not applicable</v>
      </c>
      <c r="H54" s="743"/>
      <c r="I54" s="743"/>
      <c r="J54" s="743"/>
      <c r="K54" s="743"/>
      <c r="L54" s="743"/>
      <c r="M54" s="744"/>
      <c r="N54" s="878" t="str">
        <f>IF(S52=1,"",IF(AND('Start here'!A9="",'Start here'!A10=""),"Enter DOB or age.",IF('Start here'!A11="","Enter date of issuance.",IF('Start here'!A9&lt;&gt;"",Y1,'Start here'!A10))))</f>
        <v/>
      </c>
      <c r="O54" s="879"/>
      <c r="P54" s="880"/>
      <c r="Q54" s="149" t="str">
        <f>IF(OR(S52=1,N54="",N54="Enter DOB or age."),"",IF(N54&gt;=40,1,0))</f>
        <v/>
      </c>
      <c r="T54" s="365">
        <f>LARGE($C$44:$C$62,11)</f>
        <v>0</v>
      </c>
      <c r="U54" s="550">
        <f t="shared" si="6"/>
        <v>0</v>
      </c>
      <c r="V54" s="550">
        <f t="shared" si="5"/>
        <v>0</v>
      </c>
    </row>
    <row r="55" spans="2:22" ht="17.100000000000001" customHeight="1" x14ac:dyDescent="0.2">
      <c r="B55" s="150" t="s">
        <v>265</v>
      </c>
      <c r="C55" s="755">
        <f>'Spinal cord'!P12</f>
        <v>0</v>
      </c>
      <c r="D55" s="731"/>
      <c r="E55" s="731"/>
      <c r="F55" s="1"/>
      <c r="G55" s="742" t="str">
        <f>IF(Q66=0,"No Unsched. PPD Entered",IF(S52=1,"Not applicable","Formal education &lt;12, add 1."))</f>
        <v>No Unsched. PPD Entered</v>
      </c>
      <c r="H55" s="743"/>
      <c r="I55" s="743"/>
      <c r="J55" s="743"/>
      <c r="K55" s="743"/>
      <c r="L55" s="743"/>
      <c r="M55" s="744"/>
      <c r="N55" s="725"/>
      <c r="O55" s="881"/>
      <c r="P55" s="726"/>
      <c r="Q55" s="149" t="str">
        <f>IF(OR(S52=1,N55=""),"",IF(N55=B79,0,IF(N55=C79,1,0)))</f>
        <v/>
      </c>
      <c r="T55" s="365">
        <f>LARGE($C$44:$C$62,12)</f>
        <v>0</v>
      </c>
      <c r="U55" s="550">
        <f t="shared" si="6"/>
        <v>0</v>
      </c>
      <c r="V55" s="550">
        <f t="shared" si="5"/>
        <v>0</v>
      </c>
    </row>
    <row r="56" spans="2:22" ht="17.100000000000001" customHeight="1" x14ac:dyDescent="0.2">
      <c r="B56" s="150" t="s">
        <v>1053</v>
      </c>
      <c r="C56" s="755">
        <f>'Mental illness'!P16</f>
        <v>0</v>
      </c>
      <c r="D56" s="731"/>
      <c r="E56" s="731"/>
      <c r="F56" s="1"/>
      <c r="G56" s="733" t="str">
        <f>IF(Q66=0,"No Unsched.PPD Entered",IF(S52=1,"Not applicable","Specific vocational preparation"))</f>
        <v>No Unsched.PPD Entered</v>
      </c>
      <c r="H56" s="734"/>
      <c r="I56" s="734"/>
      <c r="J56" s="734"/>
      <c r="K56" s="734"/>
      <c r="L56" s="734"/>
      <c r="M56" s="735"/>
      <c r="N56" s="730"/>
      <c r="O56" s="877"/>
      <c r="P56" s="820"/>
      <c r="Q56" s="149" t="str">
        <f>IF(OR(S52=1,N56=""),"",SUMIF(A81:J81,N56,A82:J82))</f>
        <v/>
      </c>
      <c r="T56" s="365">
        <f>LARGE($C$44:$C$62,13)</f>
        <v>0</v>
      </c>
      <c r="U56" s="550">
        <f t="shared" si="6"/>
        <v>0</v>
      </c>
      <c r="V56" s="550">
        <f t="shared" si="5"/>
        <v>0</v>
      </c>
    </row>
    <row r="57" spans="2:22" ht="18" customHeight="1" x14ac:dyDescent="0.2">
      <c r="B57" s="150" t="s">
        <v>1915</v>
      </c>
      <c r="C57" s="755">
        <f>Hematopoietic!P22</f>
        <v>0</v>
      </c>
      <c r="D57" s="731"/>
      <c r="E57" s="731"/>
      <c r="F57" s="1"/>
      <c r="G57" s="824" t="str">
        <f>IF(Q66=0,"Enter unscheduled disability data, if any, on worksheets.",IF(S52=1,"",IF(C63&gt;0,T10,"")))</f>
        <v>Enter unscheduled disability data, if any, on worksheets.</v>
      </c>
      <c r="H57" s="825"/>
      <c r="I57" s="825"/>
      <c r="J57" s="825"/>
      <c r="K57" s="825"/>
      <c r="L57" s="825"/>
      <c r="M57" s="825"/>
      <c r="N57" s="825"/>
      <c r="O57" s="825"/>
      <c r="P57" s="825"/>
      <c r="Q57" s="826"/>
      <c r="T57" s="365">
        <f>LARGE($C$44:$C$62,14)</f>
        <v>0</v>
      </c>
      <c r="U57" s="550">
        <f t="shared" si="6"/>
        <v>0</v>
      </c>
      <c r="V57" s="550">
        <f t="shared" si="5"/>
        <v>0</v>
      </c>
    </row>
    <row r="58" spans="2:22" ht="30" customHeight="1" x14ac:dyDescent="0.2">
      <c r="B58" s="150" t="s">
        <v>1914</v>
      </c>
      <c r="C58" s="755">
        <f>'GI &amp; GU'!P79</f>
        <v>0</v>
      </c>
      <c r="D58" s="731"/>
      <c r="E58" s="731"/>
      <c r="F58" s="1"/>
      <c r="G58" s="827"/>
      <c r="H58" s="828"/>
      <c r="I58" s="828"/>
      <c r="J58" s="828"/>
      <c r="K58" s="828"/>
      <c r="L58" s="828"/>
      <c r="M58" s="828"/>
      <c r="N58" s="828"/>
      <c r="O58" s="828"/>
      <c r="P58" s="828"/>
      <c r="Q58" s="829"/>
      <c r="T58" s="365">
        <f>LARGE($C$44:$C$62,15)</f>
        <v>0</v>
      </c>
      <c r="U58" s="550">
        <f t="shared" si="6"/>
        <v>0</v>
      </c>
      <c r="V58" s="550">
        <f t="shared" si="5"/>
        <v>0</v>
      </c>
    </row>
    <row r="59" spans="2:22" ht="19.5" customHeight="1" x14ac:dyDescent="0.2">
      <c r="B59" s="150" t="s">
        <v>235</v>
      </c>
      <c r="C59" s="755">
        <f>Endocrine!P53</f>
        <v>0</v>
      </c>
      <c r="D59" s="731"/>
      <c r="E59" s="731"/>
      <c r="F59" s="1"/>
      <c r="G59" s="821" t="str">
        <f>IF(Q66=0,"No Unsched. PPD Entered",IF(S52=1,"Not applicable","Rule 0012(13) chart adaptability"))</f>
        <v>No Unsched. PPD Entered</v>
      </c>
      <c r="H59" s="822"/>
      <c r="I59" s="822"/>
      <c r="J59" s="822"/>
      <c r="K59" s="822"/>
      <c r="L59" s="822"/>
      <c r="M59" s="823"/>
      <c r="N59" s="862" t="str">
        <f>IF(OR(S52=1,Q66=0),"",SUMIF(B90:CW90,Q66,B91:CW91))</f>
        <v/>
      </c>
      <c r="O59" s="766"/>
      <c r="P59" s="767"/>
      <c r="Q59" s="830"/>
      <c r="T59" s="365">
        <f>LARGE($C$44:$C$62,16)</f>
        <v>0</v>
      </c>
      <c r="U59" s="550">
        <f t="shared" si="6"/>
        <v>0</v>
      </c>
      <c r="V59" s="550">
        <f t="shared" si="5"/>
        <v>0</v>
      </c>
    </row>
    <row r="60" spans="2:22" ht="30" customHeight="1" x14ac:dyDescent="0.2">
      <c r="B60" s="150" t="s">
        <v>1913</v>
      </c>
      <c r="C60" s="755">
        <f>'Integument &amp; Lacrimal'!P21</f>
        <v>0</v>
      </c>
      <c r="D60" s="731"/>
      <c r="E60" s="731"/>
      <c r="F60" s="1"/>
      <c r="G60" s="733" t="str">
        <f>IF(Q66=0,"No Unsched. PPD Entered",IF(S52=1,"Not applicable","Base functional capacity"))</f>
        <v>No Unsched. PPD Entered</v>
      </c>
      <c r="H60" s="734"/>
      <c r="I60" s="734"/>
      <c r="J60" s="734"/>
      <c r="K60" s="734"/>
      <c r="L60" s="734"/>
      <c r="M60" s="735"/>
      <c r="N60" s="730"/>
      <c r="O60" s="877"/>
      <c r="P60" s="820"/>
      <c r="Q60" s="831"/>
      <c r="T60" s="365">
        <f>LARGE($C$44:$C$62,17)</f>
        <v>0</v>
      </c>
      <c r="U60" s="550">
        <f t="shared" si="6"/>
        <v>0</v>
      </c>
      <c r="V60" s="550">
        <f t="shared" si="5"/>
        <v>0</v>
      </c>
    </row>
    <row r="61" spans="2:22" ht="19.5" customHeight="1" x14ac:dyDescent="0.2">
      <c r="B61" s="348" t="s">
        <v>100</v>
      </c>
      <c r="C61" s="857">
        <f>'Immune system'!P4</f>
        <v>0</v>
      </c>
      <c r="D61" s="858"/>
      <c r="E61" s="858"/>
      <c r="F61" s="175"/>
      <c r="G61" s="733" t="str">
        <f>IF(Q66=0,"No Unsched.PPD Entered",IF(S52=1,"Not applicable","Residual functional capacity"))</f>
        <v>No Unsched.PPD Entered</v>
      </c>
      <c r="H61" s="734"/>
      <c r="I61" s="734"/>
      <c r="J61" s="734"/>
      <c r="K61" s="734"/>
      <c r="L61" s="734"/>
      <c r="M61" s="735"/>
      <c r="N61" s="730"/>
      <c r="O61" s="877"/>
      <c r="P61" s="820"/>
      <c r="Q61" s="831"/>
      <c r="T61" s="365">
        <f>LARGE($C$44:$C$62,18)</f>
        <v>0</v>
      </c>
      <c r="U61" s="550">
        <f t="shared" si="6"/>
        <v>0</v>
      </c>
      <c r="V61" s="550">
        <f t="shared" si="5"/>
        <v>0</v>
      </c>
    </row>
    <row r="62" spans="2:22" ht="19.5" customHeight="1" x14ac:dyDescent="0.2">
      <c r="B62" s="188"/>
      <c r="C62" s="859">
        <v>0</v>
      </c>
      <c r="D62" s="860"/>
      <c r="E62" s="861"/>
      <c r="F62" s="174"/>
      <c r="G62" s="733" t="str">
        <f>IF(Q66=0,"No Unsched. PPD Entered",IF(S52=1,"Not applicable","Rule 0012(11) chart adaptability"))</f>
        <v>No Unsched. PPD Entered</v>
      </c>
      <c r="H62" s="734"/>
      <c r="I62" s="734"/>
      <c r="J62" s="734"/>
      <c r="K62" s="734"/>
      <c r="L62" s="734"/>
      <c r="M62" s="735"/>
      <c r="N62" s="732" t="str">
        <f>IF(S52=1,"",SUMIF(B86:AT86,T63,B87:AT87))</f>
        <v/>
      </c>
      <c r="O62" s="736"/>
      <c r="P62" s="737"/>
      <c r="Q62" s="832"/>
      <c r="T62" s="365">
        <f>LARGE($C$44:$C$62,19)</f>
        <v>0</v>
      </c>
      <c r="U62" s="146"/>
      <c r="V62" s="146"/>
    </row>
    <row r="63" spans="2:22" ht="27" customHeight="1" x14ac:dyDescent="0.2">
      <c r="B63" s="180" t="s">
        <v>139</v>
      </c>
      <c r="C63" s="847">
        <f>V61</f>
        <v>0</v>
      </c>
      <c r="D63" s="848"/>
      <c r="E63" s="849"/>
      <c r="F63" s="349"/>
      <c r="G63" s="742" t="str">
        <f>IF(Q66=0,"No Unsched. PPD Entered",IF(S52=1,"Not applicable","Adaptability value"))</f>
        <v>No Unsched. PPD Entered</v>
      </c>
      <c r="H63" s="743"/>
      <c r="I63" s="743"/>
      <c r="J63" s="743"/>
      <c r="K63" s="743"/>
      <c r="L63" s="743"/>
      <c r="M63" s="743"/>
      <c r="N63" s="743"/>
      <c r="O63" s="743"/>
      <c r="P63" s="744"/>
      <c r="Q63" s="149">
        <f>MAX(N59,N62)</f>
        <v>0</v>
      </c>
      <c r="T63" s="230" t="str">
        <f>IF(OR(N60="",N61=""),"No BFC/RFC",CONCATENATE(N60,N61))</f>
        <v>No BFC/RFC</v>
      </c>
    </row>
    <row r="64" spans="2:22" ht="19.5" customHeight="1" x14ac:dyDescent="0.2">
      <c r="B64" s="350"/>
      <c r="C64" s="351"/>
      <c r="D64" s="351"/>
      <c r="E64" s="352"/>
      <c r="F64" s="349"/>
      <c r="G64" s="742" t="str">
        <f>IF(Q66=0,"No Unsched. PPD Entered",IF(S52=1,"Not applicable","Multiplied times the age &amp; education total"))</f>
        <v>No Unsched. PPD Entered</v>
      </c>
      <c r="H64" s="743"/>
      <c r="I64" s="743"/>
      <c r="J64" s="743"/>
      <c r="K64" s="743"/>
      <c r="L64" s="743"/>
      <c r="M64" s="743"/>
      <c r="N64" s="743"/>
      <c r="O64" s="743"/>
      <c r="P64" s="744"/>
      <c r="Q64" s="149">
        <f>SUM(Q54:Q56)</f>
        <v>0</v>
      </c>
    </row>
    <row r="65" spans="2:23" ht="27" customHeight="1" x14ac:dyDescent="0.2">
      <c r="B65" s="353"/>
      <c r="C65" s="317"/>
      <c r="D65" s="317"/>
      <c r="E65" s="194"/>
      <c r="F65" s="349" t="s">
        <v>199</v>
      </c>
      <c r="G65" s="742" t="str">
        <f>IF(Q66=0,"No Unsched. PPD Entered",IF(S52=1,"Not applicable","Equals total age/education/adaptability factor"))</f>
        <v>No Unsched. PPD Entered</v>
      </c>
      <c r="H65" s="743"/>
      <c r="I65" s="743"/>
      <c r="J65" s="743"/>
      <c r="K65" s="743"/>
      <c r="L65" s="743"/>
      <c r="M65" s="743"/>
      <c r="N65" s="743"/>
      <c r="O65" s="743"/>
      <c r="P65" s="744"/>
      <c r="Q65" s="259">
        <f>(Q63*Q64)/100</f>
        <v>0</v>
      </c>
      <c r="S65" s="151"/>
    </row>
    <row r="66" spans="2:23" ht="19.5" customHeight="1" x14ac:dyDescent="0.2">
      <c r="B66" s="868" t="str">
        <f>IF(Q68="ERROR","Clear red error messages above.","")</f>
        <v/>
      </c>
      <c r="C66" s="869"/>
      <c r="D66" s="869"/>
      <c r="E66" s="870"/>
      <c r="F66" s="349" t="s">
        <v>12</v>
      </c>
      <c r="G66" s="742" t="s">
        <v>140</v>
      </c>
      <c r="H66" s="743"/>
      <c r="I66" s="743"/>
      <c r="J66" s="743"/>
      <c r="K66" s="743"/>
      <c r="L66" s="743"/>
      <c r="M66" s="743"/>
      <c r="N66" s="743"/>
      <c r="O66" s="743"/>
      <c r="P66" s="744"/>
      <c r="Q66" s="307">
        <f>C63</f>
        <v>0</v>
      </c>
    </row>
    <row r="67" spans="2:23" ht="19.5" customHeight="1" x14ac:dyDescent="0.2">
      <c r="B67" s="871"/>
      <c r="C67" s="872"/>
      <c r="D67" s="872"/>
      <c r="E67" s="873"/>
      <c r="F67" s="349"/>
      <c r="G67" s="742" t="s">
        <v>607</v>
      </c>
      <c r="H67" s="743"/>
      <c r="I67" s="743"/>
      <c r="J67" s="743"/>
      <c r="K67" s="743"/>
      <c r="L67" s="743"/>
      <c r="M67" s="743"/>
      <c r="N67" s="743"/>
      <c r="O67" s="743"/>
      <c r="P67" s="744"/>
      <c r="Q67" s="259">
        <f>IF(Q65+Q66&gt;1,1,Q65+Q66)</f>
        <v>0</v>
      </c>
    </row>
    <row r="68" spans="2:23" ht="19.5" customHeight="1" x14ac:dyDescent="0.2">
      <c r="B68" s="874"/>
      <c r="C68" s="875"/>
      <c r="D68" s="875"/>
      <c r="E68" s="876"/>
      <c r="F68" s="219"/>
      <c r="G68" s="864" t="s">
        <v>1838</v>
      </c>
      <c r="H68" s="865"/>
      <c r="I68" s="865"/>
      <c r="J68" s="865"/>
      <c r="K68" s="865"/>
      <c r="L68" s="865"/>
      <c r="M68" s="865"/>
      <c r="N68" s="865"/>
      <c r="O68" s="865"/>
      <c r="P68" s="866"/>
      <c r="Q68" s="247">
        <f>IF(Q66=0,0,IF(Q48&lt;&gt;"","ERROR",Q67))</f>
        <v>0</v>
      </c>
      <c r="T68" s="18" t="s">
        <v>1839</v>
      </c>
      <c r="U68" s="18" t="s">
        <v>1851</v>
      </c>
      <c r="V68" s="18" t="s">
        <v>1852</v>
      </c>
      <c r="W68" s="18" t="s">
        <v>1853</v>
      </c>
    </row>
    <row r="69" spans="2:23" ht="26.25" customHeight="1" x14ac:dyDescent="0.2">
      <c r="B69" s="354" t="s">
        <v>1840</v>
      </c>
      <c r="C69" s="899" t="s">
        <v>1841</v>
      </c>
      <c r="D69" s="899"/>
      <c r="E69" s="899"/>
      <c r="F69" s="899"/>
      <c r="G69" s="899" t="s">
        <v>1842</v>
      </c>
      <c r="H69" s="900"/>
      <c r="I69" s="900"/>
      <c r="J69" s="355"/>
      <c r="K69" s="899" t="s">
        <v>1843</v>
      </c>
      <c r="L69" s="899"/>
      <c r="M69" s="899"/>
      <c r="N69" s="777"/>
      <c r="O69" s="777"/>
      <c r="P69" s="1"/>
      <c r="Q69" s="887" t="str">
        <f>IF(N51="","",IF(N51&gt;S43,T4,IF(C63=0,"Unscheduled PPD has not been entered. Even if social-vocational data is entered, it will not affect the scheduled award.","")))</f>
        <v/>
      </c>
      <c r="T69" s="329">
        <v>35065</v>
      </c>
      <c r="U69" s="19" t="s">
        <v>1844</v>
      </c>
      <c r="V69" s="19" t="s">
        <v>1845</v>
      </c>
      <c r="W69" s="19" t="s">
        <v>1846</v>
      </c>
    </row>
    <row r="70" spans="2:23" ht="18" customHeight="1" x14ac:dyDescent="0.2">
      <c r="B70" s="356"/>
      <c r="C70" s="755">
        <f>IF(Q68="ERROR",0,Q68)</f>
        <v>0</v>
      </c>
      <c r="D70" s="755"/>
      <c r="E70" s="755"/>
      <c r="F70" s="18" t="s">
        <v>1754</v>
      </c>
      <c r="G70" s="731">
        <v>320</v>
      </c>
      <c r="H70" s="731"/>
      <c r="I70" s="731"/>
      <c r="J70" s="303" t="s">
        <v>1756</v>
      </c>
      <c r="K70" s="845">
        <f>C70*G70</f>
        <v>0</v>
      </c>
      <c r="L70" s="845"/>
      <c r="M70" s="845"/>
      <c r="N70" s="777"/>
      <c r="O70" s="777"/>
      <c r="P70" s="1"/>
      <c r="Q70" s="888"/>
      <c r="T70" s="329">
        <v>38353</v>
      </c>
      <c r="U70" s="19" t="s">
        <v>1847</v>
      </c>
      <c r="V70" s="19" t="s">
        <v>1848</v>
      </c>
      <c r="W70" s="19" t="s">
        <v>1849</v>
      </c>
    </row>
    <row r="71" spans="2:23" ht="24.75" customHeight="1" x14ac:dyDescent="0.2">
      <c r="B71" s="357"/>
      <c r="C71" s="863" t="s">
        <v>355</v>
      </c>
      <c r="D71" s="863"/>
      <c r="E71" s="863"/>
      <c r="F71" s="358"/>
      <c r="G71" s="892" t="s">
        <v>355</v>
      </c>
      <c r="H71" s="893"/>
      <c r="I71" s="894"/>
      <c r="J71" s="358"/>
      <c r="K71" s="895" t="s">
        <v>1850</v>
      </c>
      <c r="L71" s="896"/>
      <c r="M71" s="897"/>
      <c r="N71" s="863" t="s">
        <v>32</v>
      </c>
      <c r="O71" s="863"/>
      <c r="P71" s="892"/>
      <c r="Q71" s="888"/>
      <c r="T71" s="341"/>
      <c r="U71" s="57"/>
      <c r="V71" s="57"/>
      <c r="W71" s="57"/>
    </row>
    <row r="72" spans="2:23" ht="19.5" customHeight="1" x14ac:dyDescent="0.2">
      <c r="B72" s="13" t="s">
        <v>1851</v>
      </c>
      <c r="C72" s="731" t="str">
        <f>IF(N51="","DOI?",IF(N51&lt;T69,U69,U70))</f>
        <v>DOI?</v>
      </c>
      <c r="D72" s="731"/>
      <c r="E72" s="731"/>
      <c r="F72" s="18"/>
      <c r="G72" s="845">
        <f>IF(C72="DOI?",0,IF(K70&gt;T72,T72,K70))</f>
        <v>0</v>
      </c>
      <c r="H72" s="845"/>
      <c r="I72" s="845"/>
      <c r="J72" s="18" t="s">
        <v>1754</v>
      </c>
      <c r="K72" s="890" t="e">
        <f>'Dol Per Deg'!H8</f>
        <v>#N/A</v>
      </c>
      <c r="L72" s="891"/>
      <c r="M72" s="18" t="s">
        <v>1756</v>
      </c>
      <c r="N72" s="898" t="e">
        <f>G72*K72</f>
        <v>#N/A</v>
      </c>
      <c r="O72" s="898"/>
      <c r="P72" s="745"/>
      <c r="Q72" s="888"/>
      <c r="T72" s="146">
        <f>IF(N51="",0,IF(N51&lt;T69,U73,U74))</f>
        <v>0</v>
      </c>
    </row>
    <row r="73" spans="2:23" ht="19.5" customHeight="1" x14ac:dyDescent="0.2">
      <c r="B73" s="13" t="s">
        <v>1852</v>
      </c>
      <c r="C73" s="731" t="str">
        <f>IF(N51="","DOI?",IF(N51&lt;T69,V69,V70))</f>
        <v>DOI?</v>
      </c>
      <c r="D73" s="731"/>
      <c r="E73" s="731"/>
      <c r="F73" s="18"/>
      <c r="G73" s="845">
        <f>IF(C73="DOI?",0,IF(K70&gt;T73,T73-T72,IF(K70&gt;T72,K70-T72,0)))</f>
        <v>0</v>
      </c>
      <c r="H73" s="845"/>
      <c r="I73" s="845"/>
      <c r="J73" s="18" t="s">
        <v>1754</v>
      </c>
      <c r="K73" s="745" t="e">
        <f>'Dol Per Deg'!H9</f>
        <v>#N/A</v>
      </c>
      <c r="L73" s="846"/>
      <c r="M73" s="18" t="s">
        <v>1756</v>
      </c>
      <c r="N73" s="898" t="e">
        <f>G73*K73</f>
        <v>#N/A</v>
      </c>
      <c r="O73" s="898"/>
      <c r="P73" s="745"/>
      <c r="Q73" s="888"/>
      <c r="T73" s="146">
        <f>IF(N51="",0,IF(N51&lt;T69,V73,V74))</f>
        <v>0</v>
      </c>
      <c r="U73" s="146">
        <v>96</v>
      </c>
      <c r="V73" s="146">
        <v>192</v>
      </c>
      <c r="W73" s="18">
        <v>320</v>
      </c>
    </row>
    <row r="74" spans="2:23" ht="19.5" customHeight="1" x14ac:dyDescent="0.2">
      <c r="B74" s="13" t="s">
        <v>1853</v>
      </c>
      <c r="C74" s="731" t="str">
        <f>IF(N51="","DOI?",IF(N51&lt;T69,W69,W70))</f>
        <v>DOI?</v>
      </c>
      <c r="D74" s="731"/>
      <c r="E74" s="731"/>
      <c r="F74" s="18"/>
      <c r="G74" s="845">
        <f>IF(C74="DOI?",0,IF(K70&gt;T73,K70-T73,0))</f>
        <v>0</v>
      </c>
      <c r="H74" s="845"/>
      <c r="I74" s="845"/>
      <c r="J74" s="18" t="s">
        <v>1754</v>
      </c>
      <c r="K74" s="745" t="e">
        <f>'Dol Per Deg'!H10</f>
        <v>#N/A</v>
      </c>
      <c r="L74" s="846"/>
      <c r="M74" s="18" t="s">
        <v>1756</v>
      </c>
      <c r="N74" s="898" t="e">
        <f>G74*K74</f>
        <v>#N/A</v>
      </c>
      <c r="O74" s="898"/>
      <c r="P74" s="745"/>
      <c r="Q74" s="889"/>
      <c r="T74" s="146">
        <f>IF(N51="",0,IF(N51&lt;T69,W73,W74))</f>
        <v>0</v>
      </c>
      <c r="U74" s="146">
        <v>64</v>
      </c>
      <c r="V74" s="146">
        <v>160</v>
      </c>
      <c r="W74" s="18">
        <v>320</v>
      </c>
    </row>
    <row r="75" spans="2:23" ht="19.5" customHeight="1" x14ac:dyDescent="0.2">
      <c r="B75" s="901" t="s">
        <v>1854</v>
      </c>
      <c r="C75" s="902"/>
      <c r="D75" s="902"/>
      <c r="E75" s="902"/>
      <c r="F75" s="902"/>
      <c r="G75" s="902"/>
      <c r="H75" s="902"/>
      <c r="I75" s="902"/>
      <c r="J75" s="902"/>
      <c r="K75" s="902"/>
      <c r="L75" s="902"/>
      <c r="M75" s="902"/>
      <c r="N75" s="902"/>
      <c r="O75" s="902"/>
      <c r="P75" s="903"/>
      <c r="Q75" s="359" t="e">
        <f>SUM(N72:N74)</f>
        <v>#N/A</v>
      </c>
    </row>
    <row r="76" spans="2:23" ht="19.5" customHeight="1" x14ac:dyDescent="0.2">
      <c r="B76" s="901" t="s">
        <v>674</v>
      </c>
      <c r="C76" s="902"/>
      <c r="D76" s="902"/>
      <c r="E76" s="902"/>
      <c r="F76" s="902"/>
      <c r="G76" s="902"/>
      <c r="H76" s="902"/>
      <c r="I76" s="902"/>
      <c r="J76" s="902"/>
      <c r="K76" s="902"/>
      <c r="L76" s="902"/>
      <c r="M76" s="902"/>
      <c r="N76" s="902"/>
      <c r="O76" s="902"/>
      <c r="P76" s="903"/>
      <c r="Q76" s="359" t="e">
        <f>Q75+Q40</f>
        <v>#N/A</v>
      </c>
    </row>
    <row r="77" spans="2:23" ht="15.75" customHeight="1" x14ac:dyDescent="0.25">
      <c r="B77" s="886" t="s">
        <v>871</v>
      </c>
      <c r="C77" s="886"/>
      <c r="D77" s="886"/>
      <c r="E77" s="886"/>
      <c r="F77" s="886"/>
      <c r="G77" s="886"/>
      <c r="H77" s="886"/>
      <c r="I77" s="886"/>
      <c r="J77" s="886"/>
      <c r="K77" s="886"/>
      <c r="L77" s="886"/>
      <c r="M77" s="886"/>
      <c r="N77" s="886"/>
      <c r="O77" s="886"/>
      <c r="P77" s="886"/>
      <c r="Q77" s="886"/>
      <c r="R77" s="15"/>
    </row>
    <row r="79" spans="2:23" ht="18" hidden="1" customHeight="1" x14ac:dyDescent="0.2">
      <c r="B79" s="2" t="s">
        <v>356</v>
      </c>
      <c r="C79" s="2" t="s">
        <v>1120</v>
      </c>
    </row>
    <row r="80" spans="2:23" ht="18" hidden="1" customHeight="1" x14ac:dyDescent="0.2"/>
    <row r="81" spans="1:163" ht="18" hidden="1" customHeight="1" x14ac:dyDescent="0.2">
      <c r="A81" s="146" t="s">
        <v>269</v>
      </c>
      <c r="B81" s="18">
        <v>1</v>
      </c>
      <c r="C81" s="18">
        <v>2</v>
      </c>
      <c r="D81" s="18">
        <v>3</v>
      </c>
      <c r="E81" s="18">
        <v>4</v>
      </c>
      <c r="F81" s="18">
        <v>5</v>
      </c>
      <c r="G81" s="18">
        <v>6</v>
      </c>
      <c r="H81" s="18">
        <v>7</v>
      </c>
      <c r="I81" s="18">
        <v>8</v>
      </c>
      <c r="J81" s="18">
        <v>9</v>
      </c>
      <c r="K81" s="541"/>
      <c r="L81" s="540" t="s">
        <v>2133</v>
      </c>
      <c r="M81" s="540"/>
      <c r="N81" s="540"/>
      <c r="O81" s="540"/>
      <c r="P81" s="540"/>
      <c r="Q81" s="540"/>
      <c r="R81" s="540"/>
      <c r="S81" s="540"/>
      <c r="T81" s="540"/>
      <c r="U81" s="540"/>
      <c r="V81" s="540"/>
      <c r="W81" s="540"/>
    </row>
    <row r="82" spans="1:163" ht="18" hidden="1" customHeight="1" x14ac:dyDescent="0.2">
      <c r="A82" s="146">
        <v>4</v>
      </c>
      <c r="B82" s="18">
        <v>4</v>
      </c>
      <c r="C82" s="18">
        <v>4</v>
      </c>
      <c r="D82" s="18">
        <v>3</v>
      </c>
      <c r="E82" s="18">
        <v>3</v>
      </c>
      <c r="F82" s="18">
        <v>2</v>
      </c>
      <c r="G82" s="18">
        <v>2</v>
      </c>
      <c r="H82" s="18">
        <v>1</v>
      </c>
      <c r="I82" s="18">
        <v>1</v>
      </c>
      <c r="J82" s="18">
        <v>1</v>
      </c>
      <c r="K82" s="1"/>
      <c r="L82" s="1"/>
      <c r="M82" s="1"/>
      <c r="N82" s="1"/>
    </row>
    <row r="83" spans="1:163" ht="18" hidden="1" customHeight="1" x14ac:dyDescent="0.2">
      <c r="B83" s="1"/>
      <c r="C83" s="1"/>
      <c r="D83" s="1"/>
      <c r="E83" s="1"/>
      <c r="F83" s="1"/>
      <c r="G83" s="1"/>
      <c r="H83" s="1"/>
      <c r="I83" s="1"/>
      <c r="J83" s="1"/>
      <c r="K83" s="1"/>
      <c r="L83" s="1"/>
      <c r="M83" s="1"/>
      <c r="N83" s="1"/>
    </row>
    <row r="84" spans="1:163" ht="18" hidden="1" customHeight="1" x14ac:dyDescent="0.2">
      <c r="B84" s="1"/>
      <c r="C84" s="1"/>
      <c r="D84" s="1"/>
      <c r="E84" s="1"/>
      <c r="F84" s="1"/>
      <c r="G84" s="1"/>
      <c r="H84" s="1"/>
      <c r="I84" s="1"/>
      <c r="J84" s="1"/>
      <c r="K84" s="540"/>
      <c r="L84" s="540" t="s">
        <v>2134</v>
      </c>
      <c r="M84" s="540"/>
      <c r="N84" s="540"/>
      <c r="O84" s="540"/>
      <c r="P84" s="540"/>
      <c r="Q84" s="540"/>
      <c r="R84" s="540"/>
      <c r="S84" s="540"/>
      <c r="T84" s="540"/>
      <c r="U84" s="540"/>
      <c r="V84" s="540"/>
      <c r="W84" s="540"/>
      <c r="X84" s="540"/>
      <c r="Y84" s="540"/>
      <c r="Z84" s="540"/>
      <c r="AA84" s="540"/>
      <c r="AB84" s="540"/>
    </row>
    <row r="85" spans="1:163" ht="18" hidden="1" customHeight="1" x14ac:dyDescent="0.2">
      <c r="B85" s="18" t="s">
        <v>344</v>
      </c>
      <c r="C85" s="18" t="s">
        <v>345</v>
      </c>
      <c r="D85" s="18" t="s">
        <v>346</v>
      </c>
      <c r="E85" s="18" t="s">
        <v>347</v>
      </c>
      <c r="F85" s="18" t="s">
        <v>348</v>
      </c>
      <c r="G85" s="18"/>
      <c r="H85" s="18" t="s">
        <v>349</v>
      </c>
      <c r="I85" s="18" t="s">
        <v>344</v>
      </c>
      <c r="J85" s="18" t="s">
        <v>350</v>
      </c>
      <c r="K85" s="18" t="s">
        <v>345</v>
      </c>
      <c r="L85" s="18" t="s">
        <v>351</v>
      </c>
      <c r="M85" s="18" t="s">
        <v>346</v>
      </c>
      <c r="N85" s="18" t="s">
        <v>352</v>
      </c>
      <c r="O85" s="146" t="s">
        <v>347</v>
      </c>
      <c r="P85" s="146" t="s">
        <v>348</v>
      </c>
      <c r="Q85" s="146"/>
      <c r="R85" s="146"/>
      <c r="S85" s="146"/>
      <c r="T85" s="146"/>
      <c r="U85" s="146"/>
      <c r="V85" s="146"/>
      <c r="W85" s="18"/>
      <c r="X85" s="146"/>
      <c r="Y85" s="146"/>
      <c r="Z85" s="146"/>
      <c r="AA85" s="146"/>
      <c r="AB85" s="146"/>
      <c r="AC85" s="146"/>
      <c r="AD85" s="146"/>
      <c r="AE85" s="146"/>
      <c r="AF85" s="146"/>
      <c r="AG85" s="146"/>
      <c r="AH85" s="146"/>
      <c r="AI85" s="146"/>
      <c r="AJ85" s="146"/>
      <c r="AK85" s="146"/>
      <c r="AL85" s="146"/>
      <c r="AM85" s="146"/>
      <c r="AN85" s="146"/>
      <c r="AO85" s="146"/>
      <c r="AP85" s="146"/>
      <c r="AQ85" s="146"/>
      <c r="AR85" s="146"/>
      <c r="AS85" s="146"/>
      <c r="AT85" s="146"/>
    </row>
    <row r="86" spans="1:163" ht="18" hidden="1" customHeight="1" x14ac:dyDescent="0.2">
      <c r="B86" s="18" t="s">
        <v>1888</v>
      </c>
      <c r="C86" s="18" t="s">
        <v>1889</v>
      </c>
      <c r="D86" s="18" t="s">
        <v>1642</v>
      </c>
      <c r="E86" s="18" t="s">
        <v>1435</v>
      </c>
      <c r="F86" s="18" t="s">
        <v>1436</v>
      </c>
      <c r="G86" s="18" t="s">
        <v>1437</v>
      </c>
      <c r="H86" s="18" t="s">
        <v>1438</v>
      </c>
      <c r="I86" s="18" t="s">
        <v>1439</v>
      </c>
      <c r="J86" s="18" t="s">
        <v>1440</v>
      </c>
      <c r="K86" s="18" t="s">
        <v>1441</v>
      </c>
      <c r="L86" s="18" t="s">
        <v>1557</v>
      </c>
      <c r="M86" s="18" t="s">
        <v>942</v>
      </c>
      <c r="N86" s="18" t="s">
        <v>943</v>
      </c>
      <c r="O86" s="146" t="s">
        <v>944</v>
      </c>
      <c r="P86" s="146" t="s">
        <v>945</v>
      </c>
      <c r="Q86" s="146" t="s">
        <v>946</v>
      </c>
      <c r="R86" s="146" t="s">
        <v>947</v>
      </c>
      <c r="S86" s="146" t="s">
        <v>948</v>
      </c>
      <c r="T86" s="146" t="s">
        <v>949</v>
      </c>
      <c r="U86" s="146" t="s">
        <v>630</v>
      </c>
      <c r="V86" s="18" t="s">
        <v>631</v>
      </c>
      <c r="W86" s="146" t="s">
        <v>632</v>
      </c>
      <c r="X86" s="146" t="s">
        <v>633</v>
      </c>
      <c r="Y86" s="146" t="s">
        <v>634</v>
      </c>
      <c r="Z86" s="146" t="s">
        <v>635</v>
      </c>
      <c r="AA86" s="146" t="s">
        <v>636</v>
      </c>
      <c r="AB86" s="146" t="s">
        <v>637</v>
      </c>
      <c r="AC86" s="146" t="s">
        <v>638</v>
      </c>
      <c r="AD86" s="146" t="s">
        <v>639</v>
      </c>
      <c r="AE86" s="146" t="s">
        <v>640</v>
      </c>
      <c r="AF86" s="146" t="s">
        <v>641</v>
      </c>
      <c r="AG86" s="146" t="s">
        <v>642</v>
      </c>
      <c r="AH86" s="146" t="s">
        <v>643</v>
      </c>
      <c r="AI86" s="146" t="s">
        <v>644</v>
      </c>
      <c r="AJ86" s="146" t="s">
        <v>645</v>
      </c>
      <c r="AK86" s="146" t="s">
        <v>646</v>
      </c>
      <c r="AL86" s="146" t="s">
        <v>647</v>
      </c>
      <c r="AM86" s="146" t="s">
        <v>648</v>
      </c>
      <c r="AN86" s="146" t="s">
        <v>1047</v>
      </c>
      <c r="AO86" s="146" t="s">
        <v>368</v>
      </c>
      <c r="AP86" s="146" t="s">
        <v>369</v>
      </c>
      <c r="AQ86" s="146" t="s">
        <v>43</v>
      </c>
      <c r="AR86" s="146" t="s">
        <v>44</v>
      </c>
      <c r="AS86" s="146" t="s">
        <v>45</v>
      </c>
      <c r="AT86" s="146" t="s">
        <v>46</v>
      </c>
    </row>
    <row r="87" spans="1:163" ht="18" hidden="1" customHeight="1" x14ac:dyDescent="0.2">
      <c r="B87" s="18">
        <v>2</v>
      </c>
      <c r="C87" s="18">
        <v>1</v>
      </c>
      <c r="D87" s="18">
        <v>1</v>
      </c>
      <c r="E87" s="18">
        <v>1</v>
      </c>
      <c r="F87" s="18">
        <v>1</v>
      </c>
      <c r="G87" s="18">
        <v>1</v>
      </c>
      <c r="H87" s="18">
        <v>1</v>
      </c>
      <c r="I87" s="18">
        <v>1</v>
      </c>
      <c r="J87" s="18">
        <v>1</v>
      </c>
      <c r="K87" s="18">
        <v>4</v>
      </c>
      <c r="L87" s="18">
        <v>3</v>
      </c>
      <c r="M87" s="18">
        <v>2</v>
      </c>
      <c r="N87" s="18">
        <v>1</v>
      </c>
      <c r="O87" s="146">
        <v>1</v>
      </c>
      <c r="P87" s="146">
        <v>1</v>
      </c>
      <c r="Q87" s="146">
        <v>1</v>
      </c>
      <c r="R87" s="146">
        <v>1</v>
      </c>
      <c r="S87" s="146">
        <v>1</v>
      </c>
      <c r="T87" s="146">
        <v>6</v>
      </c>
      <c r="U87" s="146">
        <v>5</v>
      </c>
      <c r="V87" s="18">
        <v>4</v>
      </c>
      <c r="W87" s="146">
        <v>3</v>
      </c>
      <c r="X87" s="146">
        <v>2</v>
      </c>
      <c r="Y87" s="146">
        <v>1</v>
      </c>
      <c r="Z87" s="146">
        <v>1</v>
      </c>
      <c r="AA87" s="146">
        <v>1</v>
      </c>
      <c r="AB87" s="146">
        <v>1</v>
      </c>
      <c r="AC87" s="146">
        <v>7</v>
      </c>
      <c r="AD87" s="146">
        <v>6</v>
      </c>
      <c r="AE87" s="146">
        <v>6</v>
      </c>
      <c r="AF87" s="146">
        <v>5</v>
      </c>
      <c r="AG87" s="146">
        <v>4</v>
      </c>
      <c r="AH87" s="146">
        <v>3</v>
      </c>
      <c r="AI87" s="146">
        <v>2</v>
      </c>
      <c r="AJ87" s="146">
        <v>1</v>
      </c>
      <c r="AK87" s="146">
        <v>1</v>
      </c>
      <c r="AL87" s="146">
        <v>7</v>
      </c>
      <c r="AM87" s="146">
        <v>7</v>
      </c>
      <c r="AN87" s="146">
        <v>6</v>
      </c>
      <c r="AO87" s="146">
        <v>5</v>
      </c>
      <c r="AP87" s="146">
        <v>4</v>
      </c>
      <c r="AQ87" s="146">
        <v>3</v>
      </c>
      <c r="AR87" s="146">
        <v>2</v>
      </c>
      <c r="AS87" s="146">
        <v>1</v>
      </c>
      <c r="AT87" s="146">
        <v>1</v>
      </c>
    </row>
    <row r="88" spans="1:163" ht="18" hidden="1" customHeight="1" x14ac:dyDescent="0.2">
      <c r="B88" s="18"/>
      <c r="C88" s="18"/>
      <c r="D88" s="18"/>
      <c r="E88" s="18"/>
      <c r="F88" s="18"/>
      <c r="G88" s="18"/>
      <c r="H88" s="18"/>
      <c r="I88" s="18"/>
      <c r="J88" s="18"/>
      <c r="K88" s="18"/>
      <c r="L88" s="18"/>
      <c r="M88" s="18"/>
      <c r="N88" s="18"/>
      <c r="O88" s="146"/>
      <c r="P88" s="146"/>
      <c r="Q88" s="146"/>
      <c r="R88" s="146"/>
      <c r="S88" s="146"/>
      <c r="T88" s="146"/>
      <c r="U88" s="146"/>
      <c r="V88" s="18"/>
      <c r="W88" s="146"/>
      <c r="X88" s="146"/>
      <c r="Y88" s="146"/>
      <c r="Z88" s="146"/>
      <c r="AA88" s="146"/>
      <c r="AB88" s="146"/>
      <c r="AC88" s="146"/>
      <c r="AD88" s="146"/>
      <c r="AE88" s="146"/>
      <c r="AF88" s="146"/>
      <c r="AG88" s="146"/>
      <c r="AH88" s="146"/>
      <c r="AI88" s="146"/>
      <c r="AJ88" s="146"/>
      <c r="AK88" s="146"/>
      <c r="AL88" s="146"/>
      <c r="AM88" s="146"/>
      <c r="AN88" s="146"/>
      <c r="AO88" s="146"/>
      <c r="AP88" s="146"/>
      <c r="AQ88" s="146"/>
      <c r="AR88" s="146"/>
      <c r="AS88" s="146"/>
      <c r="AT88" s="146"/>
    </row>
    <row r="89" spans="1:163" ht="18" hidden="1" customHeight="1" x14ac:dyDescent="0.2">
      <c r="B89" s="1"/>
      <c r="C89" s="1"/>
      <c r="D89" s="1"/>
      <c r="E89" s="1"/>
      <c r="F89" s="1"/>
      <c r="G89" s="1"/>
      <c r="H89" s="1"/>
      <c r="I89" s="1"/>
      <c r="J89" s="1"/>
      <c r="K89" s="540"/>
      <c r="L89" s="540" t="s">
        <v>2135</v>
      </c>
      <c r="M89" s="540"/>
      <c r="N89" s="540"/>
      <c r="O89" s="540"/>
      <c r="P89" s="540"/>
      <c r="Q89" s="540"/>
      <c r="R89" s="540"/>
      <c r="S89" s="540"/>
      <c r="T89" s="540"/>
      <c r="U89" s="540"/>
      <c r="V89" s="540"/>
      <c r="W89" s="540"/>
      <c r="X89" s="540"/>
      <c r="Y89" s="540"/>
    </row>
    <row r="90" spans="1:163" ht="18" hidden="1" customHeight="1" x14ac:dyDescent="0.2">
      <c r="A90" s="151"/>
      <c r="B90" s="160">
        <v>0.01</v>
      </c>
      <c r="C90" s="160">
        <v>0.02</v>
      </c>
      <c r="D90" s="160">
        <v>0.03</v>
      </c>
      <c r="E90" s="160">
        <v>0.04</v>
      </c>
      <c r="F90" s="160">
        <v>0.05</v>
      </c>
      <c r="G90" s="160">
        <v>0.06</v>
      </c>
      <c r="H90" s="160">
        <v>7.0000000000000007E-2</v>
      </c>
      <c r="I90" s="160">
        <v>0.08</v>
      </c>
      <c r="J90" s="160">
        <v>0.09</v>
      </c>
      <c r="K90" s="160">
        <v>0.1</v>
      </c>
      <c r="L90" s="160">
        <v>0.11</v>
      </c>
      <c r="M90" s="160">
        <v>0.12</v>
      </c>
      <c r="N90" s="160">
        <v>0.13</v>
      </c>
      <c r="O90" s="160">
        <v>0.14000000000000001</v>
      </c>
      <c r="P90" s="160">
        <v>0.15</v>
      </c>
      <c r="Q90" s="160">
        <v>0.16</v>
      </c>
      <c r="R90" s="160">
        <v>0.17</v>
      </c>
      <c r="S90" s="160">
        <v>0.18</v>
      </c>
      <c r="T90" s="160">
        <v>0.19</v>
      </c>
      <c r="U90" s="160">
        <v>0.2</v>
      </c>
      <c r="V90" s="160">
        <v>0.21</v>
      </c>
      <c r="W90" s="160">
        <v>0.22</v>
      </c>
      <c r="X90" s="160">
        <v>0.23</v>
      </c>
      <c r="Y90" s="160">
        <v>0.24</v>
      </c>
      <c r="Z90" s="160">
        <v>0.25</v>
      </c>
      <c r="AA90" s="160">
        <v>0.26</v>
      </c>
      <c r="AB90" s="160">
        <v>0.27</v>
      </c>
      <c r="AC90" s="160">
        <v>0.28000000000000003</v>
      </c>
      <c r="AD90" s="160">
        <v>0.28999999999999998</v>
      </c>
      <c r="AE90" s="160">
        <v>0.3</v>
      </c>
      <c r="AF90" s="160">
        <v>0.31</v>
      </c>
      <c r="AG90" s="160">
        <v>0.32</v>
      </c>
      <c r="AH90" s="160">
        <v>0.33</v>
      </c>
      <c r="AI90" s="160">
        <v>0.34</v>
      </c>
      <c r="AJ90" s="160">
        <v>0.35</v>
      </c>
      <c r="AK90" s="160">
        <v>0.36</v>
      </c>
      <c r="AL90" s="160">
        <v>0.37</v>
      </c>
      <c r="AM90" s="160">
        <v>0.38</v>
      </c>
      <c r="AN90" s="160">
        <v>0.39</v>
      </c>
      <c r="AO90" s="160">
        <v>0.4</v>
      </c>
      <c r="AP90" s="160">
        <v>0.41</v>
      </c>
      <c r="AQ90" s="160">
        <v>0.42</v>
      </c>
      <c r="AR90" s="160">
        <v>0.43</v>
      </c>
      <c r="AS90" s="160">
        <v>0.44</v>
      </c>
      <c r="AT90" s="160">
        <v>0.45</v>
      </c>
      <c r="AU90" s="160">
        <v>0.46</v>
      </c>
      <c r="AV90" s="160">
        <v>0.47</v>
      </c>
      <c r="AW90" s="160">
        <v>0.48</v>
      </c>
      <c r="AX90" s="160">
        <v>0.49</v>
      </c>
      <c r="AY90" s="160">
        <v>0.5</v>
      </c>
      <c r="AZ90" s="160">
        <v>0.51</v>
      </c>
      <c r="BA90" s="160">
        <v>0.52</v>
      </c>
      <c r="BB90" s="160">
        <v>0.53</v>
      </c>
      <c r="BC90" s="160">
        <v>0.54</v>
      </c>
      <c r="BD90" s="160">
        <v>0.55000000000000004</v>
      </c>
      <c r="BE90" s="160">
        <v>0.56000000000000005</v>
      </c>
      <c r="BF90" s="160">
        <v>0.56999999999999995</v>
      </c>
      <c r="BG90" s="160">
        <v>0.57999999999999996</v>
      </c>
      <c r="BH90" s="160">
        <v>0.59</v>
      </c>
      <c r="BI90" s="160">
        <v>0.6</v>
      </c>
      <c r="BJ90" s="160">
        <v>0.61</v>
      </c>
      <c r="BK90" s="160">
        <v>0.62</v>
      </c>
      <c r="BL90" s="160">
        <v>0.63</v>
      </c>
      <c r="BM90" s="160">
        <v>0.64</v>
      </c>
      <c r="BN90" s="160">
        <v>0.65</v>
      </c>
      <c r="BO90" s="160">
        <v>0.66</v>
      </c>
      <c r="BP90" s="160">
        <v>0.67</v>
      </c>
      <c r="BQ90" s="160">
        <v>0.68</v>
      </c>
      <c r="BR90" s="160">
        <v>0.69</v>
      </c>
      <c r="BS90" s="160">
        <v>0.7</v>
      </c>
      <c r="BT90" s="160">
        <v>0.71</v>
      </c>
      <c r="BU90" s="160">
        <v>0.72</v>
      </c>
      <c r="BV90" s="160">
        <v>0.73</v>
      </c>
      <c r="BW90" s="160">
        <v>0.74</v>
      </c>
      <c r="BX90" s="160">
        <v>0.75</v>
      </c>
      <c r="BY90" s="160">
        <v>0.76</v>
      </c>
      <c r="BZ90" s="160">
        <v>0.77</v>
      </c>
      <c r="CA90" s="160">
        <v>0.78</v>
      </c>
      <c r="CB90" s="160">
        <v>0.79</v>
      </c>
      <c r="CC90" s="160">
        <v>0.8</v>
      </c>
      <c r="CD90" s="160">
        <v>0.81</v>
      </c>
      <c r="CE90" s="160">
        <v>0.82</v>
      </c>
      <c r="CF90" s="160">
        <v>0.83</v>
      </c>
      <c r="CG90" s="160">
        <v>0.84</v>
      </c>
      <c r="CH90" s="160">
        <v>0.85</v>
      </c>
      <c r="CI90" s="160">
        <v>0.86</v>
      </c>
      <c r="CJ90" s="160">
        <v>0.87</v>
      </c>
      <c r="CK90" s="160">
        <v>0.88</v>
      </c>
      <c r="CL90" s="160">
        <v>0.89</v>
      </c>
      <c r="CM90" s="160">
        <v>0.9</v>
      </c>
      <c r="CN90" s="160">
        <v>0.91</v>
      </c>
      <c r="CO90" s="160">
        <v>0.92</v>
      </c>
      <c r="CP90" s="160">
        <v>0.93</v>
      </c>
      <c r="CQ90" s="160">
        <v>0.94</v>
      </c>
      <c r="CR90" s="160">
        <v>0.95</v>
      </c>
      <c r="CS90" s="160">
        <v>0.96</v>
      </c>
      <c r="CT90" s="160">
        <v>0.97</v>
      </c>
      <c r="CU90" s="160">
        <v>0.98</v>
      </c>
      <c r="CV90" s="160">
        <v>0.99</v>
      </c>
      <c r="CW90" s="160">
        <v>1</v>
      </c>
      <c r="CX90" s="151"/>
      <c r="CY90" s="151"/>
      <c r="CZ90" s="151"/>
      <c r="DA90" s="151"/>
      <c r="DB90" s="151"/>
      <c r="DC90" s="151"/>
      <c r="DD90" s="151"/>
      <c r="DE90" s="151"/>
      <c r="DF90" s="151"/>
      <c r="DG90" s="151"/>
      <c r="DH90" s="151"/>
      <c r="DI90" s="151"/>
      <c r="DJ90" s="151"/>
      <c r="DK90" s="151"/>
      <c r="DL90" s="151"/>
      <c r="DM90" s="151"/>
      <c r="DN90" s="151"/>
      <c r="DO90" s="151"/>
      <c r="DP90" s="151"/>
      <c r="DQ90" s="151"/>
      <c r="DR90" s="151"/>
      <c r="DS90" s="151"/>
      <c r="DT90" s="151"/>
      <c r="DU90" s="151"/>
      <c r="DV90" s="151"/>
      <c r="DW90" s="151"/>
      <c r="DX90" s="151"/>
      <c r="DY90" s="151"/>
      <c r="DZ90" s="151"/>
      <c r="EA90" s="151"/>
      <c r="EB90" s="151"/>
      <c r="EC90" s="151"/>
      <c r="ED90" s="151"/>
      <c r="EE90" s="151"/>
      <c r="EF90" s="151"/>
      <c r="EG90" s="151"/>
      <c r="EH90" s="151"/>
      <c r="EI90" s="151"/>
      <c r="EJ90" s="151"/>
      <c r="EK90" s="151"/>
      <c r="EL90" s="151"/>
      <c r="EN90" s="151"/>
      <c r="EO90" s="151"/>
      <c r="EP90" s="151"/>
      <c r="EQ90" s="151"/>
      <c r="ER90" s="151"/>
      <c r="ES90" s="151"/>
      <c r="ET90" s="151"/>
      <c r="EU90" s="151"/>
      <c r="EV90" s="151"/>
      <c r="EW90" s="151"/>
      <c r="EX90" s="151"/>
      <c r="EY90" s="151"/>
      <c r="EZ90" s="151"/>
      <c r="FA90" s="151"/>
      <c r="FB90" s="151"/>
      <c r="FC90" s="151"/>
      <c r="FD90" s="151"/>
      <c r="FE90" s="151"/>
      <c r="FF90" s="151"/>
      <c r="FG90" s="151"/>
    </row>
    <row r="91" spans="1:163" ht="18" hidden="1" customHeight="1" x14ac:dyDescent="0.2">
      <c r="B91" s="18">
        <v>1</v>
      </c>
      <c r="C91" s="18">
        <v>1</v>
      </c>
      <c r="D91" s="18">
        <v>1</v>
      </c>
      <c r="E91" s="18">
        <v>1</v>
      </c>
      <c r="F91" s="18">
        <v>1</v>
      </c>
      <c r="G91" s="18">
        <v>1</v>
      </c>
      <c r="H91" s="18">
        <v>1</v>
      </c>
      <c r="I91" s="18">
        <v>1</v>
      </c>
      <c r="J91" s="18">
        <v>1</v>
      </c>
      <c r="K91" s="18">
        <v>2</v>
      </c>
      <c r="L91" s="18">
        <v>2</v>
      </c>
      <c r="M91" s="18">
        <v>2</v>
      </c>
      <c r="N91" s="18">
        <v>2</v>
      </c>
      <c r="O91" s="146">
        <v>2</v>
      </c>
      <c r="P91" s="146">
        <v>2</v>
      </c>
      <c r="Q91" s="146">
        <v>2</v>
      </c>
      <c r="R91" s="146">
        <v>2</v>
      </c>
      <c r="S91" s="146">
        <v>2</v>
      </c>
      <c r="T91" s="146">
        <v>2</v>
      </c>
      <c r="U91" s="146">
        <v>3</v>
      </c>
      <c r="V91" s="18">
        <v>3</v>
      </c>
      <c r="W91" s="146">
        <v>3</v>
      </c>
      <c r="X91" s="146">
        <v>3</v>
      </c>
      <c r="Y91" s="146">
        <v>3</v>
      </c>
      <c r="Z91" s="146">
        <v>3</v>
      </c>
      <c r="AA91" s="146">
        <v>3</v>
      </c>
      <c r="AB91" s="146">
        <v>3</v>
      </c>
      <c r="AC91" s="146">
        <v>3</v>
      </c>
      <c r="AD91" s="146">
        <v>3</v>
      </c>
      <c r="AE91" s="146">
        <v>4</v>
      </c>
      <c r="AF91" s="146">
        <v>4</v>
      </c>
      <c r="AG91" s="146">
        <v>4</v>
      </c>
      <c r="AH91" s="146">
        <v>4</v>
      </c>
      <c r="AI91" s="146">
        <v>4</v>
      </c>
      <c r="AJ91" s="146">
        <v>4</v>
      </c>
      <c r="AK91" s="146">
        <v>4</v>
      </c>
      <c r="AL91" s="146">
        <v>4</v>
      </c>
      <c r="AM91" s="146">
        <v>4</v>
      </c>
      <c r="AN91" s="146">
        <v>4</v>
      </c>
      <c r="AO91" s="146">
        <v>5</v>
      </c>
      <c r="AP91" s="146">
        <v>5</v>
      </c>
      <c r="AQ91" s="146">
        <v>5</v>
      </c>
      <c r="AR91" s="146">
        <v>5</v>
      </c>
      <c r="AS91" s="146">
        <v>5</v>
      </c>
      <c r="AT91" s="146">
        <v>5</v>
      </c>
      <c r="AU91" s="146">
        <v>5</v>
      </c>
      <c r="AV91" s="146">
        <v>5</v>
      </c>
      <c r="AW91" s="146">
        <v>5</v>
      </c>
      <c r="AX91" s="146">
        <v>5</v>
      </c>
      <c r="AY91" s="146">
        <v>6</v>
      </c>
      <c r="AZ91" s="146">
        <v>6</v>
      </c>
      <c r="BA91" s="146">
        <v>6</v>
      </c>
      <c r="BB91" s="146">
        <v>6</v>
      </c>
      <c r="BC91" s="146">
        <v>6</v>
      </c>
      <c r="BD91" s="146">
        <v>6</v>
      </c>
      <c r="BE91" s="146">
        <v>6</v>
      </c>
      <c r="BF91" s="146">
        <v>6</v>
      </c>
      <c r="BG91" s="146">
        <v>6</v>
      </c>
      <c r="BH91" s="146">
        <v>6</v>
      </c>
      <c r="BI91" s="146">
        <v>7</v>
      </c>
      <c r="BJ91" s="146">
        <v>7</v>
      </c>
      <c r="BK91" s="146">
        <v>7</v>
      </c>
      <c r="BL91" s="146">
        <v>7</v>
      </c>
      <c r="BM91" s="146">
        <v>7</v>
      </c>
      <c r="BN91" s="146">
        <v>7</v>
      </c>
      <c r="BO91" s="146">
        <v>7</v>
      </c>
      <c r="BP91" s="146">
        <v>7</v>
      </c>
      <c r="BQ91" s="146">
        <v>7</v>
      </c>
      <c r="BR91" s="146">
        <v>7</v>
      </c>
      <c r="BS91" s="146">
        <v>7</v>
      </c>
      <c r="BT91" s="146">
        <v>7</v>
      </c>
      <c r="BU91" s="146">
        <v>7</v>
      </c>
      <c r="BV91" s="146">
        <v>7</v>
      </c>
      <c r="BW91" s="146">
        <v>7</v>
      </c>
      <c r="BX91" s="146">
        <v>7</v>
      </c>
      <c r="BY91" s="146">
        <v>7</v>
      </c>
      <c r="BZ91" s="146">
        <v>7</v>
      </c>
      <c r="CA91" s="146">
        <v>7</v>
      </c>
      <c r="CB91" s="146">
        <v>7</v>
      </c>
      <c r="CC91" s="146">
        <v>7</v>
      </c>
      <c r="CD91" s="146">
        <v>7</v>
      </c>
      <c r="CE91" s="146">
        <v>7</v>
      </c>
      <c r="CF91" s="146">
        <v>7</v>
      </c>
      <c r="CG91" s="146">
        <v>7</v>
      </c>
      <c r="CH91" s="146">
        <v>7</v>
      </c>
      <c r="CI91" s="146">
        <v>7</v>
      </c>
      <c r="CJ91" s="146">
        <v>7</v>
      </c>
      <c r="CK91" s="146">
        <v>7</v>
      </c>
      <c r="CL91" s="146">
        <v>7</v>
      </c>
      <c r="CM91" s="146">
        <v>7</v>
      </c>
      <c r="CN91" s="146">
        <v>7</v>
      </c>
      <c r="CO91" s="146">
        <v>7</v>
      </c>
      <c r="CP91" s="146">
        <v>7</v>
      </c>
      <c r="CQ91" s="146">
        <v>7</v>
      </c>
      <c r="CR91" s="146">
        <v>7</v>
      </c>
      <c r="CS91" s="146">
        <v>7</v>
      </c>
      <c r="CT91" s="146">
        <v>7</v>
      </c>
      <c r="CU91" s="146">
        <v>7</v>
      </c>
      <c r="CV91" s="146">
        <v>7</v>
      </c>
      <c r="CW91" s="146">
        <v>7</v>
      </c>
    </row>
    <row r="92" spans="1:163" ht="18" hidden="1" customHeight="1" x14ac:dyDescent="0.2">
      <c r="B92" s="1"/>
      <c r="C92" s="1"/>
      <c r="D92" s="1"/>
      <c r="E92" s="1"/>
      <c r="F92" s="1"/>
      <c r="G92" s="1"/>
      <c r="H92" s="1"/>
      <c r="I92" s="1"/>
      <c r="J92" s="1"/>
      <c r="K92" s="1"/>
      <c r="L92" s="1"/>
      <c r="M92" s="1"/>
      <c r="N92" s="1"/>
    </row>
    <row r="93" spans="1:163" hidden="1" x14ac:dyDescent="0.2"/>
    <row r="94" spans="1:163" hidden="1" x14ac:dyDescent="0.2"/>
  </sheetData>
  <sheetProtection sheet="1" objects="1" scenarios="1"/>
  <mergeCells count="231">
    <mergeCell ref="G18:I18"/>
    <mergeCell ref="G19:I19"/>
    <mergeCell ref="C15:E15"/>
    <mergeCell ref="C16:E16"/>
    <mergeCell ref="N17:O17"/>
    <mergeCell ref="N18:O18"/>
    <mergeCell ref="G11:I11"/>
    <mergeCell ref="G12:I12"/>
    <mergeCell ref="B4:Q4"/>
    <mergeCell ref="C6:E6"/>
    <mergeCell ref="C5:E5"/>
    <mergeCell ref="G5:I5"/>
    <mergeCell ref="G6:I6"/>
    <mergeCell ref="K5:L5"/>
    <mergeCell ref="K6:L6"/>
    <mergeCell ref="N6:O6"/>
    <mergeCell ref="C13:E13"/>
    <mergeCell ref="B42:Q42"/>
    <mergeCell ref="C9:E9"/>
    <mergeCell ref="C10:E10"/>
    <mergeCell ref="C11:E11"/>
    <mergeCell ref="C12:E12"/>
    <mergeCell ref="G9:I9"/>
    <mergeCell ref="K9:L9"/>
    <mergeCell ref="K12:L12"/>
    <mergeCell ref="N9:O9"/>
    <mergeCell ref="N12:O12"/>
    <mergeCell ref="K10:L10"/>
    <mergeCell ref="C17:E17"/>
    <mergeCell ref="C18:E18"/>
    <mergeCell ref="C19:E19"/>
    <mergeCell ref="G14:I14"/>
    <mergeCell ref="G17:I17"/>
    <mergeCell ref="K19:L19"/>
    <mergeCell ref="G15:I15"/>
    <mergeCell ref="N11:O11"/>
    <mergeCell ref="K11:L11"/>
    <mergeCell ref="K18:L18"/>
    <mergeCell ref="G16:I16"/>
    <mergeCell ref="K15:L15"/>
    <mergeCell ref="K16:L16"/>
    <mergeCell ref="B1:C1"/>
    <mergeCell ref="D1:K1"/>
    <mergeCell ref="M1:Q1"/>
    <mergeCell ref="B2:Q2"/>
    <mergeCell ref="B3:Q3"/>
    <mergeCell ref="G10:I10"/>
    <mergeCell ref="N10:O10"/>
    <mergeCell ref="C7:E7"/>
    <mergeCell ref="K7:L7"/>
    <mergeCell ref="K8:L8"/>
    <mergeCell ref="N5:O5"/>
    <mergeCell ref="N7:O7"/>
    <mergeCell ref="N8:O8"/>
    <mergeCell ref="G7:I7"/>
    <mergeCell ref="G8:I8"/>
    <mergeCell ref="C8:E8"/>
    <mergeCell ref="C21:E21"/>
    <mergeCell ref="C25:E25"/>
    <mergeCell ref="C26:E26"/>
    <mergeCell ref="C27:E27"/>
    <mergeCell ref="C14:E14"/>
    <mergeCell ref="C35:E35"/>
    <mergeCell ref="C34:E34"/>
    <mergeCell ref="C23:E23"/>
    <mergeCell ref="C22:E22"/>
    <mergeCell ref="C28:E28"/>
    <mergeCell ref="C29:E29"/>
    <mergeCell ref="C24:E24"/>
    <mergeCell ref="C20:E20"/>
    <mergeCell ref="N21:O21"/>
    <mergeCell ref="G13:I13"/>
    <mergeCell ref="G24:I24"/>
    <mergeCell ref="N24:O24"/>
    <mergeCell ref="K21:L21"/>
    <mergeCell ref="G21:I21"/>
    <mergeCell ref="K24:L24"/>
    <mergeCell ref="N13:O13"/>
    <mergeCell ref="K14:L14"/>
    <mergeCell ref="N14:O14"/>
    <mergeCell ref="G22:I22"/>
    <mergeCell ref="G23:I23"/>
    <mergeCell ref="K22:L22"/>
    <mergeCell ref="K23:L23"/>
    <mergeCell ref="K17:L17"/>
    <mergeCell ref="G20:I20"/>
    <mergeCell ref="N22:O22"/>
    <mergeCell ref="N23:O23"/>
    <mergeCell ref="K13:L13"/>
    <mergeCell ref="N20:O20"/>
    <mergeCell ref="K20:L20"/>
    <mergeCell ref="N19:O19"/>
    <mergeCell ref="N15:O15"/>
    <mergeCell ref="N16:O16"/>
    <mergeCell ref="B77:Q77"/>
    <mergeCell ref="C74:E74"/>
    <mergeCell ref="G74:I74"/>
    <mergeCell ref="K74:L74"/>
    <mergeCell ref="Q69:Q74"/>
    <mergeCell ref="C70:E70"/>
    <mergeCell ref="G70:I70"/>
    <mergeCell ref="G72:I72"/>
    <mergeCell ref="K72:L72"/>
    <mergeCell ref="C71:E71"/>
    <mergeCell ref="G71:I71"/>
    <mergeCell ref="K71:M71"/>
    <mergeCell ref="N71:P71"/>
    <mergeCell ref="N73:P73"/>
    <mergeCell ref="K70:M70"/>
    <mergeCell ref="C72:E72"/>
    <mergeCell ref="N72:P72"/>
    <mergeCell ref="C69:F69"/>
    <mergeCell ref="G69:I69"/>
    <mergeCell ref="K69:M69"/>
    <mergeCell ref="N69:O69"/>
    <mergeCell ref="B76:P76"/>
    <mergeCell ref="N74:P74"/>
    <mergeCell ref="B75:P75"/>
    <mergeCell ref="N25:O25"/>
    <mergeCell ref="G25:I25"/>
    <mergeCell ref="G26:I26"/>
    <mergeCell ref="N26:O26"/>
    <mergeCell ref="K25:L25"/>
    <mergeCell ref="K26:L26"/>
    <mergeCell ref="C36:E36"/>
    <mergeCell ref="C38:E38"/>
    <mergeCell ref="K33:L33"/>
    <mergeCell ref="K30:L30"/>
    <mergeCell ref="C32:E32"/>
    <mergeCell ref="C33:E33"/>
    <mergeCell ref="G35:I35"/>
    <mergeCell ref="K38:L38"/>
    <mergeCell ref="C37:E37"/>
    <mergeCell ref="C30:E30"/>
    <mergeCell ref="G34:I34"/>
    <mergeCell ref="G33:I33"/>
    <mergeCell ref="G31:I31"/>
    <mergeCell ref="G32:I32"/>
    <mergeCell ref="G30:I30"/>
    <mergeCell ref="C31:E31"/>
    <mergeCell ref="N37:O37"/>
    <mergeCell ref="N36:O36"/>
    <mergeCell ref="G27:I27"/>
    <mergeCell ref="K27:L27"/>
    <mergeCell ref="K31:L31"/>
    <mergeCell ref="K32:L32"/>
    <mergeCell ref="N27:O27"/>
    <mergeCell ref="N32:O32"/>
    <mergeCell ref="N34:O34"/>
    <mergeCell ref="K34:L34"/>
    <mergeCell ref="K35:L35"/>
    <mergeCell ref="G36:I36"/>
    <mergeCell ref="K37:L37"/>
    <mergeCell ref="K36:L36"/>
    <mergeCell ref="G37:I37"/>
    <mergeCell ref="N35:O35"/>
    <mergeCell ref="N28:O28"/>
    <mergeCell ref="N29:O29"/>
    <mergeCell ref="N30:O30"/>
    <mergeCell ref="N31:O31"/>
    <mergeCell ref="G28:I28"/>
    <mergeCell ref="G29:I29"/>
    <mergeCell ref="K28:L28"/>
    <mergeCell ref="K29:L29"/>
    <mergeCell ref="N40:P40"/>
    <mergeCell ref="N39:O39"/>
    <mergeCell ref="G39:I39"/>
    <mergeCell ref="K39:L39"/>
    <mergeCell ref="G38:I38"/>
    <mergeCell ref="N38:O38"/>
    <mergeCell ref="G68:P68"/>
    <mergeCell ref="C39:E39"/>
    <mergeCell ref="B66:E68"/>
    <mergeCell ref="G61:M61"/>
    <mergeCell ref="G60:M60"/>
    <mergeCell ref="G65:P65"/>
    <mergeCell ref="G67:P67"/>
    <mergeCell ref="G62:M62"/>
    <mergeCell ref="N60:P60"/>
    <mergeCell ref="C60:E60"/>
    <mergeCell ref="N61:P61"/>
    <mergeCell ref="N62:P62"/>
    <mergeCell ref="C56:E56"/>
    <mergeCell ref="G66:P66"/>
    <mergeCell ref="N56:P56"/>
    <mergeCell ref="N54:P54"/>
    <mergeCell ref="N55:P55"/>
    <mergeCell ref="B41:Q41"/>
    <mergeCell ref="C73:E73"/>
    <mergeCell ref="G73:I73"/>
    <mergeCell ref="N70:O70"/>
    <mergeCell ref="K73:L73"/>
    <mergeCell ref="N33:O33"/>
    <mergeCell ref="C63:E63"/>
    <mergeCell ref="G63:P63"/>
    <mergeCell ref="G43:Q43"/>
    <mergeCell ref="C44:E44"/>
    <mergeCell ref="C46:E46"/>
    <mergeCell ref="C47:E47"/>
    <mergeCell ref="C45:E45"/>
    <mergeCell ref="H44:Q47"/>
    <mergeCell ref="G44:G47"/>
    <mergeCell ref="C59:E59"/>
    <mergeCell ref="C61:E61"/>
    <mergeCell ref="C62:E62"/>
    <mergeCell ref="N59:P59"/>
    <mergeCell ref="C57:E57"/>
    <mergeCell ref="G56:M56"/>
    <mergeCell ref="G54:M54"/>
    <mergeCell ref="C54:E54"/>
    <mergeCell ref="G55:M55"/>
    <mergeCell ref="C55:E55"/>
    <mergeCell ref="G59:M59"/>
    <mergeCell ref="G57:Q58"/>
    <mergeCell ref="Q59:Q62"/>
    <mergeCell ref="C58:E58"/>
    <mergeCell ref="G64:P64"/>
    <mergeCell ref="G48:P50"/>
    <mergeCell ref="C53:E53"/>
    <mergeCell ref="C52:E52"/>
    <mergeCell ref="N51:P51"/>
    <mergeCell ref="C48:E48"/>
    <mergeCell ref="C49:E49"/>
    <mergeCell ref="C50:E50"/>
    <mergeCell ref="G53:M53"/>
    <mergeCell ref="N53:P53"/>
    <mergeCell ref="C51:E51"/>
    <mergeCell ref="G52:M52"/>
    <mergeCell ref="G51:M51"/>
    <mergeCell ref="N52:P52"/>
    <mergeCell ref="Q48:Q53"/>
  </mergeCells>
  <phoneticPr fontId="0" type="noConversion"/>
  <conditionalFormatting sqref="G48:P50">
    <cfRule type="cellIs" dxfId="54" priority="1" stopIfTrue="1" operator="equal">
      <formula>$T$13</formula>
    </cfRule>
    <cfRule type="cellIs" dxfId="53" priority="2" stopIfTrue="1" operator="equal">
      <formula>$T$12</formula>
    </cfRule>
  </conditionalFormatting>
  <dataValidations xWindow="1006" yWindow="497" count="9">
    <dataValidation type="list" allowBlank="1" showInputMessage="1" showErrorMessage="1" promptTitle="Education" prompt="If the worker does not have a high school diploma or GED, add value of 1." sqref="N55:P55" xr:uid="{00000000-0002-0000-0200-000000000000}">
      <formula1>$A$79:$C$79</formula1>
    </dataValidation>
    <dataValidation type="list" allowBlank="1" showInputMessage="1" showErrorMessage="1" promptTitle="Specific vocational preparation" prompt="Click on the hyperlink to see descriptions of vocational preparation levels. " sqref="N56:P56" xr:uid="{00000000-0002-0000-0200-000001000000}">
      <formula1>$A$81:$J$81</formula1>
    </dataValidation>
    <dataValidation type="list" allowBlank="1" showInputMessage="1" showErrorMessage="1" promptTitle="Base Functional Capacity (BFC)" prompt="BFC means an individual's demonstrated physical capacity before the injury or disease." sqref="N60:P60" xr:uid="{00000000-0002-0000-0200-000002000000}">
      <formula1>$A$85:$F$85</formula1>
    </dataValidation>
    <dataValidation type="list" allowBlank="1" showInputMessage="1" showErrorMessage="1" promptTitle="Residual Functional Capacity" prompt="Residual functional capacity (RFC) means an individual's remaining ability to perform work-related activites despite medically determinable impairment resulting from the accepted compensable condition." sqref="N61:P61" xr:uid="{00000000-0002-0000-0200-000003000000}">
      <formula1>$G$85:$P$85</formula1>
    </dataValidation>
    <dataValidation allowBlank="1" showInputMessage="1" showErrorMessage="1" promptTitle="End of worksheet" prompt="Press TAB to return to top of sheet." sqref="R77" xr:uid="{00000000-0002-0000-0200-000004000000}"/>
    <dataValidation allowBlank="1" showInputMessage="1" showErrorMessage="1" promptTitle="Pre-2005 Worksheet" prompt="Press TAB to continue." sqref="A3" xr:uid="{00000000-0002-0000-0200-000005000000}"/>
    <dataValidation allowBlank="1" showInputMessage="1" showErrorMessage="1" promptTitle="Return &amp; Release for Work" prompt="Check the box next to true statement, if any." sqref="F45" xr:uid="{00000000-0002-0000-0200-000006000000}"/>
    <dataValidation allowBlank="1" showInputMessage="1" showErrorMessage="1" promptTitle="Department use only" prompt="Enter percent of impairment under Temporary Rule OAR 436-035-0500." sqref="C62:E62" xr:uid="{00000000-0002-0000-0200-000007000000}"/>
    <dataValidation allowBlank="1" showInputMessage="1" showErrorMessage="1" promptTitle="OAR 436-035-0500" prompt="Department use only_x000a_Name of body part or system" sqref="B62" xr:uid="{00000000-0002-0000-0200-000008000000}"/>
  </dataValidations>
  <hyperlinks>
    <hyperlink ref="B44" location="'Shoulder-Right'!A1" display="Right shoulder" xr:uid="{00000000-0004-0000-0200-000000000000}"/>
    <hyperlink ref="B45" location="'Shoulder-Left'!A1" display="Left shoulder" xr:uid="{00000000-0004-0000-0200-000001000000}"/>
    <hyperlink ref="B46" location="'Hip-Right'!A1" display="Right hip" xr:uid="{00000000-0004-0000-0200-000002000000}"/>
    <hyperlink ref="B47" location="'Hip-Left'!A1" display="Left hip" xr:uid="{00000000-0004-0000-0200-000003000000}"/>
    <hyperlink ref="B48" location="Spine!A1" display="Spine" xr:uid="{00000000-0004-0000-0200-000004000000}"/>
    <hyperlink ref="B49" location="Pelvis!A1" display="Pelvis" xr:uid="{00000000-0004-0000-0200-000005000000}"/>
    <hyperlink ref="B50" location="Abdomen!A1" display="Abdomen" xr:uid="{00000000-0004-0000-0200-000006000000}"/>
    <hyperlink ref="B52" location="Cardiovascular!A1" display="Cardiovascular system" xr:uid="{00000000-0004-0000-0200-000007000000}"/>
    <hyperlink ref="B53" location="Respiratory!A1" display="Respiratory system" xr:uid="{00000000-0004-0000-0200-000008000000}"/>
    <hyperlink ref="B54" location="'Cranial Nerves-Brain'!A1" display="Cranial nerves/brain" xr:uid="{00000000-0004-0000-0200-000009000000}"/>
    <hyperlink ref="B55" location="'Spinal cord'!A1" display="Spinal cord" xr:uid="{00000000-0004-0000-0200-00000A000000}"/>
    <hyperlink ref="B56" location="'Mental illness'!A1" display="Mental illness" xr:uid="{00000000-0004-0000-0200-00000B000000}"/>
    <hyperlink ref="B57" location="Hematopoietic!A1" display="Hematopoietic system" xr:uid="{00000000-0004-0000-0200-00000C000000}"/>
    <hyperlink ref="B58" location="'GI &amp; GU'!A1" display="Gastrointestinal and genitourinary systems" xr:uid="{00000000-0004-0000-0200-00000D000000}"/>
    <hyperlink ref="B59" location="Endocrine!A1" display="Endocrine system" xr:uid="{00000000-0004-0000-0200-00000E000000}"/>
    <hyperlink ref="B60" location="'Integument &amp; Lacrimal'!A1" display="Integument and lacrimal system" xr:uid="{00000000-0004-0000-0200-00000F000000}"/>
    <hyperlink ref="B61" location="'Immune system'!A1" display="Immune system" xr:uid="{00000000-0004-0000-0200-000010000000}"/>
    <hyperlink ref="G56:M56" location="Rules!A22" display="Specific vocational preparation:" xr:uid="{00000000-0004-0000-0200-000011000000}"/>
    <hyperlink ref="G59:M59" location="Rules!A46" display="Rules!A46" xr:uid="{00000000-0004-0000-0200-000012000000}"/>
    <hyperlink ref="B13" location="'Upper Extremity-Left'!A556" display="Left arm" xr:uid="{00000000-0004-0000-0200-000013000000}"/>
    <hyperlink ref="B34" location="Hearing!A1" display="Hearing" xr:uid="{00000000-0004-0000-0200-000014000000}"/>
    <hyperlink ref="B37" location="Vision!A1" display="Vision" xr:uid="{00000000-0004-0000-0200-000015000000}"/>
    <hyperlink ref="B27" location="'Lower Extremity-Left'!A371" display="Left leg" xr:uid="{00000000-0004-0000-0200-000016000000}"/>
    <hyperlink ref="B20" location="'Lower Extremity-Right'!A371" display="Right leg" xr:uid="{00000000-0004-0000-0200-000017000000}"/>
    <hyperlink ref="B21" location="'Lower Extremity-Right'!A204" display="Right foot" xr:uid="{00000000-0004-0000-0200-000018000000}"/>
    <hyperlink ref="B24" location="'Lower Extremity-Right'!A84" display="Right 3rd toe" xr:uid="{00000000-0004-0000-0200-000019000000}"/>
    <hyperlink ref="B25" location="'Lower Extremity-Right'!A124" display="Right 4th toe" xr:uid="{00000000-0004-0000-0200-00001A000000}"/>
    <hyperlink ref="B26" location="'Lower Extremity-Right'!A164" display="Right 5th toe" xr:uid="{00000000-0004-0000-0200-00001B000000}"/>
    <hyperlink ref="B30" location="'Lower Extremity-Left'!A44" display="Left second toe" xr:uid="{00000000-0004-0000-0200-00001C000000}"/>
    <hyperlink ref="B31" location="'Lower Extremity-Left'!A84" display="Left third toe" xr:uid="{00000000-0004-0000-0200-00001D000000}"/>
    <hyperlink ref="B32" location="'Lower Extremity-Left'!A124" display="Left fourth toe" xr:uid="{00000000-0004-0000-0200-00001E000000}"/>
    <hyperlink ref="B33" location="'Lower Extremity-Left'!A164" display="Left fifth toe" xr:uid="{00000000-0004-0000-0200-00001F000000}"/>
    <hyperlink ref="B38" location="Vision!A1" display="Vision" xr:uid="{00000000-0004-0000-0200-000020000000}"/>
    <hyperlink ref="B35" location="Hearing!A1" display="Hearing!A1" xr:uid="{00000000-0004-0000-0200-000021000000}"/>
    <hyperlink ref="B36" location="Hearing!A1" display="Hearing!A1" xr:uid="{00000000-0004-0000-0200-000022000000}"/>
    <hyperlink ref="B39" location="Vision!A1" display="Vision!A1" xr:uid="{00000000-0004-0000-0200-000023000000}"/>
    <hyperlink ref="G61:M61" location="Rules!B57" display="Rules!B57" xr:uid="{00000000-0004-0000-0200-000024000000}"/>
    <hyperlink ref="B6" location="'Upper Extremity-Right'!A556" display="Right arm" xr:uid="{00000000-0004-0000-0200-000025000000}"/>
    <hyperlink ref="B7" location="'Upper Extremity-Right'!A383" display="Right hand" xr:uid="{00000000-0004-0000-0200-000026000000}"/>
    <hyperlink ref="B8" location="'Upper Extremity-Right'!A5" display="Right thumb" xr:uid="{00000000-0004-0000-0200-000027000000}"/>
    <hyperlink ref="B9" location="'Upper Extremity-Right'!A80" display="Right index finger" xr:uid="{00000000-0004-0000-0200-000028000000}"/>
    <hyperlink ref="B10" location="'Upper Extremity-Right'!A156" display="Right middle finger" xr:uid="{00000000-0004-0000-0200-000029000000}"/>
    <hyperlink ref="B11" location="'Upper Extremity-Right'!A233" display="Right ring finger" xr:uid="{00000000-0004-0000-0200-00002A000000}"/>
    <hyperlink ref="B12" location="'Upper Extremity-Right'!A364" display="Right little finger" xr:uid="{00000000-0004-0000-0200-00002B000000}"/>
    <hyperlink ref="B14" location="'Upper Extremity-Left'!A383" display="Left hand" xr:uid="{00000000-0004-0000-0200-00002C000000}"/>
    <hyperlink ref="B15" location="'Upper Extremity-Left'!A5" display="Left thumb" xr:uid="{00000000-0004-0000-0200-00002D000000}"/>
    <hyperlink ref="B16" location="'Upper Extremity-Left'!A80" display="Left index finger" xr:uid="{00000000-0004-0000-0200-00002E000000}"/>
    <hyperlink ref="B17" location="'Upper Extremity-Left'!A156" display="Left middle finger" xr:uid="{00000000-0004-0000-0200-00002F000000}"/>
    <hyperlink ref="B18" location="'Upper Extremity-Left'!A233" display="Left ring finger" xr:uid="{00000000-0004-0000-0200-000030000000}"/>
    <hyperlink ref="B19" location="'Upper Extremity-Left'!A308" display="Left little finger" xr:uid="{00000000-0004-0000-0200-000031000000}"/>
    <hyperlink ref="B22" location="'Lower Extremity-Right'!A6" display="Right great toe" xr:uid="{00000000-0004-0000-0200-000032000000}"/>
    <hyperlink ref="B23" location="'Lower Extremity-Right'!A44" display="Right 2nd toe" xr:uid="{00000000-0004-0000-0200-000033000000}"/>
    <hyperlink ref="B28" location="'Lower Extremity-Left'!A204" display="Left foot" xr:uid="{00000000-0004-0000-0200-000034000000}"/>
    <hyperlink ref="B29" location="'Lower Extremity-Left'!A6" display="Left great toe" xr:uid="{00000000-0004-0000-0200-000035000000}"/>
    <hyperlink ref="G60:M60" location="Rules!B45" display="Rules!B45" xr:uid="{00000000-0004-0000-0200-000036000000}"/>
    <hyperlink ref="G62:M62" location="Rules!B45" display="Rules!B45" xr:uid="{00000000-0004-0000-0200-000037000000}"/>
    <hyperlink ref="B51" location="Chest!A1" display="Chest" xr:uid="{00000000-0004-0000-0200-000038000000}"/>
  </hyperlinks>
  <pageMargins left="0.75" right="0.75" top="0.52" bottom="0.55000000000000004" header="0.47" footer="0.28000000000000003"/>
  <pageSetup orientation="portrait" horizontalDpi="300" verticalDpi="300" r:id="rId1"/>
  <headerFooter alignWithMargins="0">
    <oddFooter>&amp;LDate of injury prior to 1/1/2005&amp;CPage &amp;P&amp;RPermanent Partial Disability</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6" r:id="rId4" name="Check Box 16">
              <controlPr defaultSize="0" autoFill="0" autoLine="0" autoPict="0">
                <anchor moveWithCells="1">
                  <from>
                    <xdr:col>6</xdr:col>
                    <xdr:colOff>19050</xdr:colOff>
                    <xdr:row>42</xdr:row>
                    <xdr:rowOff>247650</xdr:rowOff>
                  </from>
                  <to>
                    <xdr:col>7</xdr:col>
                    <xdr:colOff>95250</xdr:colOff>
                    <xdr:row>43</xdr:row>
                    <xdr:rowOff>200025</xdr:rowOff>
                  </to>
                </anchor>
              </controlPr>
            </control>
          </mc:Choice>
        </mc:AlternateContent>
        <mc:AlternateContent xmlns:mc="http://schemas.openxmlformats.org/markup-compatibility/2006">
          <mc:Choice Requires="x14">
            <control shapeId="51217" r:id="rId5" name="Check Box 17">
              <controlPr defaultSize="0" autoFill="0" autoLine="0" autoPict="0">
                <anchor moveWithCells="1">
                  <from>
                    <xdr:col>6</xdr:col>
                    <xdr:colOff>19050</xdr:colOff>
                    <xdr:row>43</xdr:row>
                    <xdr:rowOff>114300</xdr:rowOff>
                  </from>
                  <to>
                    <xdr:col>7</xdr:col>
                    <xdr:colOff>95250</xdr:colOff>
                    <xdr:row>44</xdr:row>
                    <xdr:rowOff>114300</xdr:rowOff>
                  </to>
                </anchor>
              </controlPr>
            </control>
          </mc:Choice>
        </mc:AlternateContent>
        <mc:AlternateContent xmlns:mc="http://schemas.openxmlformats.org/markup-compatibility/2006">
          <mc:Choice Requires="x14">
            <control shapeId="51218" r:id="rId6" name="Check Box 18">
              <controlPr defaultSize="0" autoFill="0" autoLine="0" autoPict="0">
                <anchor moveWithCells="1">
                  <from>
                    <xdr:col>6</xdr:col>
                    <xdr:colOff>19050</xdr:colOff>
                    <xdr:row>44</xdr:row>
                    <xdr:rowOff>152400</xdr:rowOff>
                  </from>
                  <to>
                    <xdr:col>7</xdr:col>
                    <xdr:colOff>95250</xdr:colOff>
                    <xdr:row>45</xdr:row>
                    <xdr:rowOff>104775</xdr:rowOff>
                  </to>
                </anchor>
              </controlPr>
            </control>
          </mc:Choice>
        </mc:AlternateContent>
        <mc:AlternateContent xmlns:mc="http://schemas.openxmlformats.org/markup-compatibility/2006">
          <mc:Choice Requires="x14">
            <control shapeId="51311" r:id="rId7" name="Check Box 111">
              <controlPr defaultSize="0" autoFill="0" autoLine="0" autoPict="0">
                <anchor moveWithCells="1">
                  <from>
                    <xdr:col>6</xdr:col>
                    <xdr:colOff>19050</xdr:colOff>
                    <xdr:row>45</xdr:row>
                    <xdr:rowOff>190500</xdr:rowOff>
                  </from>
                  <to>
                    <xdr:col>6</xdr:col>
                    <xdr:colOff>209550</xdr:colOff>
                    <xdr:row>46</xdr:row>
                    <xdr:rowOff>142875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dimension ref="A1:AY253"/>
  <sheetViews>
    <sheetView zoomScaleNormal="100" workbookViewId="0">
      <pane ySplit="2" topLeftCell="A3" activePane="bottomLeft" state="frozen"/>
      <selection pane="bottomLeft"/>
    </sheetView>
  </sheetViews>
  <sheetFormatPr defaultColWidth="9.140625" defaultRowHeight="12.75" x14ac:dyDescent="0.2"/>
  <cols>
    <col min="1" max="1" width="12.42578125" style="10" customWidth="1"/>
    <col min="2" max="7" width="9.140625" style="10"/>
    <col min="8" max="8" width="10" style="10" bestFit="1" customWidth="1"/>
    <col min="9" max="9" width="11.28515625" style="10" customWidth="1"/>
    <col min="10" max="11" width="9.7109375" style="10" bestFit="1" customWidth="1"/>
    <col min="12" max="12" width="9.42578125" style="10" customWidth="1"/>
    <col min="13" max="14" width="9.140625" style="10"/>
    <col min="15" max="15" width="9.85546875" style="10" customWidth="1"/>
    <col min="16" max="28" width="9.140625" style="10"/>
    <col min="29" max="29" width="8.5703125" style="10" customWidth="1"/>
    <col min="30" max="31" width="9.140625" style="10"/>
    <col min="32" max="32" width="8.42578125" style="10" customWidth="1"/>
    <col min="33" max="33" width="40.140625" style="10" customWidth="1"/>
    <col min="34" max="36" width="9.140625" style="10"/>
    <col min="37" max="37" width="5.5703125" style="10" customWidth="1"/>
    <col min="38" max="38" width="25.28515625" style="10" customWidth="1"/>
    <col min="39" max="42" width="9.140625" style="10"/>
    <col min="43" max="43" width="31.7109375" style="10" bestFit="1" customWidth="1"/>
    <col min="44" max="45" width="9" style="10" customWidth="1"/>
    <col min="46" max="46" width="5.85546875" style="10" bestFit="1" customWidth="1"/>
    <col min="47" max="47" width="9.140625" style="10"/>
    <col min="48" max="48" width="19.140625" style="10" bestFit="1" customWidth="1"/>
    <col min="49" max="50" width="7.85546875" style="10" customWidth="1"/>
    <col min="51" max="51" width="11" style="10" customWidth="1"/>
    <col min="52" max="16384" width="9.140625" style="10"/>
  </cols>
  <sheetData>
    <row r="1" spans="1:51" ht="37.5" customHeight="1" x14ac:dyDescent="0.2">
      <c r="A1" s="267" t="s">
        <v>2243</v>
      </c>
      <c r="B1" s="256" t="s">
        <v>1689</v>
      </c>
      <c r="C1" s="256" t="s">
        <v>1689</v>
      </c>
      <c r="D1" s="256" t="s">
        <v>1689</v>
      </c>
      <c r="E1" s="256" t="s">
        <v>1689</v>
      </c>
      <c r="F1" s="256" t="s">
        <v>1689</v>
      </c>
      <c r="G1" s="256" t="s">
        <v>1689</v>
      </c>
      <c r="H1" s="256" t="s">
        <v>1690</v>
      </c>
      <c r="I1" s="256" t="s">
        <v>1691</v>
      </c>
      <c r="J1" s="256" t="s">
        <v>1691</v>
      </c>
      <c r="K1" s="256" t="s">
        <v>1691</v>
      </c>
      <c r="L1" s="50" t="s">
        <v>1692</v>
      </c>
      <c r="M1" s="50" t="s">
        <v>1692</v>
      </c>
      <c r="N1" s="50" t="s">
        <v>657</v>
      </c>
      <c r="O1" s="50" t="s">
        <v>657</v>
      </c>
      <c r="P1" s="50" t="s">
        <v>657</v>
      </c>
      <c r="Q1" s="50" t="s">
        <v>657</v>
      </c>
      <c r="R1" s="50" t="s">
        <v>1693</v>
      </c>
      <c r="S1" s="50" t="s">
        <v>1693</v>
      </c>
      <c r="T1" s="50" t="s">
        <v>1693</v>
      </c>
      <c r="U1" s="50" t="s">
        <v>1693</v>
      </c>
      <c r="V1" s="50" t="s">
        <v>1692</v>
      </c>
      <c r="W1" s="50" t="s">
        <v>1694</v>
      </c>
      <c r="X1" s="50" t="s">
        <v>1694</v>
      </c>
      <c r="Y1" s="50" t="s">
        <v>1694</v>
      </c>
      <c r="Z1" s="50" t="s">
        <v>1922</v>
      </c>
      <c r="AA1" s="50" t="s">
        <v>1922</v>
      </c>
      <c r="AB1" s="50" t="s">
        <v>1922</v>
      </c>
      <c r="AC1" s="50" t="s">
        <v>1922</v>
      </c>
      <c r="AD1" s="50" t="s">
        <v>1922</v>
      </c>
      <c r="AE1" s="50" t="s">
        <v>1922</v>
      </c>
      <c r="AG1" s="50" t="s">
        <v>562</v>
      </c>
      <c r="AQ1" s="50" t="s">
        <v>714</v>
      </c>
    </row>
    <row r="2" spans="1:51" ht="106.5" x14ac:dyDescent="0.2">
      <c r="A2" s="256" t="s">
        <v>1923</v>
      </c>
      <c r="B2" s="676" t="s">
        <v>988</v>
      </c>
      <c r="C2" s="676" t="s">
        <v>989</v>
      </c>
      <c r="D2" s="676" t="s">
        <v>990</v>
      </c>
      <c r="E2" s="676" t="s">
        <v>991</v>
      </c>
      <c r="F2" s="676" t="s">
        <v>992</v>
      </c>
      <c r="G2" s="676" t="s">
        <v>993</v>
      </c>
      <c r="H2" s="676" t="s">
        <v>990</v>
      </c>
      <c r="I2" s="676" t="s">
        <v>991</v>
      </c>
      <c r="J2" s="676" t="s">
        <v>992</v>
      </c>
      <c r="K2" s="676" t="s">
        <v>993</v>
      </c>
      <c r="L2" s="669" t="s">
        <v>994</v>
      </c>
      <c r="M2" s="676" t="s">
        <v>995</v>
      </c>
      <c r="N2" s="676" t="s">
        <v>585</v>
      </c>
      <c r="O2" s="676" t="s">
        <v>996</v>
      </c>
      <c r="P2" s="676" t="s">
        <v>473</v>
      </c>
      <c r="Q2" s="676" t="s">
        <v>997</v>
      </c>
      <c r="R2" s="676" t="s">
        <v>1312</v>
      </c>
      <c r="S2" s="676" t="s">
        <v>998</v>
      </c>
      <c r="T2" s="668" t="s">
        <v>999</v>
      </c>
      <c r="U2" s="668" t="s">
        <v>1000</v>
      </c>
      <c r="V2" s="669" t="s">
        <v>1001</v>
      </c>
      <c r="W2" s="669" t="s">
        <v>836</v>
      </c>
      <c r="X2" s="669" t="s">
        <v>1176</v>
      </c>
      <c r="Y2" s="669" t="s">
        <v>837</v>
      </c>
      <c r="Z2" s="669" t="s">
        <v>188</v>
      </c>
      <c r="AA2" s="669" t="s">
        <v>1900</v>
      </c>
      <c r="AB2" s="669" t="s">
        <v>677</v>
      </c>
      <c r="AC2" s="669" t="s">
        <v>681</v>
      </c>
      <c r="AD2" s="668" t="s">
        <v>685</v>
      </c>
      <c r="AE2" s="669" t="s">
        <v>579</v>
      </c>
      <c r="AF2" s="321"/>
      <c r="AG2" s="272" t="s">
        <v>1145</v>
      </c>
      <c r="AH2" s="674" t="s">
        <v>2248</v>
      </c>
      <c r="AI2" s="667" t="s">
        <v>1287</v>
      </c>
      <c r="AJ2" s="667" t="s">
        <v>2249</v>
      </c>
      <c r="AK2" s="323"/>
      <c r="AL2" s="322"/>
      <c r="AM2" s="678" t="s">
        <v>2248</v>
      </c>
      <c r="AN2" s="678" t="s">
        <v>1287</v>
      </c>
      <c r="AO2" s="678" t="s">
        <v>2249</v>
      </c>
      <c r="AP2" s="322"/>
      <c r="AQ2" s="272" t="s">
        <v>1145</v>
      </c>
      <c r="AR2" s="674" t="s">
        <v>2248</v>
      </c>
      <c r="AS2" s="667" t="s">
        <v>1287</v>
      </c>
      <c r="AT2" s="667" t="s">
        <v>2249</v>
      </c>
      <c r="AU2" s="323"/>
      <c r="AV2" s="322"/>
      <c r="AW2" s="678" t="s">
        <v>2248</v>
      </c>
      <c r="AX2" s="678" t="s">
        <v>1287</v>
      </c>
      <c r="AY2" s="678" t="s">
        <v>2249</v>
      </c>
    </row>
    <row r="3" spans="1:51" x14ac:dyDescent="0.2">
      <c r="A3" s="50">
        <v>0</v>
      </c>
      <c r="B3" s="581">
        <v>0.45</v>
      </c>
      <c r="C3" s="581">
        <v>0.45</v>
      </c>
      <c r="D3" s="581">
        <v>0.34</v>
      </c>
      <c r="E3" s="581">
        <v>0.55000000000000004</v>
      </c>
      <c r="F3" s="581">
        <v>0.21</v>
      </c>
      <c r="G3" s="581">
        <v>0.55500000000000005</v>
      </c>
      <c r="H3" s="581">
        <v>0.28999999999999998</v>
      </c>
      <c r="I3" s="581">
        <v>0.5</v>
      </c>
      <c r="J3" s="581">
        <v>0.21</v>
      </c>
      <c r="K3" s="581">
        <v>0.5</v>
      </c>
      <c r="L3" s="147">
        <v>0</v>
      </c>
      <c r="M3" s="147">
        <v>0</v>
      </c>
      <c r="N3" s="581">
        <v>0.05</v>
      </c>
      <c r="O3" s="581">
        <v>0.1</v>
      </c>
      <c r="P3" s="581">
        <v>0.04</v>
      </c>
      <c r="Q3" s="581">
        <v>0.1</v>
      </c>
      <c r="R3" s="581">
        <v>7.0000000000000007E-2</v>
      </c>
      <c r="S3" s="581">
        <v>0.3</v>
      </c>
      <c r="T3" s="581">
        <v>0.14000000000000001</v>
      </c>
      <c r="U3" s="581">
        <v>0.3</v>
      </c>
      <c r="V3" s="581">
        <v>0</v>
      </c>
      <c r="W3" s="581">
        <v>0.53</v>
      </c>
      <c r="X3" s="581">
        <v>0.53</v>
      </c>
      <c r="Y3" s="581">
        <v>0</v>
      </c>
      <c r="Z3" s="581">
        <v>0.18</v>
      </c>
      <c r="AA3" s="581">
        <v>0.05</v>
      </c>
      <c r="AB3" s="581">
        <v>0.16</v>
      </c>
      <c r="AC3" s="581">
        <v>0.08</v>
      </c>
      <c r="AD3" s="581">
        <v>0.1</v>
      </c>
      <c r="AE3" s="581">
        <v>0.13</v>
      </c>
      <c r="AF3" s="94"/>
      <c r="AG3" s="147" t="s">
        <v>1177</v>
      </c>
      <c r="AH3" s="578" t="str">
        <f>IF('Lower Extremity-Right'!T13="","",'Lower Extremity-Right'!T13)</f>
        <v/>
      </c>
      <c r="AI3" s="578" t="str">
        <f>IF(AH3="","",ROUND(AH3,0))</f>
        <v/>
      </c>
      <c r="AJ3" s="193">
        <f>IF(AI3="",0,VLOOKUP(AI3,$A$3:$AE$154,2))</f>
        <v>0</v>
      </c>
      <c r="AK3" s="62"/>
      <c r="AL3" s="147" t="s">
        <v>1178</v>
      </c>
      <c r="AM3" s="578" t="str">
        <f>IF('Lower Extremity-Right'!V13="","",'Lower Extremity-Right'!V13)</f>
        <v/>
      </c>
      <c r="AN3" s="578" t="str">
        <f>IF(AM3="","",ROUND(AM3,0))</f>
        <v/>
      </c>
      <c r="AO3" s="193">
        <f>IF(AN3="",0,VLOOKUP(AN3,$A$3:$AE$154,2))</f>
        <v>0</v>
      </c>
      <c r="AP3" s="14"/>
      <c r="AQ3" s="147" t="s">
        <v>1177</v>
      </c>
      <c r="AR3" s="578" t="str">
        <f>IF('Lower Extremity-Left'!T13="","",'Lower Extremity-Left'!T13)</f>
        <v/>
      </c>
      <c r="AS3" s="578" t="str">
        <f>IF(AR3="","",ROUND(AR3,0))</f>
        <v/>
      </c>
      <c r="AT3" s="193">
        <f>IF(AS3="",0,VLOOKUP(AS3,$A$3:$AE$154,2))</f>
        <v>0</v>
      </c>
      <c r="AU3" s="62"/>
      <c r="AV3" s="147" t="s">
        <v>1178</v>
      </c>
      <c r="AW3" s="578" t="str">
        <f>IF('Lower Extremity-Left'!V13="","",'Lower Extremity-Left'!V13)</f>
        <v/>
      </c>
      <c r="AX3" s="578" t="str">
        <f>IF(AW3="","",ROUND(AW3,0))</f>
        <v/>
      </c>
      <c r="AY3" s="193">
        <f>IF(AX3="",0,VLOOKUP(AX3,$A$3:$AE$154,2))</f>
        <v>0</v>
      </c>
    </row>
    <row r="4" spans="1:51" x14ac:dyDescent="0.2">
      <c r="A4" s="50">
        <v>1</v>
      </c>
      <c r="B4" s="581">
        <v>0.435</v>
      </c>
      <c r="C4" s="581">
        <v>0.46</v>
      </c>
      <c r="D4" s="581">
        <v>0.33400000000000002</v>
      </c>
      <c r="E4" s="581">
        <v>0.54400000000000004</v>
      </c>
      <c r="F4" s="581">
        <v>0.20300000000000001</v>
      </c>
      <c r="G4" s="581">
        <v>0.56499999999999995</v>
      </c>
      <c r="H4" s="581">
        <v>0.28199999999999997</v>
      </c>
      <c r="I4" s="581">
        <v>0.51300000000000001</v>
      </c>
      <c r="J4" s="581">
        <v>0.20300000000000001</v>
      </c>
      <c r="K4" s="581">
        <v>0.51700000000000002</v>
      </c>
      <c r="L4" s="147">
        <v>0.01</v>
      </c>
      <c r="M4" s="147">
        <v>0.01</v>
      </c>
      <c r="N4" s="581">
        <v>4.9000000000000002E-2</v>
      </c>
      <c r="O4" s="581">
        <v>0.13300000000000001</v>
      </c>
      <c r="P4" s="581">
        <v>3.7999999999999999E-2</v>
      </c>
      <c r="Q4" s="581">
        <v>0.14000000000000001</v>
      </c>
      <c r="R4" s="581">
        <v>6.7000000000000004E-2</v>
      </c>
      <c r="S4" s="581">
        <v>0.32</v>
      </c>
      <c r="T4" s="581">
        <v>0.13700000000000001</v>
      </c>
      <c r="U4" s="581">
        <v>0.31</v>
      </c>
      <c r="V4" s="581">
        <v>0.01</v>
      </c>
      <c r="W4" s="581">
        <v>0.52600000000000002</v>
      </c>
      <c r="X4" s="581">
        <v>0.52700000000000002</v>
      </c>
      <c r="Y4" s="581">
        <v>1E-3</v>
      </c>
      <c r="Z4" s="581">
        <v>0.17799999999999999</v>
      </c>
      <c r="AA4" s="581">
        <v>4.9000000000000002E-2</v>
      </c>
      <c r="AB4" s="581">
        <v>0.156</v>
      </c>
      <c r="AC4" s="581">
        <v>7.5999999999999998E-2</v>
      </c>
      <c r="AD4" s="581">
        <v>9.8000000000000004E-2</v>
      </c>
      <c r="AE4" s="581">
        <v>0.127</v>
      </c>
      <c r="AF4" s="94"/>
      <c r="AG4" s="147" t="s">
        <v>1179</v>
      </c>
      <c r="AH4" s="578" t="str">
        <f>IF('Lower Extremity-Right'!T14="","",'Lower Extremity-Right'!T14)</f>
        <v/>
      </c>
      <c r="AI4" s="578" t="str">
        <f>IF(AH4="","",ROUND(AH4,0))</f>
        <v/>
      </c>
      <c r="AJ4" s="193">
        <f>IF(AI4="",0,VLOOKUP(AI4,$A$3:$AE$154,3))</f>
        <v>0</v>
      </c>
      <c r="AK4" s="62"/>
      <c r="AL4" s="14"/>
      <c r="AM4" s="62"/>
      <c r="AN4" s="62"/>
      <c r="AO4" s="95"/>
      <c r="AP4" s="14"/>
      <c r="AQ4" s="147" t="s">
        <v>1179</v>
      </c>
      <c r="AR4" s="578" t="str">
        <f>IF('Lower Extremity-Left'!T14="","",'Lower Extremity-Left'!T14)</f>
        <v/>
      </c>
      <c r="AS4" s="578" t="str">
        <f>IF(AR4="","",ROUND(AR4,0))</f>
        <v/>
      </c>
      <c r="AT4" s="193">
        <f>IF(AS4="",0,VLOOKUP(AS4,$A$3:$AE$154,3))</f>
        <v>0</v>
      </c>
      <c r="AU4" s="62"/>
      <c r="AV4" s="14"/>
      <c r="AW4" s="62"/>
      <c r="AX4" s="62"/>
      <c r="AY4" s="95"/>
    </row>
    <row r="5" spans="1:51" x14ac:dyDescent="0.2">
      <c r="A5" s="50">
        <v>2</v>
      </c>
      <c r="B5" s="581">
        <v>0.42</v>
      </c>
      <c r="C5" s="581">
        <v>0.47</v>
      </c>
      <c r="D5" s="581">
        <v>0.32800000000000001</v>
      </c>
      <c r="E5" s="581">
        <v>0.53800000000000003</v>
      </c>
      <c r="F5" s="581">
        <v>0.19600000000000001</v>
      </c>
      <c r="G5" s="581">
        <v>0.57999999999999996</v>
      </c>
      <c r="H5" s="581">
        <v>0.27400000000000002</v>
      </c>
      <c r="I5" s="581">
        <v>0.52600000000000002</v>
      </c>
      <c r="J5" s="581">
        <v>0.19600000000000001</v>
      </c>
      <c r="K5" s="581">
        <v>0.53400000000000003</v>
      </c>
      <c r="L5" s="147">
        <v>0.01</v>
      </c>
      <c r="M5" s="147">
        <v>0.01</v>
      </c>
      <c r="N5" s="581">
        <v>4.8000000000000001E-2</v>
      </c>
      <c r="O5" s="581">
        <v>0.16600000000000001</v>
      </c>
      <c r="P5" s="581">
        <v>3.5999999999999997E-2</v>
      </c>
      <c r="Q5" s="581">
        <v>0.18</v>
      </c>
      <c r="R5" s="581">
        <v>6.4000000000000001E-2</v>
      </c>
      <c r="S5" s="581">
        <v>0.34</v>
      </c>
      <c r="T5" s="581">
        <v>0.13400000000000001</v>
      </c>
      <c r="U5" s="581">
        <v>0.32</v>
      </c>
      <c r="V5" s="581">
        <v>0.02</v>
      </c>
      <c r="W5" s="581">
        <v>0.52200000000000002</v>
      </c>
      <c r="X5" s="581">
        <v>0.52400000000000002</v>
      </c>
      <c r="Y5" s="581">
        <v>2E-3</v>
      </c>
      <c r="Z5" s="581">
        <v>0.17599999999999999</v>
      </c>
      <c r="AA5" s="581">
        <v>4.8000000000000001E-2</v>
      </c>
      <c r="AB5" s="581">
        <v>0.152</v>
      </c>
      <c r="AC5" s="581">
        <v>7.1999999999999995E-2</v>
      </c>
      <c r="AD5" s="581">
        <v>9.6000000000000002E-2</v>
      </c>
      <c r="AE5" s="581">
        <v>0.124</v>
      </c>
      <c r="AF5" s="94"/>
      <c r="AG5" s="14"/>
      <c r="AH5" s="62"/>
      <c r="AI5" s="62"/>
      <c r="AJ5" s="14"/>
      <c r="AK5" s="62"/>
      <c r="AL5" s="14"/>
      <c r="AM5" s="14"/>
      <c r="AN5" s="14"/>
      <c r="AO5" s="14"/>
      <c r="AP5" s="14"/>
      <c r="AQ5" s="14"/>
      <c r="AR5" s="62"/>
      <c r="AS5" s="62"/>
      <c r="AT5" s="14"/>
      <c r="AU5" s="62"/>
      <c r="AV5" s="14"/>
      <c r="AW5" s="14"/>
      <c r="AX5" s="14"/>
      <c r="AY5" s="14"/>
    </row>
    <row r="6" spans="1:51" x14ac:dyDescent="0.2">
      <c r="A6" s="50">
        <v>3</v>
      </c>
      <c r="B6" s="581">
        <v>0.40500000000000003</v>
      </c>
      <c r="C6" s="581">
        <v>0.48</v>
      </c>
      <c r="D6" s="581">
        <v>0.32200000000000001</v>
      </c>
      <c r="E6" s="581">
        <v>0.53200000000000003</v>
      </c>
      <c r="F6" s="581">
        <v>0.189</v>
      </c>
      <c r="G6" s="581">
        <v>0.59499999999999997</v>
      </c>
      <c r="H6" s="581">
        <v>0.26600000000000001</v>
      </c>
      <c r="I6" s="581">
        <v>0.53900000000000003</v>
      </c>
      <c r="J6" s="581">
        <v>0.189</v>
      </c>
      <c r="K6" s="581">
        <v>0.55100000000000005</v>
      </c>
      <c r="L6" s="147">
        <v>0.01</v>
      </c>
      <c r="M6" s="147">
        <v>0.01</v>
      </c>
      <c r="N6" s="581">
        <v>4.7E-2</v>
      </c>
      <c r="O6" s="581">
        <v>0.19900000000000001</v>
      </c>
      <c r="P6" s="581">
        <v>3.4000000000000002E-2</v>
      </c>
      <c r="Q6" s="581">
        <v>0.22</v>
      </c>
      <c r="R6" s="581">
        <v>6.0999999999999999E-2</v>
      </c>
      <c r="S6" s="581">
        <v>0.36</v>
      </c>
      <c r="T6" s="581">
        <v>0.13100000000000001</v>
      </c>
      <c r="U6" s="581">
        <v>0.33</v>
      </c>
      <c r="V6" s="581">
        <v>0.03</v>
      </c>
      <c r="W6" s="581">
        <v>0.51800000000000002</v>
      </c>
      <c r="X6" s="581">
        <v>0.52100000000000002</v>
      </c>
      <c r="Y6" s="581">
        <v>3.0000000000000001E-3</v>
      </c>
      <c r="Z6" s="581">
        <v>0.17399999999999999</v>
      </c>
      <c r="AA6" s="581">
        <v>4.7E-2</v>
      </c>
      <c r="AB6" s="581">
        <v>0.14799999999999999</v>
      </c>
      <c r="AC6" s="581">
        <v>6.8000000000000005E-2</v>
      </c>
      <c r="AD6" s="581">
        <v>9.4E-2</v>
      </c>
      <c r="AE6" s="581">
        <v>0.121</v>
      </c>
      <c r="AF6" s="94"/>
      <c r="AG6" s="147" t="s">
        <v>1393</v>
      </c>
      <c r="AH6" s="578" t="str">
        <f>IF('Lower Extremity-Right'!T16="","",'Lower Extremity-Right'!T16)</f>
        <v/>
      </c>
      <c r="AI6" s="578" t="str">
        <f>IF(AH6="","",ROUND(AH6,0))</f>
        <v/>
      </c>
      <c r="AJ6" s="193">
        <f>IF(AI6="",0,VLOOKUP(AI6,$A$3:$AE$154,4))</f>
        <v>0</v>
      </c>
      <c r="AK6" s="62"/>
      <c r="AL6" s="147" t="s">
        <v>1394</v>
      </c>
      <c r="AM6" s="578" t="str">
        <f>IF('Lower Extremity-Right'!V16="","",'Lower Extremity-Right'!V16)</f>
        <v/>
      </c>
      <c r="AN6" s="578" t="str">
        <f>IF(AM6="","",ROUND(AM6,0))</f>
        <v/>
      </c>
      <c r="AO6" s="193">
        <f>IF(AN6="",0,VLOOKUP(AN6,$A$3:$AE$154,4))</f>
        <v>0</v>
      </c>
      <c r="AP6" s="14"/>
      <c r="AQ6" s="147" t="s">
        <v>1393</v>
      </c>
      <c r="AR6" s="578" t="str">
        <f>IF('Lower Extremity-Left'!T16="","",'Lower Extremity-Left'!T16)</f>
        <v/>
      </c>
      <c r="AS6" s="578" t="str">
        <f>IF(AR6="","",ROUND(AR6,0))</f>
        <v/>
      </c>
      <c r="AT6" s="193">
        <f>IF(AS6="",0,VLOOKUP(AS6,$A$3:$AE$154,4))</f>
        <v>0</v>
      </c>
      <c r="AU6" s="62"/>
      <c r="AV6" s="147" t="s">
        <v>1394</v>
      </c>
      <c r="AW6" s="578" t="str">
        <f>IF('Lower Extremity-Left'!V16="","",'Lower Extremity-Left'!V16)</f>
        <v/>
      </c>
      <c r="AX6" s="578" t="str">
        <f>IF(AW6="","",ROUND(AW6,0))</f>
        <v/>
      </c>
      <c r="AY6" s="193">
        <f>IF(AX6="",0,VLOOKUP(AX6,$A$3:$AE$154,4))</f>
        <v>0</v>
      </c>
    </row>
    <row r="7" spans="1:51" x14ac:dyDescent="0.2">
      <c r="A7" s="50">
        <v>4</v>
      </c>
      <c r="B7" s="581">
        <v>0.39</v>
      </c>
      <c r="C7" s="581">
        <v>0.49</v>
      </c>
      <c r="D7" s="581">
        <v>0.316</v>
      </c>
      <c r="E7" s="581">
        <v>0.52600000000000002</v>
      </c>
      <c r="F7" s="581">
        <v>0.182</v>
      </c>
      <c r="G7" s="581">
        <v>0.61</v>
      </c>
      <c r="H7" s="581">
        <v>0.25800000000000001</v>
      </c>
      <c r="I7" s="581">
        <v>0.55200000000000005</v>
      </c>
      <c r="J7" s="581">
        <v>0.182</v>
      </c>
      <c r="K7" s="581">
        <v>0.56799999999999995</v>
      </c>
      <c r="L7" s="147">
        <v>0.01</v>
      </c>
      <c r="M7" s="147">
        <v>0.01</v>
      </c>
      <c r="N7" s="581">
        <v>4.5999999999999999E-2</v>
      </c>
      <c r="O7" s="581">
        <v>0.23200000000000001</v>
      </c>
      <c r="P7" s="581">
        <v>3.2000000000000001E-2</v>
      </c>
      <c r="Q7" s="581">
        <v>0.26</v>
      </c>
      <c r="R7" s="581">
        <v>5.8000000000000003E-2</v>
      </c>
      <c r="S7" s="581">
        <v>0.38</v>
      </c>
      <c r="T7" s="581">
        <v>0.128</v>
      </c>
      <c r="U7" s="581">
        <v>0.34</v>
      </c>
      <c r="V7" s="581">
        <v>0.04</v>
      </c>
      <c r="W7" s="581">
        <v>0.51400000000000001</v>
      </c>
      <c r="X7" s="581">
        <v>0.51800000000000002</v>
      </c>
      <c r="Y7" s="581">
        <v>4.0000000000000001E-3</v>
      </c>
      <c r="Z7" s="581">
        <v>0.17199999999999999</v>
      </c>
      <c r="AA7" s="581">
        <v>4.5999999999999999E-2</v>
      </c>
      <c r="AB7" s="581">
        <v>0.14399999999999999</v>
      </c>
      <c r="AC7" s="581">
        <v>6.4000000000000001E-2</v>
      </c>
      <c r="AD7" s="581">
        <v>9.1999999999999998E-2</v>
      </c>
      <c r="AE7" s="581">
        <v>0.11799999999999999</v>
      </c>
      <c r="AF7" s="94"/>
      <c r="AG7" s="147" t="s">
        <v>1395</v>
      </c>
      <c r="AH7" s="578" t="str">
        <f>IF('Lower Extremity-Right'!T17="","",'Lower Extremity-Right'!T17)</f>
        <v/>
      </c>
      <c r="AI7" s="578" t="str">
        <f>IF(AH7="","",ROUND(AH7,0))</f>
        <v/>
      </c>
      <c r="AJ7" s="193">
        <f>IF(AI7="",0,VLOOKUP(AI7,$A$3:$AE$154,5))</f>
        <v>0</v>
      </c>
      <c r="AK7" s="62"/>
      <c r="AL7" s="14"/>
      <c r="AM7" s="14"/>
      <c r="AN7" s="14"/>
      <c r="AO7" s="14"/>
      <c r="AP7" s="14"/>
      <c r="AQ7" s="147" t="s">
        <v>1395</v>
      </c>
      <c r="AR7" s="578" t="str">
        <f>IF('Lower Extremity-Left'!T17="","",'Lower Extremity-Left'!T17)</f>
        <v/>
      </c>
      <c r="AS7" s="578" t="str">
        <f>IF(AR7="","",ROUND(AR7,0))</f>
        <v/>
      </c>
      <c r="AT7" s="193">
        <f>IF(AS7="",0,VLOOKUP(AS7,$A$3:$AE$154,5))</f>
        <v>0</v>
      </c>
      <c r="AU7" s="62"/>
      <c r="AV7" s="14"/>
      <c r="AW7" s="14"/>
      <c r="AX7" s="14"/>
      <c r="AY7" s="14"/>
    </row>
    <row r="8" spans="1:51" x14ac:dyDescent="0.2">
      <c r="A8" s="50">
        <v>5</v>
      </c>
      <c r="B8" s="581">
        <v>0.375</v>
      </c>
      <c r="C8" s="581">
        <v>0.5</v>
      </c>
      <c r="D8" s="581">
        <v>0.31</v>
      </c>
      <c r="E8" s="581">
        <v>0.52</v>
      </c>
      <c r="F8" s="581">
        <v>0.17499999999999999</v>
      </c>
      <c r="G8" s="581">
        <v>0.625</v>
      </c>
      <c r="H8" s="581">
        <v>0.25</v>
      </c>
      <c r="I8" s="581">
        <v>0.56499999999999995</v>
      </c>
      <c r="J8" s="581">
        <v>0.17499999999999999</v>
      </c>
      <c r="K8" s="581">
        <v>0.58499999999999996</v>
      </c>
      <c r="L8" s="147">
        <v>0.01</v>
      </c>
      <c r="M8" s="147">
        <v>0.01</v>
      </c>
      <c r="N8" s="581">
        <v>4.4999999999999998E-2</v>
      </c>
      <c r="O8" s="581">
        <v>0.26500000000000001</v>
      </c>
      <c r="P8" s="581">
        <v>0.03</v>
      </c>
      <c r="Q8" s="581">
        <v>0.3</v>
      </c>
      <c r="R8" s="581">
        <v>5.5E-2</v>
      </c>
      <c r="S8" s="581">
        <v>0.4</v>
      </c>
      <c r="T8" s="581">
        <v>0.125</v>
      </c>
      <c r="U8" s="581">
        <v>0.35</v>
      </c>
      <c r="V8" s="581">
        <v>0.05</v>
      </c>
      <c r="W8" s="581">
        <v>0.51</v>
      </c>
      <c r="X8" s="581">
        <v>0.51500000000000001</v>
      </c>
      <c r="Y8" s="581">
        <v>5.0000000000000001E-3</v>
      </c>
      <c r="Z8" s="581">
        <v>0.17</v>
      </c>
      <c r="AA8" s="581">
        <v>4.4999999999999998E-2</v>
      </c>
      <c r="AB8" s="581">
        <v>0.14000000000000001</v>
      </c>
      <c r="AC8" s="581">
        <v>0.06</v>
      </c>
      <c r="AD8" s="581">
        <v>0.09</v>
      </c>
      <c r="AE8" s="581">
        <v>0.115</v>
      </c>
      <c r="AF8" s="94"/>
      <c r="AG8" s="147" t="s">
        <v>1396</v>
      </c>
      <c r="AH8" s="578" t="str">
        <f>IF('Lower Extremity-Right'!T18="","",'Lower Extremity-Right'!T18)</f>
        <v/>
      </c>
      <c r="AI8" s="578" t="str">
        <f>IF(AH8="","",ROUND(AH8,0))</f>
        <v/>
      </c>
      <c r="AJ8" s="193">
        <f>IF(AI8="",0,VLOOKUP(AI8,$A$3:$AE$154,6))</f>
        <v>0</v>
      </c>
      <c r="AK8" s="62"/>
      <c r="AL8" s="14" t="s">
        <v>1394</v>
      </c>
      <c r="AM8" s="62" t="str">
        <f>IF('Lower Extremity-Right'!V18="","",'Lower Extremity-Right'!V18)</f>
        <v/>
      </c>
      <c r="AN8" s="62" t="str">
        <f>IF(AM8="","",ROUND(AM8,0))</f>
        <v/>
      </c>
      <c r="AO8" s="95">
        <f>IF(AN8="",0,VLOOKUP(AN8,$A$3:$AE$154,6))</f>
        <v>0</v>
      </c>
      <c r="AP8" s="14"/>
      <c r="AQ8" s="147" t="s">
        <v>1396</v>
      </c>
      <c r="AR8" s="578" t="str">
        <f>IF('Lower Extremity-Left'!T18="","",'Lower Extremity-Left'!T18)</f>
        <v/>
      </c>
      <c r="AS8" s="578" t="str">
        <f>IF(AR8="","",ROUND(AR8,0))</f>
        <v/>
      </c>
      <c r="AT8" s="193">
        <f>IF(AS8="",0,VLOOKUP(AS8,$A$3:$AE$154,6))</f>
        <v>0</v>
      </c>
      <c r="AU8" s="62"/>
      <c r="AV8" s="147" t="s">
        <v>1394</v>
      </c>
      <c r="AW8" s="578" t="str">
        <f>IF('Lower Extremity-Left'!V18="","",'Lower Extremity-Left'!V18)</f>
        <v/>
      </c>
      <c r="AX8" s="578" t="str">
        <f>IF(AW8="","",ROUND(AW8,0))</f>
        <v/>
      </c>
      <c r="AY8" s="193">
        <f>IF(AX8="",0,VLOOKUP(AX8,$A$3:$AE$154,6))</f>
        <v>0</v>
      </c>
    </row>
    <row r="9" spans="1:51" x14ac:dyDescent="0.2">
      <c r="A9" s="50">
        <v>6</v>
      </c>
      <c r="B9" s="581">
        <v>0.36</v>
      </c>
      <c r="C9" s="581">
        <v>0.51</v>
      </c>
      <c r="D9" s="581">
        <v>0.30399999999999999</v>
      </c>
      <c r="E9" s="581">
        <v>0.51400000000000001</v>
      </c>
      <c r="F9" s="581">
        <v>0.16800000000000001</v>
      </c>
      <c r="G9" s="581">
        <v>0.64</v>
      </c>
      <c r="H9" s="581">
        <v>0.24199999999999999</v>
      </c>
      <c r="I9" s="581">
        <v>0.57799999999999996</v>
      </c>
      <c r="J9" s="581">
        <v>0.16800000000000001</v>
      </c>
      <c r="K9" s="581">
        <v>0.60199999999999998</v>
      </c>
      <c r="L9" s="147">
        <v>0.01</v>
      </c>
      <c r="M9" s="147">
        <v>0.01</v>
      </c>
      <c r="N9" s="581">
        <v>4.3999999999999997E-2</v>
      </c>
      <c r="O9" s="581">
        <v>0.29799999999999999</v>
      </c>
      <c r="P9" s="581">
        <v>2.8000000000000001E-2</v>
      </c>
      <c r="Q9" s="581">
        <v>0.34</v>
      </c>
      <c r="R9" s="581">
        <v>5.1999999999999998E-2</v>
      </c>
      <c r="S9" s="581">
        <v>0.42</v>
      </c>
      <c r="T9" s="581">
        <v>0.122</v>
      </c>
      <c r="U9" s="581">
        <v>0.36</v>
      </c>
      <c r="V9" s="581">
        <v>0.05</v>
      </c>
      <c r="W9" s="581">
        <v>0.50600000000000001</v>
      </c>
      <c r="X9" s="581">
        <v>0.51200000000000001</v>
      </c>
      <c r="Y9" s="581">
        <v>6.0000000000000001E-3</v>
      </c>
      <c r="Z9" s="581">
        <v>0.16800000000000001</v>
      </c>
      <c r="AA9" s="581">
        <v>4.3999999999999997E-2</v>
      </c>
      <c r="AB9" s="581">
        <v>0.13600000000000001</v>
      </c>
      <c r="AC9" s="581">
        <v>5.6000000000000001E-2</v>
      </c>
      <c r="AD9" s="581">
        <v>8.7999999999999995E-2</v>
      </c>
      <c r="AE9" s="581">
        <v>0.112</v>
      </c>
      <c r="AF9" s="94"/>
      <c r="AG9" s="147" t="s">
        <v>1397</v>
      </c>
      <c r="AH9" s="578" t="str">
        <f>IF('Lower Extremity-Right'!T19="","",'Lower Extremity-Right'!T19)</f>
        <v/>
      </c>
      <c r="AI9" s="578" t="str">
        <f>IF(AH9="","",ROUND(AH9,0))</f>
        <v/>
      </c>
      <c r="AJ9" s="193">
        <f>IF(AI9="",0,VLOOKUP(AI9,$A$3:$AE$154,7))</f>
        <v>0</v>
      </c>
      <c r="AK9" s="62"/>
      <c r="AL9" s="14"/>
      <c r="AM9" s="14"/>
      <c r="AN9" s="14"/>
      <c r="AO9" s="14"/>
      <c r="AP9" s="14"/>
      <c r="AQ9" s="147" t="s">
        <v>1397</v>
      </c>
      <c r="AR9" s="578" t="str">
        <f>IF('Lower Extremity-Left'!T19="","",'Lower Extremity-Left'!T19)</f>
        <v/>
      </c>
      <c r="AS9" s="578" t="str">
        <f>IF(AR9="","",ROUND(AR9,0))</f>
        <v/>
      </c>
      <c r="AT9" s="193">
        <f>IF(AS9="",0,VLOOKUP(AS9,$A$3:$AE$154,7))</f>
        <v>0</v>
      </c>
      <c r="AU9" s="62"/>
      <c r="AV9" s="14"/>
      <c r="AW9" s="14"/>
      <c r="AX9" s="14"/>
      <c r="AY9" s="14"/>
    </row>
    <row r="10" spans="1:51" x14ac:dyDescent="0.2">
      <c r="A10" s="50">
        <v>7</v>
      </c>
      <c r="B10" s="581">
        <v>0.34499999999999997</v>
      </c>
      <c r="C10" s="581">
        <v>0.52</v>
      </c>
      <c r="D10" s="581">
        <v>0.29799999999999999</v>
      </c>
      <c r="E10" s="581">
        <v>0.50800000000000001</v>
      </c>
      <c r="F10" s="581">
        <v>0.161</v>
      </c>
      <c r="G10" s="581">
        <v>0.65500000000000003</v>
      </c>
      <c r="H10" s="581">
        <v>0.23400000000000001</v>
      </c>
      <c r="I10" s="581">
        <v>0.59099999999999997</v>
      </c>
      <c r="J10" s="581">
        <v>0.161</v>
      </c>
      <c r="K10" s="581">
        <v>0.61899999999999999</v>
      </c>
      <c r="L10" s="147">
        <v>0.01</v>
      </c>
      <c r="M10" s="147">
        <v>0.01</v>
      </c>
      <c r="N10" s="581">
        <v>4.2999999999999997E-2</v>
      </c>
      <c r="O10" s="581">
        <v>0.33100000000000002</v>
      </c>
      <c r="P10" s="581">
        <v>2.5999999999999999E-2</v>
      </c>
      <c r="Q10" s="581">
        <v>0.38</v>
      </c>
      <c r="R10" s="581">
        <v>4.9000000000000002E-2</v>
      </c>
      <c r="S10" s="581">
        <v>0.44</v>
      </c>
      <c r="T10" s="581">
        <v>0.11899999999999999</v>
      </c>
      <c r="U10" s="581">
        <v>0.37</v>
      </c>
      <c r="V10" s="581">
        <v>0.06</v>
      </c>
      <c r="W10" s="581">
        <v>0.502</v>
      </c>
      <c r="X10" s="581">
        <v>0.50900000000000001</v>
      </c>
      <c r="Y10" s="581">
        <v>7.0000000000000001E-3</v>
      </c>
      <c r="Z10" s="581">
        <v>0.16600000000000001</v>
      </c>
      <c r="AA10" s="581">
        <v>4.2999999999999997E-2</v>
      </c>
      <c r="AB10" s="581">
        <v>0.13200000000000001</v>
      </c>
      <c r="AC10" s="581">
        <v>5.1999999999999998E-2</v>
      </c>
      <c r="AD10" s="581">
        <v>8.5999999999999993E-2</v>
      </c>
      <c r="AE10" s="581">
        <v>0.109</v>
      </c>
      <c r="AF10" s="94"/>
      <c r="AG10" s="14"/>
      <c r="AH10" s="62"/>
      <c r="AI10" s="62"/>
      <c r="AJ10" s="14"/>
      <c r="AK10" s="62"/>
      <c r="AL10" s="14"/>
      <c r="AM10" s="14"/>
      <c r="AN10" s="14"/>
      <c r="AO10" s="14"/>
      <c r="AP10" s="14"/>
      <c r="AQ10" s="14"/>
      <c r="AR10" s="62"/>
      <c r="AS10" s="62"/>
      <c r="AT10" s="14"/>
      <c r="AU10" s="62"/>
      <c r="AV10" s="14"/>
      <c r="AW10" s="14"/>
      <c r="AX10" s="14"/>
      <c r="AY10" s="14"/>
    </row>
    <row r="11" spans="1:51" x14ac:dyDescent="0.2">
      <c r="A11" s="50">
        <v>8</v>
      </c>
      <c r="B11" s="581">
        <v>0.33</v>
      </c>
      <c r="C11" s="581">
        <v>0.53</v>
      </c>
      <c r="D11" s="581">
        <v>0.29199999999999998</v>
      </c>
      <c r="E11" s="581">
        <v>0.502</v>
      </c>
      <c r="F11" s="581">
        <v>0.154</v>
      </c>
      <c r="G11" s="581">
        <v>0.67</v>
      </c>
      <c r="H11" s="581">
        <v>0.22600000000000001</v>
      </c>
      <c r="I11" s="581">
        <v>0.60399999999999998</v>
      </c>
      <c r="J11" s="581">
        <v>0.154</v>
      </c>
      <c r="K11" s="581">
        <v>0.63600000000000001</v>
      </c>
      <c r="L11" s="147">
        <v>0.02</v>
      </c>
      <c r="M11" s="147">
        <v>0.01</v>
      </c>
      <c r="N11" s="581">
        <v>4.2000000000000003E-2</v>
      </c>
      <c r="O11" s="581">
        <v>0.36399999999999999</v>
      </c>
      <c r="P11" s="581">
        <v>2.4E-2</v>
      </c>
      <c r="Q11" s="581">
        <v>0.42</v>
      </c>
      <c r="R11" s="581">
        <v>4.5999999999999999E-2</v>
      </c>
      <c r="S11" s="581">
        <v>0.46</v>
      </c>
      <c r="T11" s="581">
        <v>0.11600000000000001</v>
      </c>
      <c r="U11" s="581">
        <v>0.38</v>
      </c>
      <c r="V11" s="581">
        <v>7.0000000000000007E-2</v>
      </c>
      <c r="W11" s="581">
        <v>0.498</v>
      </c>
      <c r="X11" s="581">
        <v>0.50600000000000001</v>
      </c>
      <c r="Y11" s="581">
        <v>8.0000000000000002E-3</v>
      </c>
      <c r="Z11" s="581">
        <v>0.16400000000000001</v>
      </c>
      <c r="AA11" s="581">
        <v>4.2000000000000003E-2</v>
      </c>
      <c r="AB11" s="581">
        <v>0.128</v>
      </c>
      <c r="AC11" s="581">
        <v>4.8000000000000001E-2</v>
      </c>
      <c r="AD11" s="581">
        <v>8.4000000000000005E-2</v>
      </c>
      <c r="AE11" s="581">
        <v>0.106</v>
      </c>
      <c r="AF11" s="94"/>
      <c r="AG11" s="147" t="s">
        <v>1398</v>
      </c>
      <c r="AH11" s="62"/>
      <c r="AI11" s="62"/>
      <c r="AJ11" s="14"/>
      <c r="AK11" s="62"/>
      <c r="AL11" s="14"/>
      <c r="AM11" s="14"/>
      <c r="AN11" s="14"/>
      <c r="AO11" s="14"/>
      <c r="AP11" s="14"/>
      <c r="AQ11" s="147" t="s">
        <v>1398</v>
      </c>
      <c r="AR11" s="62"/>
      <c r="AS11" s="62"/>
      <c r="AT11" s="14"/>
      <c r="AU11" s="62"/>
      <c r="AV11" s="14"/>
      <c r="AW11" s="14"/>
      <c r="AX11" s="14"/>
      <c r="AY11" s="14"/>
    </row>
    <row r="12" spans="1:51" x14ac:dyDescent="0.2">
      <c r="A12" s="50">
        <v>9</v>
      </c>
      <c r="B12" s="581">
        <v>0.315</v>
      </c>
      <c r="C12" s="581">
        <v>0.54</v>
      </c>
      <c r="D12" s="581">
        <v>0.28599999999999998</v>
      </c>
      <c r="E12" s="581">
        <v>0.496</v>
      </c>
      <c r="F12" s="581">
        <v>0.14699999999999999</v>
      </c>
      <c r="G12" s="581">
        <v>0.68500000000000005</v>
      </c>
      <c r="H12" s="581">
        <v>0.218</v>
      </c>
      <c r="I12" s="581">
        <v>0.61699999999999999</v>
      </c>
      <c r="J12" s="581">
        <v>0.14699999999999999</v>
      </c>
      <c r="K12" s="581">
        <v>0.65300000000000002</v>
      </c>
      <c r="L12" s="147">
        <v>0.02</v>
      </c>
      <c r="M12" s="147">
        <v>0.01</v>
      </c>
      <c r="N12" s="581">
        <v>4.1000000000000002E-2</v>
      </c>
      <c r="O12" s="581">
        <v>0.39700000000000002</v>
      </c>
      <c r="P12" s="581">
        <v>2.1999999999999999E-2</v>
      </c>
      <c r="Q12" s="581">
        <v>0.46</v>
      </c>
      <c r="R12" s="581">
        <v>4.2999999999999997E-2</v>
      </c>
      <c r="S12" s="581">
        <v>0.48</v>
      </c>
      <c r="T12" s="581">
        <v>0.113</v>
      </c>
      <c r="U12" s="581">
        <v>0.39</v>
      </c>
      <c r="V12" s="581">
        <v>0.08</v>
      </c>
      <c r="W12" s="581">
        <v>0.49399999999999999</v>
      </c>
      <c r="X12" s="581">
        <v>0.503</v>
      </c>
      <c r="Y12" s="581">
        <v>8.9999999999999993E-3</v>
      </c>
      <c r="Z12" s="581">
        <v>0.16200000000000001</v>
      </c>
      <c r="AA12" s="581">
        <v>4.1000000000000002E-2</v>
      </c>
      <c r="AB12" s="581">
        <v>0.124</v>
      </c>
      <c r="AC12" s="581">
        <v>4.3999999999999997E-2</v>
      </c>
      <c r="AD12" s="581">
        <v>8.2000000000000003E-2</v>
      </c>
      <c r="AE12" s="581">
        <v>0.10299999999999999</v>
      </c>
      <c r="AF12" s="94"/>
      <c r="AG12" s="147" t="s">
        <v>1393</v>
      </c>
      <c r="AH12" s="578" t="str">
        <f>IF('Lower Extremity-Right'!T54="","",'Lower Extremity-Right'!T54)</f>
        <v/>
      </c>
      <c r="AI12" s="578" t="str">
        <f>IF(AH12="","",ROUND(AH12,0))</f>
        <v/>
      </c>
      <c r="AJ12" s="193">
        <f>IF(AI12="",0,VLOOKUP(AI12,$A$3:$AE$154,8))</f>
        <v>0</v>
      </c>
      <c r="AK12" s="62"/>
      <c r="AL12" s="147" t="s">
        <v>1394</v>
      </c>
      <c r="AM12" s="578" t="str">
        <f>IF('Lower Extremity-Right'!V54="","",'Lower Extremity-Right'!V54)</f>
        <v/>
      </c>
      <c r="AN12" s="578" t="str">
        <f>IF(AM12="","",ROUND(AM12,0))</f>
        <v/>
      </c>
      <c r="AO12" s="193">
        <f>IF(AN12="",0,VLOOKUP(AN12,$A$3:$AE$154,8))</f>
        <v>0</v>
      </c>
      <c r="AP12" s="14"/>
      <c r="AQ12" s="147" t="s">
        <v>1393</v>
      </c>
      <c r="AR12" s="578" t="str">
        <f>IF('Lower Extremity-Left'!T54="","",'Lower Extremity-Left'!T54)</f>
        <v/>
      </c>
      <c r="AS12" s="578" t="str">
        <f>IF(AR12="","",ROUND(AR12,0))</f>
        <v/>
      </c>
      <c r="AT12" s="193">
        <f>IF(AS12="",0,VLOOKUP(AS12,$A$3:$AE$154,8))</f>
        <v>0</v>
      </c>
      <c r="AU12" s="62"/>
      <c r="AV12" s="147" t="s">
        <v>1394</v>
      </c>
      <c r="AW12" s="578" t="str">
        <f>IF('Lower Extremity-Left'!V54="","",'Lower Extremity-Left'!V54)</f>
        <v/>
      </c>
      <c r="AX12" s="578" t="str">
        <f>IF(AW12="","",ROUND(AW12,0))</f>
        <v/>
      </c>
      <c r="AY12" s="193">
        <f>IF(AX12="",0,VLOOKUP(AX12,$A$3:$AE$154,8))</f>
        <v>0</v>
      </c>
    </row>
    <row r="13" spans="1:51" x14ac:dyDescent="0.2">
      <c r="A13" s="50">
        <v>10</v>
      </c>
      <c r="B13" s="581">
        <v>0.3</v>
      </c>
      <c r="C13" s="581">
        <v>0.55000000000000004</v>
      </c>
      <c r="D13" s="581">
        <v>0.28000000000000003</v>
      </c>
      <c r="E13" s="581">
        <v>0.49</v>
      </c>
      <c r="F13" s="581">
        <v>0.14000000000000001</v>
      </c>
      <c r="G13" s="581">
        <v>0.7</v>
      </c>
      <c r="H13" s="581">
        <v>0.21</v>
      </c>
      <c r="I13" s="581">
        <v>0.63</v>
      </c>
      <c r="J13" s="581">
        <v>0.14000000000000001</v>
      </c>
      <c r="K13" s="581">
        <v>0.67</v>
      </c>
      <c r="L13" s="147">
        <v>0.02</v>
      </c>
      <c r="M13" s="147">
        <v>0.01</v>
      </c>
      <c r="N13" s="581">
        <v>0.04</v>
      </c>
      <c r="O13" s="581">
        <v>0.43</v>
      </c>
      <c r="P13" s="581">
        <v>0.02</v>
      </c>
      <c r="Q13" s="581">
        <v>0.5</v>
      </c>
      <c r="R13" s="581">
        <v>0.04</v>
      </c>
      <c r="S13" s="581">
        <v>0.5</v>
      </c>
      <c r="T13" s="581">
        <v>0.11</v>
      </c>
      <c r="U13" s="581">
        <v>0.4</v>
      </c>
      <c r="V13" s="581">
        <v>0.09</v>
      </c>
      <c r="W13" s="581">
        <v>0.49</v>
      </c>
      <c r="X13" s="581">
        <v>0.5</v>
      </c>
      <c r="Y13" s="581">
        <v>0.01</v>
      </c>
      <c r="Z13" s="581">
        <v>0.16</v>
      </c>
      <c r="AA13" s="581">
        <v>0.04</v>
      </c>
      <c r="AB13" s="581">
        <v>0.12</v>
      </c>
      <c r="AC13" s="581">
        <v>0.04</v>
      </c>
      <c r="AD13" s="581">
        <v>0.08</v>
      </c>
      <c r="AE13" s="581">
        <v>0.1</v>
      </c>
      <c r="AF13" s="94"/>
      <c r="AG13" s="147" t="s">
        <v>1395</v>
      </c>
      <c r="AH13" s="578" t="str">
        <f>IF('Lower Extremity-Right'!T55="","",'Lower Extremity-Right'!T55)</f>
        <v/>
      </c>
      <c r="AI13" s="578" t="str">
        <f>IF(AH13="","",ROUND(AH13,0))</f>
        <v/>
      </c>
      <c r="AJ13" s="193">
        <f>IF(AI13="",0,VLOOKUP(AI13,$A$3:$AE$154,9))</f>
        <v>0</v>
      </c>
      <c r="AK13" s="62"/>
      <c r="AL13" s="14"/>
      <c r="AM13" s="14"/>
      <c r="AN13" s="14"/>
      <c r="AO13" s="14"/>
      <c r="AP13" s="14"/>
      <c r="AQ13" s="147" t="s">
        <v>1395</v>
      </c>
      <c r="AR13" s="578" t="str">
        <f>IF('Lower Extremity-Left'!T55="","",'Lower Extremity-Left'!T55)</f>
        <v/>
      </c>
      <c r="AS13" s="578" t="str">
        <f>IF(AR13="","",ROUND(AR13,0))</f>
        <v/>
      </c>
      <c r="AT13" s="193">
        <f>IF(AS13="",0,VLOOKUP(AS13,$A$3:$AE$154,9))</f>
        <v>0</v>
      </c>
      <c r="AU13" s="62"/>
      <c r="AV13" s="14"/>
      <c r="AW13" s="14"/>
      <c r="AX13" s="14"/>
      <c r="AY13" s="14"/>
    </row>
    <row r="14" spans="1:51" x14ac:dyDescent="0.2">
      <c r="A14" s="50">
        <v>11</v>
      </c>
      <c r="B14" s="581">
        <v>0.28499999999999998</v>
      </c>
      <c r="C14" s="581">
        <v>0.56000000000000005</v>
      </c>
      <c r="D14" s="581">
        <v>0.27300000000000002</v>
      </c>
      <c r="E14" s="581">
        <v>0.503</v>
      </c>
      <c r="F14" s="581">
        <v>0.13300000000000001</v>
      </c>
      <c r="G14" s="581">
        <v>0.71499999999999997</v>
      </c>
      <c r="H14" s="581">
        <v>0.20300000000000001</v>
      </c>
      <c r="I14" s="581">
        <v>0.64200000000000002</v>
      </c>
      <c r="J14" s="581">
        <v>0.13300000000000001</v>
      </c>
      <c r="K14" s="581">
        <v>0.68600000000000005</v>
      </c>
      <c r="L14" s="147">
        <v>0.02</v>
      </c>
      <c r="M14" s="147">
        <v>0.01</v>
      </c>
      <c r="N14" s="581">
        <v>3.7999999999999999E-2</v>
      </c>
      <c r="O14" s="581">
        <v>0.44400000000000001</v>
      </c>
      <c r="P14" s="581">
        <v>1.7999999999999999E-2</v>
      </c>
      <c r="Q14" s="581">
        <v>0.51</v>
      </c>
      <c r="R14" s="581">
        <v>3.5999999999999997E-2</v>
      </c>
      <c r="S14" s="581">
        <v>0.52</v>
      </c>
      <c r="T14" s="581">
        <v>0.106</v>
      </c>
      <c r="U14" s="581">
        <v>0.41</v>
      </c>
      <c r="V14" s="581">
        <v>0.1</v>
      </c>
      <c r="W14" s="581">
        <v>0.48699999999999999</v>
      </c>
      <c r="X14" s="581">
        <v>0.51</v>
      </c>
      <c r="Y14" s="581">
        <v>1.6E-2</v>
      </c>
      <c r="Z14" s="581">
        <v>0.158</v>
      </c>
      <c r="AA14" s="581">
        <v>3.7999999999999999E-2</v>
      </c>
      <c r="AB14" s="581">
        <v>0.11600000000000001</v>
      </c>
      <c r="AC14" s="581">
        <v>3.5999999999999997E-2</v>
      </c>
      <c r="AD14" s="581">
        <v>7.6999999999999999E-2</v>
      </c>
      <c r="AE14" s="581">
        <v>9.8000000000000004E-2</v>
      </c>
      <c r="AF14" s="94"/>
      <c r="AG14" s="147" t="s">
        <v>1396</v>
      </c>
      <c r="AH14" s="578" t="str">
        <f>IF('Lower Extremity-Right'!T56="","",'Lower Extremity-Right'!T56)</f>
        <v/>
      </c>
      <c r="AI14" s="578" t="str">
        <f>IF(AH14="","",ROUND(AH14,0))</f>
        <v/>
      </c>
      <c r="AJ14" s="193">
        <f>IF(AI14="",0,VLOOKUP(AI14,$A$3:$AE$154,10))</f>
        <v>0</v>
      </c>
      <c r="AK14" s="62"/>
      <c r="AL14" s="147" t="s">
        <v>1394</v>
      </c>
      <c r="AM14" s="578" t="str">
        <f>IF('Lower Extremity-Right'!V56="","",'Lower Extremity-Right'!V56)</f>
        <v/>
      </c>
      <c r="AN14" s="578" t="str">
        <f>IF(AM14="","",ROUND(AM14,0))</f>
        <v/>
      </c>
      <c r="AO14" s="193">
        <f>IF(AN14="",0,VLOOKUP(AN14,$A$3:$AE$154,10))</f>
        <v>0</v>
      </c>
      <c r="AP14" s="14"/>
      <c r="AQ14" s="147" t="s">
        <v>1396</v>
      </c>
      <c r="AR14" s="578" t="str">
        <f>IF('Lower Extremity-Left'!T56="","",'Lower Extremity-Left'!T56)</f>
        <v/>
      </c>
      <c r="AS14" s="578" t="str">
        <f>IF(AR14="","",ROUND(AR14,0))</f>
        <v/>
      </c>
      <c r="AT14" s="193">
        <f>IF(AS14="",0,VLOOKUP(AS14,$A$3:$AE$154,10))</f>
        <v>0</v>
      </c>
      <c r="AU14" s="62"/>
      <c r="AV14" s="147" t="s">
        <v>1394</v>
      </c>
      <c r="AW14" s="578" t="str">
        <f>IF('Lower Extremity-Left'!V56="","",'Lower Extremity-Left'!V56)</f>
        <v/>
      </c>
      <c r="AX14" s="578" t="str">
        <f>IF(AW14="","",ROUND(AW14,0))</f>
        <v/>
      </c>
      <c r="AY14" s="193">
        <f>IF(AX14="",0,VLOOKUP(AX14,$A$3:$AE$154,10))</f>
        <v>0</v>
      </c>
    </row>
    <row r="15" spans="1:51" x14ac:dyDescent="0.2">
      <c r="A15" s="50">
        <v>12</v>
      </c>
      <c r="B15" s="581">
        <v>0.27</v>
      </c>
      <c r="C15" s="581">
        <v>0.56999999999999995</v>
      </c>
      <c r="D15" s="581">
        <v>0.26600000000000001</v>
      </c>
      <c r="E15" s="581">
        <v>0.51600000000000001</v>
      </c>
      <c r="F15" s="581">
        <v>0.126</v>
      </c>
      <c r="G15" s="581">
        <v>0.73</v>
      </c>
      <c r="H15" s="581">
        <v>0.19600000000000001</v>
      </c>
      <c r="I15" s="581">
        <v>0.65400000000000003</v>
      </c>
      <c r="J15" s="581">
        <v>0.126</v>
      </c>
      <c r="K15" s="581">
        <v>0.70199999999999996</v>
      </c>
      <c r="L15" s="147">
        <v>0.02</v>
      </c>
      <c r="M15" s="147">
        <v>0.01</v>
      </c>
      <c r="N15" s="581">
        <v>3.5999999999999997E-2</v>
      </c>
      <c r="O15" s="581">
        <v>0.45800000000000002</v>
      </c>
      <c r="P15" s="581">
        <v>1.6E-2</v>
      </c>
      <c r="Q15" s="581">
        <v>0.52</v>
      </c>
      <c r="R15" s="581">
        <v>3.2000000000000001E-2</v>
      </c>
      <c r="S15" s="581">
        <v>0.54</v>
      </c>
      <c r="T15" s="581">
        <v>0.10199999999999999</v>
      </c>
      <c r="U15" s="581">
        <v>0.42</v>
      </c>
      <c r="V15" s="581">
        <v>0.11</v>
      </c>
      <c r="W15" s="581">
        <v>0.48399999999999999</v>
      </c>
      <c r="X15" s="581">
        <v>0.52</v>
      </c>
      <c r="Y15" s="581">
        <v>2.1999999999999999E-2</v>
      </c>
      <c r="Z15" s="581">
        <v>0.156</v>
      </c>
      <c r="AA15" s="581">
        <v>3.5999999999999997E-2</v>
      </c>
      <c r="AB15" s="581">
        <v>0.112</v>
      </c>
      <c r="AC15" s="581">
        <v>3.2000000000000001E-2</v>
      </c>
      <c r="AD15" s="581">
        <v>7.3999999999999996E-2</v>
      </c>
      <c r="AE15" s="581">
        <v>9.6000000000000002E-2</v>
      </c>
      <c r="AF15" s="94"/>
      <c r="AG15" s="147" t="s">
        <v>1397</v>
      </c>
      <c r="AH15" s="578" t="str">
        <f>IF('Lower Extremity-Right'!T57="","",'Lower Extremity-Right'!T57)</f>
        <v/>
      </c>
      <c r="AI15" s="578" t="str">
        <f>IF(AH15="","",ROUND(AH15,0))</f>
        <v/>
      </c>
      <c r="AJ15" s="193">
        <f>IF(AI15="",0,VLOOKUP(AI15,$A$3:$AE$154,11))</f>
        <v>0</v>
      </c>
      <c r="AK15" s="62"/>
      <c r="AL15" s="14"/>
      <c r="AM15" s="14"/>
      <c r="AN15" s="14"/>
      <c r="AO15" s="14"/>
      <c r="AP15" s="14"/>
      <c r="AQ15" s="147" t="s">
        <v>1397</v>
      </c>
      <c r="AR15" s="578" t="str">
        <f>IF('Lower Extremity-Left'!T57="","",'Lower Extremity-Left'!T57)</f>
        <v/>
      </c>
      <c r="AS15" s="578" t="str">
        <f>IF(AR15="","",ROUND(AR15,0))</f>
        <v/>
      </c>
      <c r="AT15" s="193">
        <f>IF(AS15="",0,VLOOKUP(AS15,$A$3:$AE$154,11))</f>
        <v>0</v>
      </c>
      <c r="AU15" s="62"/>
      <c r="AV15" s="14"/>
      <c r="AW15" s="14"/>
      <c r="AX15" s="14"/>
      <c r="AY15" s="14"/>
    </row>
    <row r="16" spans="1:51" x14ac:dyDescent="0.2">
      <c r="A16" s="50">
        <v>13</v>
      </c>
      <c r="B16" s="581">
        <v>0.255</v>
      </c>
      <c r="C16" s="581">
        <v>0.57999999999999996</v>
      </c>
      <c r="D16" s="581">
        <v>0.25900000000000001</v>
      </c>
      <c r="E16" s="581">
        <v>0.52900000000000003</v>
      </c>
      <c r="F16" s="581">
        <v>0.11899999999999999</v>
      </c>
      <c r="G16" s="581">
        <v>0.745</v>
      </c>
      <c r="H16" s="581">
        <v>0.189</v>
      </c>
      <c r="I16" s="581">
        <v>0.66600000000000004</v>
      </c>
      <c r="J16" s="581">
        <v>0.11899999999999999</v>
      </c>
      <c r="K16" s="581">
        <v>0.71799999999999997</v>
      </c>
      <c r="L16" s="147">
        <v>0.02</v>
      </c>
      <c r="M16" s="147">
        <v>0.01</v>
      </c>
      <c r="N16" s="581">
        <v>3.4000000000000002E-2</v>
      </c>
      <c r="O16" s="581">
        <v>0.47199999999999998</v>
      </c>
      <c r="P16" s="581">
        <v>1.4E-2</v>
      </c>
      <c r="Q16" s="581">
        <v>0.53</v>
      </c>
      <c r="R16" s="581">
        <v>2.8000000000000001E-2</v>
      </c>
      <c r="S16" s="581">
        <v>0.56000000000000005</v>
      </c>
      <c r="T16" s="581">
        <v>9.8000000000000004E-2</v>
      </c>
      <c r="U16" s="581">
        <v>0.43</v>
      </c>
      <c r="V16" s="581">
        <v>0.12</v>
      </c>
      <c r="W16" s="581">
        <v>0.48099999999999998</v>
      </c>
      <c r="X16" s="581">
        <v>0.53</v>
      </c>
      <c r="Y16" s="581">
        <v>2.8000000000000001E-2</v>
      </c>
      <c r="Z16" s="581">
        <v>0.154</v>
      </c>
      <c r="AA16" s="581">
        <v>3.4000000000000002E-2</v>
      </c>
      <c r="AB16" s="581">
        <v>0.108</v>
      </c>
      <c r="AC16" s="581">
        <v>2.8000000000000001E-2</v>
      </c>
      <c r="AD16" s="581">
        <v>7.0999999999999994E-2</v>
      </c>
      <c r="AE16" s="581">
        <v>9.4E-2</v>
      </c>
      <c r="AF16" s="94"/>
      <c r="AG16" s="14"/>
      <c r="AH16" s="62"/>
      <c r="AI16" s="62"/>
      <c r="AJ16" s="95"/>
      <c r="AK16" s="62"/>
      <c r="AL16" s="14"/>
      <c r="AM16" s="62"/>
      <c r="AN16" s="62"/>
      <c r="AO16" s="95"/>
      <c r="AP16" s="14"/>
      <c r="AQ16" s="14"/>
      <c r="AR16" s="62"/>
      <c r="AS16" s="62"/>
      <c r="AT16" s="95"/>
      <c r="AU16" s="62"/>
      <c r="AV16" s="14"/>
      <c r="AW16" s="62"/>
      <c r="AX16" s="62"/>
      <c r="AY16" s="95"/>
    </row>
    <row r="17" spans="1:51" x14ac:dyDescent="0.2">
      <c r="A17" s="50">
        <v>14</v>
      </c>
      <c r="B17" s="581">
        <v>0.24</v>
      </c>
      <c r="C17" s="581">
        <v>0.59</v>
      </c>
      <c r="D17" s="581">
        <v>0.252</v>
      </c>
      <c r="E17" s="581">
        <v>0.54200000000000004</v>
      </c>
      <c r="F17" s="581">
        <v>0.112</v>
      </c>
      <c r="G17" s="581">
        <v>0.76</v>
      </c>
      <c r="H17" s="581">
        <v>0.182</v>
      </c>
      <c r="I17" s="581">
        <v>0.67800000000000005</v>
      </c>
      <c r="J17" s="581">
        <v>0.112</v>
      </c>
      <c r="K17" s="581">
        <v>0.73399999999999999</v>
      </c>
      <c r="L17" s="147">
        <v>0.02</v>
      </c>
      <c r="M17" s="147">
        <v>0.01</v>
      </c>
      <c r="N17" s="581">
        <v>3.2000000000000001E-2</v>
      </c>
      <c r="O17" s="581">
        <v>0.48599999999999999</v>
      </c>
      <c r="P17" s="581">
        <v>1.2E-2</v>
      </c>
      <c r="Q17" s="581">
        <v>0.54</v>
      </c>
      <c r="R17" s="581">
        <v>2.4E-2</v>
      </c>
      <c r="S17" s="581">
        <v>0.57999999999999996</v>
      </c>
      <c r="T17" s="581">
        <v>9.4E-2</v>
      </c>
      <c r="U17" s="581">
        <v>0.44</v>
      </c>
      <c r="V17" s="581">
        <v>0.13</v>
      </c>
      <c r="W17" s="581">
        <v>0.47799999999999998</v>
      </c>
      <c r="X17" s="581">
        <v>0.54</v>
      </c>
      <c r="Y17" s="581">
        <v>3.4000000000000002E-2</v>
      </c>
      <c r="Z17" s="581">
        <v>0.152</v>
      </c>
      <c r="AA17" s="581">
        <v>3.2000000000000001E-2</v>
      </c>
      <c r="AB17" s="581">
        <v>0.104</v>
      </c>
      <c r="AC17" s="581">
        <v>2.4E-2</v>
      </c>
      <c r="AD17" s="581">
        <v>6.8000000000000005E-2</v>
      </c>
      <c r="AE17" s="581">
        <v>9.1999999999999998E-2</v>
      </c>
      <c r="AF17" s="94"/>
      <c r="AG17" s="147" t="s">
        <v>1399</v>
      </c>
      <c r="AH17" s="62"/>
      <c r="AI17" s="62"/>
      <c r="AJ17" s="14"/>
      <c r="AK17" s="62"/>
      <c r="AL17" s="14"/>
      <c r="AM17" s="14"/>
      <c r="AN17" s="14"/>
      <c r="AO17" s="14"/>
      <c r="AP17" s="14"/>
      <c r="AQ17" s="147" t="s">
        <v>1399</v>
      </c>
      <c r="AR17" s="62"/>
      <c r="AS17" s="62"/>
      <c r="AT17" s="14"/>
      <c r="AU17" s="62"/>
      <c r="AV17" s="14"/>
      <c r="AW17" s="14"/>
      <c r="AX17" s="14"/>
      <c r="AY17" s="14"/>
    </row>
    <row r="18" spans="1:51" x14ac:dyDescent="0.2">
      <c r="A18" s="50">
        <v>15</v>
      </c>
      <c r="B18" s="581">
        <v>0.22500000000000001</v>
      </c>
      <c r="C18" s="581">
        <v>0.6</v>
      </c>
      <c r="D18" s="581">
        <v>0.245</v>
      </c>
      <c r="E18" s="581">
        <v>0.55500000000000005</v>
      </c>
      <c r="F18" s="581">
        <v>0.105</v>
      </c>
      <c r="G18" s="581">
        <v>0.77500000000000002</v>
      </c>
      <c r="H18" s="581">
        <v>0.17499999999999999</v>
      </c>
      <c r="I18" s="581">
        <v>0.69</v>
      </c>
      <c r="J18" s="581">
        <v>0.105</v>
      </c>
      <c r="K18" s="581">
        <v>0.75</v>
      </c>
      <c r="L18" s="147">
        <v>0.03</v>
      </c>
      <c r="M18" s="147">
        <v>0.01</v>
      </c>
      <c r="N18" s="581">
        <v>0.03</v>
      </c>
      <c r="O18" s="581">
        <v>0.5</v>
      </c>
      <c r="P18" s="581">
        <v>0.01</v>
      </c>
      <c r="Q18" s="581">
        <v>0.55000000000000004</v>
      </c>
      <c r="R18" s="581">
        <v>0.02</v>
      </c>
      <c r="S18" s="581">
        <v>0.6</v>
      </c>
      <c r="T18" s="581">
        <v>0.09</v>
      </c>
      <c r="U18" s="581">
        <v>0.45</v>
      </c>
      <c r="V18" s="581">
        <v>0.14000000000000001</v>
      </c>
      <c r="W18" s="581">
        <v>0.47499999999999998</v>
      </c>
      <c r="X18" s="581">
        <v>0.55000000000000004</v>
      </c>
      <c r="Y18" s="581">
        <v>0.04</v>
      </c>
      <c r="Z18" s="581">
        <v>0.15</v>
      </c>
      <c r="AA18" s="581">
        <v>0.03</v>
      </c>
      <c r="AB18" s="581">
        <v>0.1</v>
      </c>
      <c r="AC18" s="581">
        <v>0.02</v>
      </c>
      <c r="AD18" s="581">
        <v>6.5000000000000002E-2</v>
      </c>
      <c r="AE18" s="581">
        <v>0.09</v>
      </c>
      <c r="AF18" s="94"/>
      <c r="AG18" s="147" t="s">
        <v>1393</v>
      </c>
      <c r="AH18" s="594" t="str">
        <f>IF('Lower Extremity-Right'!T94="","",'Lower Extremity-Right'!T94)</f>
        <v/>
      </c>
      <c r="AI18" s="578" t="str">
        <f>IF(AH18="","",ROUND(AH18,0))</f>
        <v/>
      </c>
      <c r="AJ18" s="193">
        <f>IF(AI18="",0,VLOOKUP(AI18,$A$3:$AE$154,8))</f>
        <v>0</v>
      </c>
      <c r="AK18" s="62"/>
      <c r="AL18" s="147" t="s">
        <v>1394</v>
      </c>
      <c r="AM18" s="578" t="str">
        <f>IF('Lower Extremity-Right'!V94="","",'Lower Extremity-Right'!V94)</f>
        <v/>
      </c>
      <c r="AN18" s="578" t="str">
        <f>IF(AM18="","",ROUND(AM18,0))</f>
        <v/>
      </c>
      <c r="AO18" s="193">
        <f>IF(AN18="",0,VLOOKUP(AN18,$A$3:$AE$154,8))</f>
        <v>0</v>
      </c>
      <c r="AP18" s="14"/>
      <c r="AQ18" s="147" t="s">
        <v>1393</v>
      </c>
      <c r="AR18" s="578" t="str">
        <f>IF('Lower Extremity-Left'!T94="","",'Lower Extremity-Left'!T94)</f>
        <v/>
      </c>
      <c r="AS18" s="578" t="str">
        <f>IF(AR18="","",ROUND(AR18,0))</f>
        <v/>
      </c>
      <c r="AT18" s="193">
        <f>IF(AS18="",0,VLOOKUP(AS18,$A$3:$AE$154,8))</f>
        <v>0</v>
      </c>
      <c r="AU18" s="62"/>
      <c r="AV18" s="147" t="s">
        <v>1394</v>
      </c>
      <c r="AW18" s="578" t="str">
        <f>IF('Lower Extremity-Left'!V94="","",'Lower Extremity-Left'!V94)</f>
        <v/>
      </c>
      <c r="AX18" s="578" t="str">
        <f>IF(AW18="","",ROUND(AW18,0))</f>
        <v/>
      </c>
      <c r="AY18" s="193">
        <f>IF(AX18="",0,VLOOKUP(AX18,$A$3:$AE$154,8))</f>
        <v>0</v>
      </c>
    </row>
    <row r="19" spans="1:51" x14ac:dyDescent="0.2">
      <c r="A19" s="50">
        <v>16</v>
      </c>
      <c r="B19" s="581">
        <v>0.21</v>
      </c>
      <c r="C19" s="581">
        <v>0.61</v>
      </c>
      <c r="D19" s="581">
        <v>0.23799999999999999</v>
      </c>
      <c r="E19" s="581">
        <v>0.56799999999999995</v>
      </c>
      <c r="F19" s="581">
        <v>9.8000000000000004E-2</v>
      </c>
      <c r="G19" s="581">
        <v>0.79</v>
      </c>
      <c r="H19" s="581">
        <v>0.16800000000000001</v>
      </c>
      <c r="I19" s="581">
        <v>0.70199999999999996</v>
      </c>
      <c r="J19" s="581">
        <v>9.8000000000000004E-2</v>
      </c>
      <c r="K19" s="581">
        <v>0.76600000000000001</v>
      </c>
      <c r="L19" s="147">
        <v>0.03</v>
      </c>
      <c r="M19" s="147">
        <v>0.01</v>
      </c>
      <c r="N19" s="581">
        <v>2.8000000000000001E-2</v>
      </c>
      <c r="O19" s="581">
        <v>0.51400000000000001</v>
      </c>
      <c r="P19" s="581">
        <v>8.0000000000000002E-3</v>
      </c>
      <c r="Q19" s="581">
        <v>0.56000000000000005</v>
      </c>
      <c r="R19" s="581">
        <v>1.6E-2</v>
      </c>
      <c r="S19" s="581">
        <v>0.62</v>
      </c>
      <c r="T19" s="581">
        <v>8.5999999999999993E-2</v>
      </c>
      <c r="U19" s="581">
        <v>0.46</v>
      </c>
      <c r="V19" s="581">
        <v>0.14000000000000001</v>
      </c>
      <c r="W19" s="581">
        <v>0.47199999999999998</v>
      </c>
      <c r="X19" s="581">
        <v>0.56000000000000005</v>
      </c>
      <c r="Y19" s="581">
        <v>4.5999999999999999E-2</v>
      </c>
      <c r="Z19" s="581">
        <v>0.14799999999999999</v>
      </c>
      <c r="AA19" s="581">
        <v>2.8000000000000001E-2</v>
      </c>
      <c r="AB19" s="581">
        <v>9.6000000000000002E-2</v>
      </c>
      <c r="AC19" s="581">
        <v>1.6E-2</v>
      </c>
      <c r="AD19" s="581">
        <v>6.2E-2</v>
      </c>
      <c r="AE19" s="581">
        <v>8.7999999999999995E-2</v>
      </c>
      <c r="AF19" s="94"/>
      <c r="AG19" s="147" t="s">
        <v>1395</v>
      </c>
      <c r="AH19" s="594" t="str">
        <f>IF('Lower Extremity-Right'!T95="","",'Lower Extremity-Right'!T95)</f>
        <v/>
      </c>
      <c r="AI19" s="578" t="str">
        <f>IF(AH19="","",ROUND(AH19,0))</f>
        <v/>
      </c>
      <c r="AJ19" s="193">
        <f>IF(AI19="",0,VLOOKUP(AI19,$A$3:$AE$154,9))</f>
        <v>0</v>
      </c>
      <c r="AK19" s="62"/>
      <c r="AL19" s="14"/>
      <c r="AM19" s="14"/>
      <c r="AN19" s="14"/>
      <c r="AO19" s="14"/>
      <c r="AP19" s="14"/>
      <c r="AQ19" s="147" t="s">
        <v>1395</v>
      </c>
      <c r="AR19" s="578" t="str">
        <f>IF('Lower Extremity-Left'!T95="","",'Lower Extremity-Left'!T95)</f>
        <v/>
      </c>
      <c r="AS19" s="578" t="str">
        <f>IF(AR19="","",ROUND(AR19,0))</f>
        <v/>
      </c>
      <c r="AT19" s="193">
        <f>IF(AS19="",0,VLOOKUP(AS19,$A$3:$AE$154,9))</f>
        <v>0</v>
      </c>
      <c r="AU19" s="62"/>
      <c r="AV19" s="14"/>
      <c r="AW19" s="14"/>
      <c r="AX19" s="14"/>
      <c r="AY19" s="14"/>
    </row>
    <row r="20" spans="1:51" x14ac:dyDescent="0.2">
      <c r="A20" s="50">
        <v>17</v>
      </c>
      <c r="B20" s="581">
        <v>0.19500000000000001</v>
      </c>
      <c r="C20" s="581">
        <v>0.62</v>
      </c>
      <c r="D20" s="581">
        <v>0.23100000000000001</v>
      </c>
      <c r="E20" s="581">
        <v>0.58099999999999996</v>
      </c>
      <c r="F20" s="581">
        <v>9.0999999999999998E-2</v>
      </c>
      <c r="G20" s="581">
        <v>0.80500000000000005</v>
      </c>
      <c r="H20" s="581">
        <v>0.161</v>
      </c>
      <c r="I20" s="581">
        <v>0.71399999999999997</v>
      </c>
      <c r="J20" s="581">
        <v>9.0999999999999998E-2</v>
      </c>
      <c r="K20" s="581">
        <v>0.78200000000000003</v>
      </c>
      <c r="L20" s="147">
        <v>0.03</v>
      </c>
      <c r="M20" s="147">
        <v>0.01</v>
      </c>
      <c r="N20" s="581">
        <v>2.5999999999999999E-2</v>
      </c>
      <c r="O20" s="581">
        <v>0.52800000000000002</v>
      </c>
      <c r="P20" s="581">
        <v>6.0000000000000001E-3</v>
      </c>
      <c r="Q20" s="581">
        <v>0.56999999999999995</v>
      </c>
      <c r="R20" s="581">
        <v>1.2E-2</v>
      </c>
      <c r="S20" s="581">
        <v>0.64</v>
      </c>
      <c r="T20" s="581">
        <v>8.2000000000000003E-2</v>
      </c>
      <c r="U20" s="581">
        <v>0.47</v>
      </c>
      <c r="V20" s="581">
        <v>0.15</v>
      </c>
      <c r="W20" s="581">
        <v>0.46899999999999997</v>
      </c>
      <c r="X20" s="581">
        <v>0.56999999999999995</v>
      </c>
      <c r="Y20" s="581">
        <v>5.1999999999999998E-2</v>
      </c>
      <c r="Z20" s="581">
        <v>0.14599999999999999</v>
      </c>
      <c r="AA20" s="581">
        <v>2.5999999999999999E-2</v>
      </c>
      <c r="AB20" s="581">
        <v>9.1999999999999998E-2</v>
      </c>
      <c r="AC20" s="581">
        <v>1.2E-2</v>
      </c>
      <c r="AD20" s="581">
        <v>5.8999999999999997E-2</v>
      </c>
      <c r="AE20" s="581">
        <v>8.5999999999999993E-2</v>
      </c>
      <c r="AF20" s="94"/>
      <c r="AG20" s="147" t="s">
        <v>1396</v>
      </c>
      <c r="AH20" s="594" t="str">
        <f>IF('Lower Extremity-Right'!T96="","",'Lower Extremity-Right'!T96)</f>
        <v/>
      </c>
      <c r="AI20" s="578" t="str">
        <f>IF(AH20="","",ROUND(AH20,0))</f>
        <v/>
      </c>
      <c r="AJ20" s="193">
        <f>IF(AI20="",0,VLOOKUP(AI20,$A$3:$AE$154,10))</f>
        <v>0</v>
      </c>
      <c r="AK20" s="62"/>
      <c r="AL20" s="147" t="s">
        <v>1394</v>
      </c>
      <c r="AM20" s="578" t="str">
        <f>IF('Lower Extremity-Right'!V96="","",'Lower Extremity-Right'!V96)</f>
        <v/>
      </c>
      <c r="AN20" s="578" t="str">
        <f>IF(AM20="","",ROUND(AM20,0))</f>
        <v/>
      </c>
      <c r="AO20" s="193">
        <f>IF(AN20="",0,VLOOKUP(AN20,$A$3:$AE$154,10))</f>
        <v>0</v>
      </c>
      <c r="AP20" s="14"/>
      <c r="AQ20" s="147" t="s">
        <v>1396</v>
      </c>
      <c r="AR20" s="578" t="str">
        <f>IF('Lower Extremity-Left'!T96="","",'Lower Extremity-Left'!T96)</f>
        <v/>
      </c>
      <c r="AS20" s="578" t="str">
        <f>IF(AR20="","",ROUND(AR20,0))</f>
        <v/>
      </c>
      <c r="AT20" s="193">
        <f>IF(AS20="",0,VLOOKUP(AS20,$A$3:$AE$154,10))</f>
        <v>0</v>
      </c>
      <c r="AU20" s="62"/>
      <c r="AV20" s="147" t="s">
        <v>1394</v>
      </c>
      <c r="AW20" s="578" t="str">
        <f>IF('Lower Extremity-Left'!V96="","",'Lower Extremity-Left'!V96)</f>
        <v/>
      </c>
      <c r="AX20" s="578" t="str">
        <f>IF(AW20="","",ROUND(AW20,0))</f>
        <v/>
      </c>
      <c r="AY20" s="193">
        <f>IF(AX20="",0,VLOOKUP(AX20,$A$3:$AE$154,10))</f>
        <v>0</v>
      </c>
    </row>
    <row r="21" spans="1:51" x14ac:dyDescent="0.2">
      <c r="A21" s="50">
        <v>18</v>
      </c>
      <c r="B21" s="581">
        <v>0.18</v>
      </c>
      <c r="C21" s="581">
        <v>0.63</v>
      </c>
      <c r="D21" s="581">
        <v>0.224</v>
      </c>
      <c r="E21" s="581">
        <v>0.59399999999999997</v>
      </c>
      <c r="F21" s="581">
        <v>8.4000000000000005E-2</v>
      </c>
      <c r="G21" s="581">
        <v>0.82</v>
      </c>
      <c r="H21" s="581">
        <v>0.154</v>
      </c>
      <c r="I21" s="581">
        <v>0.72599999999999998</v>
      </c>
      <c r="J21" s="581">
        <v>8.4000000000000005E-2</v>
      </c>
      <c r="K21" s="581">
        <v>0.79800000000000004</v>
      </c>
      <c r="L21" s="147">
        <v>0.03</v>
      </c>
      <c r="M21" s="147">
        <v>0.01</v>
      </c>
      <c r="N21" s="581">
        <v>2.4E-2</v>
      </c>
      <c r="O21" s="581">
        <v>0.54200000000000004</v>
      </c>
      <c r="P21" s="581">
        <v>4.0000000000000001E-3</v>
      </c>
      <c r="Q21" s="581">
        <v>0.57999999999999996</v>
      </c>
      <c r="R21" s="581">
        <v>8.0000000000000002E-3</v>
      </c>
      <c r="S21" s="581">
        <v>0.66</v>
      </c>
      <c r="T21" s="581">
        <v>7.8E-2</v>
      </c>
      <c r="U21" s="581">
        <v>0.48</v>
      </c>
      <c r="V21" s="581">
        <v>0.16</v>
      </c>
      <c r="W21" s="581">
        <v>0.46600000000000003</v>
      </c>
      <c r="X21" s="581">
        <v>0.57999999999999996</v>
      </c>
      <c r="Y21" s="581">
        <v>5.8000000000000003E-2</v>
      </c>
      <c r="Z21" s="581">
        <v>0.14399999999999999</v>
      </c>
      <c r="AA21" s="581">
        <v>2.4E-2</v>
      </c>
      <c r="AB21" s="581">
        <v>8.7999999999999995E-2</v>
      </c>
      <c r="AC21" s="581">
        <v>8.0000000000000002E-3</v>
      </c>
      <c r="AD21" s="581">
        <v>5.6000000000000001E-2</v>
      </c>
      <c r="AE21" s="581">
        <v>8.4000000000000005E-2</v>
      </c>
      <c r="AF21" s="94"/>
      <c r="AG21" s="147" t="s">
        <v>1397</v>
      </c>
      <c r="AH21" s="594" t="str">
        <f>IF('Lower Extremity-Right'!T97="","",'Lower Extremity-Right'!T97)</f>
        <v/>
      </c>
      <c r="AI21" s="578" t="str">
        <f>IF(AH21="","",ROUND(AH21,0))</f>
        <v/>
      </c>
      <c r="AJ21" s="193">
        <f>IF(AI21="",0,VLOOKUP(AI21,$A$3:$AE$154,11))</f>
        <v>0</v>
      </c>
      <c r="AK21" s="62"/>
      <c r="AL21" s="14"/>
      <c r="AM21" s="14"/>
      <c r="AN21" s="14"/>
      <c r="AO21" s="14"/>
      <c r="AP21" s="14"/>
      <c r="AQ21" s="147" t="s">
        <v>1397</v>
      </c>
      <c r="AR21" s="578" t="str">
        <f>IF('Lower Extremity-Left'!T97="","",'Lower Extremity-Left'!T97)</f>
        <v/>
      </c>
      <c r="AS21" s="578" t="str">
        <f>IF(AR21="","",ROUND(AR21,0))</f>
        <v/>
      </c>
      <c r="AT21" s="193">
        <f>IF(AS21="",0,VLOOKUP(AS21,$A$3:$AE$154,11))</f>
        <v>0</v>
      </c>
      <c r="AU21" s="62"/>
      <c r="AV21" s="14"/>
      <c r="AW21" s="14"/>
      <c r="AX21" s="14"/>
      <c r="AY21" s="14"/>
    </row>
    <row r="22" spans="1:51" x14ac:dyDescent="0.2">
      <c r="A22" s="50">
        <v>19</v>
      </c>
      <c r="B22" s="581">
        <v>0.16500000000000001</v>
      </c>
      <c r="C22" s="581">
        <v>0.64</v>
      </c>
      <c r="D22" s="581">
        <v>0.217</v>
      </c>
      <c r="E22" s="581">
        <v>0.60699999999999998</v>
      </c>
      <c r="F22" s="581">
        <v>7.6999999999999999E-2</v>
      </c>
      <c r="G22" s="581">
        <v>0.83499999999999996</v>
      </c>
      <c r="H22" s="581">
        <v>0.14699999999999999</v>
      </c>
      <c r="I22" s="581">
        <v>0.73799999999999999</v>
      </c>
      <c r="J22" s="581">
        <v>7.6999999999999999E-2</v>
      </c>
      <c r="K22" s="581">
        <v>0.81399999999999995</v>
      </c>
      <c r="L22" s="147">
        <v>0.03</v>
      </c>
      <c r="M22" s="147">
        <v>0.01</v>
      </c>
      <c r="N22" s="581">
        <v>2.1999999999999999E-2</v>
      </c>
      <c r="O22" s="581">
        <v>0.55600000000000005</v>
      </c>
      <c r="P22" s="581">
        <v>2E-3</v>
      </c>
      <c r="Q22" s="581">
        <v>0.59</v>
      </c>
      <c r="R22" s="581">
        <v>4.0000000000000001E-3</v>
      </c>
      <c r="S22" s="581">
        <v>0.68</v>
      </c>
      <c r="T22" s="581">
        <v>7.3999999999999996E-2</v>
      </c>
      <c r="U22" s="581">
        <v>0.49</v>
      </c>
      <c r="V22" s="581">
        <v>0.17</v>
      </c>
      <c r="W22" s="581">
        <v>0.46300000000000002</v>
      </c>
      <c r="X22" s="581">
        <v>0.59</v>
      </c>
      <c r="Y22" s="581">
        <v>6.4000000000000001E-2</v>
      </c>
      <c r="Z22" s="581">
        <v>0.14199999999999999</v>
      </c>
      <c r="AA22" s="581">
        <v>2.1999999999999999E-2</v>
      </c>
      <c r="AB22" s="581">
        <v>8.4000000000000005E-2</v>
      </c>
      <c r="AC22" s="581">
        <v>4.0000000000000001E-3</v>
      </c>
      <c r="AD22" s="581">
        <v>5.2999999999999999E-2</v>
      </c>
      <c r="AE22" s="581">
        <v>8.2000000000000003E-2</v>
      </c>
      <c r="AF22" s="94"/>
      <c r="AG22" s="14"/>
      <c r="AH22" s="62"/>
      <c r="AI22" s="62"/>
      <c r="AJ22" s="14"/>
      <c r="AK22" s="62"/>
      <c r="AL22" s="14"/>
      <c r="AM22" s="14"/>
      <c r="AN22" s="14"/>
      <c r="AO22" s="14"/>
      <c r="AP22" s="14"/>
      <c r="AQ22" s="14"/>
      <c r="AR22" s="62"/>
      <c r="AS22" s="62"/>
      <c r="AT22" s="14"/>
      <c r="AU22" s="62"/>
      <c r="AV22" s="14"/>
      <c r="AW22" s="14"/>
      <c r="AX22" s="14"/>
      <c r="AY22" s="14"/>
    </row>
    <row r="23" spans="1:51" x14ac:dyDescent="0.2">
      <c r="A23" s="50">
        <v>20</v>
      </c>
      <c r="B23" s="581">
        <v>0.15</v>
      </c>
      <c r="C23" s="581">
        <v>0.65</v>
      </c>
      <c r="D23" s="581">
        <v>0.21</v>
      </c>
      <c r="E23" s="581">
        <v>0.62</v>
      </c>
      <c r="F23" s="581">
        <v>7.0000000000000007E-2</v>
      </c>
      <c r="G23" s="581">
        <v>0.85</v>
      </c>
      <c r="H23" s="581">
        <v>0.14000000000000001</v>
      </c>
      <c r="I23" s="581">
        <v>0.75</v>
      </c>
      <c r="J23" s="581">
        <v>7.0000000000000007E-2</v>
      </c>
      <c r="K23" s="581">
        <v>0.83</v>
      </c>
      <c r="L23" s="147">
        <v>0.03</v>
      </c>
      <c r="M23" s="147">
        <v>0.01</v>
      </c>
      <c r="N23" s="581">
        <v>0.02</v>
      </c>
      <c r="O23" s="581">
        <v>0.56999999999999995</v>
      </c>
      <c r="P23" s="581">
        <v>0</v>
      </c>
      <c r="Q23" s="581">
        <v>0.6</v>
      </c>
      <c r="R23" s="581">
        <v>0</v>
      </c>
      <c r="S23" s="581">
        <v>0.7</v>
      </c>
      <c r="T23" s="581">
        <v>7.0000000000000007E-2</v>
      </c>
      <c r="U23" s="581">
        <v>0.5</v>
      </c>
      <c r="V23" s="581">
        <v>0.18</v>
      </c>
      <c r="W23" s="581">
        <v>0.46</v>
      </c>
      <c r="X23" s="581">
        <v>0.6</v>
      </c>
      <c r="Y23" s="581">
        <v>7.0000000000000007E-2</v>
      </c>
      <c r="Z23" s="581">
        <v>0.14000000000000001</v>
      </c>
      <c r="AA23" s="581">
        <v>0.02</v>
      </c>
      <c r="AB23" s="581">
        <v>0.08</v>
      </c>
      <c r="AC23" s="581">
        <v>0</v>
      </c>
      <c r="AD23" s="581">
        <v>0.05</v>
      </c>
      <c r="AE23" s="581">
        <v>0.08</v>
      </c>
      <c r="AF23" s="94"/>
      <c r="AG23" s="147" t="s">
        <v>1400</v>
      </c>
      <c r="AH23" s="62"/>
      <c r="AI23" s="62"/>
      <c r="AJ23" s="14"/>
      <c r="AK23" s="62"/>
      <c r="AL23" s="14"/>
      <c r="AM23" s="14"/>
      <c r="AN23" s="14"/>
      <c r="AO23" s="14"/>
      <c r="AP23" s="14"/>
      <c r="AQ23" s="147" t="s">
        <v>1400</v>
      </c>
      <c r="AR23" s="62"/>
      <c r="AS23" s="62"/>
      <c r="AT23" s="14"/>
      <c r="AU23" s="62"/>
      <c r="AV23" s="14"/>
      <c r="AW23" s="14"/>
      <c r="AX23" s="14"/>
      <c r="AY23" s="14"/>
    </row>
    <row r="24" spans="1:51" x14ac:dyDescent="0.2">
      <c r="A24" s="50">
        <v>21</v>
      </c>
      <c r="B24" s="581">
        <v>0.13500000000000001</v>
      </c>
      <c r="C24" s="581">
        <v>0.66</v>
      </c>
      <c r="D24" s="581">
        <v>0.20300000000000001</v>
      </c>
      <c r="E24" s="581">
        <v>0.63200000000000001</v>
      </c>
      <c r="F24" s="581">
        <v>6.3E-2</v>
      </c>
      <c r="G24" s="581">
        <v>0.86499999999999999</v>
      </c>
      <c r="H24" s="581">
        <v>0.13300000000000001</v>
      </c>
      <c r="I24" s="581">
        <v>0.76300000000000001</v>
      </c>
      <c r="J24" s="581">
        <v>6.3E-2</v>
      </c>
      <c r="K24" s="581">
        <v>0.84699999999999998</v>
      </c>
      <c r="L24" s="147">
        <v>0.03</v>
      </c>
      <c r="M24" s="147">
        <v>0.01</v>
      </c>
      <c r="N24" s="581">
        <v>1.7999999999999999E-2</v>
      </c>
      <c r="O24" s="581">
        <v>0.58299999999999996</v>
      </c>
      <c r="P24" s="544"/>
      <c r="Q24" s="147"/>
      <c r="R24" s="514"/>
      <c r="S24" s="147"/>
      <c r="T24" s="581">
        <v>6.7000000000000004E-2</v>
      </c>
      <c r="U24" s="581">
        <v>0.51</v>
      </c>
      <c r="V24" s="581">
        <v>0.19</v>
      </c>
      <c r="W24" s="581">
        <v>0.45600000000000002</v>
      </c>
      <c r="X24" s="581">
        <v>0.61</v>
      </c>
      <c r="Y24" s="581">
        <v>0.08</v>
      </c>
      <c r="Z24" s="581">
        <v>0.13800000000000001</v>
      </c>
      <c r="AA24" s="581">
        <v>1.7999999999999999E-2</v>
      </c>
      <c r="AB24" s="581">
        <v>7.5999999999999998E-2</v>
      </c>
      <c r="AC24" s="581"/>
      <c r="AD24" s="581">
        <v>4.8000000000000001E-2</v>
      </c>
      <c r="AE24" s="581">
        <v>7.6999999999999999E-2</v>
      </c>
      <c r="AF24" s="94"/>
      <c r="AG24" s="147" t="s">
        <v>1393</v>
      </c>
      <c r="AH24" s="594" t="str">
        <f>IF('Lower Extremity-Right'!T134="","",'Lower Extremity-Right'!T134)</f>
        <v/>
      </c>
      <c r="AI24" s="578" t="str">
        <f>IF(AH24="","",ROUND(AH24,0))</f>
        <v/>
      </c>
      <c r="AJ24" s="193">
        <f>IF(AI24="",0,VLOOKUP(AI24,$A$3:$AE$154,8))</f>
        <v>0</v>
      </c>
      <c r="AK24" s="62"/>
      <c r="AL24" s="147" t="s">
        <v>1394</v>
      </c>
      <c r="AM24" s="578" t="str">
        <f>IF('Lower Extremity-Right'!V134="","",'Lower Extremity-Right'!V134)</f>
        <v/>
      </c>
      <c r="AN24" s="578" t="str">
        <f>IF(AM24="","",ROUND(AM24,0))</f>
        <v/>
      </c>
      <c r="AO24" s="193">
        <f>IF(AN24="",0,VLOOKUP(AN24,$A$3:$AE$154,8))</f>
        <v>0</v>
      </c>
      <c r="AP24" s="14"/>
      <c r="AQ24" s="147" t="s">
        <v>1393</v>
      </c>
      <c r="AR24" s="578" t="str">
        <f>IF('Lower Extremity-Left'!T134="","",'Lower Extremity-Left'!T134)</f>
        <v/>
      </c>
      <c r="AS24" s="578" t="str">
        <f>IF(AR24="","",ROUND(AR24,0))</f>
        <v/>
      </c>
      <c r="AT24" s="193">
        <f>IF(AS24="",0,VLOOKUP(AS24,$A$3:$AE$154,8))</f>
        <v>0</v>
      </c>
      <c r="AU24" s="62"/>
      <c r="AV24" s="147" t="s">
        <v>1394</v>
      </c>
      <c r="AW24" s="578" t="str">
        <f>IF('Lower Extremity-Left'!V134="","",'Lower Extremity-Left'!V134)</f>
        <v/>
      </c>
      <c r="AX24" s="578" t="str">
        <f>IF(AW24="","",ROUND(AW24,0))</f>
        <v/>
      </c>
      <c r="AY24" s="193">
        <f>IF(AX24="",0,VLOOKUP(AX24,$A$3:$AE$154,8))</f>
        <v>0</v>
      </c>
    </row>
    <row r="25" spans="1:51" x14ac:dyDescent="0.2">
      <c r="A25" s="50">
        <v>22</v>
      </c>
      <c r="B25" s="581">
        <v>0.12</v>
      </c>
      <c r="C25" s="581">
        <v>0.67</v>
      </c>
      <c r="D25" s="581">
        <v>0.19600000000000001</v>
      </c>
      <c r="E25" s="581">
        <v>0.64400000000000002</v>
      </c>
      <c r="F25" s="581">
        <v>5.6000000000000001E-2</v>
      </c>
      <c r="G25" s="581">
        <v>0.88</v>
      </c>
      <c r="H25" s="581">
        <v>0.126</v>
      </c>
      <c r="I25" s="581">
        <v>0.77600000000000002</v>
      </c>
      <c r="J25" s="581">
        <v>5.6000000000000001E-2</v>
      </c>
      <c r="K25" s="581">
        <v>0.86399999999999999</v>
      </c>
      <c r="L25" s="147">
        <v>0.04</v>
      </c>
      <c r="M25" s="147">
        <v>0.01</v>
      </c>
      <c r="N25" s="581">
        <v>1.6E-2</v>
      </c>
      <c r="O25" s="581">
        <v>0.59599999999999997</v>
      </c>
      <c r="P25" s="544"/>
      <c r="Q25" s="147"/>
      <c r="R25" s="514"/>
      <c r="S25" s="147"/>
      <c r="T25" s="581">
        <v>6.4000000000000001E-2</v>
      </c>
      <c r="U25" s="581">
        <v>0.52</v>
      </c>
      <c r="V25" s="581">
        <v>0.2</v>
      </c>
      <c r="W25" s="581">
        <v>0.45200000000000001</v>
      </c>
      <c r="X25" s="581">
        <v>0.62</v>
      </c>
      <c r="Y25" s="581">
        <v>0.09</v>
      </c>
      <c r="Z25" s="581">
        <v>0.13600000000000001</v>
      </c>
      <c r="AA25" s="581">
        <v>1.6E-2</v>
      </c>
      <c r="AB25" s="581">
        <v>7.1999999999999995E-2</v>
      </c>
      <c r="AC25" s="581"/>
      <c r="AD25" s="581">
        <v>4.5999999999999999E-2</v>
      </c>
      <c r="AE25" s="581">
        <v>7.3999999999999996E-2</v>
      </c>
      <c r="AF25" s="94"/>
      <c r="AG25" s="147" t="s">
        <v>1395</v>
      </c>
      <c r="AH25" s="594" t="str">
        <f>IF('Lower Extremity-Right'!T135="","",'Lower Extremity-Right'!T135)</f>
        <v/>
      </c>
      <c r="AI25" s="578" t="str">
        <f>IF(AH25="","",ROUND(AH25,0))</f>
        <v/>
      </c>
      <c r="AJ25" s="193">
        <f>IF(AI25="",0,VLOOKUP(AI25,$A$3:$AE$154,9))</f>
        <v>0</v>
      </c>
      <c r="AK25" s="62"/>
      <c r="AL25" s="14"/>
      <c r="AM25" s="14"/>
      <c r="AN25" s="14"/>
      <c r="AO25" s="14"/>
      <c r="AP25" s="14"/>
      <c r="AQ25" s="147" t="s">
        <v>1395</v>
      </c>
      <c r="AR25" s="578" t="str">
        <f>IF('Lower Extremity-Left'!T135="","",'Lower Extremity-Left'!T135)</f>
        <v/>
      </c>
      <c r="AS25" s="578" t="str">
        <f>IF(AR25="","",ROUND(AR25,0))</f>
        <v/>
      </c>
      <c r="AT25" s="193">
        <f>IF(AS25="",0,VLOOKUP(AS25,$A$3:$AE$154,9))</f>
        <v>0</v>
      </c>
      <c r="AU25" s="62"/>
      <c r="AV25" s="14"/>
      <c r="AW25" s="14"/>
      <c r="AX25" s="14"/>
      <c r="AY25" s="14"/>
    </row>
    <row r="26" spans="1:51" x14ac:dyDescent="0.2">
      <c r="A26" s="50">
        <v>23</v>
      </c>
      <c r="B26" s="581">
        <v>0.105</v>
      </c>
      <c r="C26" s="581">
        <v>0.68</v>
      </c>
      <c r="D26" s="581">
        <v>0.189</v>
      </c>
      <c r="E26" s="581">
        <v>0.65600000000000003</v>
      </c>
      <c r="F26" s="581">
        <v>4.9000000000000002E-2</v>
      </c>
      <c r="G26" s="581">
        <v>0.89500000000000002</v>
      </c>
      <c r="H26" s="581">
        <v>0.11899999999999999</v>
      </c>
      <c r="I26" s="581">
        <v>0.78900000000000003</v>
      </c>
      <c r="J26" s="581">
        <v>4.9000000000000002E-2</v>
      </c>
      <c r="K26" s="581">
        <v>0.88100000000000001</v>
      </c>
      <c r="L26" s="147">
        <v>0.04</v>
      </c>
      <c r="M26" s="147">
        <v>0.01</v>
      </c>
      <c r="N26" s="581">
        <v>1.4E-2</v>
      </c>
      <c r="O26" s="670">
        <v>0.60899999999999999</v>
      </c>
      <c r="P26" s="544"/>
      <c r="Q26" s="147"/>
      <c r="R26" s="514"/>
      <c r="S26" s="147"/>
      <c r="T26" s="581">
        <v>6.0999999999999999E-2</v>
      </c>
      <c r="U26" s="581">
        <v>0.53</v>
      </c>
      <c r="V26" s="581">
        <v>0.21</v>
      </c>
      <c r="W26" s="581">
        <v>0.44800000000000001</v>
      </c>
      <c r="X26" s="581">
        <v>0.63</v>
      </c>
      <c r="Y26" s="581">
        <v>0.1</v>
      </c>
      <c r="Z26" s="581">
        <v>0.13400000000000001</v>
      </c>
      <c r="AA26" s="581">
        <v>1.4E-2</v>
      </c>
      <c r="AB26" s="581">
        <v>6.8000000000000005E-2</v>
      </c>
      <c r="AC26" s="581"/>
      <c r="AD26" s="581">
        <v>4.3999999999999997E-2</v>
      </c>
      <c r="AE26" s="581">
        <v>7.0999999999999994E-2</v>
      </c>
      <c r="AF26" s="94"/>
      <c r="AG26" s="147" t="s">
        <v>1396</v>
      </c>
      <c r="AH26" s="594" t="str">
        <f>IF('Lower Extremity-Right'!T136="","",'Lower Extremity-Right'!T136)</f>
        <v/>
      </c>
      <c r="AI26" s="578" t="str">
        <f>IF(AH26="","",ROUND(AH26,0))</f>
        <v/>
      </c>
      <c r="AJ26" s="193">
        <f>IF(AI26="",0,VLOOKUP(AI26,$A$3:$AE$154,10))</f>
        <v>0</v>
      </c>
      <c r="AK26" s="62"/>
      <c r="AL26" s="147" t="s">
        <v>1394</v>
      </c>
      <c r="AM26" s="578" t="str">
        <f>IF('Lower Extremity-Right'!V136="","",'Lower Extremity-Right'!V136)</f>
        <v/>
      </c>
      <c r="AN26" s="578" t="str">
        <f>IF(AM26="","",ROUND(AM26,0))</f>
        <v/>
      </c>
      <c r="AO26" s="193">
        <f>IF(AN26="",0,VLOOKUP(AN26,$A$3:$AE$154,10))</f>
        <v>0</v>
      </c>
      <c r="AP26" s="14"/>
      <c r="AQ26" s="147" t="s">
        <v>1396</v>
      </c>
      <c r="AR26" s="578" t="str">
        <f>IF('Lower Extremity-Left'!T136="","",'Lower Extremity-Left'!T136)</f>
        <v/>
      </c>
      <c r="AS26" s="578" t="str">
        <f>IF(AR26="","",ROUND(AR26,0))</f>
        <v/>
      </c>
      <c r="AT26" s="193">
        <f>IF(AS26="",0,VLOOKUP(AS26,$A$3:$AE$154,10))</f>
        <v>0</v>
      </c>
      <c r="AU26" s="62"/>
      <c r="AV26" s="147" t="s">
        <v>1394</v>
      </c>
      <c r="AW26" s="578" t="str">
        <f>IF('Lower Extremity-Left'!V136="","",'Lower Extremity-Left'!V136)</f>
        <v/>
      </c>
      <c r="AX26" s="578" t="str">
        <f>IF(AW26="","",ROUND(AW26,0))</f>
        <v/>
      </c>
      <c r="AY26" s="193">
        <f>IF(AX26="",0,VLOOKUP(AX26,$A$3:$AE$154,10))</f>
        <v>0</v>
      </c>
    </row>
    <row r="27" spans="1:51" x14ac:dyDescent="0.2">
      <c r="A27" s="50">
        <v>24</v>
      </c>
      <c r="B27" s="581">
        <v>0.09</v>
      </c>
      <c r="C27" s="581">
        <v>0.69</v>
      </c>
      <c r="D27" s="581">
        <v>0.182</v>
      </c>
      <c r="E27" s="581">
        <v>0.66800000000000004</v>
      </c>
      <c r="F27" s="581">
        <v>4.2000000000000003E-2</v>
      </c>
      <c r="G27" s="581">
        <v>0.91</v>
      </c>
      <c r="H27" s="581">
        <v>0.112</v>
      </c>
      <c r="I27" s="581">
        <v>0.80200000000000005</v>
      </c>
      <c r="J27" s="581">
        <v>4.2000000000000003E-2</v>
      </c>
      <c r="K27" s="581">
        <v>0.89800000000000002</v>
      </c>
      <c r="L27" s="147">
        <v>0.04</v>
      </c>
      <c r="M27" s="147">
        <v>0.01</v>
      </c>
      <c r="N27" s="581">
        <v>1.2E-2</v>
      </c>
      <c r="O27" s="581">
        <v>0.622</v>
      </c>
      <c r="P27" s="544"/>
      <c r="Q27" s="147"/>
      <c r="R27" s="514"/>
      <c r="S27" s="147"/>
      <c r="T27" s="581">
        <v>5.8000000000000003E-2</v>
      </c>
      <c r="U27" s="581">
        <v>0.54</v>
      </c>
      <c r="V27" s="581">
        <v>0.22</v>
      </c>
      <c r="W27" s="581">
        <v>0.44400000000000001</v>
      </c>
      <c r="X27" s="581">
        <v>0.64</v>
      </c>
      <c r="Y27" s="581">
        <v>0.11</v>
      </c>
      <c r="Z27" s="581">
        <v>0.13200000000000001</v>
      </c>
      <c r="AA27" s="581">
        <v>1.2E-2</v>
      </c>
      <c r="AB27" s="581">
        <v>6.4000000000000001E-2</v>
      </c>
      <c r="AC27" s="581"/>
      <c r="AD27" s="581">
        <v>4.2000000000000003E-2</v>
      </c>
      <c r="AE27" s="581">
        <v>6.8000000000000005E-2</v>
      </c>
      <c r="AF27" s="94"/>
      <c r="AG27" s="147" t="s">
        <v>1397</v>
      </c>
      <c r="AH27" s="594" t="str">
        <f>IF('Lower Extremity-Right'!T137="","",'Lower Extremity-Right'!T137)</f>
        <v/>
      </c>
      <c r="AI27" s="578" t="str">
        <f>IF(AH27="","",ROUND(AH27,0))</f>
        <v/>
      </c>
      <c r="AJ27" s="193">
        <f>IF(AI27="",0,VLOOKUP(AI27,$A$3:$AE$154,11))</f>
        <v>0</v>
      </c>
      <c r="AK27" s="62"/>
      <c r="AL27" s="14"/>
      <c r="AM27" s="14"/>
      <c r="AN27" s="14"/>
      <c r="AO27" s="14"/>
      <c r="AP27" s="14"/>
      <c r="AQ27" s="147" t="s">
        <v>1397</v>
      </c>
      <c r="AR27" s="578" t="str">
        <f>IF('Lower Extremity-Left'!T137="","",'Lower Extremity-Left'!T137)</f>
        <v/>
      </c>
      <c r="AS27" s="578" t="str">
        <f>IF(AR27="","",ROUND(AR27,0))</f>
        <v/>
      </c>
      <c r="AT27" s="193">
        <f>IF(AS27="",0,VLOOKUP(AS27,$A$3:$AE$154,11))</f>
        <v>0</v>
      </c>
      <c r="AU27" s="62"/>
      <c r="AV27" s="14"/>
      <c r="AW27" s="14"/>
      <c r="AX27" s="14"/>
      <c r="AY27" s="14"/>
    </row>
    <row r="28" spans="1:51" x14ac:dyDescent="0.2">
      <c r="A28" s="50">
        <v>25</v>
      </c>
      <c r="B28" s="581">
        <v>7.4999999999999997E-2</v>
      </c>
      <c r="C28" s="581">
        <v>0.7</v>
      </c>
      <c r="D28" s="581">
        <v>0.17499999999999999</v>
      </c>
      <c r="E28" s="581">
        <v>0.67</v>
      </c>
      <c r="F28" s="581">
        <v>3.5000000000000003E-2</v>
      </c>
      <c r="G28" s="581">
        <v>0.92500000000000004</v>
      </c>
      <c r="H28" s="581">
        <v>0.105</v>
      </c>
      <c r="I28" s="581">
        <v>0.81499999999999995</v>
      </c>
      <c r="J28" s="581">
        <v>3.5000000000000003E-2</v>
      </c>
      <c r="K28" s="581">
        <v>0.91500000000000004</v>
      </c>
      <c r="L28" s="147">
        <v>0.04</v>
      </c>
      <c r="M28" s="147">
        <v>0.01</v>
      </c>
      <c r="N28" s="581">
        <v>0.01</v>
      </c>
      <c r="O28" s="581">
        <v>0.63500000000000001</v>
      </c>
      <c r="P28" s="544"/>
      <c r="Q28" s="147"/>
      <c r="R28" s="514"/>
      <c r="S28" s="147"/>
      <c r="T28" s="581">
        <v>5.5E-2</v>
      </c>
      <c r="U28" s="581">
        <v>0.55000000000000004</v>
      </c>
      <c r="V28" s="581">
        <v>0.23</v>
      </c>
      <c r="W28" s="581">
        <v>0.44</v>
      </c>
      <c r="X28" s="581">
        <v>0.65</v>
      </c>
      <c r="Y28" s="581">
        <v>0.12</v>
      </c>
      <c r="Z28" s="670">
        <v>0.13</v>
      </c>
      <c r="AA28" s="581">
        <v>0.01</v>
      </c>
      <c r="AB28" s="581">
        <v>0.06</v>
      </c>
      <c r="AC28" s="581"/>
      <c r="AD28" s="581">
        <v>0.04</v>
      </c>
      <c r="AE28" s="581">
        <v>6.5000000000000002E-2</v>
      </c>
      <c r="AF28" s="94"/>
      <c r="AG28" s="14"/>
      <c r="AH28" s="62"/>
      <c r="AI28" s="62"/>
      <c r="AJ28" s="14"/>
      <c r="AK28" s="62"/>
      <c r="AL28" s="14"/>
      <c r="AM28" s="14"/>
      <c r="AN28" s="14"/>
      <c r="AO28" s="14"/>
      <c r="AP28" s="14"/>
      <c r="AQ28" s="14"/>
      <c r="AR28" s="62"/>
      <c r="AS28" s="62"/>
      <c r="AT28" s="14"/>
      <c r="AU28" s="62"/>
      <c r="AV28" s="14"/>
      <c r="AW28" s="14"/>
      <c r="AX28" s="14"/>
      <c r="AY28" s="14"/>
    </row>
    <row r="29" spans="1:51" x14ac:dyDescent="0.2">
      <c r="A29" s="50">
        <v>26</v>
      </c>
      <c r="B29" s="581">
        <v>0.06</v>
      </c>
      <c r="C29" s="581">
        <v>0.71</v>
      </c>
      <c r="D29" s="581">
        <v>0.16800000000000001</v>
      </c>
      <c r="E29" s="581">
        <v>0.69199999999999995</v>
      </c>
      <c r="F29" s="581">
        <v>2.8000000000000001E-2</v>
      </c>
      <c r="G29" s="581">
        <v>0.94</v>
      </c>
      <c r="H29" s="581">
        <v>9.8000000000000004E-2</v>
      </c>
      <c r="I29" s="581">
        <v>0.82799999999999996</v>
      </c>
      <c r="J29" s="581">
        <v>2.8000000000000001E-2</v>
      </c>
      <c r="K29" s="581">
        <v>0.93200000000000005</v>
      </c>
      <c r="L29" s="147">
        <v>0.04</v>
      </c>
      <c r="M29" s="147">
        <v>0.01</v>
      </c>
      <c r="N29" s="581">
        <v>8.0000000000000002E-3</v>
      </c>
      <c r="O29" s="581">
        <v>0.64800000000000002</v>
      </c>
      <c r="P29" s="544"/>
      <c r="Q29" s="147"/>
      <c r="R29" s="514"/>
      <c r="S29" s="147"/>
      <c r="T29" s="581">
        <v>5.1999999999999998E-2</v>
      </c>
      <c r="U29" s="581">
        <v>0.56000000000000005</v>
      </c>
      <c r="V29" s="581">
        <v>0.23</v>
      </c>
      <c r="W29" s="581">
        <v>0.436</v>
      </c>
      <c r="X29" s="581">
        <v>0.66</v>
      </c>
      <c r="Y29" s="581">
        <v>0.13</v>
      </c>
      <c r="Z29" s="581">
        <v>0.128</v>
      </c>
      <c r="AA29" s="581">
        <v>8.0000000000000002E-3</v>
      </c>
      <c r="AB29" s="581">
        <v>5.6000000000000001E-2</v>
      </c>
      <c r="AC29" s="581"/>
      <c r="AD29" s="581">
        <v>3.7999999999999999E-2</v>
      </c>
      <c r="AE29" s="581">
        <v>6.2E-2</v>
      </c>
      <c r="AF29" s="94"/>
      <c r="AG29" s="147" t="s">
        <v>1401</v>
      </c>
      <c r="AH29" s="62"/>
      <c r="AI29" s="62"/>
      <c r="AJ29" s="14"/>
      <c r="AK29" s="62"/>
      <c r="AL29" s="14"/>
      <c r="AM29" s="14"/>
      <c r="AN29" s="14"/>
      <c r="AO29" s="14"/>
      <c r="AP29" s="14"/>
      <c r="AQ29" s="147" t="s">
        <v>1401</v>
      </c>
      <c r="AR29" s="62"/>
      <c r="AS29" s="62"/>
      <c r="AT29" s="14"/>
      <c r="AU29" s="62"/>
      <c r="AV29" s="14"/>
      <c r="AW29" s="14"/>
      <c r="AX29" s="14"/>
      <c r="AY29" s="14"/>
    </row>
    <row r="30" spans="1:51" x14ac:dyDescent="0.2">
      <c r="A30" s="50">
        <v>27</v>
      </c>
      <c r="B30" s="581">
        <v>4.4999999999999998E-2</v>
      </c>
      <c r="C30" s="581">
        <v>0.72</v>
      </c>
      <c r="D30" s="581">
        <v>0.161</v>
      </c>
      <c r="E30" s="581">
        <v>0.70399999999999996</v>
      </c>
      <c r="F30" s="581">
        <v>2.1000000000000001E-2</v>
      </c>
      <c r="G30" s="581">
        <v>0.95499999999999996</v>
      </c>
      <c r="H30" s="581">
        <v>9.0999999999999998E-2</v>
      </c>
      <c r="I30" s="581">
        <v>0.84099999999999997</v>
      </c>
      <c r="J30" s="581">
        <v>2.1000000000000001E-2</v>
      </c>
      <c r="K30" s="581">
        <v>0.94899999999999995</v>
      </c>
      <c r="L30" s="147">
        <v>0.04</v>
      </c>
      <c r="M30" s="147">
        <v>0.01</v>
      </c>
      <c r="N30" s="581">
        <v>6.0000000000000001E-3</v>
      </c>
      <c r="O30" s="581">
        <v>0.66100000000000003</v>
      </c>
      <c r="P30" s="544"/>
      <c r="Q30" s="147"/>
      <c r="R30" s="514"/>
      <c r="S30" s="147"/>
      <c r="T30" s="581">
        <v>4.9000000000000002E-2</v>
      </c>
      <c r="U30" s="581">
        <v>0.56999999999999995</v>
      </c>
      <c r="V30" s="581">
        <v>0.24</v>
      </c>
      <c r="W30" s="581">
        <v>0.432</v>
      </c>
      <c r="X30" s="581">
        <v>0.67</v>
      </c>
      <c r="Y30" s="581">
        <v>0.14000000000000001</v>
      </c>
      <c r="Z30" s="581">
        <v>0.126</v>
      </c>
      <c r="AA30" s="581">
        <v>6.0000000000000001E-3</v>
      </c>
      <c r="AB30" s="581">
        <v>5.1999999999999998E-2</v>
      </c>
      <c r="AC30" s="581"/>
      <c r="AD30" s="581">
        <v>3.5999999999999997E-2</v>
      </c>
      <c r="AE30" s="581">
        <v>5.8999999999999997E-2</v>
      </c>
      <c r="AF30" s="94"/>
      <c r="AG30" s="147" t="s">
        <v>1393</v>
      </c>
      <c r="AH30" s="594" t="str">
        <f>IF('Lower Extremity-Right'!T174="","",'Lower Extremity-Right'!T174)</f>
        <v/>
      </c>
      <c r="AI30" s="578" t="str">
        <f>IF(AH30="","",ROUND(AH30,0))</f>
        <v/>
      </c>
      <c r="AJ30" s="193">
        <f>IF(AI30="",0,VLOOKUP(AI30,$A$3:$AE$154,8))</f>
        <v>0</v>
      </c>
      <c r="AK30" s="62"/>
      <c r="AL30" s="147" t="s">
        <v>1394</v>
      </c>
      <c r="AM30" s="578" t="str">
        <f>IF('Lower Extremity-Right'!V174="","",'Lower Extremity-Right'!V174)</f>
        <v/>
      </c>
      <c r="AN30" s="578" t="str">
        <f>IF(AM30="","",ROUND(AM30,0))</f>
        <v/>
      </c>
      <c r="AO30" s="193">
        <f>IF(AN30="",0,VLOOKUP(AN30,$A$3:$AE$154,8))</f>
        <v>0</v>
      </c>
      <c r="AP30" s="14"/>
      <c r="AQ30" s="665" t="s">
        <v>1393</v>
      </c>
      <c r="AR30" s="578" t="str">
        <f>IF('Lower Extremity-Left'!T174="","",'Lower Extremity-Left'!T174)</f>
        <v/>
      </c>
      <c r="AS30" s="578" t="str">
        <f>IF(AR30="","",ROUND(AR30,0))</f>
        <v/>
      </c>
      <c r="AT30" s="193">
        <f>IF(AS30="",0,VLOOKUP(AS30,$A$3:$AE$154,8))</f>
        <v>0</v>
      </c>
      <c r="AU30" s="62"/>
      <c r="AV30" s="147" t="s">
        <v>1394</v>
      </c>
      <c r="AW30" s="578" t="str">
        <f>IF('Lower Extremity-Left'!V174="","",'Lower Extremity-Left'!V174)</f>
        <v/>
      </c>
      <c r="AX30" s="578" t="str">
        <f>IF(AW30="","",ROUND(AW30,0))</f>
        <v/>
      </c>
      <c r="AY30" s="193">
        <f>IF(AX30="",0,VLOOKUP(AX30,$A$3:$AE$154,8))</f>
        <v>0</v>
      </c>
    </row>
    <row r="31" spans="1:51" x14ac:dyDescent="0.2">
      <c r="A31" s="50">
        <v>28</v>
      </c>
      <c r="B31" s="581">
        <v>0.03</v>
      </c>
      <c r="C31" s="581">
        <v>0.73</v>
      </c>
      <c r="D31" s="581">
        <v>0.154</v>
      </c>
      <c r="E31" s="581">
        <v>0.71599999999999997</v>
      </c>
      <c r="F31" s="581">
        <v>1.4E-2</v>
      </c>
      <c r="G31" s="581">
        <v>0.97</v>
      </c>
      <c r="H31" s="581">
        <v>8.4000000000000005E-2</v>
      </c>
      <c r="I31" s="581">
        <v>0.85399999999999998</v>
      </c>
      <c r="J31" s="581">
        <v>1.4E-2</v>
      </c>
      <c r="K31" s="581">
        <v>0.96599999999999997</v>
      </c>
      <c r="L31" s="147">
        <v>0.04</v>
      </c>
      <c r="M31" s="147">
        <v>0.01</v>
      </c>
      <c r="N31" s="581">
        <v>4.0000000000000001E-3</v>
      </c>
      <c r="O31" s="581">
        <v>0.67400000000000004</v>
      </c>
      <c r="P31" s="544"/>
      <c r="Q31" s="147"/>
      <c r="R31" s="514"/>
      <c r="S31" s="147"/>
      <c r="T31" s="581">
        <v>4.5999999999999999E-2</v>
      </c>
      <c r="U31" s="581">
        <v>0.57999999999999996</v>
      </c>
      <c r="V31" s="581">
        <v>0.25</v>
      </c>
      <c r="W31" s="581">
        <v>0.42799999999999999</v>
      </c>
      <c r="X31" s="581">
        <v>0.68</v>
      </c>
      <c r="Y31" s="581">
        <v>0.15</v>
      </c>
      <c r="Z31" s="581">
        <v>0.124</v>
      </c>
      <c r="AA31" s="581">
        <v>4.0000000000000001E-3</v>
      </c>
      <c r="AB31" s="581">
        <v>4.8000000000000001E-2</v>
      </c>
      <c r="AC31" s="581"/>
      <c r="AD31" s="581">
        <v>3.4000000000000002E-2</v>
      </c>
      <c r="AE31" s="581">
        <v>5.6000000000000001E-2</v>
      </c>
      <c r="AF31" s="94"/>
      <c r="AG31" s="147" t="s">
        <v>1395</v>
      </c>
      <c r="AH31" s="594" t="str">
        <f>IF('Lower Extremity-Right'!T175="","",'Lower Extremity-Right'!T175)</f>
        <v/>
      </c>
      <c r="AI31" s="578" t="str">
        <f>IF(AH31="","",ROUND(AH31,0))</f>
        <v/>
      </c>
      <c r="AJ31" s="193">
        <f>IF(AI31="",0,VLOOKUP(AI31,$A$3:$AE$154,9))</f>
        <v>0</v>
      </c>
      <c r="AK31" s="62"/>
      <c r="AL31" s="14"/>
      <c r="AM31" s="14"/>
      <c r="AN31" s="14"/>
      <c r="AO31" s="14"/>
      <c r="AP31" s="14"/>
      <c r="AQ31" s="665" t="s">
        <v>1395</v>
      </c>
      <c r="AR31" s="578" t="str">
        <f>IF('Lower Extremity-Left'!T175="","",'Lower Extremity-Left'!T175)</f>
        <v/>
      </c>
      <c r="AS31" s="578" t="str">
        <f>IF(AR31="","",ROUND(AR31,0))</f>
        <v/>
      </c>
      <c r="AT31" s="193">
        <f>IF(AS31="",0,VLOOKUP(AS31,$A$3:$AE$154,9))</f>
        <v>0</v>
      </c>
      <c r="AU31" s="62"/>
      <c r="AV31" s="14"/>
      <c r="AW31" s="14"/>
      <c r="AX31" s="14"/>
      <c r="AY31" s="14"/>
    </row>
    <row r="32" spans="1:51" x14ac:dyDescent="0.2">
      <c r="A32" s="50">
        <v>29</v>
      </c>
      <c r="B32" s="581">
        <v>1.4999999999999999E-2</v>
      </c>
      <c r="C32" s="581">
        <v>0.74</v>
      </c>
      <c r="D32" s="581">
        <v>0.14699999999999999</v>
      </c>
      <c r="E32" s="581">
        <v>0.72799999999999998</v>
      </c>
      <c r="F32" s="581">
        <v>7.0000000000000001E-3</v>
      </c>
      <c r="G32" s="581">
        <v>0.98499999999999999</v>
      </c>
      <c r="H32" s="581">
        <v>7.6999999999999999E-2</v>
      </c>
      <c r="I32" s="581">
        <v>0.86699999999999999</v>
      </c>
      <c r="J32" s="581">
        <v>7.0000000000000001E-3</v>
      </c>
      <c r="K32" s="581">
        <v>0.98299999999999998</v>
      </c>
      <c r="L32" s="147">
        <v>0.05</v>
      </c>
      <c r="M32" s="147">
        <v>0.01</v>
      </c>
      <c r="N32" s="581">
        <v>2E-3</v>
      </c>
      <c r="O32" s="581">
        <v>0.68700000000000006</v>
      </c>
      <c r="P32" s="544"/>
      <c r="Q32" s="147"/>
      <c r="R32" s="514"/>
      <c r="S32" s="147"/>
      <c r="T32" s="581">
        <v>4.2999999999999997E-2</v>
      </c>
      <c r="U32" s="581">
        <v>0.59</v>
      </c>
      <c r="V32" s="581">
        <v>0.26</v>
      </c>
      <c r="W32" s="581">
        <v>0.42399999999999999</v>
      </c>
      <c r="X32" s="581">
        <v>0.69</v>
      </c>
      <c r="Y32" s="581">
        <v>0.16</v>
      </c>
      <c r="Z32" s="581">
        <v>0.122</v>
      </c>
      <c r="AA32" s="581">
        <v>2E-3</v>
      </c>
      <c r="AB32" s="581">
        <v>4.3999999999999997E-2</v>
      </c>
      <c r="AC32" s="581"/>
      <c r="AD32" s="581">
        <v>3.2000000000000001E-2</v>
      </c>
      <c r="AE32" s="581">
        <v>5.2999999999999999E-2</v>
      </c>
      <c r="AF32" s="94"/>
      <c r="AG32" s="147" t="s">
        <v>1396</v>
      </c>
      <c r="AH32" s="594" t="str">
        <f>IF('Lower Extremity-Right'!T176="","",'Lower Extremity-Right'!T176)</f>
        <v/>
      </c>
      <c r="AI32" s="578" t="str">
        <f>IF(AH32="","",ROUND(AH32,0))</f>
        <v/>
      </c>
      <c r="AJ32" s="193">
        <f>IF(AI32="",0,VLOOKUP(AI32,$A$3:$AE$154,10))</f>
        <v>0</v>
      </c>
      <c r="AK32" s="62"/>
      <c r="AL32" s="147" t="s">
        <v>1394</v>
      </c>
      <c r="AM32" s="578" t="str">
        <f>IF('Lower Extremity-Right'!V176="","",'Lower Extremity-Right'!V176)</f>
        <v/>
      </c>
      <c r="AN32" s="578" t="str">
        <f>IF(AM32="","",ROUND(AM32,0))</f>
        <v/>
      </c>
      <c r="AO32" s="193">
        <f>IF(AN32="",0,VLOOKUP(AN32,$A$3:$AE$154,10))</f>
        <v>0</v>
      </c>
      <c r="AP32" s="14"/>
      <c r="AQ32" s="665" t="s">
        <v>1396</v>
      </c>
      <c r="AR32" s="578" t="str">
        <f>IF('Lower Extremity-Left'!T176="","",'Lower Extremity-Left'!T176)</f>
        <v/>
      </c>
      <c r="AS32" s="578" t="str">
        <f>IF(AR32="","",ROUND(AR32,0))</f>
        <v/>
      </c>
      <c r="AT32" s="193">
        <f>IF(AS32="",0,VLOOKUP(AS32,$A$3:$AE$154,10))</f>
        <v>0</v>
      </c>
      <c r="AU32" s="62"/>
      <c r="AV32" s="147" t="s">
        <v>1394</v>
      </c>
      <c r="AW32" s="578" t="str">
        <f>IF('Lower Extremity-Left'!V176="","",'Lower Extremity-Left'!V176)</f>
        <v/>
      </c>
      <c r="AX32" s="578" t="str">
        <f>IF(AW32="","",ROUND(AW32,0))</f>
        <v/>
      </c>
      <c r="AY32" s="193">
        <f>IF(AX32="",0,VLOOKUP(AX32,$A$3:$AE$154,10))</f>
        <v>0</v>
      </c>
    </row>
    <row r="33" spans="1:51" x14ac:dyDescent="0.2">
      <c r="A33" s="50">
        <v>30</v>
      </c>
      <c r="B33" s="581">
        <v>0</v>
      </c>
      <c r="C33" s="581">
        <v>0.75</v>
      </c>
      <c r="D33" s="581">
        <v>0.14000000000000001</v>
      </c>
      <c r="E33" s="581">
        <v>0.74</v>
      </c>
      <c r="F33" s="581">
        <v>0</v>
      </c>
      <c r="G33" s="581">
        <v>1</v>
      </c>
      <c r="H33" s="581">
        <v>7.0000000000000007E-2</v>
      </c>
      <c r="I33" s="581">
        <v>0.88</v>
      </c>
      <c r="J33" s="581">
        <v>0</v>
      </c>
      <c r="K33" s="581">
        <v>1</v>
      </c>
      <c r="L33" s="147">
        <v>0.05</v>
      </c>
      <c r="M33" s="147">
        <v>0.01</v>
      </c>
      <c r="N33" s="581">
        <v>0</v>
      </c>
      <c r="O33" s="581">
        <v>0.7</v>
      </c>
      <c r="P33" s="544"/>
      <c r="Q33" s="147"/>
      <c r="R33" s="514"/>
      <c r="S33" s="147"/>
      <c r="T33" s="581">
        <v>0.04</v>
      </c>
      <c r="U33" s="581">
        <v>0.6</v>
      </c>
      <c r="V33" s="581">
        <v>0.27</v>
      </c>
      <c r="W33" s="581">
        <v>0.42</v>
      </c>
      <c r="X33" s="581">
        <v>0.7</v>
      </c>
      <c r="Y33" s="581">
        <v>0.17</v>
      </c>
      <c r="Z33" s="581">
        <v>0.12</v>
      </c>
      <c r="AA33" s="581">
        <v>0</v>
      </c>
      <c r="AB33" s="581">
        <v>0.04</v>
      </c>
      <c r="AC33" s="581"/>
      <c r="AD33" s="581">
        <v>0.03</v>
      </c>
      <c r="AE33" s="581">
        <v>0.05</v>
      </c>
      <c r="AF33" s="94"/>
      <c r="AG33" s="147" t="s">
        <v>1397</v>
      </c>
      <c r="AH33" s="594" t="str">
        <f>IF('Lower Extremity-Right'!T177="","",'Lower Extremity-Right'!T177)</f>
        <v/>
      </c>
      <c r="AI33" s="578" t="str">
        <f>IF(AH33="","",ROUND(AH33,0))</f>
        <v/>
      </c>
      <c r="AJ33" s="193">
        <f>IF(AI33="",0,VLOOKUP(AI33,$A$3:$AE$154,11))</f>
        <v>0</v>
      </c>
      <c r="AK33" s="62"/>
      <c r="AL33" s="14"/>
      <c r="AM33" s="14"/>
      <c r="AN33" s="14"/>
      <c r="AO33" s="14"/>
      <c r="AP33" s="14"/>
      <c r="AQ33" s="14" t="s">
        <v>1397</v>
      </c>
      <c r="AR33" s="578" t="str">
        <f>IF('Lower Extremity-Left'!T177="","",'Lower Extremity-Left'!T177)</f>
        <v/>
      </c>
      <c r="AS33" s="578" t="str">
        <f>IF(AR33="","",ROUND(AR33,0))</f>
        <v/>
      </c>
      <c r="AT33" s="193">
        <f>IF(AS33="",0,VLOOKUP(AS33,$A$3:$AE$154,11))</f>
        <v>0</v>
      </c>
      <c r="AU33" s="62"/>
      <c r="AV33" s="14"/>
      <c r="AW33" s="14"/>
      <c r="AX33" s="14"/>
      <c r="AY33" s="14"/>
    </row>
    <row r="34" spans="1:51" x14ac:dyDescent="0.2">
      <c r="A34" s="50">
        <v>31</v>
      </c>
      <c r="B34" s="544"/>
      <c r="C34" s="544"/>
      <c r="D34" s="581">
        <v>0.13300000000000001</v>
      </c>
      <c r="E34" s="581">
        <v>0.753</v>
      </c>
      <c r="F34" s="544"/>
      <c r="G34" s="544"/>
      <c r="H34" s="581">
        <v>6.3E-2</v>
      </c>
      <c r="I34" s="581">
        <v>0.89200000000000002</v>
      </c>
      <c r="J34" s="544"/>
      <c r="K34" s="581"/>
      <c r="L34" s="147">
        <v>0.05</v>
      </c>
      <c r="M34" s="147">
        <v>0.01</v>
      </c>
      <c r="N34" s="544"/>
      <c r="O34" s="544"/>
      <c r="P34" s="544"/>
      <c r="Q34" s="147"/>
      <c r="R34" s="514"/>
      <c r="S34" s="147"/>
      <c r="T34" s="581">
        <v>3.5999999999999997E-2</v>
      </c>
      <c r="U34" s="581">
        <v>0.61</v>
      </c>
      <c r="V34" s="581">
        <v>0.28000000000000003</v>
      </c>
      <c r="W34" s="581">
        <v>0.41699999999999998</v>
      </c>
      <c r="X34" s="581">
        <v>0.71</v>
      </c>
      <c r="Y34" s="581">
        <v>0.18</v>
      </c>
      <c r="Z34" s="581">
        <v>0.11899999999999999</v>
      </c>
      <c r="AA34" s="581"/>
      <c r="AB34" s="581">
        <v>3.5999999999999997E-2</v>
      </c>
      <c r="AC34" s="581"/>
      <c r="AD34" s="581">
        <v>2.7E-2</v>
      </c>
      <c r="AE34" s="581">
        <v>4.8000000000000001E-2</v>
      </c>
      <c r="AF34" s="94"/>
      <c r="AG34" s="14"/>
      <c r="AH34" s="62"/>
      <c r="AI34" s="62"/>
      <c r="AJ34" s="14"/>
      <c r="AK34" s="62"/>
      <c r="AL34" s="14"/>
      <c r="AM34" s="14"/>
      <c r="AN34" s="14"/>
      <c r="AO34" s="14"/>
      <c r="AP34" s="14"/>
      <c r="AQ34" s="14"/>
      <c r="AR34" s="62"/>
      <c r="AS34" s="62"/>
      <c r="AT34" s="14"/>
      <c r="AU34" s="62"/>
      <c r="AV34" s="14"/>
      <c r="AW34" s="14"/>
      <c r="AX34" s="14"/>
      <c r="AY34" s="14"/>
    </row>
    <row r="35" spans="1:51" x14ac:dyDescent="0.2">
      <c r="A35" s="50">
        <v>32</v>
      </c>
      <c r="B35" s="544"/>
      <c r="C35" s="544"/>
      <c r="D35" s="581">
        <v>0.126</v>
      </c>
      <c r="E35" s="581">
        <v>0.76600000000000001</v>
      </c>
      <c r="F35" s="544"/>
      <c r="G35" s="544"/>
      <c r="H35" s="581">
        <v>5.6000000000000001E-2</v>
      </c>
      <c r="I35" s="581">
        <v>0.90400000000000003</v>
      </c>
      <c r="J35" s="544"/>
      <c r="K35" s="581"/>
      <c r="L35" s="147">
        <v>0.05</v>
      </c>
      <c r="M35" s="147">
        <v>0.01</v>
      </c>
      <c r="N35" s="544"/>
      <c r="O35" s="544"/>
      <c r="P35" s="544"/>
      <c r="Q35" s="147"/>
      <c r="R35" s="514"/>
      <c r="S35" s="147"/>
      <c r="T35" s="581">
        <v>3.2000000000000001E-2</v>
      </c>
      <c r="U35" s="581">
        <v>0.62</v>
      </c>
      <c r="V35" s="581">
        <v>0.28999999999999998</v>
      </c>
      <c r="W35" s="581">
        <v>0.41399999999999998</v>
      </c>
      <c r="X35" s="581">
        <v>0.72</v>
      </c>
      <c r="Y35" s="581">
        <v>0.19</v>
      </c>
      <c r="Z35" s="581">
        <v>0.11799999999999999</v>
      </c>
      <c r="AA35" s="581"/>
      <c r="AB35" s="581">
        <v>3.2000000000000001E-2</v>
      </c>
      <c r="AC35" s="581"/>
      <c r="AD35" s="581">
        <v>2.4E-2</v>
      </c>
      <c r="AE35" s="581">
        <v>4.5999999999999999E-2</v>
      </c>
      <c r="AF35" s="94"/>
      <c r="AG35" s="147" t="s">
        <v>657</v>
      </c>
      <c r="AH35" s="62"/>
      <c r="AI35" s="62"/>
      <c r="AJ35" s="14"/>
      <c r="AK35" s="62"/>
      <c r="AL35" s="14"/>
      <c r="AM35" s="14"/>
      <c r="AN35" s="14"/>
      <c r="AO35" s="14"/>
      <c r="AP35" s="14"/>
      <c r="AQ35" s="147" t="s">
        <v>657</v>
      </c>
      <c r="AR35" s="62"/>
      <c r="AS35" s="62"/>
      <c r="AT35" s="14"/>
      <c r="AU35" s="62"/>
      <c r="AV35" s="14"/>
      <c r="AW35" s="14"/>
      <c r="AX35" s="14"/>
      <c r="AY35" s="14"/>
    </row>
    <row r="36" spans="1:51" x14ac:dyDescent="0.2">
      <c r="A36" s="50">
        <v>33</v>
      </c>
      <c r="B36" s="544"/>
      <c r="C36" s="544"/>
      <c r="D36" s="581">
        <v>0.11899999999999999</v>
      </c>
      <c r="E36" s="581">
        <v>0.77900000000000003</v>
      </c>
      <c r="F36" s="544"/>
      <c r="G36" s="544"/>
      <c r="H36" s="581">
        <v>4.9000000000000002E-2</v>
      </c>
      <c r="I36" s="581">
        <v>0.91600000000000004</v>
      </c>
      <c r="J36" s="544"/>
      <c r="K36" s="581"/>
      <c r="L36" s="147">
        <v>0.05</v>
      </c>
      <c r="M36" s="147">
        <v>0.01</v>
      </c>
      <c r="N36" s="544"/>
      <c r="O36" s="544"/>
      <c r="P36" s="544"/>
      <c r="Q36" s="147"/>
      <c r="R36" s="514"/>
      <c r="S36" s="147"/>
      <c r="T36" s="581">
        <v>2.8000000000000001E-2</v>
      </c>
      <c r="U36" s="581">
        <v>0.63</v>
      </c>
      <c r="V36" s="581">
        <v>0.3</v>
      </c>
      <c r="W36" s="581">
        <v>0.41099999999999998</v>
      </c>
      <c r="X36" s="581">
        <v>0.73</v>
      </c>
      <c r="Y36" s="581">
        <v>0.2</v>
      </c>
      <c r="Z36" s="581">
        <v>0.11700000000000001</v>
      </c>
      <c r="AA36" s="581"/>
      <c r="AB36" s="581">
        <v>2.8000000000000001E-2</v>
      </c>
      <c r="AC36" s="581"/>
      <c r="AD36" s="581">
        <v>2.1000000000000001E-2</v>
      </c>
      <c r="AE36" s="581">
        <v>4.3999999999999997E-2</v>
      </c>
      <c r="AF36" s="94"/>
      <c r="AG36" s="256" t="s">
        <v>585</v>
      </c>
      <c r="AH36" s="594" t="str">
        <f>IF('Lower Extremity-Right'!T222="","",'Lower Extremity-Right'!T222)</f>
        <v/>
      </c>
      <c r="AI36" s="578" t="str">
        <f>IF(AH36="","",ROUND(AH36,0))</f>
        <v/>
      </c>
      <c r="AJ36" s="193">
        <f>IF(AI36="",0,VLOOKUP(AI36,$A$3:$AE$154,14))</f>
        <v>0</v>
      </c>
      <c r="AL36" s="147" t="s">
        <v>1565</v>
      </c>
      <c r="AM36" s="578" t="str">
        <f>IF('Lower Extremity-Right'!V222="","",'Lower Extremity-Right'!V222)</f>
        <v/>
      </c>
      <c r="AN36" s="578" t="str">
        <f>IF(AM36="","",ROUND(AM36,0))</f>
        <v/>
      </c>
      <c r="AO36" s="193">
        <f>IF(AN36="",0,VLOOKUP(AN36,$A$3:$AE$154,14))</f>
        <v>0</v>
      </c>
      <c r="AQ36" s="256" t="s">
        <v>585</v>
      </c>
      <c r="AR36" s="578" t="str">
        <f>IF('Lower Extremity-Left'!T222="","",'Lower Extremity-Left'!T222)</f>
        <v/>
      </c>
      <c r="AS36" s="578" t="str">
        <f>IF(AR36="","",ROUND(AR36,0))</f>
        <v/>
      </c>
      <c r="AT36" s="193">
        <f>IF(AS36="",0,VLOOKUP(AS36,$A$3:$AE$154,14))</f>
        <v>0</v>
      </c>
      <c r="AV36" s="147" t="s">
        <v>1565</v>
      </c>
      <c r="AW36" s="578" t="str">
        <f>IF('Lower Extremity-Left'!V222="","",'Lower Extremity-Left'!V222)</f>
        <v/>
      </c>
      <c r="AX36" s="578" t="str">
        <f>IF(AW36="","",ROUND(AW36,0))</f>
        <v/>
      </c>
      <c r="AY36" s="193">
        <f>IF(AX36="",0,VLOOKUP(AX36,$A$3:$AE$154,14))</f>
        <v>0</v>
      </c>
    </row>
    <row r="37" spans="1:51" x14ac:dyDescent="0.2">
      <c r="A37" s="50">
        <v>34</v>
      </c>
      <c r="B37" s="544"/>
      <c r="C37" s="544"/>
      <c r="D37" s="581">
        <v>0.112</v>
      </c>
      <c r="E37" s="581">
        <v>0.79200000000000004</v>
      </c>
      <c r="F37" s="544"/>
      <c r="G37" s="544"/>
      <c r="H37" s="581">
        <v>4.2000000000000003E-2</v>
      </c>
      <c r="I37" s="581">
        <v>0.92800000000000005</v>
      </c>
      <c r="J37" s="544"/>
      <c r="K37" s="581"/>
      <c r="L37" s="147">
        <v>0.05</v>
      </c>
      <c r="M37" s="147">
        <v>0.02</v>
      </c>
      <c r="N37" s="544"/>
      <c r="O37" s="544"/>
      <c r="P37" s="544"/>
      <c r="Q37" s="147"/>
      <c r="R37" s="514"/>
      <c r="S37" s="147"/>
      <c r="T37" s="581">
        <v>2.4E-2</v>
      </c>
      <c r="U37" s="581">
        <v>0.64</v>
      </c>
      <c r="V37" s="581">
        <v>0.31</v>
      </c>
      <c r="W37" s="581">
        <v>0.40799999999999997</v>
      </c>
      <c r="X37" s="581">
        <v>0.74</v>
      </c>
      <c r="Y37" s="581">
        <v>0.21</v>
      </c>
      <c r="Z37" s="581">
        <v>0.11600000000000001</v>
      </c>
      <c r="AA37" s="581"/>
      <c r="AB37" s="581">
        <v>2.4E-2</v>
      </c>
      <c r="AC37" s="581"/>
      <c r="AD37" s="581">
        <v>1.7999999999999999E-2</v>
      </c>
      <c r="AE37" s="581">
        <v>4.2000000000000003E-2</v>
      </c>
      <c r="AF37" s="94"/>
      <c r="AG37" s="256" t="s">
        <v>996</v>
      </c>
      <c r="AH37" s="594" t="str">
        <f>IF('Lower Extremity-Right'!T223="","",'Lower Extremity-Right'!T223)</f>
        <v/>
      </c>
      <c r="AI37" s="578" t="str">
        <f>IF(AH37="","",ROUND(AH37,0))</f>
        <v/>
      </c>
      <c r="AJ37" s="193">
        <f>IF(AI37="",0,VLOOKUP(AI37,$A$3:$AE$154,15))</f>
        <v>0</v>
      </c>
      <c r="AP37" s="14"/>
      <c r="AQ37" s="256" t="s">
        <v>996</v>
      </c>
      <c r="AR37" s="578" t="str">
        <f>IF('Lower Extremity-Left'!T223="","",'Lower Extremity-Left'!T223)</f>
        <v/>
      </c>
      <c r="AS37" s="578" t="str">
        <f>IF(AR37="","",ROUND(AR37,0))</f>
        <v/>
      </c>
      <c r="AT37" s="193">
        <f>IF(AS37="",0,VLOOKUP(AS37,$A$3:$AE$154,15))</f>
        <v>0</v>
      </c>
    </row>
    <row r="38" spans="1:51" x14ac:dyDescent="0.2">
      <c r="A38" s="50">
        <v>35</v>
      </c>
      <c r="B38" s="544"/>
      <c r="C38" s="544"/>
      <c r="D38" s="581">
        <v>0.105</v>
      </c>
      <c r="E38" s="581">
        <v>0.80500000000000005</v>
      </c>
      <c r="F38" s="544"/>
      <c r="G38" s="544"/>
      <c r="H38" s="581">
        <v>3.5000000000000003E-2</v>
      </c>
      <c r="I38" s="581">
        <v>0.94</v>
      </c>
      <c r="J38" s="544"/>
      <c r="K38" s="581"/>
      <c r="L38" s="147">
        <v>0.05</v>
      </c>
      <c r="M38" s="147">
        <v>0.02</v>
      </c>
      <c r="N38" s="544"/>
      <c r="O38" s="544"/>
      <c r="P38" s="544"/>
      <c r="Q38" s="147"/>
      <c r="R38" s="514"/>
      <c r="S38" s="147"/>
      <c r="T38" s="581">
        <v>0.02</v>
      </c>
      <c r="U38" s="581">
        <v>0.65</v>
      </c>
      <c r="V38" s="581">
        <v>0.32</v>
      </c>
      <c r="W38" s="581">
        <v>0.40500000000000003</v>
      </c>
      <c r="X38" s="581">
        <v>0.75</v>
      </c>
      <c r="Y38" s="581">
        <v>0.22</v>
      </c>
      <c r="Z38" s="581">
        <v>0.115</v>
      </c>
      <c r="AA38" s="581"/>
      <c r="AB38" s="581">
        <v>0.02</v>
      </c>
      <c r="AC38" s="581"/>
      <c r="AD38" s="581">
        <v>1.4999999999999999E-2</v>
      </c>
      <c r="AE38" s="581">
        <v>0.04</v>
      </c>
      <c r="AF38" s="94"/>
      <c r="AG38" s="256" t="s">
        <v>473</v>
      </c>
      <c r="AH38" s="594" t="str">
        <f>IF('Lower Extremity-Right'!T224="","",'Lower Extremity-Right'!T224)</f>
        <v/>
      </c>
      <c r="AI38" s="578" t="str">
        <f>IF(AH38="","",ROUND(AH38,0))</f>
        <v/>
      </c>
      <c r="AJ38" s="193">
        <f>IF(AI38="",0,VLOOKUP(AI38,$A$3:$AE$154,16))</f>
        <v>0</v>
      </c>
      <c r="AL38" s="147" t="s">
        <v>1565</v>
      </c>
      <c r="AM38" s="578" t="str">
        <f>IF('Lower Extremity-Right'!V224="","",'Lower Extremity-Right'!V224)</f>
        <v/>
      </c>
      <c r="AN38" s="578" t="str">
        <f>IF(AM38="","",ROUND(AM38,0))</f>
        <v/>
      </c>
      <c r="AO38" s="193">
        <f>IF(AN38="",0,VLOOKUP(AN38,$A$3:$AE$154,16))</f>
        <v>0</v>
      </c>
      <c r="AP38" s="14"/>
      <c r="AQ38" s="256" t="s">
        <v>473</v>
      </c>
      <c r="AR38" s="578" t="str">
        <f>IF('Lower Extremity-Left'!T224="","",'Lower Extremity-Left'!T224)</f>
        <v/>
      </c>
      <c r="AS38" s="578" t="str">
        <f>IF(AR38="","",ROUND(AR38,0))</f>
        <v/>
      </c>
      <c r="AT38" s="193">
        <f>IF(AS38="",0,VLOOKUP(AS38,$A$3:$AE$154,16))</f>
        <v>0</v>
      </c>
      <c r="AV38" s="147" t="s">
        <v>1565</v>
      </c>
      <c r="AW38" s="578" t="str">
        <f>IF('Lower Extremity-Left'!V224="","",'Lower Extremity-Left'!V224)</f>
        <v/>
      </c>
      <c r="AX38" s="578" t="str">
        <f>IF(AW38="","",ROUND(AW38,0))</f>
        <v/>
      </c>
      <c r="AY38" s="193">
        <f>IF(AX38="",0,VLOOKUP(AX38,$A$3:$AE$154,16))</f>
        <v>0</v>
      </c>
    </row>
    <row r="39" spans="1:51" x14ac:dyDescent="0.2">
      <c r="A39" s="50">
        <v>36</v>
      </c>
      <c r="B39" s="544"/>
      <c r="C39" s="544"/>
      <c r="D39" s="581">
        <v>9.8000000000000004E-2</v>
      </c>
      <c r="E39" s="581">
        <v>0.81799999999999995</v>
      </c>
      <c r="F39" s="544"/>
      <c r="G39" s="544"/>
      <c r="H39" s="581">
        <v>2.8000000000000001E-2</v>
      </c>
      <c r="I39" s="581">
        <v>0.95199999999999996</v>
      </c>
      <c r="J39" s="544"/>
      <c r="K39" s="581"/>
      <c r="L39" s="147">
        <v>0.06</v>
      </c>
      <c r="M39" s="147">
        <v>0.02</v>
      </c>
      <c r="N39" s="544"/>
      <c r="O39" s="544"/>
      <c r="P39" s="544"/>
      <c r="Q39" s="147"/>
      <c r="R39" s="514"/>
      <c r="S39" s="147"/>
      <c r="T39" s="581">
        <v>1.6E-2</v>
      </c>
      <c r="U39" s="581">
        <v>0.66</v>
      </c>
      <c r="V39" s="581">
        <v>0.32</v>
      </c>
      <c r="W39" s="581">
        <v>0.40200000000000002</v>
      </c>
      <c r="X39" s="581">
        <v>0.76</v>
      </c>
      <c r="Y39" s="581">
        <v>0.23</v>
      </c>
      <c r="Z39" s="581">
        <v>0.114</v>
      </c>
      <c r="AA39" s="581"/>
      <c r="AB39" s="581">
        <v>1.6E-2</v>
      </c>
      <c r="AC39" s="581"/>
      <c r="AD39" s="581">
        <v>1.2E-2</v>
      </c>
      <c r="AE39" s="581">
        <v>3.7999999999999999E-2</v>
      </c>
      <c r="AF39" s="94"/>
      <c r="AG39" s="256" t="s">
        <v>997</v>
      </c>
      <c r="AH39" s="594" t="str">
        <f>IF('Lower Extremity-Right'!T225="","",'Lower Extremity-Right'!T225)</f>
        <v/>
      </c>
      <c r="AI39" s="578" t="str">
        <f>IF(AH39="","",ROUND(AH39,0))</f>
        <v/>
      </c>
      <c r="AJ39" s="193">
        <f>IF(AI39="",0,VLOOKUP(AI39,$A$3:$AE$154,17))</f>
        <v>0</v>
      </c>
      <c r="AM39" s="14"/>
      <c r="AN39" s="14"/>
      <c r="AO39" s="14"/>
      <c r="AP39" s="14"/>
      <c r="AQ39" s="256" t="s">
        <v>997</v>
      </c>
      <c r="AR39" s="578" t="str">
        <f>IF('Lower Extremity-Left'!T225="","",'Lower Extremity-Left'!T225)</f>
        <v/>
      </c>
      <c r="AS39" s="578" t="str">
        <f>IF(AR39="","",ROUND(AR39,0))</f>
        <v/>
      </c>
      <c r="AT39" s="193">
        <f>IF(AS39="",0,VLOOKUP(AS39,$A$3:$AE$154,17))</f>
        <v>0</v>
      </c>
      <c r="AW39" s="14"/>
      <c r="AX39" s="14"/>
      <c r="AY39" s="14"/>
    </row>
    <row r="40" spans="1:51" x14ac:dyDescent="0.2">
      <c r="A40" s="50">
        <v>37</v>
      </c>
      <c r="B40" s="544"/>
      <c r="C40" s="544"/>
      <c r="D40" s="581">
        <v>9.0999999999999998E-2</v>
      </c>
      <c r="E40" s="581">
        <v>0.83099999999999996</v>
      </c>
      <c r="F40" s="544"/>
      <c r="G40" s="544"/>
      <c r="H40" s="581">
        <v>2.1000000000000001E-2</v>
      </c>
      <c r="I40" s="581">
        <v>0.96399999999999997</v>
      </c>
      <c r="J40" s="544"/>
      <c r="K40" s="581"/>
      <c r="L40" s="147">
        <v>0.06</v>
      </c>
      <c r="M40" s="147">
        <v>0.02</v>
      </c>
      <c r="N40" s="544"/>
      <c r="O40" s="544"/>
      <c r="P40" s="544"/>
      <c r="Q40" s="147"/>
      <c r="R40" s="514"/>
      <c r="S40" s="147"/>
      <c r="T40" s="581">
        <v>1.2E-2</v>
      </c>
      <c r="U40" s="581">
        <v>0.67</v>
      </c>
      <c r="V40" s="581">
        <v>0.33</v>
      </c>
      <c r="W40" s="581">
        <v>0.39900000000000002</v>
      </c>
      <c r="X40" s="581">
        <v>0.77</v>
      </c>
      <c r="Y40" s="581">
        <v>0.24</v>
      </c>
      <c r="Z40" s="581">
        <v>0.113</v>
      </c>
      <c r="AA40" s="581"/>
      <c r="AB40" s="581">
        <v>1.2E-2</v>
      </c>
      <c r="AC40" s="581"/>
      <c r="AD40" s="581">
        <v>8.9999999999999993E-3</v>
      </c>
      <c r="AE40" s="581">
        <v>3.5999999999999997E-2</v>
      </c>
      <c r="AF40" s="94"/>
      <c r="AL40" s="14"/>
      <c r="AM40" s="14"/>
      <c r="AN40" s="14"/>
      <c r="AO40" s="14"/>
      <c r="AP40" s="14"/>
      <c r="AV40" s="14"/>
      <c r="AW40" s="14"/>
      <c r="AX40" s="14"/>
      <c r="AY40" s="14"/>
    </row>
    <row r="41" spans="1:51" x14ac:dyDescent="0.2">
      <c r="A41" s="50">
        <v>38</v>
      </c>
      <c r="B41" s="544"/>
      <c r="C41" s="544"/>
      <c r="D41" s="581">
        <v>8.4000000000000005E-2</v>
      </c>
      <c r="E41" s="581">
        <v>0.84399999999999997</v>
      </c>
      <c r="F41" s="544"/>
      <c r="G41" s="544"/>
      <c r="H41" s="581">
        <v>1.4E-2</v>
      </c>
      <c r="I41" s="581">
        <v>0.97599999999999998</v>
      </c>
      <c r="J41" s="544"/>
      <c r="K41" s="581"/>
      <c r="L41" s="147">
        <v>0.06</v>
      </c>
      <c r="M41" s="147">
        <v>0.02</v>
      </c>
      <c r="N41" s="544"/>
      <c r="O41" s="544"/>
      <c r="P41" s="544"/>
      <c r="Q41" s="147"/>
      <c r="R41" s="514"/>
      <c r="S41" s="147"/>
      <c r="T41" s="581">
        <v>8.0000000000000002E-3</v>
      </c>
      <c r="U41" s="581">
        <v>0.68</v>
      </c>
      <c r="V41" s="581">
        <v>0.34</v>
      </c>
      <c r="W41" s="581">
        <v>0.39600000000000002</v>
      </c>
      <c r="X41" s="581">
        <v>0.78</v>
      </c>
      <c r="Y41" s="581">
        <v>0.25</v>
      </c>
      <c r="Z41" s="581">
        <v>0.112</v>
      </c>
      <c r="AA41" s="581"/>
      <c r="AB41" s="581">
        <v>8.0000000000000002E-3</v>
      </c>
      <c r="AC41" s="581"/>
      <c r="AD41" s="581">
        <v>6.0000000000000001E-3</v>
      </c>
      <c r="AE41" s="581">
        <v>3.4000000000000002E-2</v>
      </c>
      <c r="AF41" s="94"/>
      <c r="AG41" s="256" t="s">
        <v>1693</v>
      </c>
      <c r="AK41" s="62"/>
      <c r="AL41" s="14"/>
      <c r="AM41" s="14"/>
      <c r="AN41" s="14"/>
      <c r="AO41" s="14"/>
      <c r="AP41" s="14"/>
      <c r="AQ41" s="256" t="s">
        <v>1693</v>
      </c>
      <c r="AU41" s="62"/>
      <c r="AV41" s="14"/>
      <c r="AW41" s="14"/>
      <c r="AX41" s="14"/>
      <c r="AY41" s="14"/>
    </row>
    <row r="42" spans="1:51" x14ac:dyDescent="0.2">
      <c r="A42" s="50">
        <v>39</v>
      </c>
      <c r="B42" s="544"/>
      <c r="C42" s="544"/>
      <c r="D42" s="581">
        <v>7.6999999999999999E-2</v>
      </c>
      <c r="E42" s="581">
        <v>0.85699999999999998</v>
      </c>
      <c r="F42" s="544"/>
      <c r="G42" s="544"/>
      <c r="H42" s="581">
        <v>7.0000000000000001E-3</v>
      </c>
      <c r="I42" s="581">
        <v>0.98799999999999999</v>
      </c>
      <c r="J42" s="544"/>
      <c r="K42" s="581"/>
      <c r="L42" s="147">
        <v>0.06</v>
      </c>
      <c r="M42" s="147">
        <v>0.02</v>
      </c>
      <c r="N42" s="544"/>
      <c r="O42" s="544"/>
      <c r="P42" s="544"/>
      <c r="Q42" s="147"/>
      <c r="R42" s="514"/>
      <c r="S42" s="147"/>
      <c r="T42" s="581">
        <v>4.0000000000000001E-3</v>
      </c>
      <c r="U42" s="581">
        <v>0.69</v>
      </c>
      <c r="V42" s="581">
        <v>0.35</v>
      </c>
      <c r="W42" s="581">
        <v>0.39300000000000002</v>
      </c>
      <c r="X42" s="670">
        <v>0.79</v>
      </c>
      <c r="Y42" s="581">
        <v>0.26</v>
      </c>
      <c r="Z42" s="581">
        <v>0.111</v>
      </c>
      <c r="AA42" s="581"/>
      <c r="AB42" s="581">
        <v>4.0000000000000001E-3</v>
      </c>
      <c r="AC42" s="581"/>
      <c r="AD42" s="581">
        <v>3.0000000000000001E-3</v>
      </c>
      <c r="AE42" s="581">
        <v>3.2000000000000001E-2</v>
      </c>
      <c r="AF42" s="94"/>
      <c r="AG42" s="256" t="s">
        <v>1312</v>
      </c>
      <c r="AH42" s="594" t="str">
        <f>IF('Lower Extremity-Right'!T228="","",'Lower Extremity-Right'!T228)</f>
        <v/>
      </c>
      <c r="AI42" s="578" t="str">
        <f>IF(AH42="","",ROUND(AH42,0))</f>
        <v/>
      </c>
      <c r="AJ42" s="193">
        <f>IF(AI42="",0,VLOOKUP(AI42,$A$3:$AE$154,18))</f>
        <v>0</v>
      </c>
      <c r="AK42" s="62"/>
      <c r="AL42" s="147" t="s">
        <v>1565</v>
      </c>
      <c r="AM42" s="578" t="str">
        <f>IF('Lower Extremity-Right'!V228="","",'Lower Extremity-Right'!V228)</f>
        <v/>
      </c>
      <c r="AN42" s="578" t="str">
        <f>IF(AM42="","",ROUND(AM42,0))</f>
        <v/>
      </c>
      <c r="AO42" s="193">
        <f>IF(AN42="",0,VLOOKUP(AN42,$A$3:$AE$154,18))</f>
        <v>0</v>
      </c>
      <c r="AP42" s="14"/>
      <c r="AQ42" s="256" t="s">
        <v>1312</v>
      </c>
      <c r="AR42" s="578" t="str">
        <f>IF('Lower Extremity-Left'!T228="","",'Lower Extremity-Left'!T228)</f>
        <v/>
      </c>
      <c r="AS42" s="578" t="str">
        <f>IF(AR42="","",ROUND(AR42,0))</f>
        <v/>
      </c>
      <c r="AT42" s="193">
        <f>IF(AS42="",0,VLOOKUP(AS42,$A$3:$AE$154,18))</f>
        <v>0</v>
      </c>
      <c r="AU42" s="62"/>
      <c r="AV42" s="147" t="s">
        <v>1565</v>
      </c>
      <c r="AW42" s="578" t="str">
        <f>IF('Lower Extremity-Left'!V228="","",'Lower Extremity-Left'!V228)</f>
        <v/>
      </c>
      <c r="AX42" s="578" t="str">
        <f>IF(AW42="","",ROUND(AW42,0))</f>
        <v/>
      </c>
      <c r="AY42" s="193">
        <f>IF(AX42="",0,VLOOKUP(AX42,$A$3:$AE$154,18))</f>
        <v>0</v>
      </c>
    </row>
    <row r="43" spans="1:51" x14ac:dyDescent="0.2">
      <c r="A43" s="50">
        <v>40</v>
      </c>
      <c r="B43" s="544"/>
      <c r="C43" s="544"/>
      <c r="D43" s="581">
        <v>7.0000000000000007E-2</v>
      </c>
      <c r="E43" s="581">
        <v>0.87</v>
      </c>
      <c r="F43" s="544"/>
      <c r="G43" s="544"/>
      <c r="H43" s="581">
        <v>0</v>
      </c>
      <c r="I43" s="581">
        <v>1</v>
      </c>
      <c r="J43" s="544"/>
      <c r="K43" s="581"/>
      <c r="L43" s="147">
        <v>0.06</v>
      </c>
      <c r="M43" s="147">
        <v>0.02</v>
      </c>
      <c r="N43" s="544"/>
      <c r="O43" s="544"/>
      <c r="P43" s="544"/>
      <c r="Q43" s="147"/>
      <c r="R43" s="514"/>
      <c r="S43" s="147"/>
      <c r="T43" s="581">
        <v>0</v>
      </c>
      <c r="U43" s="581">
        <v>0.7</v>
      </c>
      <c r="V43" s="581">
        <v>0.36</v>
      </c>
      <c r="W43" s="581">
        <v>0.39</v>
      </c>
      <c r="X43" s="670">
        <v>0.8</v>
      </c>
      <c r="Y43" s="581">
        <v>0.27</v>
      </c>
      <c r="Z43" s="581">
        <v>0.11</v>
      </c>
      <c r="AA43" s="581"/>
      <c r="AB43" s="581">
        <v>0</v>
      </c>
      <c r="AC43" s="581"/>
      <c r="AD43" s="581">
        <v>0</v>
      </c>
      <c r="AE43" s="581">
        <v>0.03</v>
      </c>
      <c r="AF43" s="94"/>
      <c r="AG43" s="256" t="s">
        <v>998</v>
      </c>
      <c r="AH43" s="594" t="str">
        <f>IF('Lower Extremity-Right'!T229="","",'Lower Extremity-Right'!T229)</f>
        <v/>
      </c>
      <c r="AI43" s="578" t="str">
        <f>IF(AH43="","",ROUND(AH43,0))</f>
        <v/>
      </c>
      <c r="AJ43" s="193">
        <f>IF(AI43="",0,VLOOKUP(AI43,$A$3:$AE$154,19))</f>
        <v>0</v>
      </c>
      <c r="AK43" s="62"/>
      <c r="AL43" s="14"/>
      <c r="AM43" s="14"/>
      <c r="AN43" s="14"/>
      <c r="AO43" s="14"/>
      <c r="AP43" s="14"/>
      <c r="AQ43" s="256" t="s">
        <v>998</v>
      </c>
      <c r="AR43" s="578" t="str">
        <f>IF('Lower Extremity-Left'!T229="","",'Lower Extremity-Left'!T229)</f>
        <v/>
      </c>
      <c r="AS43" s="578" t="str">
        <f>IF(AR43="","",ROUND(AR43,0))</f>
        <v/>
      </c>
      <c r="AT43" s="193">
        <f>IF(AS43="",0,VLOOKUP(AS43,$A$3:$AE$154,19))</f>
        <v>0</v>
      </c>
      <c r="AU43" s="62"/>
      <c r="AV43" s="14"/>
      <c r="AW43" s="14"/>
      <c r="AX43" s="14"/>
      <c r="AY43" s="14"/>
    </row>
    <row r="44" spans="1:51" x14ac:dyDescent="0.2">
      <c r="A44" s="50">
        <v>41</v>
      </c>
      <c r="B44" s="544"/>
      <c r="C44" s="544"/>
      <c r="D44" s="581">
        <v>6.3E-2</v>
      </c>
      <c r="E44" s="581">
        <v>0.88300000000000001</v>
      </c>
      <c r="F44" s="544"/>
      <c r="G44" s="544"/>
      <c r="H44" s="544"/>
      <c r="I44" s="544"/>
      <c r="J44" s="544"/>
      <c r="K44" s="581"/>
      <c r="L44" s="147">
        <v>0.06</v>
      </c>
      <c r="M44" s="147">
        <v>0.02</v>
      </c>
      <c r="N44" s="544"/>
      <c r="O44" s="544"/>
      <c r="P44" s="544"/>
      <c r="Q44" s="147"/>
      <c r="R44" s="514"/>
      <c r="S44" s="147"/>
      <c r="T44" s="147"/>
      <c r="U44" s="147"/>
      <c r="V44" s="581">
        <v>0.37</v>
      </c>
      <c r="W44" s="581">
        <v>0.38600000000000001</v>
      </c>
      <c r="X44" s="670">
        <v>0.81</v>
      </c>
      <c r="Y44" s="581">
        <v>0.33300000000000002</v>
      </c>
      <c r="Z44" s="581">
        <v>0.108</v>
      </c>
      <c r="AA44" s="581"/>
      <c r="AB44" s="581"/>
      <c r="AC44" s="581"/>
      <c r="AD44" s="147"/>
      <c r="AE44" s="581">
        <v>2.7E-2</v>
      </c>
      <c r="AF44" s="94"/>
      <c r="AG44" s="272" t="s">
        <v>999</v>
      </c>
      <c r="AH44" s="594" t="str">
        <f>IF('Lower Extremity-Right'!T230="","",'Lower Extremity-Right'!T230)</f>
        <v/>
      </c>
      <c r="AI44" s="578" t="str">
        <f>IF(AH44="","",ROUND(AH44,0))</f>
        <v/>
      </c>
      <c r="AJ44" s="193">
        <f>IF(AI44="",0,VLOOKUP(AI44,$A$3:$AE$154,20))</f>
        <v>0</v>
      </c>
      <c r="AK44" s="62"/>
      <c r="AL44" s="147" t="s">
        <v>1565</v>
      </c>
      <c r="AM44" s="578" t="str">
        <f>IF('Lower Extremity-Right'!V230="","",'Lower Extremity-Right'!V230)</f>
        <v/>
      </c>
      <c r="AN44" s="578" t="str">
        <f>IF(AM44="","",ROUND(AM44,0))</f>
        <v/>
      </c>
      <c r="AO44" s="193">
        <f>IF(AN44="",0,VLOOKUP(AN44,$A$3:$AE$154,20))</f>
        <v>0</v>
      </c>
      <c r="AP44" s="14"/>
      <c r="AQ44" s="272" t="s">
        <v>999</v>
      </c>
      <c r="AR44" s="578" t="str">
        <f>IF('Lower Extremity-Left'!T230="","",'Lower Extremity-Left'!T230)</f>
        <v/>
      </c>
      <c r="AS44" s="578" t="str">
        <f>IF(AR44="","",ROUND(AR44,0))</f>
        <v/>
      </c>
      <c r="AT44" s="193">
        <f>IF(AS44="",0,VLOOKUP(AS44,$A$3:$AE$154,20))</f>
        <v>0</v>
      </c>
      <c r="AU44" s="62"/>
      <c r="AV44" s="147" t="s">
        <v>1565</v>
      </c>
      <c r="AW44" s="578" t="str">
        <f>IF('Lower Extremity-Left'!V230="","",'Lower Extremity-Left'!V230)</f>
        <v/>
      </c>
      <c r="AX44" s="578" t="str">
        <f>IF(AW44="","",ROUND(AW44,0))</f>
        <v/>
      </c>
      <c r="AY44" s="193">
        <f>IF(AX44="",0,VLOOKUP(AX44,$A$3:$AE$154,20))</f>
        <v>0</v>
      </c>
    </row>
    <row r="45" spans="1:51" x14ac:dyDescent="0.2">
      <c r="A45" s="50">
        <v>42</v>
      </c>
      <c r="B45" s="544"/>
      <c r="C45" s="544"/>
      <c r="D45" s="581">
        <v>5.6000000000000001E-2</v>
      </c>
      <c r="E45" s="581">
        <v>0.89600000000000002</v>
      </c>
      <c r="F45" s="544"/>
      <c r="G45" s="544"/>
      <c r="H45" s="544"/>
      <c r="I45" s="544"/>
      <c r="J45" s="544"/>
      <c r="K45" s="581"/>
      <c r="L45" s="147">
        <v>0.06</v>
      </c>
      <c r="M45" s="147">
        <v>0.02</v>
      </c>
      <c r="N45" s="544"/>
      <c r="O45" s="544"/>
      <c r="P45" s="544"/>
      <c r="Q45" s="147"/>
      <c r="R45" s="514"/>
      <c r="S45" s="147"/>
      <c r="T45" s="147"/>
      <c r="U45" s="147"/>
      <c r="V45" s="581">
        <v>0.38</v>
      </c>
      <c r="W45" s="581">
        <v>0.38200000000000001</v>
      </c>
      <c r="X45" s="670">
        <v>0.82</v>
      </c>
      <c r="Y45" s="581">
        <v>0.39600000000000002</v>
      </c>
      <c r="Z45" s="581">
        <v>0.106</v>
      </c>
      <c r="AA45" s="581"/>
      <c r="AB45" s="581"/>
      <c r="AC45" s="581"/>
      <c r="AD45" s="147"/>
      <c r="AE45" s="581">
        <v>2.4E-2</v>
      </c>
      <c r="AF45" s="94"/>
      <c r="AG45" s="272" t="s">
        <v>1000</v>
      </c>
      <c r="AH45" s="594" t="str">
        <f>IF('Lower Extremity-Right'!T231="","",'Lower Extremity-Right'!T231)</f>
        <v/>
      </c>
      <c r="AI45" s="578" t="str">
        <f>IF(AH45="","",ROUND(AH45,0))</f>
        <v/>
      </c>
      <c r="AJ45" s="193">
        <f>IF(AI45="",0,VLOOKUP(AI45,$A$3:$AE$154,21))</f>
        <v>0</v>
      </c>
      <c r="AK45" s="62"/>
      <c r="AL45" s="14"/>
      <c r="AM45" s="14"/>
      <c r="AN45" s="14"/>
      <c r="AO45" s="14"/>
      <c r="AP45" s="14"/>
      <c r="AQ45" s="272" t="s">
        <v>1000</v>
      </c>
      <c r="AR45" s="578" t="str">
        <f>IF('Lower Extremity-Left'!T231="","",'Lower Extremity-Left'!T231)</f>
        <v/>
      </c>
      <c r="AS45" s="578" t="str">
        <f>IF(AR45="","",ROUND(AR45,0))</f>
        <v/>
      </c>
      <c r="AT45" s="193">
        <f>IF(AS45="",0,VLOOKUP(AS45,$A$3:$AE$154,21))</f>
        <v>0</v>
      </c>
      <c r="AU45" s="62"/>
      <c r="AV45" s="14"/>
      <c r="AW45" s="14"/>
      <c r="AX45" s="14"/>
      <c r="AY45" s="14"/>
    </row>
    <row r="46" spans="1:51" x14ac:dyDescent="0.2">
      <c r="A46" s="50">
        <v>43</v>
      </c>
      <c r="B46" s="544"/>
      <c r="C46" s="544"/>
      <c r="D46" s="581">
        <v>4.9000000000000002E-2</v>
      </c>
      <c r="E46" s="581">
        <v>0.90900000000000003</v>
      </c>
      <c r="F46" s="544"/>
      <c r="G46" s="544"/>
      <c r="H46" s="544"/>
      <c r="I46" s="544"/>
      <c r="J46" s="544"/>
      <c r="K46" s="581"/>
      <c r="L46" s="147">
        <v>7.0000000000000007E-2</v>
      </c>
      <c r="M46" s="147">
        <v>0.02</v>
      </c>
      <c r="N46" s="544"/>
      <c r="O46" s="544"/>
      <c r="P46" s="544"/>
      <c r="Q46" s="147"/>
      <c r="R46" s="514"/>
      <c r="S46" s="147"/>
      <c r="T46" s="147"/>
      <c r="U46" s="147"/>
      <c r="V46" s="581">
        <v>0.39</v>
      </c>
      <c r="W46" s="581">
        <v>0.378</v>
      </c>
      <c r="X46" s="670">
        <v>0.83</v>
      </c>
      <c r="Y46" s="581">
        <v>0.45900000000000002</v>
      </c>
      <c r="Z46" s="581">
        <v>0.104</v>
      </c>
      <c r="AA46" s="581"/>
      <c r="AB46" s="581"/>
      <c r="AC46" s="581"/>
      <c r="AD46" s="147"/>
      <c r="AE46" s="581">
        <v>2.1000000000000001E-2</v>
      </c>
      <c r="AF46" s="94"/>
      <c r="AG46" s="14"/>
      <c r="AH46" s="62"/>
      <c r="AI46" s="62"/>
      <c r="AJ46" s="14"/>
      <c r="AK46" s="62"/>
      <c r="AL46" s="14"/>
      <c r="AM46" s="14"/>
      <c r="AN46" s="14"/>
      <c r="AO46" s="14"/>
      <c r="AP46" s="14"/>
      <c r="AQ46" s="14"/>
      <c r="AR46" s="62"/>
      <c r="AS46" s="62"/>
      <c r="AT46" s="14"/>
      <c r="AU46" s="62"/>
      <c r="AV46" s="14"/>
      <c r="AW46" s="14"/>
      <c r="AX46" s="14"/>
      <c r="AY46" s="14"/>
    </row>
    <row r="47" spans="1:51" x14ac:dyDescent="0.2">
      <c r="A47" s="50">
        <v>44</v>
      </c>
      <c r="B47" s="544"/>
      <c r="C47" s="544"/>
      <c r="D47" s="581">
        <v>4.2000000000000003E-2</v>
      </c>
      <c r="E47" s="581">
        <v>0.92200000000000004</v>
      </c>
      <c r="F47" s="544"/>
      <c r="G47" s="544"/>
      <c r="H47" s="544"/>
      <c r="I47" s="544"/>
      <c r="J47" s="544"/>
      <c r="K47" s="581"/>
      <c r="L47" s="147">
        <v>7.0000000000000007E-2</v>
      </c>
      <c r="M47" s="147">
        <v>0.02</v>
      </c>
      <c r="N47" s="544"/>
      <c r="O47" s="544"/>
      <c r="P47" s="544"/>
      <c r="Q47" s="147"/>
      <c r="R47" s="514"/>
      <c r="S47" s="147"/>
      <c r="T47" s="147"/>
      <c r="U47" s="147"/>
      <c r="V47" s="581">
        <v>0.4</v>
      </c>
      <c r="W47" s="581">
        <v>0.374</v>
      </c>
      <c r="X47" s="670">
        <v>0.84</v>
      </c>
      <c r="Y47" s="581">
        <v>0.52200000000000002</v>
      </c>
      <c r="Z47" s="581">
        <v>0.10199999999999999</v>
      </c>
      <c r="AA47" s="581"/>
      <c r="AB47" s="581"/>
      <c r="AC47" s="581"/>
      <c r="AD47" s="147"/>
      <c r="AE47" s="581">
        <v>1.7999999999999999E-2</v>
      </c>
      <c r="AF47" s="94"/>
      <c r="AG47" s="147" t="s">
        <v>1402</v>
      </c>
      <c r="AH47" s="62"/>
      <c r="AI47" s="62"/>
      <c r="AJ47" s="14"/>
      <c r="AK47" s="62"/>
      <c r="AL47" s="14"/>
      <c r="AM47" s="14"/>
      <c r="AN47" s="14"/>
      <c r="AO47" s="14"/>
      <c r="AP47" s="14"/>
      <c r="AQ47" s="147" t="s">
        <v>1402</v>
      </c>
      <c r="AR47" s="62"/>
      <c r="AS47" s="62"/>
      <c r="AT47" s="14"/>
      <c r="AU47" s="62"/>
      <c r="AV47" s="14"/>
      <c r="AW47" s="14"/>
      <c r="AX47" s="14"/>
      <c r="AY47" s="14"/>
    </row>
    <row r="48" spans="1:51" x14ac:dyDescent="0.2">
      <c r="A48" s="50">
        <v>45</v>
      </c>
      <c r="B48" s="544"/>
      <c r="C48" s="544"/>
      <c r="D48" s="581">
        <v>3.5000000000000003E-2</v>
      </c>
      <c r="E48" s="581">
        <v>0.93500000000000005</v>
      </c>
      <c r="F48" s="544"/>
      <c r="G48" s="544"/>
      <c r="H48" s="544"/>
      <c r="I48" s="544"/>
      <c r="J48" s="544"/>
      <c r="K48" s="581"/>
      <c r="L48" s="147">
        <v>7.0000000000000007E-2</v>
      </c>
      <c r="M48" s="147">
        <v>0.02</v>
      </c>
      <c r="N48" s="544"/>
      <c r="O48" s="544"/>
      <c r="P48" s="544"/>
      <c r="Q48" s="147"/>
      <c r="R48" s="514"/>
      <c r="S48" s="147"/>
      <c r="T48" s="147"/>
      <c r="U48" s="147"/>
      <c r="V48" s="581">
        <v>0.41</v>
      </c>
      <c r="W48" s="581">
        <v>0.37</v>
      </c>
      <c r="X48" s="670">
        <v>0.85</v>
      </c>
      <c r="Y48" s="581">
        <v>0.58499999999999996</v>
      </c>
      <c r="Z48" s="581">
        <v>0.1</v>
      </c>
      <c r="AA48" s="581"/>
      <c r="AB48" s="581"/>
      <c r="AC48" s="581"/>
      <c r="AD48" s="147"/>
      <c r="AE48" s="581">
        <v>1.4999999999999999E-2</v>
      </c>
      <c r="AF48" s="94"/>
      <c r="AG48" s="147" t="s">
        <v>1145</v>
      </c>
      <c r="AH48" s="677">
        <f>IF('Lower Extremity-Right'!C269="","",'Lower Extremity-Right'!C269*100)</f>
        <v>0</v>
      </c>
      <c r="AI48" s="578">
        <f>IF(AH48="","",ROUND(AH48,0))</f>
        <v>0</v>
      </c>
      <c r="AJ48" s="581">
        <f>IF(AI48="",0,VLOOKUP(AI48,$A$3:$AE$154,12))</f>
        <v>0</v>
      </c>
      <c r="AK48" s="62"/>
      <c r="AL48" s="14"/>
      <c r="AM48" s="14"/>
      <c r="AN48" s="14"/>
      <c r="AO48" s="14"/>
      <c r="AP48" s="14"/>
      <c r="AQ48" s="147" t="s">
        <v>1145</v>
      </c>
      <c r="AR48" s="571">
        <f>IF('Lower Extremity-Left'!C269="","",'Lower Extremity-Left'!C269*100)</f>
        <v>0</v>
      </c>
      <c r="AS48" s="578">
        <f>IF(AR48="","",ROUND(AR48,0))</f>
        <v>0</v>
      </c>
      <c r="AT48" s="581">
        <f>IF(AS48="",0,VLOOKUP(AS48,$A$3:$AE$154,12))</f>
        <v>0</v>
      </c>
      <c r="AU48" s="62"/>
      <c r="AV48" s="14"/>
      <c r="AW48" s="14"/>
      <c r="AX48" s="14"/>
      <c r="AY48" s="14"/>
    </row>
    <row r="49" spans="1:51" x14ac:dyDescent="0.2">
      <c r="A49" s="50">
        <v>46</v>
      </c>
      <c r="B49" s="544"/>
      <c r="C49" s="544"/>
      <c r="D49" s="581">
        <v>2.8000000000000001E-2</v>
      </c>
      <c r="E49" s="581">
        <v>0.94799999999999995</v>
      </c>
      <c r="F49" s="544"/>
      <c r="G49" s="544"/>
      <c r="H49" s="544"/>
      <c r="I49" s="544"/>
      <c r="J49" s="544"/>
      <c r="K49" s="581"/>
      <c r="L49" s="147">
        <v>7.0000000000000007E-2</v>
      </c>
      <c r="M49" s="147">
        <v>0.02</v>
      </c>
      <c r="N49" s="544"/>
      <c r="O49" s="544"/>
      <c r="P49" s="544"/>
      <c r="Q49" s="147"/>
      <c r="R49" s="514"/>
      <c r="S49" s="147"/>
      <c r="T49" s="147"/>
      <c r="U49" s="147"/>
      <c r="V49" s="581">
        <v>0.41</v>
      </c>
      <c r="W49" s="581">
        <v>0.36599999999999999</v>
      </c>
      <c r="X49" s="670">
        <v>0.86</v>
      </c>
      <c r="Y49" s="581">
        <v>0.64800000000000002</v>
      </c>
      <c r="Z49" s="581">
        <v>9.8000000000000004E-2</v>
      </c>
      <c r="AA49" s="581"/>
      <c r="AB49" s="581"/>
      <c r="AC49" s="581"/>
      <c r="AD49" s="147"/>
      <c r="AE49" s="581">
        <v>1.2E-2</v>
      </c>
      <c r="AF49" s="94"/>
      <c r="AG49" s="147" t="s">
        <v>847</v>
      </c>
      <c r="AH49" s="677">
        <f>IF('Lower Extremity-Right'!C270="","",'Lower Extremity-Right'!C270*100)</f>
        <v>0</v>
      </c>
      <c r="AI49" s="578">
        <f>IF(AH49="","",ROUND(AH49,0))</f>
        <v>0</v>
      </c>
      <c r="AJ49" s="581">
        <f>IF(AI49="",0,VLOOKUP(AI49,$A$3:$AE$154,13))</f>
        <v>0</v>
      </c>
      <c r="AK49" s="62"/>
      <c r="AL49" s="14"/>
      <c r="AM49" s="14"/>
      <c r="AN49" s="14"/>
      <c r="AO49" s="14"/>
      <c r="AP49" s="14"/>
      <c r="AQ49" s="147" t="s">
        <v>847</v>
      </c>
      <c r="AR49" s="571">
        <f>IF('Lower Extremity-Left'!C270="","",'Lower Extremity-Left'!C270*100)</f>
        <v>0</v>
      </c>
      <c r="AS49" s="578">
        <f>IF(AR49="","",ROUND(AR49,0))</f>
        <v>0</v>
      </c>
      <c r="AT49" s="581">
        <f>IF(AS49="",0,VLOOKUP(AS49,$A$3:$AE$154,13))</f>
        <v>0</v>
      </c>
      <c r="AU49" s="62"/>
      <c r="AV49" s="14"/>
      <c r="AW49" s="14"/>
      <c r="AX49" s="14"/>
      <c r="AY49" s="14"/>
    </row>
    <row r="50" spans="1:51" x14ac:dyDescent="0.2">
      <c r="A50" s="50">
        <v>47</v>
      </c>
      <c r="B50" s="544"/>
      <c r="C50" s="544"/>
      <c r="D50" s="581">
        <v>2.1000000000000001E-2</v>
      </c>
      <c r="E50" s="581">
        <v>0.96099999999999997</v>
      </c>
      <c r="F50" s="544"/>
      <c r="G50" s="544"/>
      <c r="H50" s="544"/>
      <c r="I50" s="544"/>
      <c r="J50" s="544"/>
      <c r="K50" s="581"/>
      <c r="L50" s="147">
        <v>7.0000000000000007E-2</v>
      </c>
      <c r="M50" s="147">
        <v>0.02</v>
      </c>
      <c r="N50" s="544"/>
      <c r="O50" s="544"/>
      <c r="P50" s="544"/>
      <c r="Q50" s="147"/>
      <c r="R50" s="514"/>
      <c r="S50" s="147"/>
      <c r="T50" s="147"/>
      <c r="U50" s="147"/>
      <c r="V50" s="581">
        <v>0.42</v>
      </c>
      <c r="W50" s="581">
        <v>0.36199999999999999</v>
      </c>
      <c r="X50" s="670">
        <v>0.87</v>
      </c>
      <c r="Y50" s="581">
        <v>0.71099999999999997</v>
      </c>
      <c r="Z50" s="581">
        <v>9.6000000000000002E-2</v>
      </c>
      <c r="AA50" s="581"/>
      <c r="AB50" s="581"/>
      <c r="AC50" s="581"/>
      <c r="AD50" s="147"/>
      <c r="AE50" s="581">
        <v>8.9999999999999993E-3</v>
      </c>
      <c r="AF50" s="94"/>
      <c r="AG50" s="147" t="s">
        <v>849</v>
      </c>
      <c r="AH50" s="677">
        <f>IF('Lower Extremity-Right'!C271="","",'Lower Extremity-Right'!C271*100)</f>
        <v>0</v>
      </c>
      <c r="AI50" s="578">
        <f>IF(AH50="","",ROUND(AH50,0))</f>
        <v>0</v>
      </c>
      <c r="AJ50" s="581">
        <f>IF(AI50="",0,VLOOKUP(AI50,$A$3:$AE$154,13))</f>
        <v>0</v>
      </c>
      <c r="AK50" s="62"/>
      <c r="AL50" s="14"/>
      <c r="AM50" s="14"/>
      <c r="AN50" s="14"/>
      <c r="AO50" s="14"/>
      <c r="AP50" s="14"/>
      <c r="AQ50" s="147" t="s">
        <v>849</v>
      </c>
      <c r="AR50" s="571">
        <f>IF('Lower Extremity-Left'!C271="","",'Lower Extremity-Left'!C271*100)</f>
        <v>0</v>
      </c>
      <c r="AS50" s="578">
        <f>IF(AR50="","",ROUND(AR50,0))</f>
        <v>0</v>
      </c>
      <c r="AT50" s="581">
        <f>IF(AS50="",0,VLOOKUP(AS50,$A$3:$AE$154,13))</f>
        <v>0</v>
      </c>
      <c r="AU50" s="62"/>
      <c r="AV50" s="14"/>
      <c r="AW50" s="14"/>
      <c r="AX50" s="14"/>
      <c r="AY50" s="14"/>
    </row>
    <row r="51" spans="1:51" x14ac:dyDescent="0.2">
      <c r="A51" s="50">
        <v>48</v>
      </c>
      <c r="B51" s="544"/>
      <c r="C51" s="544"/>
      <c r="D51" s="581">
        <v>1.4E-2</v>
      </c>
      <c r="E51" s="581">
        <v>0.97399999999999998</v>
      </c>
      <c r="F51" s="544"/>
      <c r="G51" s="544"/>
      <c r="H51" s="544"/>
      <c r="I51" s="544"/>
      <c r="J51" s="544"/>
      <c r="K51" s="581"/>
      <c r="L51" s="147">
        <v>7.0000000000000007E-2</v>
      </c>
      <c r="M51" s="147">
        <v>0.02</v>
      </c>
      <c r="N51" s="544"/>
      <c r="O51" s="544"/>
      <c r="P51" s="544"/>
      <c r="Q51" s="147"/>
      <c r="R51" s="514"/>
      <c r="S51" s="147"/>
      <c r="T51" s="147"/>
      <c r="U51" s="147"/>
      <c r="V51" s="581">
        <v>0.43</v>
      </c>
      <c r="W51" s="581">
        <v>0.35799999999999998</v>
      </c>
      <c r="X51" s="670">
        <v>0.88</v>
      </c>
      <c r="Y51" s="581">
        <v>0.77400000000000002</v>
      </c>
      <c r="Z51" s="581">
        <v>9.4E-2</v>
      </c>
      <c r="AA51" s="581"/>
      <c r="AB51" s="581"/>
      <c r="AC51" s="581"/>
      <c r="AD51" s="147"/>
      <c r="AE51" s="581">
        <v>6.0000000000000001E-3</v>
      </c>
      <c r="AF51" s="94"/>
      <c r="AG51" s="147" t="s">
        <v>850</v>
      </c>
      <c r="AH51" s="677">
        <f>IF('Lower Extremity-Right'!C272="","",'Lower Extremity-Right'!C272*100)</f>
        <v>0</v>
      </c>
      <c r="AI51" s="578">
        <f>IF(AH51="","",ROUND(AH51,0))</f>
        <v>0</v>
      </c>
      <c r="AJ51" s="581">
        <f>IF(AI51="",0,VLOOKUP(AI51,$A$3:$AE$154,13))</f>
        <v>0</v>
      </c>
      <c r="AK51" s="62"/>
      <c r="AL51" s="14"/>
      <c r="AM51" s="14"/>
      <c r="AN51" s="14"/>
      <c r="AO51" s="14"/>
      <c r="AP51" s="14"/>
      <c r="AQ51" s="147" t="s">
        <v>850</v>
      </c>
      <c r="AR51" s="571">
        <f>IF('Lower Extremity-Left'!C272="","",'Lower Extremity-Left'!C272*100)</f>
        <v>0</v>
      </c>
      <c r="AS51" s="578">
        <f>IF(AR51="","",ROUND(AR51,0))</f>
        <v>0</v>
      </c>
      <c r="AT51" s="581">
        <f>IF(AS51="",0,VLOOKUP(AS51,$A$3:$AE$154,13))</f>
        <v>0</v>
      </c>
      <c r="AU51" s="62"/>
      <c r="AV51" s="14"/>
      <c r="AW51" s="14"/>
      <c r="AX51" s="14"/>
      <c r="AY51" s="14"/>
    </row>
    <row r="52" spans="1:51" x14ac:dyDescent="0.2">
      <c r="A52" s="50">
        <v>49</v>
      </c>
      <c r="B52" s="544"/>
      <c r="C52" s="544"/>
      <c r="D52" s="581">
        <v>7.0000000000000001E-3</v>
      </c>
      <c r="E52" s="581">
        <v>0.98699999999999999</v>
      </c>
      <c r="F52" s="544"/>
      <c r="G52" s="544"/>
      <c r="H52" s="544"/>
      <c r="I52" s="544"/>
      <c r="J52" s="544"/>
      <c r="K52" s="581"/>
      <c r="L52" s="147">
        <v>7.0000000000000007E-2</v>
      </c>
      <c r="M52" s="147">
        <v>0.02</v>
      </c>
      <c r="N52" s="544"/>
      <c r="O52" s="544"/>
      <c r="P52" s="544"/>
      <c r="Q52" s="147"/>
      <c r="R52" s="514"/>
      <c r="S52" s="147"/>
      <c r="T52" s="147"/>
      <c r="U52" s="147"/>
      <c r="V52" s="670">
        <v>0.44</v>
      </c>
      <c r="W52" s="581">
        <v>0.35399999999999998</v>
      </c>
      <c r="X52" s="670">
        <v>0.89</v>
      </c>
      <c r="Y52" s="581">
        <v>0.83699999999999997</v>
      </c>
      <c r="Z52" s="581">
        <v>9.1999999999999998E-2</v>
      </c>
      <c r="AA52" s="581"/>
      <c r="AB52" s="581"/>
      <c r="AC52" s="581"/>
      <c r="AD52" s="147"/>
      <c r="AE52" s="581">
        <v>3.0000000000000001E-3</v>
      </c>
      <c r="AF52" s="94"/>
      <c r="AG52" s="147" t="s">
        <v>851</v>
      </c>
      <c r="AH52" s="677">
        <f>IF('Lower Extremity-Right'!C273="","",'Lower Extremity-Right'!C273*100)</f>
        <v>0</v>
      </c>
      <c r="AI52" s="578">
        <f>IF(AH52="","",ROUND(AH52,0))</f>
        <v>0</v>
      </c>
      <c r="AJ52" s="581">
        <f>IF(AI52="",0,VLOOKUP(AI52,$A$3:$AE$154,13))</f>
        <v>0</v>
      </c>
      <c r="AK52" s="62"/>
      <c r="AL52" s="14"/>
      <c r="AM52" s="14"/>
      <c r="AN52" s="14"/>
      <c r="AO52" s="14"/>
      <c r="AP52" s="14"/>
      <c r="AQ52" s="147" t="s">
        <v>851</v>
      </c>
      <c r="AR52" s="571">
        <f>IF('Lower Extremity-Left'!C273="","",'Lower Extremity-Left'!C273*100)</f>
        <v>0</v>
      </c>
      <c r="AS52" s="578">
        <f>IF(AR52="","",ROUND(AR52,0))</f>
        <v>0</v>
      </c>
      <c r="AT52" s="581">
        <f>IF(AS52="",0,VLOOKUP(AS52,$A$3:$AE$154,13))</f>
        <v>0</v>
      </c>
      <c r="AU52" s="62"/>
      <c r="AV52" s="14"/>
      <c r="AW52" s="14"/>
      <c r="AX52" s="14"/>
      <c r="AY52" s="14"/>
    </row>
    <row r="53" spans="1:51" x14ac:dyDescent="0.2">
      <c r="A53" s="50">
        <v>50</v>
      </c>
      <c r="B53" s="544"/>
      <c r="C53" s="544"/>
      <c r="D53" s="581">
        <v>0</v>
      </c>
      <c r="E53" s="581">
        <v>1</v>
      </c>
      <c r="F53" s="544"/>
      <c r="G53" s="544"/>
      <c r="H53" s="544"/>
      <c r="I53" s="544"/>
      <c r="J53" s="544"/>
      <c r="K53" s="581"/>
      <c r="L53" s="147">
        <v>7.0000000000000007E-2</v>
      </c>
      <c r="M53" s="147">
        <v>0.02</v>
      </c>
      <c r="N53" s="544"/>
      <c r="O53" s="544"/>
      <c r="P53" s="544"/>
      <c r="Q53" s="147"/>
      <c r="R53" s="514"/>
      <c r="S53" s="147"/>
      <c r="T53" s="147"/>
      <c r="U53" s="147"/>
      <c r="V53" s="581">
        <v>0.45</v>
      </c>
      <c r="W53" s="581">
        <v>0.35</v>
      </c>
      <c r="X53" s="673">
        <v>0.9</v>
      </c>
      <c r="Y53" s="673">
        <v>0.9</v>
      </c>
      <c r="Z53" s="581">
        <v>0.09</v>
      </c>
      <c r="AA53" s="581"/>
      <c r="AB53" s="581"/>
      <c r="AC53" s="581"/>
      <c r="AD53" s="147"/>
      <c r="AE53" s="581">
        <v>0</v>
      </c>
      <c r="AF53" s="94"/>
      <c r="AG53" s="14"/>
      <c r="AH53" s="62"/>
      <c r="AI53" s="62"/>
      <c r="AJ53" s="14"/>
      <c r="AK53" s="62"/>
      <c r="AL53" s="14"/>
      <c r="AM53" s="14"/>
      <c r="AN53" s="14"/>
      <c r="AO53" s="14"/>
      <c r="AP53" s="14"/>
      <c r="AQ53" s="14"/>
      <c r="AR53" s="62"/>
      <c r="AS53" s="62"/>
      <c r="AT53" s="14"/>
      <c r="AU53" s="62"/>
      <c r="AV53" s="14"/>
      <c r="AW53" s="14"/>
      <c r="AX53" s="14"/>
      <c r="AY53" s="14"/>
    </row>
    <row r="54" spans="1:51" x14ac:dyDescent="0.2">
      <c r="A54" s="50">
        <v>51</v>
      </c>
      <c r="B54" s="544"/>
      <c r="C54" s="544"/>
      <c r="D54" s="544"/>
      <c r="E54" s="544"/>
      <c r="F54" s="544"/>
      <c r="G54" s="544"/>
      <c r="H54" s="544"/>
      <c r="I54" s="544"/>
      <c r="J54" s="544"/>
      <c r="K54" s="581"/>
      <c r="L54" s="147">
        <v>0.08</v>
      </c>
      <c r="M54" s="147">
        <v>0.02</v>
      </c>
      <c r="N54" s="544"/>
      <c r="O54" s="544"/>
      <c r="P54" s="544"/>
      <c r="Q54" s="147"/>
      <c r="R54" s="514"/>
      <c r="S54" s="147"/>
      <c r="T54" s="147"/>
      <c r="U54" s="147"/>
      <c r="V54" s="581">
        <v>0.46</v>
      </c>
      <c r="W54" s="581">
        <v>0.34699999999999998</v>
      </c>
      <c r="X54" s="673">
        <v>0.9</v>
      </c>
      <c r="Y54" s="673">
        <v>0.9</v>
      </c>
      <c r="Z54" s="581">
        <v>8.7999999999999995E-2</v>
      </c>
      <c r="AA54" s="581"/>
      <c r="AB54" s="581"/>
      <c r="AC54" s="581"/>
      <c r="AD54" s="147"/>
      <c r="AE54" s="581"/>
      <c r="AF54" s="94"/>
      <c r="AG54" s="256" t="s">
        <v>1694</v>
      </c>
      <c r="AK54" s="62"/>
      <c r="AL54" s="14"/>
      <c r="AM54" s="14"/>
      <c r="AN54" s="14"/>
      <c r="AO54" s="14"/>
      <c r="AP54" s="14"/>
      <c r="AQ54" s="256" t="s">
        <v>1694</v>
      </c>
      <c r="AU54" s="62"/>
      <c r="AV54" s="14"/>
      <c r="AW54" s="14"/>
      <c r="AX54" s="14"/>
      <c r="AY54" s="14"/>
    </row>
    <row r="55" spans="1:51" x14ac:dyDescent="0.2">
      <c r="A55" s="50">
        <v>52</v>
      </c>
      <c r="B55" s="544"/>
      <c r="C55" s="544"/>
      <c r="D55" s="544"/>
      <c r="E55" s="544"/>
      <c r="F55" s="544"/>
      <c r="G55" s="544"/>
      <c r="H55" s="544"/>
      <c r="I55" s="544"/>
      <c r="J55" s="544"/>
      <c r="K55" s="581"/>
      <c r="L55" s="147">
        <v>0.08</v>
      </c>
      <c r="M55" s="147">
        <v>0.02</v>
      </c>
      <c r="N55" s="544"/>
      <c r="O55" s="544"/>
      <c r="P55" s="544"/>
      <c r="Q55" s="147"/>
      <c r="R55" s="514"/>
      <c r="S55" s="147"/>
      <c r="T55" s="147"/>
      <c r="U55" s="147"/>
      <c r="V55" s="581">
        <v>0.47</v>
      </c>
      <c r="W55" s="581">
        <v>0.34399999999999997</v>
      </c>
      <c r="X55" s="673">
        <v>0.9</v>
      </c>
      <c r="Y55" s="673">
        <v>0.9</v>
      </c>
      <c r="Z55" s="581">
        <v>8.5999999999999993E-2</v>
      </c>
      <c r="AA55" s="581"/>
      <c r="AB55" s="581"/>
      <c r="AC55" s="581"/>
      <c r="AD55" s="147"/>
      <c r="AE55" s="581"/>
      <c r="AF55" s="94"/>
      <c r="AG55" s="256" t="s">
        <v>836</v>
      </c>
      <c r="AH55" s="594" t="str">
        <f>IF('Lower Extremity-Right'!T376="","",'Lower Extremity-Right'!T376)</f>
        <v/>
      </c>
      <c r="AI55" s="578" t="str">
        <f>IF(AH55="","",ROUND(AH55,0))</f>
        <v/>
      </c>
      <c r="AJ55" s="193">
        <f>IF(AI55="",0,VLOOKUP(AI55,$A$3:$AE$154,23))</f>
        <v>0</v>
      </c>
      <c r="AK55" s="62"/>
      <c r="AL55" s="147" t="s">
        <v>1565</v>
      </c>
      <c r="AM55" s="578" t="str">
        <f>IF('Lower Extremity-Right'!V376="","",'Lower Extremity-Right'!V376)</f>
        <v/>
      </c>
      <c r="AN55" s="578" t="str">
        <f>IF(AM55="","",ROUND(AM55,0))</f>
        <v/>
      </c>
      <c r="AO55" s="193">
        <f>IF(AN55="",0,VLOOKUP(AN55,$A$3:$AE$154,23))</f>
        <v>0</v>
      </c>
      <c r="AP55" s="14"/>
      <c r="AQ55" s="256" t="s">
        <v>836</v>
      </c>
      <c r="AR55" s="578" t="str">
        <f>IF('Lower Extremity-Left'!T376="","",'Lower Extremity-Left'!T376)</f>
        <v/>
      </c>
      <c r="AS55" s="578" t="str">
        <f>IF(AR55="","",ROUND(AR55,0))</f>
        <v/>
      </c>
      <c r="AT55" s="193">
        <f>IF(AS55="",0,VLOOKUP(AS55,$A$3:$AE$154,23))</f>
        <v>0</v>
      </c>
      <c r="AU55" s="62"/>
      <c r="AV55" s="147" t="s">
        <v>1565</v>
      </c>
      <c r="AW55" s="578" t="str">
        <f>IF('Lower Extremity-Left'!V376="","",'Lower Extremity-Left'!V376)</f>
        <v/>
      </c>
      <c r="AX55" s="578" t="str">
        <f>IF(AW55="","",ROUND(AW55,0))</f>
        <v/>
      </c>
      <c r="AY55" s="193">
        <f>IF(AX55="",0,VLOOKUP(AX55,$A$3:$AE$154,23))</f>
        <v>0</v>
      </c>
    </row>
    <row r="56" spans="1:51" x14ac:dyDescent="0.2">
      <c r="A56" s="50">
        <v>53</v>
      </c>
      <c r="B56" s="544"/>
      <c r="C56" s="544"/>
      <c r="D56" s="544"/>
      <c r="E56" s="544"/>
      <c r="F56" s="544"/>
      <c r="G56" s="544"/>
      <c r="H56" s="544"/>
      <c r="I56" s="544"/>
      <c r="J56" s="544"/>
      <c r="K56" s="581"/>
      <c r="L56" s="147">
        <v>0.08</v>
      </c>
      <c r="M56" s="147">
        <v>0.02</v>
      </c>
      <c r="N56" s="544"/>
      <c r="O56" s="544"/>
      <c r="P56" s="544"/>
      <c r="Q56" s="147"/>
      <c r="R56" s="514"/>
      <c r="S56" s="147"/>
      <c r="T56" s="147"/>
      <c r="U56" s="147"/>
      <c r="V56" s="581">
        <v>0.48</v>
      </c>
      <c r="W56" s="581">
        <v>0.34100000000000003</v>
      </c>
      <c r="X56" s="673">
        <v>0.9</v>
      </c>
      <c r="Y56" s="673">
        <v>0.9</v>
      </c>
      <c r="Z56" s="581">
        <v>8.4000000000000005E-2</v>
      </c>
      <c r="AA56" s="581"/>
      <c r="AB56" s="581"/>
      <c r="AC56" s="581"/>
      <c r="AD56" s="147"/>
      <c r="AE56" s="581"/>
      <c r="AF56" s="94"/>
      <c r="AG56" s="256" t="s">
        <v>1185</v>
      </c>
      <c r="AH56" s="594" t="str">
        <f>IF('Lower Extremity-Right'!T377="","",'Lower Extremity-Right'!T377)</f>
        <v/>
      </c>
      <c r="AI56" s="578" t="str">
        <f>IF(AH56="","",ROUND(AH56,0))</f>
        <v/>
      </c>
      <c r="AJ56" s="193">
        <f>IF(AI56="",0,VLOOKUP(AI56,$A$3:$AE$154,24))</f>
        <v>0</v>
      </c>
      <c r="AK56" s="62"/>
      <c r="AL56" s="14"/>
      <c r="AM56" s="14"/>
      <c r="AN56" s="14"/>
      <c r="AO56" s="14"/>
      <c r="AP56" s="14"/>
      <c r="AQ56" s="256" t="s">
        <v>1185</v>
      </c>
      <c r="AR56" s="578" t="str">
        <f>IF('Lower Extremity-Left'!T377="","",'Lower Extremity-Left'!T377)</f>
        <v/>
      </c>
      <c r="AS56" s="578" t="str">
        <f>IF(AR56="","",ROUND(AR56,0))</f>
        <v/>
      </c>
      <c r="AT56" s="193">
        <f>IF(AS56="",0,VLOOKUP(AS56,$A$3:$AE$154,24))</f>
        <v>0</v>
      </c>
      <c r="AU56" s="62"/>
      <c r="AV56" s="14"/>
      <c r="AW56" s="14"/>
      <c r="AX56" s="14"/>
      <c r="AY56" s="14"/>
    </row>
    <row r="57" spans="1:51" x14ac:dyDescent="0.2">
      <c r="A57" s="50">
        <v>54</v>
      </c>
      <c r="B57" s="544"/>
      <c r="C57" s="544"/>
      <c r="D57" s="544"/>
      <c r="E57" s="544"/>
      <c r="F57" s="544"/>
      <c r="G57" s="544"/>
      <c r="H57" s="544"/>
      <c r="I57" s="544"/>
      <c r="J57" s="544"/>
      <c r="K57" s="581"/>
      <c r="L57" s="147">
        <v>0.08</v>
      </c>
      <c r="M57" s="147">
        <v>0.02</v>
      </c>
      <c r="N57" s="544"/>
      <c r="O57" s="544"/>
      <c r="P57" s="544"/>
      <c r="Q57" s="147"/>
      <c r="R57" s="514"/>
      <c r="S57" s="147"/>
      <c r="T57" s="147"/>
      <c r="U57" s="147"/>
      <c r="V57" s="581">
        <v>0.49</v>
      </c>
      <c r="W57" s="581">
        <v>0.33800000000000002</v>
      </c>
      <c r="X57" s="673">
        <v>0.9</v>
      </c>
      <c r="Y57" s="673">
        <v>0.9</v>
      </c>
      <c r="Z57" s="581">
        <v>8.2000000000000003E-2</v>
      </c>
      <c r="AA57" s="581"/>
      <c r="AB57" s="581"/>
      <c r="AC57" s="581"/>
      <c r="AD57" s="147"/>
      <c r="AE57" s="581"/>
      <c r="AF57" s="94"/>
      <c r="AG57" s="272" t="s">
        <v>837</v>
      </c>
      <c r="AH57" s="594" t="str">
        <f>IF('Lower Extremity-Right'!T378="","",'Lower Extremity-Right'!T378)</f>
        <v/>
      </c>
      <c r="AI57" s="578" t="str">
        <f>IF(AH57="","",ROUND(AH57,0))</f>
        <v/>
      </c>
      <c r="AJ57" s="193">
        <f>IF(AI57="",0,VLOOKUP(AI57,$A$3:$AE$154,25))</f>
        <v>0</v>
      </c>
      <c r="AK57" s="62"/>
      <c r="AL57" s="147" t="s">
        <v>1565</v>
      </c>
      <c r="AM57" s="578" t="str">
        <f>IF('Lower Extremity-Right'!V378="","",'Lower Extremity-Right'!V378)</f>
        <v/>
      </c>
      <c r="AN57" s="578" t="str">
        <f>IF(AM57="","",ROUND(AM57,0))</f>
        <v/>
      </c>
      <c r="AO57" s="193">
        <f>IF(AN57="",0,VLOOKUP(AN57,$A$3:$AE$154,25))</f>
        <v>0</v>
      </c>
      <c r="AP57" s="14"/>
      <c r="AQ57" s="272" t="s">
        <v>837</v>
      </c>
      <c r="AR57" s="578" t="str">
        <f>IF('Lower Extremity-Left'!T378="","",'Lower Extremity-Left'!T378)</f>
        <v/>
      </c>
      <c r="AS57" s="578" t="str">
        <f>IF(AR57="","",ROUND(AR57,0))</f>
        <v/>
      </c>
      <c r="AT57" s="193">
        <f>IF(AS57="",0,VLOOKUP(AS57,$A$3:$AE$154,25))</f>
        <v>0</v>
      </c>
      <c r="AU57" s="62"/>
      <c r="AV57" s="147" t="s">
        <v>1565</v>
      </c>
      <c r="AW57" s="578" t="str">
        <f>IF('Lower Extremity-Left'!V378="","",'Lower Extremity-Left'!V378)</f>
        <v/>
      </c>
      <c r="AX57" s="578" t="str">
        <f>IF(AW57="","",ROUND(AW57,0))</f>
        <v/>
      </c>
      <c r="AY57" s="193">
        <f>IF(AX57="",0,VLOOKUP(AX57,$A$3:$AE$154,25))</f>
        <v>0</v>
      </c>
    </row>
    <row r="58" spans="1:51" x14ac:dyDescent="0.2">
      <c r="A58" s="50">
        <v>55</v>
      </c>
      <c r="B58" s="544"/>
      <c r="C58" s="544"/>
      <c r="D58" s="544"/>
      <c r="E58" s="544"/>
      <c r="F58" s="544"/>
      <c r="G58" s="544"/>
      <c r="H58" s="544"/>
      <c r="I58" s="544"/>
      <c r="J58" s="544"/>
      <c r="K58" s="581"/>
      <c r="L58" s="147">
        <v>0.08</v>
      </c>
      <c r="M58" s="147">
        <v>0.02</v>
      </c>
      <c r="N58" s="544"/>
      <c r="O58" s="544"/>
      <c r="P58" s="544"/>
      <c r="Q58" s="147"/>
      <c r="R58" s="514"/>
      <c r="S58" s="147"/>
      <c r="T58" s="147"/>
      <c r="U58" s="147"/>
      <c r="V58" s="581">
        <v>0.5</v>
      </c>
      <c r="W58" s="581">
        <v>0.33500000000000002</v>
      </c>
      <c r="X58" s="673">
        <v>0.9</v>
      </c>
      <c r="Y58" s="673">
        <v>0.9</v>
      </c>
      <c r="Z58" s="581">
        <v>0.08</v>
      </c>
      <c r="AA58" s="581"/>
      <c r="AB58" s="581"/>
      <c r="AC58" s="581"/>
      <c r="AD58" s="147"/>
      <c r="AE58" s="581"/>
      <c r="AF58" s="94"/>
      <c r="AG58" s="272" t="s">
        <v>1187</v>
      </c>
      <c r="AH58" s="594" t="str">
        <f>IF('Lower Extremity-Right'!T379="","",'Lower Extremity-Right'!T379)</f>
        <v/>
      </c>
      <c r="AI58" s="578" t="str">
        <f>IF(AH58="","",ROUND(AH58,0))</f>
        <v/>
      </c>
      <c r="AJ58" s="193">
        <f>IF(AI58="",0,VLOOKUP(AI58,$A$3:$AE$154,24))</f>
        <v>0</v>
      </c>
      <c r="AK58" s="62"/>
      <c r="AL58" s="14"/>
      <c r="AM58" s="14"/>
      <c r="AN58" s="14"/>
      <c r="AO58" s="14"/>
      <c r="AP58" s="14"/>
      <c r="AQ58" s="272" t="s">
        <v>1187</v>
      </c>
      <c r="AR58" s="578" t="str">
        <f>IF('Lower Extremity-Left'!T379="","",'Lower Extremity-Left'!T379)</f>
        <v/>
      </c>
      <c r="AS58" s="578" t="str">
        <f>IF(AR58="","",ROUND(AR58,0))</f>
        <v/>
      </c>
      <c r="AT58" s="193">
        <f>IF(AS58="",0,VLOOKUP(AS58,$A$3:$AE$154,24))</f>
        <v>0</v>
      </c>
      <c r="AU58" s="62"/>
      <c r="AV58" s="14"/>
      <c r="AW58" s="14"/>
      <c r="AX58" s="14"/>
      <c r="AY58" s="14"/>
    </row>
    <row r="59" spans="1:51" x14ac:dyDescent="0.2">
      <c r="A59" s="50">
        <v>56</v>
      </c>
      <c r="B59" s="544"/>
      <c r="C59" s="544"/>
      <c r="D59" s="544"/>
      <c r="E59" s="544"/>
      <c r="F59" s="544"/>
      <c r="G59" s="544"/>
      <c r="H59" s="544"/>
      <c r="I59" s="544"/>
      <c r="J59" s="544"/>
      <c r="K59" s="581"/>
      <c r="L59" s="147">
        <v>0.08</v>
      </c>
      <c r="M59" s="147">
        <v>0.02</v>
      </c>
      <c r="N59" s="544"/>
      <c r="O59" s="544"/>
      <c r="P59" s="544"/>
      <c r="Q59" s="147"/>
      <c r="R59" s="514"/>
      <c r="S59" s="147"/>
      <c r="T59" s="147"/>
      <c r="U59" s="147"/>
      <c r="V59" s="581">
        <v>0.5</v>
      </c>
      <c r="W59" s="581">
        <v>0.33200000000000002</v>
      </c>
      <c r="X59" s="673">
        <v>0.9</v>
      </c>
      <c r="Y59" s="673">
        <v>0.9</v>
      </c>
      <c r="Z59" s="581">
        <v>7.8E-2</v>
      </c>
      <c r="AA59" s="581"/>
      <c r="AB59" s="581"/>
      <c r="AC59" s="581"/>
      <c r="AD59" s="147"/>
      <c r="AE59" s="581"/>
      <c r="AF59" s="94"/>
      <c r="AG59" s="14"/>
      <c r="AH59" s="62"/>
      <c r="AI59" s="62"/>
      <c r="AJ59" s="14"/>
      <c r="AK59" s="62"/>
      <c r="AL59" s="14"/>
      <c r="AM59" s="14"/>
      <c r="AN59" s="14"/>
      <c r="AO59" s="14"/>
      <c r="AP59" s="14"/>
      <c r="AQ59" s="14"/>
      <c r="AR59" s="62"/>
      <c r="AS59" s="62"/>
      <c r="AT59" s="14"/>
      <c r="AU59" s="62"/>
      <c r="AV59" s="14"/>
      <c r="AW59" s="14"/>
      <c r="AX59" s="14"/>
      <c r="AY59" s="14"/>
    </row>
    <row r="60" spans="1:51" x14ac:dyDescent="0.2">
      <c r="A60" s="50">
        <v>57</v>
      </c>
      <c r="B60" s="544"/>
      <c r="C60" s="544"/>
      <c r="D60" s="544"/>
      <c r="E60" s="544"/>
      <c r="F60" s="544"/>
      <c r="G60" s="544"/>
      <c r="H60" s="544"/>
      <c r="I60" s="544"/>
      <c r="J60" s="544"/>
      <c r="K60" s="581"/>
      <c r="L60" s="147">
        <v>0.08</v>
      </c>
      <c r="M60" s="147">
        <v>0.02</v>
      </c>
      <c r="N60" s="544"/>
      <c r="O60" s="544"/>
      <c r="P60" s="544"/>
      <c r="Q60" s="147"/>
      <c r="R60" s="514"/>
      <c r="S60" s="147"/>
      <c r="T60" s="147"/>
      <c r="U60" s="147"/>
      <c r="V60" s="581">
        <v>0.51</v>
      </c>
      <c r="W60" s="581">
        <v>0.32900000000000001</v>
      </c>
      <c r="X60" s="673">
        <v>0.9</v>
      </c>
      <c r="Y60" s="673">
        <v>0.9</v>
      </c>
      <c r="Z60" s="581">
        <v>7.5999999999999998E-2</v>
      </c>
      <c r="AA60" s="581"/>
      <c r="AB60" s="581"/>
      <c r="AC60" s="581"/>
      <c r="AD60" s="147"/>
      <c r="AE60" s="581"/>
      <c r="AF60" s="94"/>
      <c r="AG60" s="147" t="s">
        <v>1922</v>
      </c>
      <c r="AH60" s="62"/>
      <c r="AI60" s="62"/>
      <c r="AJ60" s="14"/>
      <c r="AK60" s="62"/>
      <c r="AL60" s="14"/>
      <c r="AM60" s="14"/>
      <c r="AN60" s="14"/>
      <c r="AO60" s="14"/>
      <c r="AP60" s="14"/>
      <c r="AQ60" s="147" t="s">
        <v>1922</v>
      </c>
      <c r="AR60" s="62"/>
      <c r="AS60" s="62"/>
      <c r="AT60" s="14"/>
      <c r="AU60" s="62"/>
      <c r="AV60" s="14"/>
      <c r="AW60" s="14"/>
      <c r="AX60" s="14"/>
      <c r="AY60" s="14"/>
    </row>
    <row r="61" spans="1:51" x14ac:dyDescent="0.2">
      <c r="A61" s="50">
        <v>58</v>
      </c>
      <c r="B61" s="544"/>
      <c r="C61" s="544"/>
      <c r="D61" s="544"/>
      <c r="E61" s="544"/>
      <c r="F61" s="544"/>
      <c r="G61" s="544"/>
      <c r="H61" s="544"/>
      <c r="I61" s="544"/>
      <c r="J61" s="544"/>
      <c r="K61" s="581"/>
      <c r="L61" s="147">
        <v>0.09</v>
      </c>
      <c r="M61" s="147">
        <v>0.02</v>
      </c>
      <c r="N61" s="544"/>
      <c r="O61" s="544"/>
      <c r="P61" s="544"/>
      <c r="Q61" s="147"/>
      <c r="R61" s="514"/>
      <c r="S61" s="147"/>
      <c r="T61" s="147"/>
      <c r="U61" s="147"/>
      <c r="V61" s="581">
        <v>0.52</v>
      </c>
      <c r="W61" s="581">
        <v>0.32600000000000001</v>
      </c>
      <c r="X61" s="673">
        <v>0.9</v>
      </c>
      <c r="Y61" s="673">
        <v>0.9</v>
      </c>
      <c r="Z61" s="581">
        <v>7.3999999999999996E-2</v>
      </c>
      <c r="AA61" s="581"/>
      <c r="AB61" s="581"/>
      <c r="AC61" s="581"/>
      <c r="AD61" s="147"/>
      <c r="AE61" s="581"/>
      <c r="AF61" s="94"/>
      <c r="AG61" s="147" t="s">
        <v>188</v>
      </c>
      <c r="AH61" s="594" t="str">
        <f>IF('Lower Extremity-Right'!T381="","",'Lower Extremity-Right'!T381)</f>
        <v/>
      </c>
      <c r="AI61" s="578" t="str">
        <f t="shared" ref="AI61:AI68" si="0">IF(AH61="","",ROUND(AH61,0))</f>
        <v/>
      </c>
      <c r="AJ61" s="193">
        <f>IF(AI61="",0,VLOOKUP(AI61,$A$3:$AE$154,26))</f>
        <v>0</v>
      </c>
      <c r="AK61" s="62"/>
      <c r="AL61" s="147" t="s">
        <v>1565</v>
      </c>
      <c r="AM61" s="578" t="str">
        <f>IF('Lower Extremity-Right'!V381="","",'Lower Extremity-Right'!V381)</f>
        <v/>
      </c>
      <c r="AN61" s="578" t="str">
        <f t="shared" ref="AN61:AN66" si="1">IF(AM61="","",ROUND(AM61,0))</f>
        <v/>
      </c>
      <c r="AO61" s="193">
        <f>IF(AN61="",0,VLOOKUP(AN61,$A$3:$AE$154,26))</f>
        <v>0</v>
      </c>
      <c r="AP61" s="14"/>
      <c r="AQ61" s="147" t="s">
        <v>188</v>
      </c>
      <c r="AR61" s="578" t="str">
        <f>IF('Lower Extremity-Left'!T381="","",'Lower Extremity-Left'!T381)</f>
        <v/>
      </c>
      <c r="AS61" s="578" t="str">
        <f t="shared" ref="AS61:AS66" si="2">IF(AR61="","",ROUND(AR61,0))</f>
        <v/>
      </c>
      <c r="AT61" s="193">
        <f>IF(AS61="",0,VLOOKUP(AS61,$A$3:$AE$154,26))</f>
        <v>0</v>
      </c>
      <c r="AU61" s="62"/>
      <c r="AV61" s="147" t="s">
        <v>1565</v>
      </c>
      <c r="AW61" s="578" t="str">
        <f>IF('Lower Extremity-Left'!V381="","",'Lower Extremity-Left'!V381)</f>
        <v/>
      </c>
      <c r="AX61" s="578" t="str">
        <f t="shared" ref="AX61:AX66" si="3">IF(AW61="","",ROUND(AW61,0))</f>
        <v/>
      </c>
      <c r="AY61" s="193">
        <f>IF(AX61="",0,VLOOKUP(AX61,$A$3:$AE$154,26))</f>
        <v>0</v>
      </c>
    </row>
    <row r="62" spans="1:51" x14ac:dyDescent="0.2">
      <c r="A62" s="50">
        <v>59</v>
      </c>
      <c r="B62" s="544"/>
      <c r="C62" s="544"/>
      <c r="D62" s="544"/>
      <c r="E62" s="544"/>
      <c r="F62" s="544"/>
      <c r="G62" s="544"/>
      <c r="H62" s="544"/>
      <c r="I62" s="544"/>
      <c r="J62" s="544"/>
      <c r="K62" s="581"/>
      <c r="L62" s="147">
        <v>0.09</v>
      </c>
      <c r="M62" s="147">
        <v>0.02</v>
      </c>
      <c r="N62" s="544"/>
      <c r="O62" s="544"/>
      <c r="P62" s="544"/>
      <c r="Q62" s="147"/>
      <c r="R62" s="514"/>
      <c r="S62" s="147"/>
      <c r="T62" s="147"/>
      <c r="U62" s="147"/>
      <c r="V62" s="581">
        <v>0.53</v>
      </c>
      <c r="W62" s="581">
        <v>0.32300000000000001</v>
      </c>
      <c r="X62" s="673">
        <v>0.9</v>
      </c>
      <c r="Y62" s="673">
        <v>0.9</v>
      </c>
      <c r="Z62" s="581">
        <v>7.1999999999999995E-2</v>
      </c>
      <c r="AA62" s="581"/>
      <c r="AB62" s="581"/>
      <c r="AC62" s="581"/>
      <c r="AD62" s="147"/>
      <c r="AE62" s="581"/>
      <c r="AF62" s="94"/>
      <c r="AG62" s="147" t="s">
        <v>1900</v>
      </c>
      <c r="AH62" s="594" t="str">
        <f>IF('Lower Extremity-Right'!T382="","",'Lower Extremity-Right'!T382)</f>
        <v/>
      </c>
      <c r="AI62" s="578" t="str">
        <f t="shared" si="0"/>
        <v/>
      </c>
      <c r="AJ62" s="193">
        <f>IF(AI62="",0,VLOOKUP(AI62,$A$3:$AE$154,27))</f>
        <v>0</v>
      </c>
      <c r="AK62" s="62"/>
      <c r="AL62" s="147" t="s">
        <v>1565</v>
      </c>
      <c r="AM62" s="578" t="str">
        <f>IF('Lower Extremity-Right'!V382="","",'Lower Extremity-Right'!V382)</f>
        <v/>
      </c>
      <c r="AN62" s="578" t="str">
        <f t="shared" si="1"/>
        <v/>
      </c>
      <c r="AO62" s="193">
        <f>IF(AN62="",0,VLOOKUP(AN62,$A$3:$AE$154,27))</f>
        <v>0</v>
      </c>
      <c r="AP62" s="14"/>
      <c r="AQ62" s="147" t="s">
        <v>1900</v>
      </c>
      <c r="AR62" s="578" t="str">
        <f>IF('Lower Extremity-Left'!T382="","",'Lower Extremity-Left'!T382)</f>
        <v/>
      </c>
      <c r="AS62" s="578" t="str">
        <f t="shared" si="2"/>
        <v/>
      </c>
      <c r="AT62" s="193">
        <f>IF(AS62="",0,VLOOKUP(AS62,$A$3:$AE$154,27))</f>
        <v>0</v>
      </c>
      <c r="AU62" s="62"/>
      <c r="AV62" s="147" t="s">
        <v>1565</v>
      </c>
      <c r="AW62" s="578" t="str">
        <f>IF('Lower Extremity-Left'!V382="","",'Lower Extremity-Left'!V382)</f>
        <v/>
      </c>
      <c r="AX62" s="578" t="str">
        <f t="shared" si="3"/>
        <v/>
      </c>
      <c r="AY62" s="193">
        <f>IF(AX62="",0,VLOOKUP(AX62,$A$3:$AE$154,27))</f>
        <v>0</v>
      </c>
    </row>
    <row r="63" spans="1:51" x14ac:dyDescent="0.2">
      <c r="A63" s="50">
        <v>60</v>
      </c>
      <c r="B63" s="544"/>
      <c r="C63" s="544"/>
      <c r="D63" s="544"/>
      <c r="E63" s="544"/>
      <c r="F63" s="544"/>
      <c r="G63" s="544"/>
      <c r="H63" s="544"/>
      <c r="I63" s="544"/>
      <c r="J63" s="544"/>
      <c r="K63" s="581"/>
      <c r="L63" s="147">
        <v>0.09</v>
      </c>
      <c r="M63" s="147">
        <v>0.02</v>
      </c>
      <c r="N63" s="544"/>
      <c r="O63" s="544"/>
      <c r="P63" s="544"/>
      <c r="Q63" s="147"/>
      <c r="R63" s="514"/>
      <c r="S63" s="147"/>
      <c r="T63" s="147"/>
      <c r="U63" s="147"/>
      <c r="V63" s="581">
        <v>0.54</v>
      </c>
      <c r="W63" s="581">
        <v>0.32</v>
      </c>
      <c r="X63" s="673">
        <v>0.9</v>
      </c>
      <c r="Y63" s="673">
        <v>0.9</v>
      </c>
      <c r="Z63" s="581">
        <v>7.0000000000000007E-2</v>
      </c>
      <c r="AA63" s="581"/>
      <c r="AB63" s="581"/>
      <c r="AC63" s="581"/>
      <c r="AD63" s="147"/>
      <c r="AE63" s="581"/>
      <c r="AF63" s="94"/>
      <c r="AG63" s="147" t="s">
        <v>677</v>
      </c>
      <c r="AH63" s="594" t="str">
        <f>IF('Lower Extremity-Right'!T383="","",'Lower Extremity-Right'!T383)</f>
        <v/>
      </c>
      <c r="AI63" s="578" t="str">
        <f t="shared" si="0"/>
        <v/>
      </c>
      <c r="AJ63" s="193">
        <f>IF(AI63="",0,VLOOKUP(AI63,$A$3:$AE$154,28))</f>
        <v>0</v>
      </c>
      <c r="AK63" s="62"/>
      <c r="AL63" s="147" t="s">
        <v>1565</v>
      </c>
      <c r="AM63" s="578" t="str">
        <f>IF('Lower Extremity-Right'!V383="","",'Lower Extremity-Right'!V383)</f>
        <v/>
      </c>
      <c r="AN63" s="578" t="str">
        <f t="shared" si="1"/>
        <v/>
      </c>
      <c r="AO63" s="193">
        <f>IF(AN63="",0,VLOOKUP(AN63,$A$3:$AE$154,28))</f>
        <v>0</v>
      </c>
      <c r="AP63" s="14"/>
      <c r="AQ63" s="147" t="s">
        <v>677</v>
      </c>
      <c r="AR63" s="578" t="str">
        <f>IF('Lower Extremity-Left'!T383="","",'Lower Extremity-Left'!T383)</f>
        <v/>
      </c>
      <c r="AS63" s="578" t="str">
        <f t="shared" si="2"/>
        <v/>
      </c>
      <c r="AT63" s="193">
        <f>IF(AS63="",0,VLOOKUP(AS63,$A$3:$AE$154,28))</f>
        <v>0</v>
      </c>
      <c r="AU63" s="62"/>
      <c r="AV63" s="147" t="s">
        <v>1565</v>
      </c>
      <c r="AW63" s="578" t="str">
        <f>IF('Lower Extremity-Left'!V383="","",'Lower Extremity-Left'!V383)</f>
        <v/>
      </c>
      <c r="AX63" s="578" t="str">
        <f t="shared" si="3"/>
        <v/>
      </c>
      <c r="AY63" s="193">
        <f>IF(AX63="",0,VLOOKUP(AX63,$A$3:$AE$154,28))</f>
        <v>0</v>
      </c>
    </row>
    <row r="64" spans="1:51" x14ac:dyDescent="0.2">
      <c r="A64" s="50">
        <v>61</v>
      </c>
      <c r="B64" s="544"/>
      <c r="C64" s="544"/>
      <c r="D64" s="544"/>
      <c r="E64" s="50"/>
      <c r="F64" s="50"/>
      <c r="G64" s="50"/>
      <c r="H64" s="544"/>
      <c r="I64" s="544"/>
      <c r="J64" s="544"/>
      <c r="K64" s="581"/>
      <c r="L64" s="147">
        <v>0.09</v>
      </c>
      <c r="M64" s="147">
        <v>0.02</v>
      </c>
      <c r="N64" s="544"/>
      <c r="O64" s="544"/>
      <c r="P64" s="544"/>
      <c r="Q64" s="147"/>
      <c r="R64" s="514"/>
      <c r="S64" s="147"/>
      <c r="T64" s="147"/>
      <c r="U64" s="147"/>
      <c r="V64" s="581">
        <v>0.55000000000000004</v>
      </c>
      <c r="W64" s="581">
        <v>0.316</v>
      </c>
      <c r="X64" s="673">
        <v>0.9</v>
      </c>
      <c r="Y64" s="673">
        <v>0.9</v>
      </c>
      <c r="Z64" s="581">
        <v>6.8000000000000005E-2</v>
      </c>
      <c r="AA64" s="581"/>
      <c r="AB64" s="581"/>
      <c r="AC64" s="581"/>
      <c r="AD64" s="147"/>
      <c r="AE64" s="581"/>
      <c r="AF64" s="94"/>
      <c r="AG64" s="147" t="s">
        <v>681</v>
      </c>
      <c r="AH64" s="594" t="str">
        <f>IF('Lower Extremity-Right'!T384="","",'Lower Extremity-Right'!T384)</f>
        <v/>
      </c>
      <c r="AI64" s="578" t="str">
        <f t="shared" si="0"/>
        <v/>
      </c>
      <c r="AJ64" s="193">
        <f>IF(AI64="",0,VLOOKUP(AI64,$A$3:$AE$154,29))</f>
        <v>0</v>
      </c>
      <c r="AK64" s="62"/>
      <c r="AL64" s="147" t="s">
        <v>1565</v>
      </c>
      <c r="AM64" s="578" t="str">
        <f>IF('Lower Extremity-Right'!V384="","",'Lower Extremity-Right'!V384)</f>
        <v/>
      </c>
      <c r="AN64" s="578" t="str">
        <f t="shared" si="1"/>
        <v/>
      </c>
      <c r="AO64" s="193">
        <f>IF(AN64="",0,VLOOKUP(AN64,$A$3:$AE$154,29))</f>
        <v>0</v>
      </c>
      <c r="AP64" s="14"/>
      <c r="AQ64" s="147" t="s">
        <v>681</v>
      </c>
      <c r="AR64" s="578" t="str">
        <f>IF('Lower Extremity-Left'!T384="","",'Lower Extremity-Left'!T384)</f>
        <v/>
      </c>
      <c r="AS64" s="578" t="str">
        <f t="shared" si="2"/>
        <v/>
      </c>
      <c r="AT64" s="193">
        <f>IF(AS64="",0,VLOOKUP(AS64,$A$3:$AE$154,29))</f>
        <v>0</v>
      </c>
      <c r="AU64" s="62"/>
      <c r="AV64" s="147" t="s">
        <v>1565</v>
      </c>
      <c r="AW64" s="578" t="str">
        <f>IF('Lower Extremity-Left'!V384="","",'Lower Extremity-Left'!V384)</f>
        <v/>
      </c>
      <c r="AX64" s="578" t="str">
        <f t="shared" si="3"/>
        <v/>
      </c>
      <c r="AY64" s="193">
        <f>IF(AX64="",0,VLOOKUP(AX64,$A$3:$AE$154,29))</f>
        <v>0</v>
      </c>
    </row>
    <row r="65" spans="1:51" x14ac:dyDescent="0.2">
      <c r="A65" s="50">
        <v>62</v>
      </c>
      <c r="B65" s="544"/>
      <c r="C65" s="544"/>
      <c r="D65" s="544"/>
      <c r="E65" s="50"/>
      <c r="F65" s="50"/>
      <c r="G65" s="50"/>
      <c r="H65" s="544"/>
      <c r="I65" s="544"/>
      <c r="J65" s="544"/>
      <c r="K65" s="581"/>
      <c r="L65" s="147">
        <v>0.09</v>
      </c>
      <c r="M65" s="147">
        <v>0.02</v>
      </c>
      <c r="N65" s="544"/>
      <c r="O65" s="544"/>
      <c r="P65" s="544"/>
      <c r="Q65" s="147"/>
      <c r="R65" s="514"/>
      <c r="S65" s="147"/>
      <c r="T65" s="147"/>
      <c r="U65" s="147"/>
      <c r="V65" s="581">
        <v>0.56000000000000005</v>
      </c>
      <c r="W65" s="581">
        <v>0.312</v>
      </c>
      <c r="X65" s="673">
        <v>0.9</v>
      </c>
      <c r="Y65" s="673">
        <v>0.9</v>
      </c>
      <c r="Z65" s="581">
        <v>6.6000000000000003E-2</v>
      </c>
      <c r="AA65" s="581"/>
      <c r="AB65" s="581"/>
      <c r="AC65" s="581"/>
      <c r="AD65" s="147"/>
      <c r="AE65" s="581"/>
      <c r="AF65" s="94"/>
      <c r="AG65" s="147" t="s">
        <v>685</v>
      </c>
      <c r="AH65" s="594" t="str">
        <f>IF('Lower Extremity-Right'!T385="","",'Lower Extremity-Right'!T385)</f>
        <v/>
      </c>
      <c r="AI65" s="578" t="str">
        <f t="shared" si="0"/>
        <v/>
      </c>
      <c r="AJ65" s="193">
        <f>IF(AI65="",0,VLOOKUP(AI65,$A$3:$AE$154,30))</f>
        <v>0</v>
      </c>
      <c r="AK65" s="62"/>
      <c r="AL65" s="147" t="s">
        <v>1565</v>
      </c>
      <c r="AM65" s="578" t="str">
        <f>IF('Lower Extremity-Right'!V385="","",'Lower Extremity-Right'!V385)</f>
        <v/>
      </c>
      <c r="AN65" s="578" t="str">
        <f t="shared" si="1"/>
        <v/>
      </c>
      <c r="AO65" s="193">
        <f>IF(AN65="",0,VLOOKUP(AN65,$A$3:$AE$154,30))</f>
        <v>0</v>
      </c>
      <c r="AP65" s="14"/>
      <c r="AQ65" s="147" t="s">
        <v>685</v>
      </c>
      <c r="AR65" s="578" t="str">
        <f>IF('Lower Extremity-Left'!T385="","",'Lower Extremity-Left'!T385)</f>
        <v/>
      </c>
      <c r="AS65" s="578" t="str">
        <f t="shared" si="2"/>
        <v/>
      </c>
      <c r="AT65" s="193">
        <f>IF(AS65="",0,VLOOKUP(AS65,$A$3:$AE$154,30))</f>
        <v>0</v>
      </c>
      <c r="AU65" s="62"/>
      <c r="AV65" s="147" t="s">
        <v>1565</v>
      </c>
      <c r="AW65" s="578" t="str">
        <f>IF('Lower Extremity-Left'!V385="","",'Lower Extremity-Left'!V385)</f>
        <v/>
      </c>
      <c r="AX65" s="578" t="str">
        <f t="shared" si="3"/>
        <v/>
      </c>
      <c r="AY65" s="193">
        <f>IF(AX65="",0,VLOOKUP(AX65,$A$3:$AE$154,30))</f>
        <v>0</v>
      </c>
    </row>
    <row r="66" spans="1:51" x14ac:dyDescent="0.2">
      <c r="A66" s="50">
        <v>63</v>
      </c>
      <c r="B66" s="544"/>
      <c r="C66" s="544"/>
      <c r="D66" s="544"/>
      <c r="E66" s="50"/>
      <c r="F66" s="50"/>
      <c r="G66" s="50"/>
      <c r="H66" s="544"/>
      <c r="I66" s="544"/>
      <c r="J66" s="544"/>
      <c r="K66" s="581"/>
      <c r="L66" s="147">
        <v>0.09</v>
      </c>
      <c r="M66" s="147">
        <v>0.02</v>
      </c>
      <c r="N66" s="544"/>
      <c r="O66" s="544"/>
      <c r="P66" s="544"/>
      <c r="Q66" s="147"/>
      <c r="R66" s="514"/>
      <c r="S66" s="147"/>
      <c r="T66" s="147"/>
      <c r="U66" s="147"/>
      <c r="V66" s="581">
        <v>0.56999999999999995</v>
      </c>
      <c r="W66" s="581">
        <v>0.308</v>
      </c>
      <c r="X66" s="673">
        <v>0.9</v>
      </c>
      <c r="Y66" s="673">
        <v>0.9</v>
      </c>
      <c r="Z66" s="581">
        <v>6.4000000000000001E-2</v>
      </c>
      <c r="AA66" s="581"/>
      <c r="AB66" s="581"/>
      <c r="AC66" s="581"/>
      <c r="AD66" s="147"/>
      <c r="AE66" s="581"/>
      <c r="AF66" s="94"/>
      <c r="AG66" s="147" t="s">
        <v>579</v>
      </c>
      <c r="AH66" s="594" t="str">
        <f>IF('Lower Extremity-Right'!T386="","",'Lower Extremity-Right'!T386)</f>
        <v/>
      </c>
      <c r="AI66" s="578" t="str">
        <f t="shared" si="0"/>
        <v/>
      </c>
      <c r="AJ66" s="193">
        <f>IF(AI66="",0,VLOOKUP(AI66,$A$3:$AE$154,31))</f>
        <v>0</v>
      </c>
      <c r="AK66" s="62"/>
      <c r="AL66" s="147" t="s">
        <v>1565</v>
      </c>
      <c r="AM66" s="578" t="str">
        <f>IF('Lower Extremity-Right'!V386="","",'Lower Extremity-Right'!V386)</f>
        <v/>
      </c>
      <c r="AN66" s="578" t="str">
        <f t="shared" si="1"/>
        <v/>
      </c>
      <c r="AO66" s="193">
        <f>IF(AN66="",0,VLOOKUP(AN66,$A$3:$AE$154,31))</f>
        <v>0</v>
      </c>
      <c r="AP66" s="14"/>
      <c r="AQ66" s="147" t="s">
        <v>579</v>
      </c>
      <c r="AR66" s="578" t="str">
        <f>IF('Lower Extremity-Left'!T386="","",'Lower Extremity-Left'!T386)</f>
        <v/>
      </c>
      <c r="AS66" s="578" t="str">
        <f t="shared" si="2"/>
        <v/>
      </c>
      <c r="AT66" s="193">
        <f>IF(AS66="",0,VLOOKUP(AS66,$A$3:$AE$154,31))</f>
        <v>0</v>
      </c>
      <c r="AU66" s="62"/>
      <c r="AV66" s="147" t="s">
        <v>1565</v>
      </c>
      <c r="AW66" s="578" t="str">
        <f>IF('Lower Extremity-Left'!V386="","",'Lower Extremity-Left'!V386)</f>
        <v/>
      </c>
      <c r="AX66" s="578" t="str">
        <f t="shared" si="3"/>
        <v/>
      </c>
      <c r="AY66" s="193">
        <f>IF(AX66="",0,VLOOKUP(AX66,$A$3:$AE$154,31))</f>
        <v>0</v>
      </c>
    </row>
    <row r="67" spans="1:51" x14ac:dyDescent="0.2">
      <c r="A67" s="50">
        <v>64</v>
      </c>
      <c r="B67" s="544"/>
      <c r="C67" s="544"/>
      <c r="D67" s="544"/>
      <c r="E67" s="50"/>
      <c r="F67" s="50"/>
      <c r="G67" s="50"/>
      <c r="H67" s="544"/>
      <c r="I67" s="544"/>
      <c r="J67" s="544"/>
      <c r="K67" s="581"/>
      <c r="L67" s="147">
        <v>0.09</v>
      </c>
      <c r="M67" s="147">
        <v>0.02</v>
      </c>
      <c r="N67" s="544"/>
      <c r="O67" s="544"/>
      <c r="P67" s="544"/>
      <c r="Q67" s="147"/>
      <c r="R67" s="514"/>
      <c r="S67" s="147"/>
      <c r="T67" s="147"/>
      <c r="U67" s="147"/>
      <c r="V67" s="581">
        <v>0.57999999999999996</v>
      </c>
      <c r="W67" s="581">
        <v>0.30399999999999999</v>
      </c>
      <c r="X67" s="673">
        <v>0.9</v>
      </c>
      <c r="Y67" s="673">
        <v>0.9</v>
      </c>
      <c r="Z67" s="581">
        <v>6.2E-2</v>
      </c>
      <c r="AA67" s="581"/>
      <c r="AB67" s="581"/>
      <c r="AC67" s="581"/>
      <c r="AD67" s="147"/>
      <c r="AE67" s="581"/>
      <c r="AF67" s="94"/>
      <c r="AG67" s="14"/>
      <c r="AH67" s="62"/>
      <c r="AI67" s="62"/>
      <c r="AJ67" s="14"/>
      <c r="AK67" s="62"/>
      <c r="AL67" s="14"/>
      <c r="AM67" s="14"/>
      <c r="AN67" s="14"/>
      <c r="AO67" s="14"/>
      <c r="AP67" s="14"/>
      <c r="AQ67" s="14"/>
      <c r="AR67" s="62"/>
      <c r="AS67" s="62"/>
      <c r="AT67" s="14"/>
      <c r="AU67" s="62"/>
      <c r="AV67" s="14"/>
      <c r="AW67" s="14"/>
      <c r="AX67" s="14"/>
      <c r="AY67" s="14"/>
    </row>
    <row r="68" spans="1:51" x14ac:dyDescent="0.2">
      <c r="A68" s="50">
        <v>65</v>
      </c>
      <c r="B68" s="544"/>
      <c r="C68" s="544"/>
      <c r="D68" s="544"/>
      <c r="E68" s="50"/>
      <c r="F68" s="50"/>
      <c r="G68" s="50"/>
      <c r="H68" s="544"/>
      <c r="I68" s="544"/>
      <c r="J68" s="544"/>
      <c r="K68" s="581"/>
      <c r="L68" s="147">
        <v>0.1</v>
      </c>
      <c r="M68" s="147">
        <v>0.02</v>
      </c>
      <c r="N68" s="544"/>
      <c r="O68" s="544"/>
      <c r="P68" s="544"/>
      <c r="Q68" s="147"/>
      <c r="R68" s="514"/>
      <c r="S68" s="147"/>
      <c r="T68" s="147"/>
      <c r="U68" s="147"/>
      <c r="V68" s="581">
        <v>0.59</v>
      </c>
      <c r="W68" s="581">
        <v>0.3</v>
      </c>
      <c r="X68" s="673">
        <v>0.9</v>
      </c>
      <c r="Y68" s="673">
        <v>0.9</v>
      </c>
      <c r="Z68" s="581">
        <v>0.06</v>
      </c>
      <c r="AA68" s="581"/>
      <c r="AB68" s="581"/>
      <c r="AC68" s="581"/>
      <c r="AD68" s="147"/>
      <c r="AE68" s="581"/>
      <c r="AF68" s="94"/>
      <c r="AG68" s="147" t="s">
        <v>1403</v>
      </c>
      <c r="AH68" s="578">
        <f>'Lower Extremity-Right'!C445*100</f>
        <v>0</v>
      </c>
      <c r="AI68" s="578">
        <f t="shared" si="0"/>
        <v>0</v>
      </c>
      <c r="AJ68" s="193">
        <f>IF(AI68="",0,VLOOKUP(AI68,$A$3:$AE$154,22))</f>
        <v>0</v>
      </c>
      <c r="AK68" s="62"/>
      <c r="AL68" s="14"/>
      <c r="AM68" s="14"/>
      <c r="AN68" s="14"/>
      <c r="AO68" s="14"/>
      <c r="AP68" s="14"/>
      <c r="AQ68" s="147" t="s">
        <v>1403</v>
      </c>
      <c r="AR68" s="578">
        <f>'Lower Extremity-Left'!C445*100</f>
        <v>0</v>
      </c>
      <c r="AS68" s="578">
        <f>IF(AR68="","",ROUND(AR68,0))</f>
        <v>0</v>
      </c>
      <c r="AT68" s="193">
        <f>IF(AS68="",0,VLOOKUP(AS68,$A$3:$AE$154,22))</f>
        <v>0</v>
      </c>
      <c r="AU68" s="62"/>
      <c r="AV68" s="14"/>
      <c r="AW68" s="14"/>
      <c r="AX68" s="14"/>
      <c r="AY68" s="14"/>
    </row>
    <row r="69" spans="1:51" x14ac:dyDescent="0.2">
      <c r="A69" s="50">
        <v>66</v>
      </c>
      <c r="B69" s="544"/>
      <c r="C69" s="544"/>
      <c r="D69" s="544"/>
      <c r="E69" s="50"/>
      <c r="F69" s="50"/>
      <c r="G69" s="50"/>
      <c r="H69" s="544"/>
      <c r="I69" s="544"/>
      <c r="J69" s="544"/>
      <c r="K69" s="581"/>
      <c r="L69" s="147">
        <v>0.1</v>
      </c>
      <c r="M69" s="147">
        <v>0.02</v>
      </c>
      <c r="N69" s="544"/>
      <c r="O69" s="544"/>
      <c r="P69" s="544"/>
      <c r="Q69" s="147"/>
      <c r="R69" s="514"/>
      <c r="S69" s="147"/>
      <c r="T69" s="147"/>
      <c r="U69" s="147"/>
      <c r="V69" s="581">
        <v>0.59</v>
      </c>
      <c r="W69" s="581">
        <v>0.29599999999999999</v>
      </c>
      <c r="X69" s="673">
        <v>0.9</v>
      </c>
      <c r="Y69" s="673">
        <v>0.9</v>
      </c>
      <c r="Z69" s="581">
        <v>5.8000000000000003E-2</v>
      </c>
      <c r="AA69" s="581"/>
      <c r="AB69" s="581"/>
      <c r="AC69" s="581"/>
      <c r="AD69" s="147"/>
      <c r="AE69" s="581"/>
      <c r="AF69" s="94"/>
      <c r="AG69" s="14"/>
      <c r="AH69" s="62"/>
      <c r="AI69" s="62"/>
      <c r="AJ69" s="14"/>
      <c r="AK69" s="62"/>
      <c r="AL69" s="14"/>
      <c r="AM69" s="14"/>
      <c r="AN69" s="14"/>
      <c r="AO69" s="14"/>
      <c r="AP69" s="14"/>
    </row>
    <row r="70" spans="1:51" x14ac:dyDescent="0.2">
      <c r="A70" s="50">
        <v>67</v>
      </c>
      <c r="B70" s="544"/>
      <c r="C70" s="544"/>
      <c r="D70" s="544"/>
      <c r="E70" s="50"/>
      <c r="F70" s="50"/>
      <c r="G70" s="50"/>
      <c r="H70" s="544"/>
      <c r="I70" s="544"/>
      <c r="J70" s="544"/>
      <c r="K70" s="581"/>
      <c r="L70" s="147">
        <v>0.1</v>
      </c>
      <c r="M70" s="147">
        <v>0.02</v>
      </c>
      <c r="N70" s="544"/>
      <c r="O70" s="544"/>
      <c r="P70" s="544"/>
      <c r="Q70" s="147"/>
      <c r="R70" s="514"/>
      <c r="S70" s="147"/>
      <c r="T70" s="147"/>
      <c r="U70" s="147"/>
      <c r="V70" s="581">
        <v>0.6</v>
      </c>
      <c r="W70" s="581">
        <v>0.29199999999999998</v>
      </c>
      <c r="X70" s="673">
        <v>0.9</v>
      </c>
      <c r="Y70" s="673">
        <v>0.9</v>
      </c>
      <c r="Z70" s="581">
        <v>5.6000000000000001E-2</v>
      </c>
      <c r="AA70" s="581"/>
      <c r="AB70" s="581"/>
      <c r="AC70" s="581"/>
      <c r="AD70" s="147"/>
      <c r="AE70" s="581"/>
      <c r="AF70" s="94"/>
      <c r="AG70" s="14"/>
      <c r="AH70" s="62"/>
      <c r="AI70" s="62"/>
      <c r="AJ70" s="14"/>
      <c r="AK70" s="62"/>
      <c r="AL70" s="14"/>
      <c r="AM70" s="14"/>
      <c r="AN70" s="14"/>
      <c r="AO70" s="14"/>
      <c r="AP70" s="14"/>
    </row>
    <row r="71" spans="1:51" x14ac:dyDescent="0.2">
      <c r="A71" s="50">
        <v>68</v>
      </c>
      <c r="B71" s="544"/>
      <c r="C71" s="544"/>
      <c r="D71" s="544"/>
      <c r="E71" s="50"/>
      <c r="F71" s="50"/>
      <c r="G71" s="50"/>
      <c r="H71" s="544"/>
      <c r="I71" s="544"/>
      <c r="J71" s="544"/>
      <c r="K71" s="581"/>
      <c r="L71" s="147">
        <v>0.1</v>
      </c>
      <c r="M71" s="147">
        <v>0.03</v>
      </c>
      <c r="N71" s="544"/>
      <c r="O71" s="544"/>
      <c r="P71" s="544"/>
      <c r="Q71" s="147"/>
      <c r="R71" s="514"/>
      <c r="S71" s="147"/>
      <c r="T71" s="147"/>
      <c r="U71" s="147"/>
      <c r="V71" s="581">
        <v>0.61</v>
      </c>
      <c r="W71" s="581">
        <v>0.28799999999999998</v>
      </c>
      <c r="X71" s="673">
        <v>0.9</v>
      </c>
      <c r="Y71" s="673">
        <v>0.9</v>
      </c>
      <c r="Z71" s="581">
        <v>5.3999999999999999E-2</v>
      </c>
      <c r="AA71" s="581"/>
      <c r="AB71" s="581"/>
      <c r="AC71" s="581"/>
      <c r="AD71" s="147"/>
      <c r="AE71" s="581"/>
      <c r="AF71" s="94"/>
      <c r="AG71" s="14"/>
      <c r="AH71" s="62"/>
      <c r="AI71" s="62"/>
      <c r="AJ71" s="14"/>
      <c r="AK71" s="62"/>
      <c r="AL71" s="14"/>
      <c r="AM71" s="14"/>
      <c r="AN71" s="14"/>
      <c r="AO71" s="14"/>
      <c r="AP71" s="14"/>
    </row>
    <row r="72" spans="1:51" x14ac:dyDescent="0.2">
      <c r="A72" s="50">
        <v>69</v>
      </c>
      <c r="B72" s="544"/>
      <c r="C72" s="544"/>
      <c r="D72" s="544"/>
      <c r="E72" s="50"/>
      <c r="F72" s="50"/>
      <c r="G72" s="50"/>
      <c r="H72" s="544"/>
      <c r="I72" s="544"/>
      <c r="J72" s="544"/>
      <c r="K72" s="581"/>
      <c r="L72" s="147">
        <v>0.1</v>
      </c>
      <c r="M72" s="147">
        <v>0.03</v>
      </c>
      <c r="N72" s="544"/>
      <c r="O72" s="544"/>
      <c r="P72" s="544"/>
      <c r="Q72" s="147"/>
      <c r="R72" s="514"/>
      <c r="S72" s="147"/>
      <c r="T72" s="147"/>
      <c r="U72" s="147"/>
      <c r="V72" s="581">
        <v>0.62</v>
      </c>
      <c r="W72" s="581">
        <v>0.28399999999999997</v>
      </c>
      <c r="X72" s="673">
        <v>0.9</v>
      </c>
      <c r="Y72" s="673">
        <v>0.9</v>
      </c>
      <c r="Z72" s="581">
        <v>5.1999999999999998E-2</v>
      </c>
      <c r="AA72" s="581"/>
      <c r="AB72" s="581"/>
      <c r="AC72" s="581"/>
      <c r="AD72" s="147"/>
      <c r="AE72" s="581"/>
      <c r="AF72" s="94"/>
      <c r="AG72" s="14"/>
      <c r="AH72" s="62"/>
      <c r="AI72" s="62"/>
      <c r="AJ72" s="14"/>
      <c r="AK72" s="62"/>
      <c r="AL72" s="14"/>
      <c r="AM72" s="14"/>
      <c r="AN72" s="14"/>
      <c r="AO72" s="14"/>
      <c r="AP72" s="14"/>
    </row>
    <row r="73" spans="1:51" x14ac:dyDescent="0.2">
      <c r="A73" s="50">
        <v>70</v>
      </c>
      <c r="B73" s="544"/>
      <c r="C73" s="544"/>
      <c r="D73" s="544"/>
      <c r="E73" s="50"/>
      <c r="F73" s="50"/>
      <c r="G73" s="50"/>
      <c r="H73" s="544"/>
      <c r="I73" s="544"/>
      <c r="J73" s="544"/>
      <c r="K73" s="581"/>
      <c r="L73" s="147">
        <v>0.1</v>
      </c>
      <c r="M73" s="147">
        <v>0.03</v>
      </c>
      <c r="N73" s="544"/>
      <c r="O73" s="544"/>
      <c r="P73" s="544"/>
      <c r="Q73" s="147"/>
      <c r="R73" s="514"/>
      <c r="S73" s="147"/>
      <c r="T73" s="147"/>
      <c r="U73" s="147"/>
      <c r="V73" s="581">
        <v>0.63</v>
      </c>
      <c r="W73" s="581">
        <v>0.28000000000000003</v>
      </c>
      <c r="X73" s="673">
        <v>0.9</v>
      </c>
      <c r="Y73" s="673">
        <v>0.9</v>
      </c>
      <c r="Z73" s="581">
        <v>0.05</v>
      </c>
      <c r="AA73" s="581"/>
      <c r="AB73" s="581"/>
      <c r="AC73" s="581"/>
      <c r="AD73" s="147"/>
      <c r="AE73" s="581"/>
      <c r="AF73" s="94"/>
      <c r="AG73" s="14"/>
      <c r="AH73" s="62"/>
      <c r="AI73" s="62"/>
      <c r="AJ73" s="14"/>
      <c r="AK73" s="62"/>
      <c r="AL73" s="14"/>
      <c r="AM73" s="14"/>
      <c r="AN73" s="14"/>
      <c r="AO73" s="14"/>
      <c r="AP73" s="14"/>
    </row>
    <row r="74" spans="1:51" x14ac:dyDescent="0.2">
      <c r="A74" s="50">
        <v>71</v>
      </c>
      <c r="B74" s="544"/>
      <c r="C74" s="544"/>
      <c r="D74" s="544"/>
      <c r="E74" s="50"/>
      <c r="F74" s="50"/>
      <c r="G74" s="50"/>
      <c r="H74" s="50"/>
      <c r="I74" s="50"/>
      <c r="J74" s="50"/>
      <c r="K74" s="581"/>
      <c r="L74" s="147">
        <v>0.1</v>
      </c>
      <c r="M74" s="147">
        <v>0.03</v>
      </c>
      <c r="N74" s="544"/>
      <c r="O74" s="544"/>
      <c r="P74" s="544"/>
      <c r="Q74" s="147"/>
      <c r="R74" s="514"/>
      <c r="S74" s="147"/>
      <c r="T74" s="147"/>
      <c r="U74" s="147"/>
      <c r="V74" s="581">
        <v>0.64</v>
      </c>
      <c r="W74" s="581">
        <v>0.27700000000000002</v>
      </c>
      <c r="X74" s="673">
        <v>0.9</v>
      </c>
      <c r="Y74" s="673">
        <v>0.9</v>
      </c>
      <c r="Z74" s="581">
        <v>4.9000000000000002E-2</v>
      </c>
      <c r="AA74" s="581"/>
      <c r="AB74" s="581"/>
      <c r="AC74" s="581"/>
      <c r="AD74" s="147"/>
      <c r="AE74" s="581"/>
      <c r="AF74" s="94"/>
      <c r="AG74" s="14"/>
      <c r="AH74" s="62"/>
      <c r="AI74" s="62"/>
      <c r="AJ74" s="14"/>
      <c r="AK74" s="62"/>
      <c r="AL74" s="14"/>
      <c r="AM74" s="14"/>
      <c r="AN74" s="14"/>
      <c r="AO74" s="14"/>
      <c r="AP74" s="14"/>
    </row>
    <row r="75" spans="1:51" x14ac:dyDescent="0.2">
      <c r="A75" s="50">
        <v>72</v>
      </c>
      <c r="B75" s="544"/>
      <c r="C75" s="544"/>
      <c r="D75" s="544"/>
      <c r="E75" s="50"/>
      <c r="F75" s="50"/>
      <c r="G75" s="50"/>
      <c r="H75" s="50"/>
      <c r="I75" s="50"/>
      <c r="J75" s="50"/>
      <c r="K75" s="581"/>
      <c r="L75" s="147">
        <v>0.11</v>
      </c>
      <c r="M75" s="147">
        <v>0.03</v>
      </c>
      <c r="N75" s="544"/>
      <c r="O75" s="544"/>
      <c r="P75" s="544"/>
      <c r="Q75" s="147"/>
      <c r="R75" s="514"/>
      <c r="S75" s="147"/>
      <c r="T75" s="147"/>
      <c r="U75" s="147"/>
      <c r="V75" s="581">
        <v>0.65</v>
      </c>
      <c r="W75" s="581">
        <v>0.27400000000000002</v>
      </c>
      <c r="X75" s="673">
        <v>0.9</v>
      </c>
      <c r="Y75" s="673">
        <v>0.9</v>
      </c>
      <c r="Z75" s="581">
        <v>4.8000000000000001E-2</v>
      </c>
      <c r="AA75" s="581"/>
      <c r="AB75" s="581"/>
      <c r="AC75" s="581"/>
      <c r="AD75" s="147"/>
      <c r="AE75" s="581"/>
      <c r="AF75" s="94"/>
      <c r="AG75" s="14"/>
      <c r="AH75" s="62"/>
      <c r="AI75" s="62"/>
      <c r="AJ75" s="14"/>
      <c r="AK75" s="62"/>
      <c r="AL75" s="14"/>
      <c r="AM75" s="14"/>
      <c r="AN75" s="14"/>
      <c r="AO75" s="14"/>
      <c r="AP75" s="14"/>
    </row>
    <row r="76" spans="1:51" x14ac:dyDescent="0.2">
      <c r="A76" s="50">
        <v>73</v>
      </c>
      <c r="B76" s="544"/>
      <c r="C76" s="544"/>
      <c r="D76" s="544"/>
      <c r="E76" s="50"/>
      <c r="F76" s="50"/>
      <c r="G76" s="50"/>
      <c r="H76" s="50"/>
      <c r="I76" s="50"/>
      <c r="J76" s="50"/>
      <c r="K76" s="581"/>
      <c r="L76" s="147">
        <v>0.11</v>
      </c>
      <c r="M76" s="147">
        <v>0.03</v>
      </c>
      <c r="N76" s="544"/>
      <c r="O76" s="544"/>
      <c r="P76" s="544"/>
      <c r="Q76" s="147"/>
      <c r="R76" s="514"/>
      <c r="S76" s="147"/>
      <c r="T76" s="147"/>
      <c r="U76" s="147"/>
      <c r="V76" s="581">
        <v>0.66</v>
      </c>
      <c r="W76" s="581">
        <v>0.27100000000000002</v>
      </c>
      <c r="X76" s="673">
        <v>0.9</v>
      </c>
      <c r="Y76" s="673">
        <v>0.9</v>
      </c>
      <c r="Z76" s="581">
        <v>4.7E-2</v>
      </c>
      <c r="AA76" s="581"/>
      <c r="AB76" s="581"/>
      <c r="AC76" s="581"/>
      <c r="AD76" s="147"/>
      <c r="AE76" s="581"/>
      <c r="AF76" s="94"/>
      <c r="AG76" s="14"/>
      <c r="AH76" s="62"/>
      <c r="AI76" s="62"/>
      <c r="AJ76" s="14"/>
      <c r="AK76" s="62"/>
      <c r="AL76" s="14"/>
      <c r="AM76" s="14"/>
      <c r="AN76" s="14"/>
      <c r="AO76" s="14"/>
      <c r="AP76" s="14"/>
    </row>
    <row r="77" spans="1:51" x14ac:dyDescent="0.2">
      <c r="A77" s="50">
        <v>74</v>
      </c>
      <c r="B77" s="544"/>
      <c r="C77" s="544"/>
      <c r="D77" s="544"/>
      <c r="E77" s="50"/>
      <c r="F77" s="50"/>
      <c r="G77" s="50"/>
      <c r="H77" s="50"/>
      <c r="I77" s="50"/>
      <c r="J77" s="50"/>
      <c r="K77" s="581"/>
      <c r="L77" s="147">
        <v>0.11</v>
      </c>
      <c r="M77" s="147">
        <v>0.03</v>
      </c>
      <c r="N77" s="544"/>
      <c r="O77" s="544"/>
      <c r="P77" s="544"/>
      <c r="Q77" s="147"/>
      <c r="R77" s="514"/>
      <c r="S77" s="147"/>
      <c r="T77" s="147"/>
      <c r="U77" s="147"/>
      <c r="V77" s="581">
        <v>0.67</v>
      </c>
      <c r="W77" s="581">
        <v>0.26800000000000002</v>
      </c>
      <c r="X77" s="673">
        <v>0.9</v>
      </c>
      <c r="Y77" s="673">
        <v>0.9</v>
      </c>
      <c r="Z77" s="581">
        <v>4.5999999999999999E-2</v>
      </c>
      <c r="AA77" s="581"/>
      <c r="AB77" s="581"/>
      <c r="AC77" s="581"/>
      <c r="AD77" s="147"/>
      <c r="AE77" s="581"/>
      <c r="AF77" s="94"/>
      <c r="AG77" s="14"/>
      <c r="AH77" s="62"/>
      <c r="AI77" s="62"/>
      <c r="AJ77" s="14"/>
      <c r="AK77" s="62"/>
      <c r="AL77" s="14"/>
      <c r="AM77" s="14"/>
      <c r="AN77" s="14"/>
      <c r="AO77" s="14"/>
      <c r="AP77" s="14"/>
    </row>
    <row r="78" spans="1:51" x14ac:dyDescent="0.2">
      <c r="A78" s="50">
        <v>75</v>
      </c>
      <c r="B78" s="544"/>
      <c r="C78" s="544"/>
      <c r="D78" s="544"/>
      <c r="E78" s="50"/>
      <c r="F78" s="50"/>
      <c r="G78" s="50"/>
      <c r="H78" s="50"/>
      <c r="I78" s="50"/>
      <c r="J78" s="50"/>
      <c r="K78" s="581"/>
      <c r="L78" s="147">
        <v>0.11</v>
      </c>
      <c r="M78" s="147">
        <v>0.03</v>
      </c>
      <c r="N78" s="544"/>
      <c r="O78" s="544"/>
      <c r="P78" s="544"/>
      <c r="Q78" s="147"/>
      <c r="R78" s="514"/>
      <c r="S78" s="147"/>
      <c r="T78" s="147"/>
      <c r="U78" s="147"/>
      <c r="V78" s="581">
        <v>0.68</v>
      </c>
      <c r="W78" s="581">
        <v>0.26500000000000001</v>
      </c>
      <c r="X78" s="673">
        <v>0.9</v>
      </c>
      <c r="Y78" s="673">
        <v>0.9</v>
      </c>
      <c r="Z78" s="581">
        <v>4.4999999999999998E-2</v>
      </c>
      <c r="AA78" s="581"/>
      <c r="AB78" s="581"/>
      <c r="AC78" s="581"/>
      <c r="AD78" s="147"/>
      <c r="AE78" s="581"/>
      <c r="AF78" s="94"/>
      <c r="AG78" s="14"/>
      <c r="AH78" s="62"/>
      <c r="AI78" s="62"/>
      <c r="AJ78" s="14"/>
      <c r="AK78" s="62"/>
      <c r="AL78" s="14"/>
      <c r="AM78" s="14"/>
      <c r="AN78" s="14"/>
      <c r="AO78" s="14"/>
      <c r="AP78" s="14"/>
    </row>
    <row r="79" spans="1:51" x14ac:dyDescent="0.2">
      <c r="A79" s="50">
        <v>76</v>
      </c>
      <c r="B79" s="544"/>
      <c r="C79" s="544"/>
      <c r="D79" s="544"/>
      <c r="E79" s="50"/>
      <c r="F79" s="50"/>
      <c r="G79" s="50"/>
      <c r="H79" s="50"/>
      <c r="I79" s="50"/>
      <c r="J79" s="50"/>
      <c r="K79" s="581"/>
      <c r="L79" s="147">
        <v>0.11</v>
      </c>
      <c r="M79" s="147">
        <v>0.03</v>
      </c>
      <c r="N79" s="544"/>
      <c r="O79" s="544"/>
      <c r="P79" s="544"/>
      <c r="Q79" s="147"/>
      <c r="R79" s="514"/>
      <c r="S79" s="147"/>
      <c r="T79" s="147"/>
      <c r="U79" s="147"/>
      <c r="V79" s="581">
        <v>0.68</v>
      </c>
      <c r="W79" s="581">
        <v>0.26200000000000001</v>
      </c>
      <c r="X79" s="673">
        <v>0.9</v>
      </c>
      <c r="Y79" s="673">
        <v>0.9</v>
      </c>
      <c r="Z79" s="581">
        <v>4.3999999999999997E-2</v>
      </c>
      <c r="AA79" s="581"/>
      <c r="AB79" s="581"/>
      <c r="AC79" s="581"/>
      <c r="AD79" s="147"/>
      <c r="AE79" s="581"/>
      <c r="AF79" s="94"/>
      <c r="AG79" s="14"/>
      <c r="AH79" s="62"/>
      <c r="AI79" s="62"/>
      <c r="AJ79" s="14"/>
      <c r="AK79" s="62"/>
      <c r="AL79" s="14"/>
      <c r="AM79" s="14"/>
      <c r="AN79" s="14"/>
      <c r="AO79" s="14"/>
      <c r="AP79" s="14"/>
    </row>
    <row r="80" spans="1:51" x14ac:dyDescent="0.2">
      <c r="A80" s="50">
        <v>77</v>
      </c>
      <c r="B80" s="544"/>
      <c r="C80" s="544"/>
      <c r="D80" s="544"/>
      <c r="E80" s="50"/>
      <c r="F80" s="50"/>
      <c r="G80" s="50"/>
      <c r="H80" s="50"/>
      <c r="I80" s="50"/>
      <c r="J80" s="50"/>
      <c r="K80" s="581"/>
      <c r="L80" s="147">
        <v>0.11</v>
      </c>
      <c r="M80" s="147">
        <v>0.03</v>
      </c>
      <c r="N80" s="544"/>
      <c r="O80" s="544"/>
      <c r="P80" s="544"/>
      <c r="Q80" s="147"/>
      <c r="R80" s="514"/>
      <c r="S80" s="147"/>
      <c r="T80" s="147"/>
      <c r="U80" s="147"/>
      <c r="V80" s="581">
        <v>0.69</v>
      </c>
      <c r="W80" s="581">
        <v>0.25900000000000001</v>
      </c>
      <c r="X80" s="673">
        <v>0.9</v>
      </c>
      <c r="Y80" s="673">
        <v>0.9</v>
      </c>
      <c r="Z80" s="581">
        <v>4.2999999999999997E-2</v>
      </c>
      <c r="AA80" s="581"/>
      <c r="AB80" s="581"/>
      <c r="AC80" s="581"/>
      <c r="AD80" s="147"/>
      <c r="AE80" s="581"/>
      <c r="AF80" s="94"/>
      <c r="AG80" s="14"/>
      <c r="AH80" s="62"/>
      <c r="AI80" s="62"/>
      <c r="AJ80" s="14"/>
      <c r="AK80" s="62"/>
      <c r="AL80" s="14"/>
      <c r="AM80" s="14"/>
      <c r="AN80" s="14"/>
      <c r="AO80" s="14"/>
      <c r="AP80" s="14"/>
    </row>
    <row r="81" spans="1:42" x14ac:dyDescent="0.2">
      <c r="A81" s="50">
        <v>78</v>
      </c>
      <c r="B81" s="544"/>
      <c r="C81" s="544"/>
      <c r="D81" s="544"/>
      <c r="E81" s="50"/>
      <c r="F81" s="50"/>
      <c r="G81" s="50"/>
      <c r="H81" s="50"/>
      <c r="I81" s="50"/>
      <c r="J81" s="50"/>
      <c r="K81" s="581"/>
      <c r="L81" s="147">
        <v>0.11</v>
      </c>
      <c r="M81" s="147">
        <v>0.03</v>
      </c>
      <c r="N81" s="544"/>
      <c r="O81" s="544"/>
      <c r="P81" s="544"/>
      <c r="Q81" s="147"/>
      <c r="R81" s="514"/>
      <c r="S81" s="147"/>
      <c r="T81" s="147"/>
      <c r="U81" s="147"/>
      <c r="V81" s="581">
        <v>0.7</v>
      </c>
      <c r="W81" s="581">
        <v>0.25600000000000001</v>
      </c>
      <c r="X81" s="673">
        <v>0.9</v>
      </c>
      <c r="Y81" s="673">
        <v>0.9</v>
      </c>
      <c r="Z81" s="581">
        <v>4.2000000000000003E-2</v>
      </c>
      <c r="AA81" s="581"/>
      <c r="AB81" s="581"/>
      <c r="AC81" s="581"/>
      <c r="AD81" s="147"/>
      <c r="AE81" s="581"/>
      <c r="AF81" s="94"/>
      <c r="AG81" s="14"/>
      <c r="AH81" s="62"/>
      <c r="AI81" s="62"/>
      <c r="AJ81" s="14"/>
      <c r="AK81" s="62"/>
      <c r="AL81" s="14"/>
      <c r="AM81" s="14"/>
      <c r="AN81" s="14"/>
      <c r="AO81" s="14"/>
      <c r="AP81" s="14"/>
    </row>
    <row r="82" spans="1:42" x14ac:dyDescent="0.2">
      <c r="A82" s="50">
        <v>79</v>
      </c>
      <c r="B82" s="544"/>
      <c r="C82" s="544"/>
      <c r="D82" s="544"/>
      <c r="E82" s="50"/>
      <c r="F82" s="50"/>
      <c r="G82" s="50"/>
      <c r="H82" s="50"/>
      <c r="I82" s="50"/>
      <c r="J82" s="50"/>
      <c r="K82" s="581"/>
      <c r="L82" s="147">
        <v>0.12</v>
      </c>
      <c r="M82" s="147">
        <v>0.03</v>
      </c>
      <c r="N82" s="544"/>
      <c r="O82" s="544"/>
      <c r="P82" s="544"/>
      <c r="Q82" s="147"/>
      <c r="R82" s="514"/>
      <c r="S82" s="147"/>
      <c r="T82" s="147"/>
      <c r="U82" s="147"/>
      <c r="V82" s="581">
        <v>0.71</v>
      </c>
      <c r="W82" s="581">
        <v>0.253</v>
      </c>
      <c r="X82" s="673">
        <v>0.9</v>
      </c>
      <c r="Y82" s="673">
        <v>0.9</v>
      </c>
      <c r="Z82" s="581">
        <v>4.1000000000000002E-2</v>
      </c>
      <c r="AA82" s="581"/>
      <c r="AB82" s="581"/>
      <c r="AC82" s="581"/>
      <c r="AD82" s="147"/>
      <c r="AE82" s="581"/>
      <c r="AF82" s="94"/>
      <c r="AG82" s="14"/>
      <c r="AH82" s="62"/>
      <c r="AI82" s="62"/>
      <c r="AJ82" s="14"/>
      <c r="AK82" s="62"/>
      <c r="AL82" s="14"/>
      <c r="AM82" s="14"/>
      <c r="AN82" s="14"/>
      <c r="AO82" s="14"/>
      <c r="AP82" s="14"/>
    </row>
    <row r="83" spans="1:42" x14ac:dyDescent="0.2">
      <c r="A83" s="50">
        <v>80</v>
      </c>
      <c r="B83" s="544"/>
      <c r="C83" s="544"/>
      <c r="D83" s="544"/>
      <c r="E83" s="50"/>
      <c r="F83" s="50"/>
      <c r="G83" s="50"/>
      <c r="H83" s="50"/>
      <c r="I83" s="50"/>
      <c r="J83" s="50"/>
      <c r="K83" s="581"/>
      <c r="L83" s="147">
        <v>0.12</v>
      </c>
      <c r="M83" s="147">
        <v>0.03</v>
      </c>
      <c r="N83" s="544"/>
      <c r="O83" s="544"/>
      <c r="P83" s="544"/>
      <c r="Q83" s="147"/>
      <c r="R83" s="514"/>
      <c r="S83" s="147"/>
      <c r="T83" s="147"/>
      <c r="U83" s="147"/>
      <c r="V83" s="581">
        <v>0.72</v>
      </c>
      <c r="W83" s="581">
        <v>0.25</v>
      </c>
      <c r="X83" s="673">
        <v>0.9</v>
      </c>
      <c r="Y83" s="673">
        <v>0.9</v>
      </c>
      <c r="Z83" s="581">
        <v>0.04</v>
      </c>
      <c r="AA83" s="581"/>
      <c r="AB83" s="581"/>
      <c r="AC83" s="581"/>
      <c r="AD83" s="147"/>
      <c r="AE83" s="581"/>
      <c r="AF83" s="94"/>
      <c r="AG83" s="14"/>
      <c r="AH83" s="62"/>
      <c r="AI83" s="62"/>
      <c r="AJ83" s="14"/>
      <c r="AK83" s="62"/>
      <c r="AL83" s="14"/>
      <c r="AM83" s="14"/>
      <c r="AN83" s="14"/>
      <c r="AO83" s="14"/>
      <c r="AP83" s="14"/>
    </row>
    <row r="84" spans="1:42" x14ac:dyDescent="0.2">
      <c r="A84" s="50">
        <v>81</v>
      </c>
      <c r="B84" s="50"/>
      <c r="C84" s="50"/>
      <c r="D84" s="50"/>
      <c r="E84" s="50"/>
      <c r="F84" s="50"/>
      <c r="G84" s="50"/>
      <c r="H84" s="50"/>
      <c r="I84" s="50"/>
      <c r="J84" s="50"/>
      <c r="K84" s="581"/>
      <c r="L84" s="147">
        <v>0.12</v>
      </c>
      <c r="M84" s="147">
        <v>0.03</v>
      </c>
      <c r="N84" s="544"/>
      <c r="O84" s="544"/>
      <c r="P84" s="544"/>
      <c r="Q84" s="147"/>
      <c r="R84" s="514"/>
      <c r="S84" s="147"/>
      <c r="T84" s="147"/>
      <c r="U84" s="147"/>
      <c r="V84" s="581">
        <v>0.73</v>
      </c>
      <c r="W84" s="581">
        <v>0.246</v>
      </c>
      <c r="X84" s="673">
        <v>0.9</v>
      </c>
      <c r="Y84" s="673">
        <v>0.9</v>
      </c>
      <c r="Z84" s="581">
        <v>3.7999999999999999E-2</v>
      </c>
      <c r="AA84" s="581"/>
      <c r="AB84" s="581"/>
      <c r="AC84" s="581"/>
      <c r="AD84" s="147"/>
      <c r="AE84" s="581"/>
      <c r="AF84" s="94"/>
      <c r="AG84" s="14"/>
      <c r="AH84" s="62"/>
      <c r="AI84" s="62"/>
      <c r="AJ84" s="14"/>
      <c r="AK84" s="62"/>
      <c r="AL84" s="14"/>
      <c r="AM84" s="14"/>
      <c r="AN84" s="14"/>
      <c r="AO84" s="14"/>
      <c r="AP84" s="14"/>
    </row>
    <row r="85" spans="1:42" x14ac:dyDescent="0.2">
      <c r="A85" s="50">
        <v>82</v>
      </c>
      <c r="B85" s="50"/>
      <c r="C85" s="50"/>
      <c r="D85" s="50"/>
      <c r="E85" s="50"/>
      <c r="F85" s="50"/>
      <c r="G85" s="50"/>
      <c r="H85" s="50"/>
      <c r="I85" s="50"/>
      <c r="J85" s="50"/>
      <c r="K85" s="581"/>
      <c r="L85" s="147">
        <v>0.12</v>
      </c>
      <c r="M85" s="147">
        <v>0.03</v>
      </c>
      <c r="N85" s="544"/>
      <c r="O85" s="544"/>
      <c r="P85" s="544"/>
      <c r="Q85" s="147"/>
      <c r="R85" s="514"/>
      <c r="S85" s="147"/>
      <c r="T85" s="147"/>
      <c r="U85" s="147"/>
      <c r="V85" s="581">
        <v>0.74</v>
      </c>
      <c r="W85" s="581">
        <v>0.24199999999999999</v>
      </c>
      <c r="X85" s="673">
        <v>0.9</v>
      </c>
      <c r="Y85" s="673">
        <v>0.9</v>
      </c>
      <c r="Z85" s="581">
        <v>3.5999999999999997E-2</v>
      </c>
      <c r="AA85" s="581"/>
      <c r="AB85" s="581"/>
      <c r="AC85" s="581"/>
      <c r="AD85" s="147"/>
      <c r="AE85" s="581"/>
      <c r="AF85" s="94"/>
      <c r="AG85" s="14"/>
      <c r="AH85" s="62"/>
      <c r="AI85" s="62"/>
      <c r="AJ85" s="14"/>
      <c r="AK85" s="62"/>
      <c r="AL85" s="14"/>
      <c r="AM85" s="14"/>
      <c r="AN85" s="14"/>
      <c r="AO85" s="14"/>
      <c r="AP85" s="14"/>
    </row>
    <row r="86" spans="1:42" x14ac:dyDescent="0.2">
      <c r="A86" s="50">
        <v>83</v>
      </c>
      <c r="B86" s="50"/>
      <c r="C86" s="50"/>
      <c r="D86" s="50"/>
      <c r="E86" s="50"/>
      <c r="F86" s="50"/>
      <c r="G86" s="50"/>
      <c r="H86" s="50"/>
      <c r="I86" s="50"/>
      <c r="J86" s="50"/>
      <c r="K86" s="581"/>
      <c r="L86" s="147">
        <v>0.12</v>
      </c>
      <c r="M86" s="147">
        <v>0.03</v>
      </c>
      <c r="N86" s="544"/>
      <c r="O86" s="544"/>
      <c r="P86" s="544"/>
      <c r="Q86" s="147"/>
      <c r="R86" s="514"/>
      <c r="S86" s="147"/>
      <c r="T86" s="147"/>
      <c r="U86" s="147"/>
      <c r="V86" s="581">
        <v>0.75</v>
      </c>
      <c r="W86" s="581">
        <v>0.23799999999999999</v>
      </c>
      <c r="X86" s="673">
        <v>0.9</v>
      </c>
      <c r="Y86" s="673">
        <v>0.9</v>
      </c>
      <c r="Z86" s="581">
        <v>3.4000000000000002E-2</v>
      </c>
      <c r="AA86" s="581"/>
      <c r="AB86" s="581"/>
      <c r="AC86" s="581"/>
      <c r="AD86" s="147"/>
      <c r="AE86" s="581"/>
      <c r="AF86" s="94"/>
      <c r="AG86" s="14"/>
      <c r="AH86" s="62"/>
      <c r="AI86" s="62"/>
      <c r="AJ86" s="14"/>
      <c r="AK86" s="62"/>
      <c r="AL86" s="14"/>
      <c r="AM86" s="14"/>
      <c r="AN86" s="14"/>
      <c r="AO86" s="14"/>
      <c r="AP86" s="14"/>
    </row>
    <row r="87" spans="1:42" x14ac:dyDescent="0.2">
      <c r="A87" s="50">
        <v>84</v>
      </c>
      <c r="B87" s="50"/>
      <c r="C87" s="50"/>
      <c r="D87" s="50"/>
      <c r="E87" s="50"/>
      <c r="F87" s="50"/>
      <c r="G87" s="50"/>
      <c r="H87" s="50"/>
      <c r="I87" s="50"/>
      <c r="J87" s="50"/>
      <c r="K87" s="581"/>
      <c r="L87" s="147">
        <v>0.12</v>
      </c>
      <c r="M87" s="147">
        <v>0.03</v>
      </c>
      <c r="N87" s="544"/>
      <c r="O87" s="544"/>
      <c r="P87" s="544"/>
      <c r="Q87" s="147"/>
      <c r="R87" s="514"/>
      <c r="S87" s="147"/>
      <c r="T87" s="147"/>
      <c r="U87" s="147"/>
      <c r="V87" s="581">
        <v>0.76</v>
      </c>
      <c r="W87" s="581">
        <v>0.23400000000000001</v>
      </c>
      <c r="X87" s="673">
        <v>0.9</v>
      </c>
      <c r="Y87" s="673">
        <v>0.9</v>
      </c>
      <c r="Z87" s="581">
        <v>3.2000000000000001E-2</v>
      </c>
      <c r="AA87" s="581"/>
      <c r="AB87" s="581"/>
      <c r="AC87" s="581"/>
      <c r="AD87" s="147"/>
      <c r="AE87" s="581"/>
      <c r="AF87" s="94"/>
      <c r="AG87" s="14"/>
      <c r="AH87" s="62"/>
      <c r="AI87" s="62"/>
      <c r="AJ87" s="14"/>
      <c r="AK87" s="62"/>
      <c r="AL87" s="14"/>
      <c r="AM87" s="14"/>
      <c r="AN87" s="14"/>
      <c r="AO87" s="14"/>
      <c r="AP87" s="14"/>
    </row>
    <row r="88" spans="1:42" x14ac:dyDescent="0.2">
      <c r="A88" s="50">
        <v>85</v>
      </c>
      <c r="B88" s="50"/>
      <c r="C88" s="50"/>
      <c r="D88" s="50"/>
      <c r="E88" s="50"/>
      <c r="F88" s="50"/>
      <c r="G88" s="50"/>
      <c r="H88" s="50"/>
      <c r="I88" s="50"/>
      <c r="J88" s="50"/>
      <c r="K88" s="581"/>
      <c r="L88" s="147">
        <v>0.12</v>
      </c>
      <c r="M88" s="147">
        <v>0.03</v>
      </c>
      <c r="N88" s="544"/>
      <c r="O88" s="544"/>
      <c r="P88" s="544"/>
      <c r="Q88" s="147"/>
      <c r="R88" s="514"/>
      <c r="S88" s="147"/>
      <c r="T88" s="147"/>
      <c r="U88" s="147"/>
      <c r="V88" s="581">
        <v>0.77</v>
      </c>
      <c r="W88" s="581">
        <v>0.23</v>
      </c>
      <c r="X88" s="673">
        <v>0.9</v>
      </c>
      <c r="Y88" s="673">
        <v>0.9</v>
      </c>
      <c r="Z88" s="581">
        <v>0.03</v>
      </c>
      <c r="AA88" s="581"/>
      <c r="AB88" s="581"/>
      <c r="AC88" s="581"/>
      <c r="AD88" s="147"/>
      <c r="AE88" s="581"/>
      <c r="AF88" s="94"/>
      <c r="AG88" s="14"/>
      <c r="AH88" s="62"/>
      <c r="AI88" s="62"/>
      <c r="AJ88" s="14"/>
      <c r="AK88" s="62"/>
      <c r="AL88" s="14"/>
      <c r="AM88" s="14"/>
      <c r="AN88" s="14"/>
      <c r="AO88" s="14"/>
      <c r="AP88" s="14"/>
    </row>
    <row r="89" spans="1:42" x14ac:dyDescent="0.2">
      <c r="A89" s="50">
        <v>86</v>
      </c>
      <c r="B89" s="50"/>
      <c r="C89" s="50"/>
      <c r="D89" s="50"/>
      <c r="E89" s="50"/>
      <c r="F89" s="50"/>
      <c r="G89" s="50"/>
      <c r="H89" s="50"/>
      <c r="I89" s="50"/>
      <c r="J89" s="50"/>
      <c r="K89" s="581"/>
      <c r="L89" s="147">
        <v>0.13</v>
      </c>
      <c r="M89" s="147">
        <v>0.03</v>
      </c>
      <c r="N89" s="544"/>
      <c r="O89" s="544"/>
      <c r="P89" s="544"/>
      <c r="Q89" s="147"/>
      <c r="R89" s="514"/>
      <c r="S89" s="147"/>
      <c r="T89" s="147"/>
      <c r="U89" s="147"/>
      <c r="V89" s="581">
        <v>0.77</v>
      </c>
      <c r="W89" s="581">
        <v>0.22600000000000001</v>
      </c>
      <c r="X89" s="673">
        <v>0.9</v>
      </c>
      <c r="Y89" s="673">
        <v>0.9</v>
      </c>
      <c r="Z89" s="581">
        <v>2.8000000000000001E-2</v>
      </c>
      <c r="AA89" s="581"/>
      <c r="AB89" s="581"/>
      <c r="AC89" s="581"/>
      <c r="AD89" s="147"/>
      <c r="AE89" s="581"/>
      <c r="AF89" s="94"/>
      <c r="AG89" s="14"/>
      <c r="AH89" s="62"/>
      <c r="AI89" s="62"/>
      <c r="AJ89" s="14"/>
      <c r="AK89" s="62"/>
      <c r="AL89" s="14"/>
      <c r="AM89" s="14"/>
      <c r="AN89" s="14"/>
      <c r="AO89" s="14"/>
      <c r="AP89" s="14"/>
    </row>
    <row r="90" spans="1:42" x14ac:dyDescent="0.2">
      <c r="A90" s="50">
        <v>87</v>
      </c>
      <c r="B90" s="50"/>
      <c r="C90" s="50"/>
      <c r="D90" s="50"/>
      <c r="E90" s="50"/>
      <c r="F90" s="50"/>
      <c r="G90" s="50"/>
      <c r="H90" s="50"/>
      <c r="I90" s="50"/>
      <c r="J90" s="50"/>
      <c r="K90" s="581"/>
      <c r="L90" s="147">
        <v>0.13</v>
      </c>
      <c r="M90" s="147">
        <v>0.03</v>
      </c>
      <c r="N90" s="544"/>
      <c r="O90" s="544"/>
      <c r="P90" s="544"/>
      <c r="Q90" s="147"/>
      <c r="R90" s="514"/>
      <c r="S90" s="147"/>
      <c r="T90" s="147"/>
      <c r="U90" s="147"/>
      <c r="V90" s="581">
        <v>0.78</v>
      </c>
      <c r="W90" s="581">
        <v>0.222</v>
      </c>
      <c r="X90" s="673">
        <v>0.9</v>
      </c>
      <c r="Y90" s="673">
        <v>0.9</v>
      </c>
      <c r="Z90" s="581">
        <v>2.5999999999999999E-2</v>
      </c>
      <c r="AA90" s="581"/>
      <c r="AB90" s="581"/>
      <c r="AC90" s="581"/>
      <c r="AD90" s="147"/>
      <c r="AE90" s="581"/>
      <c r="AF90" s="94"/>
      <c r="AG90" s="14"/>
      <c r="AH90" s="62"/>
      <c r="AI90" s="62"/>
      <c r="AJ90" s="14"/>
      <c r="AK90" s="62"/>
      <c r="AL90" s="14"/>
      <c r="AM90" s="14"/>
      <c r="AN90" s="14"/>
      <c r="AO90" s="14"/>
      <c r="AP90" s="14"/>
    </row>
    <row r="91" spans="1:42" x14ac:dyDescent="0.2">
      <c r="A91" s="50">
        <v>88</v>
      </c>
      <c r="B91" s="50"/>
      <c r="C91" s="50"/>
      <c r="D91" s="50"/>
      <c r="E91" s="50"/>
      <c r="F91" s="50"/>
      <c r="G91" s="50"/>
      <c r="H91" s="50"/>
      <c r="I91" s="50"/>
      <c r="J91" s="50"/>
      <c r="K91" s="581"/>
      <c r="L91" s="147">
        <v>0.13</v>
      </c>
      <c r="M91" s="147">
        <v>0.03</v>
      </c>
      <c r="N91" s="544"/>
      <c r="O91" s="544"/>
      <c r="P91" s="544"/>
      <c r="Q91" s="147"/>
      <c r="R91" s="514"/>
      <c r="S91" s="147"/>
      <c r="T91" s="147"/>
      <c r="U91" s="147"/>
      <c r="V91" s="581">
        <v>0.79</v>
      </c>
      <c r="W91" s="581">
        <v>0.218</v>
      </c>
      <c r="X91" s="673">
        <v>0.9</v>
      </c>
      <c r="Y91" s="673">
        <v>0.9</v>
      </c>
      <c r="Z91" s="581">
        <v>2.4E-2</v>
      </c>
      <c r="AA91" s="581"/>
      <c r="AB91" s="581"/>
      <c r="AC91" s="581"/>
      <c r="AD91" s="147"/>
      <c r="AE91" s="581"/>
      <c r="AF91" s="94"/>
      <c r="AG91" s="14"/>
      <c r="AH91" s="62"/>
      <c r="AI91" s="62"/>
      <c r="AJ91" s="14"/>
      <c r="AK91" s="62"/>
      <c r="AL91" s="14"/>
      <c r="AM91" s="14"/>
      <c r="AN91" s="14"/>
      <c r="AO91" s="14"/>
      <c r="AP91" s="14"/>
    </row>
    <row r="92" spans="1:42" x14ac:dyDescent="0.2">
      <c r="A92" s="50">
        <v>89</v>
      </c>
      <c r="B92" s="50"/>
      <c r="C92" s="50"/>
      <c r="D92" s="50"/>
      <c r="E92" s="50"/>
      <c r="F92" s="50"/>
      <c r="G92" s="50"/>
      <c r="H92" s="50"/>
      <c r="I92" s="50"/>
      <c r="J92" s="50"/>
      <c r="K92" s="581"/>
      <c r="L92" s="147">
        <v>0.13</v>
      </c>
      <c r="M92" s="147">
        <v>0.03</v>
      </c>
      <c r="N92" s="544"/>
      <c r="O92" s="544"/>
      <c r="P92" s="544"/>
      <c r="Q92" s="147"/>
      <c r="R92" s="514"/>
      <c r="S92" s="147"/>
      <c r="T92" s="147"/>
      <c r="U92" s="147"/>
      <c r="V92" s="581">
        <v>0.8</v>
      </c>
      <c r="W92" s="581">
        <v>0.214</v>
      </c>
      <c r="X92" s="673">
        <v>0.9</v>
      </c>
      <c r="Y92" s="673">
        <v>0.9</v>
      </c>
      <c r="Z92" s="581">
        <v>2.1999999999999999E-2</v>
      </c>
      <c r="AA92" s="581"/>
      <c r="AB92" s="581"/>
      <c r="AC92" s="581"/>
      <c r="AD92" s="147"/>
      <c r="AE92" s="581"/>
      <c r="AF92" s="94"/>
      <c r="AG92" s="14"/>
      <c r="AH92" s="62"/>
      <c r="AI92" s="62"/>
      <c r="AJ92" s="14"/>
      <c r="AK92" s="62"/>
      <c r="AL92" s="14"/>
      <c r="AM92" s="14"/>
      <c r="AN92" s="14"/>
      <c r="AO92" s="14"/>
      <c r="AP92" s="14"/>
    </row>
    <row r="93" spans="1:42" x14ac:dyDescent="0.2">
      <c r="A93" s="50">
        <v>90</v>
      </c>
      <c r="B93" s="50"/>
      <c r="C93" s="50"/>
      <c r="D93" s="50"/>
      <c r="E93" s="50"/>
      <c r="F93" s="50"/>
      <c r="G93" s="50"/>
      <c r="H93" s="50"/>
      <c r="I93" s="50"/>
      <c r="J93" s="50"/>
      <c r="K93" s="581"/>
      <c r="L93" s="147">
        <v>0.13</v>
      </c>
      <c r="M93" s="147">
        <v>0.03</v>
      </c>
      <c r="N93" s="544"/>
      <c r="O93" s="544"/>
      <c r="P93" s="544"/>
      <c r="Q93" s="147"/>
      <c r="R93" s="514"/>
      <c r="S93" s="147"/>
      <c r="T93" s="147"/>
      <c r="U93" s="147"/>
      <c r="V93" s="581">
        <v>0.81</v>
      </c>
      <c r="W93" s="581">
        <v>0.21</v>
      </c>
      <c r="X93" s="673">
        <v>0.9</v>
      </c>
      <c r="Y93" s="673">
        <v>0.9</v>
      </c>
      <c r="Z93" s="581">
        <v>0.02</v>
      </c>
      <c r="AA93" s="581"/>
      <c r="AB93" s="581"/>
      <c r="AC93" s="581"/>
      <c r="AD93" s="147"/>
      <c r="AE93" s="581"/>
      <c r="AF93" s="94"/>
      <c r="AG93" s="14"/>
      <c r="AH93" s="62"/>
      <c r="AI93" s="62"/>
      <c r="AJ93" s="14"/>
      <c r="AK93" s="62"/>
      <c r="AL93" s="14"/>
      <c r="AM93" s="14"/>
      <c r="AN93" s="14"/>
      <c r="AO93" s="14"/>
      <c r="AP93" s="14"/>
    </row>
    <row r="94" spans="1:42" x14ac:dyDescent="0.2">
      <c r="A94" s="50">
        <v>91</v>
      </c>
      <c r="B94" s="50"/>
      <c r="C94" s="50"/>
      <c r="D94" s="50"/>
      <c r="E94" s="50"/>
      <c r="F94" s="50"/>
      <c r="G94" s="50"/>
      <c r="H94" s="50"/>
      <c r="I94" s="50"/>
      <c r="J94" s="50"/>
      <c r="K94" s="581"/>
      <c r="L94" s="147">
        <v>0.13</v>
      </c>
      <c r="M94" s="147">
        <v>0.03</v>
      </c>
      <c r="N94" s="50"/>
      <c r="O94" s="50"/>
      <c r="P94" s="50"/>
      <c r="Q94" s="147"/>
      <c r="R94" s="514"/>
      <c r="S94" s="147"/>
      <c r="T94" s="147"/>
      <c r="U94" s="147"/>
      <c r="V94" s="581">
        <v>0.82</v>
      </c>
      <c r="W94" s="581">
        <v>0.20699999999999999</v>
      </c>
      <c r="X94" s="673">
        <v>0.9</v>
      </c>
      <c r="Y94" s="673">
        <v>0.9</v>
      </c>
      <c r="Z94" s="581">
        <v>1.7999999999999999E-2</v>
      </c>
      <c r="AA94" s="581"/>
      <c r="AB94" s="581"/>
      <c r="AC94" s="581"/>
      <c r="AD94" s="147"/>
      <c r="AE94" s="581"/>
      <c r="AF94" s="94"/>
      <c r="AG94" s="14"/>
      <c r="AH94" s="62"/>
      <c r="AI94" s="62"/>
      <c r="AJ94" s="14"/>
      <c r="AK94" s="62"/>
      <c r="AL94" s="14"/>
      <c r="AM94" s="14"/>
      <c r="AN94" s="14"/>
      <c r="AO94" s="14"/>
      <c r="AP94" s="14"/>
    </row>
    <row r="95" spans="1:42" x14ac:dyDescent="0.2">
      <c r="A95" s="50">
        <v>92</v>
      </c>
      <c r="B95" s="50"/>
      <c r="C95" s="50"/>
      <c r="D95" s="50"/>
      <c r="E95" s="50"/>
      <c r="F95" s="50"/>
      <c r="G95" s="50"/>
      <c r="H95" s="50"/>
      <c r="I95" s="50"/>
      <c r="J95" s="50"/>
      <c r="K95" s="581"/>
      <c r="L95" s="147">
        <v>0.13</v>
      </c>
      <c r="M95" s="147">
        <v>0.03</v>
      </c>
      <c r="N95" s="50"/>
      <c r="O95" s="50"/>
      <c r="P95" s="50"/>
      <c r="Q95" s="147"/>
      <c r="R95" s="514"/>
      <c r="S95" s="147"/>
      <c r="T95" s="147"/>
      <c r="U95" s="147"/>
      <c r="V95" s="581">
        <v>0.83</v>
      </c>
      <c r="W95" s="581">
        <v>0.20399999999999999</v>
      </c>
      <c r="X95" s="673">
        <v>0.9</v>
      </c>
      <c r="Y95" s="673">
        <v>0.9</v>
      </c>
      <c r="Z95" s="581">
        <v>1.6E-2</v>
      </c>
      <c r="AA95" s="581"/>
      <c r="AB95" s="581"/>
      <c r="AC95" s="581"/>
      <c r="AD95" s="147"/>
      <c r="AE95" s="581"/>
      <c r="AF95" s="94"/>
      <c r="AG95" s="14"/>
      <c r="AH95" s="62"/>
      <c r="AI95" s="62"/>
      <c r="AJ95" s="14"/>
      <c r="AK95" s="62"/>
      <c r="AL95" s="14"/>
      <c r="AM95" s="14"/>
      <c r="AN95" s="14"/>
      <c r="AO95" s="14"/>
      <c r="AP95" s="14"/>
    </row>
    <row r="96" spans="1:42" x14ac:dyDescent="0.2">
      <c r="A96" s="50">
        <v>93</v>
      </c>
      <c r="B96" s="50"/>
      <c r="C96" s="50"/>
      <c r="D96" s="50"/>
      <c r="E96" s="50"/>
      <c r="F96" s="50"/>
      <c r="G96" s="50"/>
      <c r="H96" s="50"/>
      <c r="I96" s="50"/>
      <c r="J96" s="50"/>
      <c r="K96" s="581"/>
      <c r="L96" s="147">
        <v>0.14000000000000001</v>
      </c>
      <c r="M96" s="147">
        <v>0.03</v>
      </c>
      <c r="N96" s="50"/>
      <c r="O96" s="50"/>
      <c r="P96" s="50"/>
      <c r="Q96" s="147"/>
      <c r="R96" s="514"/>
      <c r="S96" s="147"/>
      <c r="T96" s="147"/>
      <c r="U96" s="147"/>
      <c r="V96" s="581">
        <v>0.84</v>
      </c>
      <c r="W96" s="581">
        <v>0.20100000000000001</v>
      </c>
      <c r="X96" s="673">
        <v>0.9</v>
      </c>
      <c r="Y96" s="673">
        <v>0.9</v>
      </c>
      <c r="Z96" s="581">
        <v>1.4E-2</v>
      </c>
      <c r="AA96" s="581"/>
      <c r="AB96" s="581"/>
      <c r="AC96" s="581"/>
      <c r="AD96" s="147"/>
      <c r="AE96" s="581"/>
      <c r="AF96" s="94"/>
      <c r="AG96" s="14"/>
      <c r="AH96" s="62"/>
      <c r="AI96" s="62"/>
      <c r="AJ96" s="14"/>
      <c r="AK96" s="62"/>
      <c r="AL96" s="14"/>
      <c r="AM96" s="14"/>
      <c r="AN96" s="14"/>
      <c r="AO96" s="14"/>
      <c r="AP96" s="14"/>
    </row>
    <row r="97" spans="1:42" x14ac:dyDescent="0.2">
      <c r="A97" s="50">
        <v>94</v>
      </c>
      <c r="B97" s="50"/>
      <c r="C97" s="50"/>
      <c r="D97" s="50"/>
      <c r="E97" s="50"/>
      <c r="F97" s="50"/>
      <c r="G97" s="50"/>
      <c r="H97" s="50"/>
      <c r="I97" s="50"/>
      <c r="J97" s="50"/>
      <c r="K97" s="581"/>
      <c r="L97" s="147">
        <v>0.14000000000000001</v>
      </c>
      <c r="M97" s="147">
        <v>0.03</v>
      </c>
      <c r="N97" s="50"/>
      <c r="O97" s="50"/>
      <c r="P97" s="50"/>
      <c r="Q97" s="147"/>
      <c r="R97" s="514"/>
      <c r="S97" s="147"/>
      <c r="T97" s="147"/>
      <c r="U97" s="147"/>
      <c r="V97" s="581">
        <v>0.85</v>
      </c>
      <c r="W97" s="581">
        <v>0.19800000000000001</v>
      </c>
      <c r="X97" s="673">
        <v>0.9</v>
      </c>
      <c r="Y97" s="673">
        <v>0.9</v>
      </c>
      <c r="Z97" s="581">
        <v>1.2E-2</v>
      </c>
      <c r="AA97" s="581"/>
      <c r="AB97" s="581"/>
      <c r="AC97" s="581"/>
      <c r="AD97" s="147"/>
      <c r="AE97" s="581"/>
      <c r="AF97" s="94"/>
      <c r="AG97" s="14"/>
      <c r="AH97" s="62"/>
      <c r="AI97" s="62"/>
      <c r="AJ97" s="14"/>
      <c r="AK97" s="62"/>
      <c r="AL97" s="14"/>
      <c r="AM97" s="14"/>
      <c r="AN97" s="14"/>
      <c r="AO97" s="14"/>
      <c r="AP97" s="14"/>
    </row>
    <row r="98" spans="1:42" x14ac:dyDescent="0.2">
      <c r="A98" s="50">
        <v>95</v>
      </c>
      <c r="B98" s="50"/>
      <c r="C98" s="50"/>
      <c r="D98" s="50"/>
      <c r="E98" s="50"/>
      <c r="F98" s="50"/>
      <c r="G98" s="50"/>
      <c r="H98" s="50"/>
      <c r="I98" s="50"/>
      <c r="J98" s="50"/>
      <c r="K98" s="581"/>
      <c r="L98" s="147">
        <v>0.14000000000000001</v>
      </c>
      <c r="M98" s="147">
        <v>0.03</v>
      </c>
      <c r="N98" s="50"/>
      <c r="O98" s="50"/>
      <c r="P98" s="50"/>
      <c r="Q98" s="147"/>
      <c r="R98" s="514"/>
      <c r="S98" s="147"/>
      <c r="T98" s="147"/>
      <c r="U98" s="147"/>
      <c r="V98" s="581">
        <v>0.86</v>
      </c>
      <c r="W98" s="581">
        <v>0.19500000000000001</v>
      </c>
      <c r="X98" s="673">
        <v>0.9</v>
      </c>
      <c r="Y98" s="673">
        <v>0.9</v>
      </c>
      <c r="Z98" s="581">
        <v>0.01</v>
      </c>
      <c r="AA98" s="581"/>
      <c r="AB98" s="581"/>
      <c r="AC98" s="581"/>
      <c r="AD98" s="147"/>
      <c r="AE98" s="581"/>
      <c r="AF98" s="94"/>
      <c r="AG98" s="14"/>
      <c r="AH98" s="62"/>
      <c r="AI98" s="62"/>
      <c r="AJ98" s="14"/>
      <c r="AK98" s="62"/>
      <c r="AL98" s="14"/>
      <c r="AM98" s="14"/>
      <c r="AN98" s="14"/>
      <c r="AO98" s="14"/>
      <c r="AP98" s="14"/>
    </row>
    <row r="99" spans="1:42" x14ac:dyDescent="0.2">
      <c r="A99" s="50">
        <v>96</v>
      </c>
      <c r="B99" s="50"/>
      <c r="C99" s="50"/>
      <c r="D99" s="50"/>
      <c r="E99" s="50"/>
      <c r="F99" s="50"/>
      <c r="G99" s="50"/>
      <c r="H99" s="50"/>
      <c r="I99" s="50"/>
      <c r="J99" s="50"/>
      <c r="K99" s="581"/>
      <c r="L99" s="147">
        <v>0.14000000000000001</v>
      </c>
      <c r="M99" s="147">
        <v>0.03</v>
      </c>
      <c r="N99" s="50"/>
      <c r="O99" s="50"/>
      <c r="P99" s="50"/>
      <c r="Q99" s="147"/>
      <c r="R99" s="514"/>
      <c r="S99" s="147"/>
      <c r="T99" s="147"/>
      <c r="U99" s="147"/>
      <c r="V99" s="581">
        <v>0.86</v>
      </c>
      <c r="W99" s="581">
        <v>0.192</v>
      </c>
      <c r="X99" s="673">
        <v>0.9</v>
      </c>
      <c r="Y99" s="673">
        <v>0.9</v>
      </c>
      <c r="Z99" s="581">
        <v>8.0000000000000002E-3</v>
      </c>
      <c r="AA99" s="581"/>
      <c r="AB99" s="581"/>
      <c r="AC99" s="581"/>
      <c r="AD99" s="147"/>
      <c r="AE99" s="581"/>
      <c r="AF99" s="94"/>
      <c r="AG99" s="14"/>
      <c r="AH99" s="62"/>
      <c r="AI99" s="62"/>
      <c r="AJ99" s="14"/>
      <c r="AK99" s="62"/>
      <c r="AL99" s="14"/>
      <c r="AM99" s="14"/>
      <c r="AN99" s="14"/>
      <c r="AO99" s="14"/>
      <c r="AP99" s="14"/>
    </row>
    <row r="100" spans="1:42" x14ac:dyDescent="0.2">
      <c r="A100" s="50">
        <v>97</v>
      </c>
      <c r="B100" s="50"/>
      <c r="C100" s="50"/>
      <c r="D100" s="50"/>
      <c r="E100" s="50"/>
      <c r="F100" s="50"/>
      <c r="G100" s="50"/>
      <c r="H100" s="50"/>
      <c r="I100" s="50"/>
      <c r="J100" s="50"/>
      <c r="K100" s="581"/>
      <c r="L100" s="147">
        <v>0.14000000000000001</v>
      </c>
      <c r="M100" s="147">
        <v>0.03</v>
      </c>
      <c r="N100" s="50"/>
      <c r="O100" s="50"/>
      <c r="P100" s="50"/>
      <c r="Q100" s="147"/>
      <c r="R100" s="514"/>
      <c r="S100" s="147"/>
      <c r="T100" s="147"/>
      <c r="U100" s="147"/>
      <c r="V100" s="581">
        <v>0.87</v>
      </c>
      <c r="W100" s="581">
        <v>0.189</v>
      </c>
      <c r="X100" s="673">
        <v>0.9</v>
      </c>
      <c r="Y100" s="673">
        <v>0.9</v>
      </c>
      <c r="Z100" s="581">
        <v>6.0000000000000001E-3</v>
      </c>
      <c r="AA100" s="581"/>
      <c r="AB100" s="581"/>
      <c r="AC100" s="581"/>
      <c r="AD100" s="147"/>
      <c r="AE100" s="581"/>
      <c r="AF100" s="94"/>
      <c r="AG100" s="14"/>
      <c r="AH100" s="62"/>
      <c r="AI100" s="62"/>
      <c r="AJ100" s="14"/>
      <c r="AK100" s="62"/>
      <c r="AL100" s="14"/>
      <c r="AM100" s="14"/>
      <c r="AN100" s="14"/>
      <c r="AO100" s="14"/>
      <c r="AP100" s="14"/>
    </row>
    <row r="101" spans="1:42" x14ac:dyDescent="0.2">
      <c r="A101" s="50">
        <v>98</v>
      </c>
      <c r="B101" s="50"/>
      <c r="C101" s="50"/>
      <c r="D101" s="50"/>
      <c r="E101" s="50"/>
      <c r="F101" s="50"/>
      <c r="G101" s="50"/>
      <c r="H101" s="50"/>
      <c r="I101" s="50"/>
      <c r="J101" s="50"/>
      <c r="K101" s="581"/>
      <c r="L101" s="147">
        <v>0.14000000000000001</v>
      </c>
      <c r="M101" s="147">
        <v>0.03</v>
      </c>
      <c r="N101" s="50"/>
      <c r="O101" s="50"/>
      <c r="P101" s="50"/>
      <c r="Q101" s="147"/>
      <c r="R101" s="514"/>
      <c r="S101" s="147"/>
      <c r="T101" s="147"/>
      <c r="U101" s="147"/>
      <c r="V101" s="581">
        <v>0.88</v>
      </c>
      <c r="W101" s="581">
        <v>0.186</v>
      </c>
      <c r="X101" s="673">
        <v>0.9</v>
      </c>
      <c r="Y101" s="673">
        <v>0.9</v>
      </c>
      <c r="Z101" s="581">
        <v>4.0000000000000001E-3</v>
      </c>
      <c r="AA101" s="581"/>
      <c r="AB101" s="581"/>
      <c r="AC101" s="581"/>
      <c r="AD101" s="147"/>
      <c r="AE101" s="581"/>
      <c r="AF101" s="94"/>
      <c r="AG101" s="14"/>
      <c r="AH101" s="62"/>
      <c r="AI101" s="62"/>
      <c r="AJ101" s="14"/>
      <c r="AK101" s="62"/>
      <c r="AL101" s="14"/>
      <c r="AM101" s="14"/>
      <c r="AN101" s="14"/>
      <c r="AO101" s="14"/>
      <c r="AP101" s="14"/>
    </row>
    <row r="102" spans="1:42" x14ac:dyDescent="0.2">
      <c r="A102" s="50">
        <v>99</v>
      </c>
      <c r="B102" s="50"/>
      <c r="C102" s="50"/>
      <c r="D102" s="50"/>
      <c r="E102" s="50"/>
      <c r="F102" s="50"/>
      <c r="G102" s="50"/>
      <c r="H102" s="50"/>
      <c r="I102" s="50"/>
      <c r="J102" s="50"/>
      <c r="K102" s="581"/>
      <c r="L102" s="147">
        <v>0.14000000000000001</v>
      </c>
      <c r="M102" s="147">
        <v>0.03</v>
      </c>
      <c r="N102" s="50"/>
      <c r="O102" s="50"/>
      <c r="P102" s="50"/>
      <c r="Q102" s="147"/>
      <c r="R102" s="514"/>
      <c r="S102" s="147"/>
      <c r="T102" s="147"/>
      <c r="U102" s="147"/>
      <c r="V102" s="581">
        <v>0.89</v>
      </c>
      <c r="W102" s="581">
        <v>0.183</v>
      </c>
      <c r="X102" s="673">
        <v>0.9</v>
      </c>
      <c r="Y102" s="673">
        <v>0.9</v>
      </c>
      <c r="Z102" s="581">
        <v>2E-3</v>
      </c>
      <c r="AA102" s="581"/>
      <c r="AB102" s="581"/>
      <c r="AC102" s="581"/>
      <c r="AD102" s="147"/>
      <c r="AE102" s="581"/>
      <c r="AF102" s="94"/>
      <c r="AG102" s="14"/>
      <c r="AH102" s="62"/>
      <c r="AI102" s="62"/>
      <c r="AJ102" s="14"/>
      <c r="AK102" s="62"/>
      <c r="AL102" s="14"/>
      <c r="AM102" s="14"/>
      <c r="AN102" s="14"/>
      <c r="AO102" s="14"/>
      <c r="AP102" s="14"/>
    </row>
    <row r="103" spans="1:42" x14ac:dyDescent="0.2">
      <c r="A103" s="50">
        <v>100</v>
      </c>
      <c r="B103" s="50"/>
      <c r="C103" s="50"/>
      <c r="D103" s="50"/>
      <c r="E103" s="50"/>
      <c r="F103" s="50"/>
      <c r="G103" s="50"/>
      <c r="H103" s="50"/>
      <c r="I103" s="50"/>
      <c r="J103" s="50"/>
      <c r="K103" s="670"/>
      <c r="L103" s="147">
        <v>0.14000000000000001</v>
      </c>
      <c r="M103" s="147">
        <v>0.03</v>
      </c>
      <c r="N103" s="50"/>
      <c r="O103" s="50"/>
      <c r="P103" s="50"/>
      <c r="Q103" s="147"/>
      <c r="R103" s="514"/>
      <c r="S103" s="147"/>
      <c r="T103" s="147"/>
      <c r="U103" s="147"/>
      <c r="V103" s="581">
        <v>0.9</v>
      </c>
      <c r="W103" s="581">
        <v>0.18</v>
      </c>
      <c r="X103" s="673">
        <v>0.9</v>
      </c>
      <c r="Y103" s="673">
        <v>0.9</v>
      </c>
      <c r="Z103" s="581">
        <v>0</v>
      </c>
      <c r="AA103" s="581"/>
      <c r="AB103" s="581"/>
      <c r="AC103" s="581"/>
      <c r="AD103" s="147"/>
      <c r="AE103" s="581"/>
      <c r="AF103" s="94"/>
      <c r="AG103" s="14"/>
      <c r="AH103" s="62"/>
      <c r="AI103" s="62"/>
      <c r="AJ103" s="14"/>
      <c r="AK103" s="62"/>
      <c r="AL103" s="14"/>
      <c r="AM103" s="14"/>
      <c r="AN103" s="14"/>
      <c r="AO103" s="14"/>
      <c r="AP103" s="14"/>
    </row>
    <row r="104" spans="1:42" x14ac:dyDescent="0.2">
      <c r="A104" s="50">
        <v>101</v>
      </c>
      <c r="B104" s="50"/>
      <c r="C104" s="50"/>
      <c r="D104" s="50"/>
      <c r="E104" s="50"/>
      <c r="F104" s="50"/>
      <c r="G104" s="50"/>
      <c r="H104" s="50"/>
      <c r="I104" s="50"/>
      <c r="J104" s="50"/>
      <c r="K104" s="581"/>
      <c r="L104" s="581"/>
      <c r="M104" s="581"/>
      <c r="N104" s="50"/>
      <c r="O104" s="50"/>
      <c r="P104" s="50"/>
      <c r="Q104" s="147"/>
      <c r="R104" s="147"/>
      <c r="S104" s="147"/>
      <c r="T104" s="147"/>
      <c r="U104" s="147"/>
      <c r="V104" s="581"/>
      <c r="W104" s="581">
        <v>0.17599999999999999</v>
      </c>
      <c r="X104" s="673">
        <v>0.9</v>
      </c>
      <c r="Y104" s="673">
        <v>0.9</v>
      </c>
      <c r="Z104" s="581"/>
      <c r="AA104" s="581"/>
      <c r="AB104" s="581"/>
      <c r="AC104" s="581"/>
      <c r="AD104" s="147"/>
      <c r="AE104" s="581"/>
      <c r="AF104" s="94"/>
      <c r="AG104" s="14"/>
      <c r="AH104" s="62"/>
      <c r="AI104" s="62"/>
      <c r="AJ104" s="14"/>
      <c r="AK104" s="62"/>
      <c r="AL104" s="14"/>
      <c r="AM104" s="14"/>
      <c r="AN104" s="14"/>
      <c r="AO104" s="14"/>
      <c r="AP104" s="14"/>
    </row>
    <row r="105" spans="1:42" x14ac:dyDescent="0.2">
      <c r="A105" s="50">
        <v>102</v>
      </c>
      <c r="B105" s="50"/>
      <c r="C105" s="50"/>
      <c r="D105" s="50"/>
      <c r="E105" s="50"/>
      <c r="F105" s="50"/>
      <c r="G105" s="50"/>
      <c r="H105" s="50"/>
      <c r="I105" s="50"/>
      <c r="J105" s="50"/>
      <c r="K105" s="581"/>
      <c r="L105" s="581"/>
      <c r="M105" s="581"/>
      <c r="N105" s="50"/>
      <c r="O105" s="50"/>
      <c r="P105" s="50"/>
      <c r="Q105" s="147"/>
      <c r="R105" s="147"/>
      <c r="S105" s="147"/>
      <c r="T105" s="147"/>
      <c r="U105" s="147"/>
      <c r="V105" s="581"/>
      <c r="W105" s="581">
        <v>0.17199999999999999</v>
      </c>
      <c r="X105" s="673">
        <v>0.9</v>
      </c>
      <c r="Y105" s="673">
        <v>0.9</v>
      </c>
      <c r="Z105" s="581"/>
      <c r="AA105" s="581"/>
      <c r="AB105" s="581"/>
      <c r="AC105" s="581"/>
      <c r="AD105" s="147"/>
      <c r="AE105" s="581"/>
      <c r="AF105" s="94"/>
      <c r="AG105" s="14"/>
      <c r="AH105" s="62"/>
      <c r="AI105" s="62"/>
      <c r="AJ105" s="14"/>
      <c r="AK105" s="62"/>
      <c r="AL105" s="14"/>
      <c r="AM105" s="14"/>
      <c r="AN105" s="14"/>
      <c r="AO105" s="14"/>
      <c r="AP105" s="14"/>
    </row>
    <row r="106" spans="1:42" x14ac:dyDescent="0.2">
      <c r="A106" s="50">
        <v>103</v>
      </c>
      <c r="B106" s="50"/>
      <c r="C106" s="50"/>
      <c r="D106" s="50"/>
      <c r="E106" s="50"/>
      <c r="F106" s="50"/>
      <c r="G106" s="50"/>
      <c r="H106" s="50"/>
      <c r="I106" s="50"/>
      <c r="J106" s="50"/>
      <c r="K106" s="581"/>
      <c r="L106" s="581"/>
      <c r="M106" s="581"/>
      <c r="N106" s="50"/>
      <c r="O106" s="50"/>
      <c r="P106" s="50"/>
      <c r="Q106" s="147"/>
      <c r="R106" s="147"/>
      <c r="S106" s="147"/>
      <c r="T106" s="147"/>
      <c r="U106" s="147"/>
      <c r="V106" s="581"/>
      <c r="W106" s="581">
        <v>0.16800000000000001</v>
      </c>
      <c r="X106" s="673">
        <v>0.9</v>
      </c>
      <c r="Y106" s="673">
        <v>0.9</v>
      </c>
      <c r="Z106" s="581"/>
      <c r="AA106" s="581"/>
      <c r="AB106" s="581"/>
      <c r="AC106" s="581"/>
      <c r="AD106" s="147"/>
      <c r="AE106" s="581"/>
      <c r="AF106" s="94"/>
      <c r="AG106" s="14"/>
      <c r="AH106" s="62"/>
      <c r="AI106" s="62"/>
      <c r="AJ106" s="14"/>
      <c r="AK106" s="62"/>
      <c r="AL106" s="14"/>
      <c r="AM106" s="14"/>
      <c r="AN106" s="14"/>
      <c r="AO106" s="14"/>
      <c r="AP106" s="14"/>
    </row>
    <row r="107" spans="1:42" x14ac:dyDescent="0.2">
      <c r="A107" s="50">
        <v>104</v>
      </c>
      <c r="B107" s="50"/>
      <c r="C107" s="50"/>
      <c r="D107" s="50"/>
      <c r="E107" s="50"/>
      <c r="F107" s="50"/>
      <c r="G107" s="50"/>
      <c r="H107" s="50"/>
      <c r="I107" s="50"/>
      <c r="J107" s="50"/>
      <c r="K107" s="581"/>
      <c r="L107" s="581"/>
      <c r="M107" s="581"/>
      <c r="N107" s="50"/>
      <c r="O107" s="50"/>
      <c r="P107" s="50"/>
      <c r="Q107" s="147"/>
      <c r="R107" s="147"/>
      <c r="S107" s="147"/>
      <c r="T107" s="147"/>
      <c r="U107" s="147"/>
      <c r="V107" s="581"/>
      <c r="W107" s="581">
        <v>0.16400000000000001</v>
      </c>
      <c r="X107" s="673">
        <v>0.9</v>
      </c>
      <c r="Y107" s="673">
        <v>0.9</v>
      </c>
      <c r="Z107" s="581"/>
      <c r="AA107" s="581"/>
      <c r="AB107" s="581"/>
      <c r="AC107" s="581"/>
      <c r="AD107" s="147"/>
      <c r="AE107" s="581"/>
      <c r="AF107" s="94"/>
      <c r="AG107" s="14"/>
      <c r="AH107" s="62"/>
      <c r="AI107" s="62"/>
      <c r="AJ107" s="14"/>
      <c r="AK107" s="62"/>
      <c r="AL107" s="14"/>
      <c r="AM107" s="14"/>
      <c r="AN107" s="14"/>
      <c r="AO107" s="14"/>
      <c r="AP107" s="14"/>
    </row>
    <row r="108" spans="1:42" x14ac:dyDescent="0.2">
      <c r="A108" s="50">
        <v>105</v>
      </c>
      <c r="B108" s="50"/>
      <c r="C108" s="50"/>
      <c r="D108" s="50"/>
      <c r="E108" s="50"/>
      <c r="F108" s="50"/>
      <c r="G108" s="50"/>
      <c r="H108" s="50"/>
      <c r="I108" s="50"/>
      <c r="J108" s="50"/>
      <c r="K108" s="581"/>
      <c r="L108" s="581"/>
      <c r="M108" s="581"/>
      <c r="N108" s="50"/>
      <c r="O108" s="50"/>
      <c r="P108" s="50"/>
      <c r="Q108" s="147"/>
      <c r="R108" s="147"/>
      <c r="S108" s="147"/>
      <c r="T108" s="147"/>
      <c r="U108" s="147"/>
      <c r="V108" s="581"/>
      <c r="W108" s="581">
        <v>0.16</v>
      </c>
      <c r="X108" s="673">
        <v>0.9</v>
      </c>
      <c r="Y108" s="673">
        <v>0.9</v>
      </c>
      <c r="Z108" s="581"/>
      <c r="AA108" s="581"/>
      <c r="AB108" s="581"/>
      <c r="AC108" s="581"/>
      <c r="AD108" s="147"/>
      <c r="AE108" s="581"/>
      <c r="AF108" s="94"/>
      <c r="AG108" s="14"/>
      <c r="AH108" s="62"/>
      <c r="AI108" s="62"/>
      <c r="AJ108" s="14"/>
      <c r="AK108" s="62"/>
      <c r="AL108" s="14"/>
      <c r="AM108" s="14"/>
      <c r="AN108" s="14"/>
      <c r="AO108" s="14"/>
      <c r="AP108" s="14"/>
    </row>
    <row r="109" spans="1:42" x14ac:dyDescent="0.2">
      <c r="A109" s="50">
        <v>106</v>
      </c>
      <c r="B109" s="50"/>
      <c r="C109" s="50"/>
      <c r="D109" s="50"/>
      <c r="E109" s="50"/>
      <c r="F109" s="50"/>
      <c r="G109" s="50"/>
      <c r="H109" s="50"/>
      <c r="I109" s="50"/>
      <c r="J109" s="50"/>
      <c r="K109" s="581"/>
      <c r="L109" s="581"/>
      <c r="M109" s="581"/>
      <c r="N109" s="50"/>
      <c r="O109" s="50"/>
      <c r="P109" s="50"/>
      <c r="Q109" s="147"/>
      <c r="R109" s="147"/>
      <c r="S109" s="147"/>
      <c r="T109" s="147"/>
      <c r="U109" s="147"/>
      <c r="V109" s="581"/>
      <c r="W109" s="581">
        <v>0.156</v>
      </c>
      <c r="X109" s="673">
        <v>0.9</v>
      </c>
      <c r="Y109" s="673">
        <v>0.9</v>
      </c>
      <c r="Z109" s="581"/>
      <c r="AA109" s="581"/>
      <c r="AB109" s="581"/>
      <c r="AC109" s="581"/>
      <c r="AD109" s="147"/>
      <c r="AE109" s="581"/>
      <c r="AF109" s="94"/>
      <c r="AG109" s="14"/>
      <c r="AH109" s="62"/>
      <c r="AI109" s="62"/>
      <c r="AJ109" s="14"/>
      <c r="AK109" s="62"/>
      <c r="AL109" s="14"/>
      <c r="AM109" s="14"/>
      <c r="AN109" s="14"/>
      <c r="AO109" s="14"/>
      <c r="AP109" s="14"/>
    </row>
    <row r="110" spans="1:42" x14ac:dyDescent="0.2">
      <c r="A110" s="50">
        <v>107</v>
      </c>
      <c r="B110" s="50"/>
      <c r="C110" s="50"/>
      <c r="D110" s="50"/>
      <c r="E110" s="50"/>
      <c r="F110" s="50"/>
      <c r="G110" s="50"/>
      <c r="H110" s="50"/>
      <c r="I110" s="50"/>
      <c r="J110" s="50"/>
      <c r="K110" s="581"/>
      <c r="L110" s="581"/>
      <c r="M110" s="581"/>
      <c r="N110" s="50"/>
      <c r="O110" s="50"/>
      <c r="P110" s="50"/>
      <c r="Q110" s="147"/>
      <c r="R110" s="147"/>
      <c r="S110" s="147"/>
      <c r="T110" s="147"/>
      <c r="U110" s="147"/>
      <c r="V110" s="581"/>
      <c r="W110" s="581">
        <v>0.152</v>
      </c>
      <c r="X110" s="673">
        <v>0.9</v>
      </c>
      <c r="Y110" s="673">
        <v>0.9</v>
      </c>
      <c r="Z110" s="581"/>
      <c r="AA110" s="581"/>
      <c r="AB110" s="581"/>
      <c r="AC110" s="581"/>
      <c r="AD110" s="147"/>
      <c r="AE110" s="581"/>
      <c r="AF110" s="94"/>
      <c r="AG110" s="14"/>
      <c r="AH110" s="62"/>
      <c r="AI110" s="62"/>
      <c r="AJ110" s="14"/>
      <c r="AK110" s="62"/>
      <c r="AL110" s="14"/>
      <c r="AM110" s="14"/>
      <c r="AN110" s="14"/>
      <c r="AO110" s="14"/>
      <c r="AP110" s="14"/>
    </row>
    <row r="111" spans="1:42" x14ac:dyDescent="0.2">
      <c r="A111" s="50">
        <v>108</v>
      </c>
      <c r="B111" s="50"/>
      <c r="C111" s="50"/>
      <c r="D111" s="50"/>
      <c r="E111" s="50"/>
      <c r="F111" s="50"/>
      <c r="G111" s="50"/>
      <c r="H111" s="50"/>
      <c r="I111" s="50"/>
      <c r="J111" s="50"/>
      <c r="K111" s="581"/>
      <c r="L111" s="581"/>
      <c r="M111" s="581"/>
      <c r="N111" s="50"/>
      <c r="O111" s="50"/>
      <c r="P111" s="50"/>
      <c r="Q111" s="147"/>
      <c r="R111" s="147"/>
      <c r="S111" s="147"/>
      <c r="T111" s="147"/>
      <c r="U111" s="147"/>
      <c r="V111" s="581"/>
      <c r="W111" s="581">
        <v>0.14799999999999999</v>
      </c>
      <c r="X111" s="673">
        <v>0.9</v>
      </c>
      <c r="Y111" s="673">
        <v>0.9</v>
      </c>
      <c r="Z111" s="581"/>
      <c r="AA111" s="581"/>
      <c r="AB111" s="581"/>
      <c r="AC111" s="581"/>
      <c r="AD111" s="147"/>
      <c r="AE111" s="581"/>
      <c r="AF111" s="94"/>
      <c r="AG111" s="14"/>
      <c r="AH111" s="62"/>
      <c r="AI111" s="62"/>
      <c r="AJ111" s="14"/>
      <c r="AK111" s="62"/>
      <c r="AL111" s="14"/>
      <c r="AM111" s="14"/>
      <c r="AN111" s="14"/>
      <c r="AO111" s="14"/>
      <c r="AP111" s="14"/>
    </row>
    <row r="112" spans="1:42" x14ac:dyDescent="0.2">
      <c r="A112" s="50">
        <v>109</v>
      </c>
      <c r="B112" s="50"/>
      <c r="C112" s="50"/>
      <c r="D112" s="50"/>
      <c r="E112" s="50"/>
      <c r="F112" s="50"/>
      <c r="G112" s="50"/>
      <c r="H112" s="50"/>
      <c r="I112" s="50"/>
      <c r="J112" s="50"/>
      <c r="K112" s="581"/>
      <c r="L112" s="581"/>
      <c r="M112" s="581"/>
      <c r="N112" s="50"/>
      <c r="O112" s="50"/>
      <c r="P112" s="50"/>
      <c r="Q112" s="147"/>
      <c r="R112" s="147"/>
      <c r="S112" s="147"/>
      <c r="T112" s="147"/>
      <c r="U112" s="147"/>
      <c r="V112" s="581"/>
      <c r="W112" s="581">
        <v>0.14399999999999999</v>
      </c>
      <c r="X112" s="673">
        <v>0.9</v>
      </c>
      <c r="Y112" s="673">
        <v>0.9</v>
      </c>
      <c r="Z112" s="581"/>
      <c r="AA112" s="581"/>
      <c r="AB112" s="581"/>
      <c r="AC112" s="581"/>
      <c r="AD112" s="147"/>
      <c r="AE112" s="581"/>
      <c r="AF112" s="94"/>
      <c r="AG112" s="14"/>
      <c r="AH112" s="62"/>
      <c r="AI112" s="62"/>
      <c r="AJ112" s="14"/>
      <c r="AK112" s="62"/>
      <c r="AL112" s="14"/>
      <c r="AM112" s="14"/>
      <c r="AN112" s="14"/>
      <c r="AO112" s="14"/>
      <c r="AP112" s="14"/>
    </row>
    <row r="113" spans="1:42" x14ac:dyDescent="0.2">
      <c r="A113" s="50">
        <v>110</v>
      </c>
      <c r="B113" s="50"/>
      <c r="C113" s="50"/>
      <c r="D113" s="50"/>
      <c r="E113" s="50"/>
      <c r="F113" s="50"/>
      <c r="G113" s="50"/>
      <c r="H113" s="50"/>
      <c r="I113" s="50"/>
      <c r="J113" s="50"/>
      <c r="K113" s="581"/>
      <c r="L113" s="581"/>
      <c r="M113" s="581"/>
      <c r="N113" s="50"/>
      <c r="O113" s="50"/>
      <c r="P113" s="50"/>
      <c r="Q113" s="147"/>
      <c r="R113" s="147"/>
      <c r="S113" s="147"/>
      <c r="T113" s="147"/>
      <c r="U113" s="147"/>
      <c r="V113" s="581"/>
      <c r="W113" s="581">
        <v>0.14000000000000001</v>
      </c>
      <c r="X113" s="673">
        <v>0.9</v>
      </c>
      <c r="Y113" s="673">
        <v>0.9</v>
      </c>
      <c r="Z113" s="581"/>
      <c r="AA113" s="581"/>
      <c r="AB113" s="581"/>
      <c r="AC113" s="581"/>
      <c r="AD113" s="147"/>
      <c r="AE113" s="581"/>
      <c r="AF113" s="94"/>
      <c r="AG113" s="14"/>
      <c r="AH113" s="62"/>
      <c r="AI113" s="62"/>
      <c r="AJ113" s="14"/>
      <c r="AK113" s="62"/>
      <c r="AL113" s="14"/>
      <c r="AM113" s="14"/>
      <c r="AN113" s="14"/>
      <c r="AO113" s="14"/>
      <c r="AP113" s="14"/>
    </row>
    <row r="114" spans="1:42" x14ac:dyDescent="0.2">
      <c r="A114" s="50">
        <v>111</v>
      </c>
      <c r="B114" s="50"/>
      <c r="C114" s="50"/>
      <c r="D114" s="50"/>
      <c r="E114" s="50"/>
      <c r="F114" s="50"/>
      <c r="G114" s="50"/>
      <c r="H114" s="50"/>
      <c r="I114" s="50"/>
      <c r="J114" s="50"/>
      <c r="K114" s="581"/>
      <c r="L114" s="581"/>
      <c r="M114" s="581"/>
      <c r="N114" s="50"/>
      <c r="O114" s="50"/>
      <c r="P114" s="50"/>
      <c r="Q114" s="147"/>
      <c r="R114" s="147"/>
      <c r="S114" s="147"/>
      <c r="T114" s="147"/>
      <c r="U114" s="147"/>
      <c r="V114" s="581"/>
      <c r="W114" s="581">
        <v>0.13700000000000001</v>
      </c>
      <c r="X114" s="673">
        <v>0.9</v>
      </c>
      <c r="Y114" s="673">
        <v>0.9</v>
      </c>
      <c r="Z114" s="581"/>
      <c r="AA114" s="581"/>
      <c r="AB114" s="581"/>
      <c r="AC114" s="581"/>
      <c r="AD114" s="147"/>
      <c r="AE114" s="581"/>
      <c r="AF114" s="94"/>
      <c r="AG114" s="14"/>
      <c r="AH114" s="62"/>
      <c r="AI114" s="62"/>
      <c r="AJ114" s="14"/>
      <c r="AK114" s="62"/>
      <c r="AL114" s="14"/>
      <c r="AM114" s="14"/>
      <c r="AN114" s="14"/>
      <c r="AO114" s="14"/>
      <c r="AP114" s="14"/>
    </row>
    <row r="115" spans="1:42" x14ac:dyDescent="0.2">
      <c r="A115" s="50">
        <v>112</v>
      </c>
      <c r="B115" s="50"/>
      <c r="C115" s="50"/>
      <c r="D115" s="50"/>
      <c r="E115" s="50"/>
      <c r="F115" s="50"/>
      <c r="G115" s="50"/>
      <c r="H115" s="50"/>
      <c r="I115" s="50"/>
      <c r="J115" s="50"/>
      <c r="K115" s="581"/>
      <c r="L115" s="581"/>
      <c r="M115" s="581"/>
      <c r="N115" s="50"/>
      <c r="O115" s="50"/>
      <c r="P115" s="50"/>
      <c r="Q115" s="147"/>
      <c r="R115" s="147"/>
      <c r="S115" s="147"/>
      <c r="T115" s="147"/>
      <c r="U115" s="147"/>
      <c r="V115" s="581"/>
      <c r="W115" s="581">
        <v>0.13400000000000001</v>
      </c>
      <c r="X115" s="673">
        <v>0.9</v>
      </c>
      <c r="Y115" s="673">
        <v>0.9</v>
      </c>
      <c r="Z115" s="581"/>
      <c r="AA115" s="581"/>
      <c r="AB115" s="581"/>
      <c r="AC115" s="581"/>
      <c r="AD115" s="147"/>
      <c r="AE115" s="581"/>
      <c r="AF115" s="94"/>
      <c r="AG115" s="14"/>
      <c r="AH115" s="62"/>
      <c r="AI115" s="62"/>
      <c r="AJ115" s="14"/>
      <c r="AK115" s="62"/>
      <c r="AL115" s="14"/>
      <c r="AM115" s="14"/>
      <c r="AN115" s="14"/>
      <c r="AO115" s="14"/>
      <c r="AP115" s="14"/>
    </row>
    <row r="116" spans="1:42" x14ac:dyDescent="0.2">
      <c r="A116" s="50">
        <v>113</v>
      </c>
      <c r="B116" s="50"/>
      <c r="C116" s="50"/>
      <c r="D116" s="50"/>
      <c r="E116" s="50"/>
      <c r="F116" s="50"/>
      <c r="G116" s="50"/>
      <c r="H116" s="50"/>
      <c r="I116" s="50"/>
      <c r="J116" s="50"/>
      <c r="K116" s="581"/>
      <c r="L116" s="581"/>
      <c r="M116" s="581"/>
      <c r="N116" s="50"/>
      <c r="O116" s="50"/>
      <c r="P116" s="50"/>
      <c r="Q116" s="147"/>
      <c r="R116" s="147"/>
      <c r="S116" s="147"/>
      <c r="T116" s="147"/>
      <c r="U116" s="147"/>
      <c r="V116" s="581"/>
      <c r="W116" s="581">
        <v>0.13100000000000001</v>
      </c>
      <c r="X116" s="673">
        <v>0.9</v>
      </c>
      <c r="Y116" s="673">
        <v>0.9</v>
      </c>
      <c r="Z116" s="581"/>
      <c r="AA116" s="581"/>
      <c r="AB116" s="581"/>
      <c r="AC116" s="581"/>
      <c r="AD116" s="147"/>
      <c r="AE116" s="581"/>
      <c r="AF116" s="94"/>
      <c r="AG116" s="14"/>
      <c r="AH116" s="62"/>
      <c r="AI116" s="62"/>
      <c r="AJ116" s="14"/>
      <c r="AK116" s="62"/>
      <c r="AL116" s="14"/>
      <c r="AM116" s="14"/>
      <c r="AN116" s="14"/>
      <c r="AO116" s="14"/>
      <c r="AP116" s="14"/>
    </row>
    <row r="117" spans="1:42" x14ac:dyDescent="0.2">
      <c r="A117" s="50">
        <v>114</v>
      </c>
      <c r="B117" s="50"/>
      <c r="C117" s="50"/>
      <c r="D117" s="50"/>
      <c r="E117" s="50"/>
      <c r="F117" s="50"/>
      <c r="G117" s="50"/>
      <c r="H117" s="50"/>
      <c r="I117" s="50"/>
      <c r="J117" s="50"/>
      <c r="K117" s="581"/>
      <c r="L117" s="581"/>
      <c r="M117" s="581"/>
      <c r="N117" s="50"/>
      <c r="O117" s="50"/>
      <c r="P117" s="50"/>
      <c r="Q117" s="147"/>
      <c r="R117" s="147"/>
      <c r="S117" s="147"/>
      <c r="T117" s="147"/>
      <c r="U117" s="147"/>
      <c r="V117" s="581"/>
      <c r="W117" s="581">
        <v>0.128</v>
      </c>
      <c r="X117" s="673">
        <v>0.9</v>
      </c>
      <c r="Y117" s="673">
        <v>0.9</v>
      </c>
      <c r="Z117" s="581"/>
      <c r="AA117" s="581"/>
      <c r="AB117" s="581"/>
      <c r="AC117" s="581"/>
      <c r="AD117" s="147"/>
      <c r="AE117" s="581"/>
      <c r="AF117" s="94"/>
      <c r="AG117" s="14"/>
      <c r="AH117" s="62"/>
      <c r="AI117" s="62"/>
      <c r="AJ117" s="14"/>
      <c r="AK117" s="62"/>
      <c r="AL117" s="14"/>
      <c r="AM117" s="14"/>
      <c r="AN117" s="14"/>
      <c r="AO117" s="14"/>
      <c r="AP117" s="14"/>
    </row>
    <row r="118" spans="1:42" x14ac:dyDescent="0.2">
      <c r="A118" s="50">
        <v>115</v>
      </c>
      <c r="B118" s="50"/>
      <c r="C118" s="50"/>
      <c r="D118" s="50"/>
      <c r="E118" s="50"/>
      <c r="F118" s="50"/>
      <c r="G118" s="50"/>
      <c r="H118" s="50"/>
      <c r="I118" s="50"/>
      <c r="J118" s="50"/>
      <c r="K118" s="581"/>
      <c r="L118" s="581"/>
      <c r="M118" s="581"/>
      <c r="N118" s="50"/>
      <c r="O118" s="50"/>
      <c r="P118" s="50"/>
      <c r="Q118" s="147"/>
      <c r="R118" s="147"/>
      <c r="S118" s="147"/>
      <c r="T118" s="147"/>
      <c r="U118" s="147"/>
      <c r="V118" s="581"/>
      <c r="W118" s="581">
        <v>0.125</v>
      </c>
      <c r="X118" s="673">
        <v>0.9</v>
      </c>
      <c r="Y118" s="673">
        <v>0.9</v>
      </c>
      <c r="Z118" s="581"/>
      <c r="AA118" s="581"/>
      <c r="AB118" s="581"/>
      <c r="AC118" s="581"/>
      <c r="AD118" s="147"/>
      <c r="AE118" s="581"/>
      <c r="AF118" s="94"/>
      <c r="AG118" s="14"/>
      <c r="AH118" s="62"/>
      <c r="AI118" s="62"/>
      <c r="AJ118" s="14"/>
      <c r="AK118" s="62"/>
      <c r="AL118" s="14"/>
      <c r="AM118" s="14"/>
      <c r="AN118" s="14"/>
      <c r="AO118" s="14"/>
      <c r="AP118" s="14"/>
    </row>
    <row r="119" spans="1:42" x14ac:dyDescent="0.2">
      <c r="A119" s="50">
        <v>116</v>
      </c>
      <c r="B119" s="50"/>
      <c r="C119" s="50"/>
      <c r="D119" s="50"/>
      <c r="E119" s="50"/>
      <c r="F119" s="50"/>
      <c r="G119" s="50"/>
      <c r="H119" s="50"/>
      <c r="I119" s="50"/>
      <c r="J119" s="50"/>
      <c r="K119" s="581"/>
      <c r="L119" s="581"/>
      <c r="M119" s="581"/>
      <c r="N119" s="50"/>
      <c r="O119" s="50"/>
      <c r="P119" s="50"/>
      <c r="Q119" s="147"/>
      <c r="R119" s="147"/>
      <c r="S119" s="147"/>
      <c r="T119" s="147"/>
      <c r="U119" s="147"/>
      <c r="V119" s="581"/>
      <c r="W119" s="581">
        <v>0.122</v>
      </c>
      <c r="X119" s="673">
        <v>0.9</v>
      </c>
      <c r="Y119" s="673">
        <v>0.9</v>
      </c>
      <c r="Z119" s="581"/>
      <c r="AA119" s="581"/>
      <c r="AB119" s="581"/>
      <c r="AC119" s="581"/>
      <c r="AD119" s="147"/>
      <c r="AE119" s="581"/>
      <c r="AF119" s="94"/>
      <c r="AG119" s="14"/>
      <c r="AH119" s="62"/>
      <c r="AI119" s="62"/>
      <c r="AJ119" s="14"/>
      <c r="AK119" s="62"/>
      <c r="AL119" s="14"/>
      <c r="AM119" s="14"/>
      <c r="AN119" s="14"/>
      <c r="AO119" s="14"/>
      <c r="AP119" s="14"/>
    </row>
    <row r="120" spans="1:42" x14ac:dyDescent="0.2">
      <c r="A120" s="50">
        <v>117</v>
      </c>
      <c r="B120" s="50"/>
      <c r="C120" s="50"/>
      <c r="D120" s="50"/>
      <c r="E120" s="50"/>
      <c r="F120" s="50"/>
      <c r="G120" s="50"/>
      <c r="H120" s="50"/>
      <c r="I120" s="50"/>
      <c r="J120" s="50"/>
      <c r="K120" s="581"/>
      <c r="L120" s="581"/>
      <c r="M120" s="581"/>
      <c r="N120" s="50"/>
      <c r="O120" s="50"/>
      <c r="P120" s="50"/>
      <c r="Q120" s="147"/>
      <c r="R120" s="147"/>
      <c r="S120" s="147"/>
      <c r="T120" s="147"/>
      <c r="U120" s="147"/>
      <c r="V120" s="581"/>
      <c r="W120" s="581">
        <v>0.11899999999999999</v>
      </c>
      <c r="X120" s="673">
        <v>0.9</v>
      </c>
      <c r="Y120" s="673">
        <v>0.9</v>
      </c>
      <c r="Z120" s="581"/>
      <c r="AA120" s="581"/>
      <c r="AB120" s="581"/>
      <c r="AC120" s="581"/>
      <c r="AD120" s="147"/>
      <c r="AE120" s="581"/>
      <c r="AF120" s="94"/>
      <c r="AG120" s="14"/>
      <c r="AH120" s="62"/>
      <c r="AI120" s="62"/>
      <c r="AJ120" s="14"/>
      <c r="AK120" s="62"/>
      <c r="AL120" s="14"/>
      <c r="AM120" s="14"/>
      <c r="AN120" s="14"/>
      <c r="AO120" s="14"/>
      <c r="AP120" s="14"/>
    </row>
    <row r="121" spans="1:42" x14ac:dyDescent="0.2">
      <c r="A121" s="50">
        <v>118</v>
      </c>
      <c r="B121" s="50"/>
      <c r="C121" s="50"/>
      <c r="D121" s="50"/>
      <c r="E121" s="50"/>
      <c r="F121" s="50"/>
      <c r="G121" s="50"/>
      <c r="H121" s="50"/>
      <c r="I121" s="50"/>
      <c r="J121" s="50"/>
      <c r="K121" s="581"/>
      <c r="L121" s="581"/>
      <c r="M121" s="581"/>
      <c r="N121" s="50"/>
      <c r="O121" s="50"/>
      <c r="P121" s="50"/>
      <c r="Q121" s="147"/>
      <c r="R121" s="147"/>
      <c r="S121" s="147"/>
      <c r="T121" s="147"/>
      <c r="U121" s="147"/>
      <c r="V121" s="581"/>
      <c r="W121" s="581">
        <v>0.11600000000000001</v>
      </c>
      <c r="X121" s="673">
        <v>0.9</v>
      </c>
      <c r="Y121" s="673">
        <v>0.9</v>
      </c>
      <c r="Z121" s="581"/>
      <c r="AA121" s="581"/>
      <c r="AB121" s="581"/>
      <c r="AC121" s="581"/>
      <c r="AD121" s="147"/>
      <c r="AE121" s="581"/>
      <c r="AF121" s="94"/>
      <c r="AG121" s="14"/>
      <c r="AH121" s="62"/>
      <c r="AI121" s="62"/>
      <c r="AJ121" s="14"/>
      <c r="AK121" s="62"/>
      <c r="AL121" s="14"/>
      <c r="AM121" s="14"/>
      <c r="AN121" s="14"/>
      <c r="AO121" s="14"/>
      <c r="AP121" s="14"/>
    </row>
    <row r="122" spans="1:42" x14ac:dyDescent="0.2">
      <c r="A122" s="50">
        <v>119</v>
      </c>
      <c r="B122" s="50"/>
      <c r="C122" s="50"/>
      <c r="D122" s="50"/>
      <c r="E122" s="50"/>
      <c r="F122" s="50"/>
      <c r="G122" s="50"/>
      <c r="H122" s="50"/>
      <c r="I122" s="50"/>
      <c r="J122" s="50"/>
      <c r="K122" s="581"/>
      <c r="L122" s="581"/>
      <c r="M122" s="581"/>
      <c r="N122" s="50"/>
      <c r="O122" s="50"/>
      <c r="P122" s="50"/>
      <c r="Q122" s="147"/>
      <c r="R122" s="147"/>
      <c r="S122" s="147"/>
      <c r="T122" s="147"/>
      <c r="U122" s="147"/>
      <c r="V122" s="581"/>
      <c r="W122" s="581">
        <v>0.113</v>
      </c>
      <c r="X122" s="673">
        <v>0.9</v>
      </c>
      <c r="Y122" s="673">
        <v>0.9</v>
      </c>
      <c r="Z122" s="581"/>
      <c r="AA122" s="581"/>
      <c r="AB122" s="581"/>
      <c r="AC122" s="581"/>
      <c r="AD122" s="147"/>
      <c r="AE122" s="581"/>
      <c r="AF122" s="94"/>
      <c r="AG122" s="14"/>
      <c r="AH122" s="62"/>
      <c r="AI122" s="62"/>
      <c r="AJ122" s="14"/>
      <c r="AK122" s="62"/>
      <c r="AL122" s="14"/>
      <c r="AM122" s="14"/>
      <c r="AN122" s="14"/>
      <c r="AO122" s="14"/>
      <c r="AP122" s="14"/>
    </row>
    <row r="123" spans="1:42" x14ac:dyDescent="0.2">
      <c r="A123" s="50">
        <v>120</v>
      </c>
      <c r="B123" s="50"/>
      <c r="C123" s="50"/>
      <c r="D123" s="50"/>
      <c r="E123" s="50"/>
      <c r="F123" s="50"/>
      <c r="G123" s="50"/>
      <c r="H123" s="50"/>
      <c r="I123" s="50"/>
      <c r="J123" s="50"/>
      <c r="K123" s="581"/>
      <c r="L123" s="581"/>
      <c r="M123" s="581"/>
      <c r="N123" s="50"/>
      <c r="O123" s="50"/>
      <c r="P123" s="50"/>
      <c r="Q123" s="147"/>
      <c r="R123" s="147"/>
      <c r="S123" s="147"/>
      <c r="T123" s="147"/>
      <c r="U123" s="147"/>
      <c r="V123" s="581"/>
      <c r="W123" s="581">
        <v>0.11</v>
      </c>
      <c r="X123" s="673">
        <v>0.9</v>
      </c>
      <c r="Y123" s="673">
        <v>0.9</v>
      </c>
      <c r="Z123" s="581"/>
      <c r="AA123" s="581"/>
      <c r="AB123" s="581"/>
      <c r="AC123" s="581"/>
      <c r="AD123" s="147"/>
      <c r="AE123" s="581"/>
      <c r="AF123" s="94"/>
      <c r="AG123" s="14"/>
      <c r="AH123" s="62"/>
      <c r="AI123" s="62"/>
      <c r="AJ123" s="14"/>
      <c r="AK123" s="62"/>
      <c r="AL123" s="14"/>
      <c r="AM123" s="14"/>
      <c r="AN123" s="14"/>
      <c r="AO123" s="14"/>
      <c r="AP123" s="14"/>
    </row>
    <row r="124" spans="1:42" x14ac:dyDescent="0.2">
      <c r="A124" s="50">
        <v>121</v>
      </c>
      <c r="B124" s="50"/>
      <c r="C124" s="50"/>
      <c r="D124" s="50"/>
      <c r="E124" s="50"/>
      <c r="F124" s="50"/>
      <c r="G124" s="50"/>
      <c r="H124" s="50"/>
      <c r="I124" s="50"/>
      <c r="J124" s="50"/>
      <c r="K124" s="581"/>
      <c r="L124" s="581"/>
      <c r="M124" s="581"/>
      <c r="N124" s="50"/>
      <c r="O124" s="50"/>
      <c r="P124" s="50"/>
      <c r="Q124" s="147"/>
      <c r="R124" s="147"/>
      <c r="S124" s="147"/>
      <c r="T124" s="147"/>
      <c r="U124" s="147"/>
      <c r="V124" s="581"/>
      <c r="W124" s="581">
        <v>0.106</v>
      </c>
      <c r="X124" s="673">
        <v>0.9</v>
      </c>
      <c r="Y124" s="673">
        <v>0.9</v>
      </c>
      <c r="Z124" s="581"/>
      <c r="AA124" s="581"/>
      <c r="AB124" s="581"/>
      <c r="AC124" s="581"/>
      <c r="AD124" s="147"/>
      <c r="AE124" s="581"/>
      <c r="AF124" s="94"/>
      <c r="AG124" s="14"/>
      <c r="AH124" s="62"/>
      <c r="AI124" s="62"/>
      <c r="AJ124" s="14"/>
      <c r="AK124" s="62"/>
      <c r="AL124" s="14"/>
      <c r="AM124" s="14"/>
      <c r="AN124" s="14"/>
      <c r="AO124" s="14"/>
      <c r="AP124" s="14"/>
    </row>
    <row r="125" spans="1:42" x14ac:dyDescent="0.2">
      <c r="A125" s="50">
        <v>122</v>
      </c>
      <c r="B125" s="50"/>
      <c r="C125" s="50"/>
      <c r="D125" s="50"/>
      <c r="E125" s="50"/>
      <c r="F125" s="50"/>
      <c r="G125" s="50"/>
      <c r="H125" s="50"/>
      <c r="I125" s="50"/>
      <c r="J125" s="50"/>
      <c r="K125" s="581"/>
      <c r="L125" s="581"/>
      <c r="M125" s="581"/>
      <c r="N125" s="50"/>
      <c r="O125" s="50"/>
      <c r="P125" s="50"/>
      <c r="Q125" s="147"/>
      <c r="R125" s="147"/>
      <c r="S125" s="147"/>
      <c r="T125" s="147"/>
      <c r="U125" s="147"/>
      <c r="V125" s="581"/>
      <c r="W125" s="581">
        <v>0.10199999999999999</v>
      </c>
      <c r="X125" s="673">
        <v>0.9</v>
      </c>
      <c r="Y125" s="673">
        <v>0.9</v>
      </c>
      <c r="Z125" s="581"/>
      <c r="AA125" s="581"/>
      <c r="AB125" s="581"/>
      <c r="AC125" s="581"/>
      <c r="AD125" s="147"/>
      <c r="AE125" s="581"/>
      <c r="AF125" s="94"/>
      <c r="AG125" s="14"/>
      <c r="AH125" s="62"/>
      <c r="AI125" s="62"/>
      <c r="AJ125" s="14"/>
      <c r="AK125" s="62"/>
      <c r="AL125" s="14"/>
      <c r="AM125" s="14"/>
      <c r="AN125" s="14"/>
      <c r="AO125" s="14"/>
      <c r="AP125" s="14"/>
    </row>
    <row r="126" spans="1:42" x14ac:dyDescent="0.2">
      <c r="A126" s="50">
        <v>123</v>
      </c>
      <c r="B126" s="50"/>
      <c r="C126" s="50"/>
      <c r="D126" s="50"/>
      <c r="E126" s="50"/>
      <c r="F126" s="50"/>
      <c r="G126" s="50"/>
      <c r="H126" s="50"/>
      <c r="I126" s="50"/>
      <c r="J126" s="50"/>
      <c r="K126" s="581"/>
      <c r="L126" s="581"/>
      <c r="M126" s="581"/>
      <c r="N126" s="50"/>
      <c r="O126" s="50"/>
      <c r="P126" s="50"/>
      <c r="Q126" s="147"/>
      <c r="R126" s="147"/>
      <c r="S126" s="147"/>
      <c r="T126" s="147"/>
      <c r="U126" s="147"/>
      <c r="V126" s="581"/>
      <c r="W126" s="581">
        <v>9.8000000000000004E-2</v>
      </c>
      <c r="X126" s="673">
        <v>0.9</v>
      </c>
      <c r="Y126" s="673">
        <v>0.9</v>
      </c>
      <c r="Z126" s="581"/>
      <c r="AA126" s="581"/>
      <c r="AB126" s="581"/>
      <c r="AC126" s="581"/>
      <c r="AD126" s="147"/>
      <c r="AE126" s="581"/>
      <c r="AF126" s="94"/>
      <c r="AG126" s="14"/>
      <c r="AH126" s="62"/>
      <c r="AI126" s="62"/>
      <c r="AJ126" s="14"/>
      <c r="AK126" s="62"/>
      <c r="AL126" s="14"/>
      <c r="AM126" s="14"/>
      <c r="AN126" s="14"/>
      <c r="AO126" s="14"/>
      <c r="AP126" s="14"/>
    </row>
    <row r="127" spans="1:42" x14ac:dyDescent="0.2">
      <c r="A127" s="50">
        <v>124</v>
      </c>
      <c r="B127" s="50"/>
      <c r="C127" s="50"/>
      <c r="D127" s="50"/>
      <c r="E127" s="50"/>
      <c r="F127" s="50"/>
      <c r="G127" s="50"/>
      <c r="H127" s="50"/>
      <c r="I127" s="50"/>
      <c r="J127" s="50"/>
      <c r="K127" s="581"/>
      <c r="L127" s="581"/>
      <c r="M127" s="581"/>
      <c r="N127" s="50"/>
      <c r="O127" s="50"/>
      <c r="P127" s="50"/>
      <c r="Q127" s="147"/>
      <c r="R127" s="147"/>
      <c r="S127" s="147"/>
      <c r="T127" s="147"/>
      <c r="U127" s="147"/>
      <c r="V127" s="581"/>
      <c r="W127" s="581">
        <v>9.4E-2</v>
      </c>
      <c r="X127" s="673">
        <v>0.9</v>
      </c>
      <c r="Y127" s="673">
        <v>0.9</v>
      </c>
      <c r="Z127" s="581"/>
      <c r="AA127" s="581"/>
      <c r="AB127" s="581"/>
      <c r="AC127" s="581"/>
      <c r="AD127" s="147"/>
      <c r="AE127" s="581"/>
      <c r="AF127" s="94"/>
      <c r="AG127" s="14"/>
      <c r="AH127" s="62"/>
      <c r="AI127" s="62"/>
      <c r="AJ127" s="14"/>
      <c r="AK127" s="62"/>
      <c r="AL127" s="14"/>
      <c r="AM127" s="14"/>
      <c r="AN127" s="14"/>
      <c r="AO127" s="14"/>
      <c r="AP127" s="14"/>
    </row>
    <row r="128" spans="1:42" x14ac:dyDescent="0.2">
      <c r="A128" s="50">
        <v>125</v>
      </c>
      <c r="B128" s="50"/>
      <c r="C128" s="50"/>
      <c r="D128" s="50"/>
      <c r="E128" s="50"/>
      <c r="F128" s="50"/>
      <c r="G128" s="50"/>
      <c r="H128" s="50"/>
      <c r="I128" s="50"/>
      <c r="J128" s="50"/>
      <c r="K128" s="581"/>
      <c r="L128" s="581"/>
      <c r="M128" s="581"/>
      <c r="N128" s="50"/>
      <c r="O128" s="50"/>
      <c r="P128" s="50"/>
      <c r="Q128" s="147"/>
      <c r="R128" s="147"/>
      <c r="S128" s="147"/>
      <c r="T128" s="147"/>
      <c r="U128" s="147"/>
      <c r="V128" s="581"/>
      <c r="W128" s="581">
        <v>0.09</v>
      </c>
      <c r="X128" s="673">
        <v>0.9</v>
      </c>
      <c r="Y128" s="673">
        <v>0.9</v>
      </c>
      <c r="Z128" s="581"/>
      <c r="AA128" s="581"/>
      <c r="AB128" s="581"/>
      <c r="AC128" s="581"/>
      <c r="AD128" s="147"/>
      <c r="AE128" s="581"/>
      <c r="AF128" s="94"/>
      <c r="AG128" s="14"/>
      <c r="AH128" s="62"/>
      <c r="AI128" s="62"/>
      <c r="AJ128" s="14"/>
      <c r="AK128" s="62"/>
      <c r="AL128" s="14"/>
      <c r="AM128" s="14"/>
      <c r="AN128" s="14"/>
      <c r="AO128" s="14"/>
      <c r="AP128" s="14"/>
    </row>
    <row r="129" spans="1:42" x14ac:dyDescent="0.2">
      <c r="A129" s="50">
        <v>126</v>
      </c>
      <c r="B129" s="50"/>
      <c r="C129" s="50"/>
      <c r="D129" s="50"/>
      <c r="E129" s="50"/>
      <c r="F129" s="50"/>
      <c r="G129" s="50"/>
      <c r="H129" s="50"/>
      <c r="I129" s="50"/>
      <c r="J129" s="50"/>
      <c r="K129" s="581"/>
      <c r="L129" s="581"/>
      <c r="M129" s="581"/>
      <c r="N129" s="50"/>
      <c r="O129" s="50"/>
      <c r="P129" s="50"/>
      <c r="Q129" s="147"/>
      <c r="R129" s="147"/>
      <c r="S129" s="147"/>
      <c r="T129" s="147"/>
      <c r="U129" s="147"/>
      <c r="V129" s="581"/>
      <c r="W129" s="581">
        <v>8.5999999999999993E-2</v>
      </c>
      <c r="X129" s="673">
        <v>0.9</v>
      </c>
      <c r="Y129" s="673">
        <v>0.9</v>
      </c>
      <c r="Z129" s="581"/>
      <c r="AA129" s="581"/>
      <c r="AB129" s="581"/>
      <c r="AC129" s="581"/>
      <c r="AD129" s="147"/>
      <c r="AE129" s="581"/>
      <c r="AF129" s="94"/>
      <c r="AG129" s="14"/>
      <c r="AH129" s="62"/>
      <c r="AI129" s="62"/>
      <c r="AJ129" s="14"/>
      <c r="AK129" s="62"/>
      <c r="AL129" s="14"/>
      <c r="AM129" s="14"/>
      <c r="AN129" s="14"/>
      <c r="AO129" s="14"/>
      <c r="AP129" s="14"/>
    </row>
    <row r="130" spans="1:42" x14ac:dyDescent="0.2">
      <c r="A130" s="50">
        <v>127</v>
      </c>
      <c r="B130" s="50"/>
      <c r="C130" s="50"/>
      <c r="D130" s="50"/>
      <c r="E130" s="50"/>
      <c r="F130" s="50"/>
      <c r="G130" s="50"/>
      <c r="H130" s="50"/>
      <c r="I130" s="50"/>
      <c r="J130" s="50"/>
      <c r="K130" s="581"/>
      <c r="L130" s="581"/>
      <c r="M130" s="581"/>
      <c r="N130" s="50"/>
      <c r="O130" s="50"/>
      <c r="P130" s="50"/>
      <c r="Q130" s="147"/>
      <c r="R130" s="147"/>
      <c r="S130" s="147"/>
      <c r="T130" s="147"/>
      <c r="U130" s="147"/>
      <c r="V130" s="581"/>
      <c r="W130" s="581">
        <v>8.2000000000000003E-2</v>
      </c>
      <c r="X130" s="673">
        <v>0.9</v>
      </c>
      <c r="Y130" s="673">
        <v>0.9</v>
      </c>
      <c r="Z130" s="581"/>
      <c r="AA130" s="581"/>
      <c r="AB130" s="581"/>
      <c r="AC130" s="581"/>
      <c r="AD130" s="147"/>
      <c r="AE130" s="581"/>
      <c r="AF130" s="94"/>
      <c r="AG130" s="14"/>
      <c r="AH130" s="62"/>
      <c r="AI130" s="62"/>
      <c r="AJ130" s="14"/>
      <c r="AK130" s="62"/>
      <c r="AL130" s="14"/>
      <c r="AM130" s="14"/>
      <c r="AN130" s="14"/>
      <c r="AO130" s="14"/>
      <c r="AP130" s="14"/>
    </row>
    <row r="131" spans="1:42" x14ac:dyDescent="0.2">
      <c r="A131" s="50">
        <v>128</v>
      </c>
      <c r="B131" s="50"/>
      <c r="C131" s="50"/>
      <c r="D131" s="50"/>
      <c r="E131" s="50"/>
      <c r="F131" s="50"/>
      <c r="G131" s="50"/>
      <c r="H131" s="50"/>
      <c r="I131" s="50"/>
      <c r="J131" s="50"/>
      <c r="K131" s="581"/>
      <c r="L131" s="581"/>
      <c r="M131" s="581"/>
      <c r="N131" s="50"/>
      <c r="O131" s="50"/>
      <c r="P131" s="50"/>
      <c r="Q131" s="147"/>
      <c r="R131" s="147"/>
      <c r="S131" s="147"/>
      <c r="T131" s="147"/>
      <c r="U131" s="147"/>
      <c r="V131" s="581"/>
      <c r="W131" s="581">
        <v>7.8E-2</v>
      </c>
      <c r="X131" s="673">
        <v>0.9</v>
      </c>
      <c r="Y131" s="673">
        <v>0.9</v>
      </c>
      <c r="Z131" s="581"/>
      <c r="AA131" s="581"/>
      <c r="AB131" s="581"/>
      <c r="AC131" s="581"/>
      <c r="AD131" s="147"/>
      <c r="AE131" s="581"/>
      <c r="AF131" s="94"/>
      <c r="AG131" s="14"/>
      <c r="AH131" s="62"/>
      <c r="AI131" s="62"/>
      <c r="AJ131" s="14"/>
      <c r="AK131" s="62"/>
      <c r="AL131" s="14"/>
      <c r="AM131" s="14"/>
      <c r="AN131" s="14"/>
      <c r="AO131" s="14"/>
      <c r="AP131" s="14"/>
    </row>
    <row r="132" spans="1:42" x14ac:dyDescent="0.2">
      <c r="A132" s="50">
        <v>129</v>
      </c>
      <c r="B132" s="50"/>
      <c r="C132" s="50"/>
      <c r="D132" s="50"/>
      <c r="E132" s="50"/>
      <c r="F132" s="50"/>
      <c r="G132" s="50"/>
      <c r="H132" s="50"/>
      <c r="I132" s="50"/>
      <c r="J132" s="50"/>
      <c r="K132" s="581"/>
      <c r="L132" s="581"/>
      <c r="M132" s="581"/>
      <c r="N132" s="50"/>
      <c r="O132" s="50"/>
      <c r="P132" s="50"/>
      <c r="Q132" s="147"/>
      <c r="R132" s="147"/>
      <c r="S132" s="147"/>
      <c r="T132" s="147"/>
      <c r="U132" s="147"/>
      <c r="V132" s="581"/>
      <c r="W132" s="581">
        <v>7.3999999999999996E-2</v>
      </c>
      <c r="X132" s="673">
        <v>0.9</v>
      </c>
      <c r="Y132" s="673">
        <v>0.9</v>
      </c>
      <c r="Z132" s="581"/>
      <c r="AA132" s="581"/>
      <c r="AB132" s="581"/>
      <c r="AC132" s="581"/>
      <c r="AD132" s="147"/>
      <c r="AE132" s="581"/>
      <c r="AF132" s="94"/>
      <c r="AG132" s="14"/>
      <c r="AH132" s="62"/>
      <c r="AI132" s="62"/>
      <c r="AJ132" s="14"/>
      <c r="AK132" s="62"/>
      <c r="AL132" s="14"/>
      <c r="AM132" s="14"/>
      <c r="AN132" s="14"/>
      <c r="AO132" s="14"/>
      <c r="AP132" s="14"/>
    </row>
    <row r="133" spans="1:42" x14ac:dyDescent="0.2">
      <c r="A133" s="50">
        <v>130</v>
      </c>
      <c r="B133" s="50"/>
      <c r="C133" s="50"/>
      <c r="D133" s="50"/>
      <c r="E133" s="50"/>
      <c r="F133" s="50"/>
      <c r="G133" s="50"/>
      <c r="H133" s="50"/>
      <c r="I133" s="50"/>
      <c r="J133" s="50"/>
      <c r="K133" s="581"/>
      <c r="L133" s="581"/>
      <c r="M133" s="581"/>
      <c r="N133" s="50"/>
      <c r="O133" s="50"/>
      <c r="P133" s="50"/>
      <c r="Q133" s="147"/>
      <c r="R133" s="147"/>
      <c r="S133" s="147"/>
      <c r="T133" s="147"/>
      <c r="U133" s="147"/>
      <c r="V133" s="581"/>
      <c r="W133" s="581">
        <v>7.0000000000000007E-2</v>
      </c>
      <c r="X133" s="673">
        <v>0.9</v>
      </c>
      <c r="Y133" s="673">
        <v>0.9</v>
      </c>
      <c r="Z133" s="581"/>
      <c r="AA133" s="581"/>
      <c r="AB133" s="581"/>
      <c r="AC133" s="581"/>
      <c r="AD133" s="147"/>
      <c r="AE133" s="581"/>
      <c r="AF133" s="94"/>
      <c r="AG133" s="14"/>
      <c r="AH133" s="62"/>
      <c r="AI133" s="62"/>
      <c r="AJ133" s="14"/>
      <c r="AK133" s="62"/>
      <c r="AL133" s="14"/>
      <c r="AM133" s="14"/>
      <c r="AN133" s="14"/>
      <c r="AO133" s="14"/>
      <c r="AP133" s="14"/>
    </row>
    <row r="134" spans="1:42" x14ac:dyDescent="0.2">
      <c r="A134" s="50">
        <v>131</v>
      </c>
      <c r="B134" s="50"/>
      <c r="C134" s="50"/>
      <c r="D134" s="50"/>
      <c r="E134" s="50"/>
      <c r="F134" s="50"/>
      <c r="G134" s="50"/>
      <c r="H134" s="50"/>
      <c r="I134" s="50"/>
      <c r="J134" s="50"/>
      <c r="K134" s="581"/>
      <c r="L134" s="581"/>
      <c r="M134" s="581"/>
      <c r="N134" s="50"/>
      <c r="O134" s="50"/>
      <c r="P134" s="50"/>
      <c r="Q134" s="147"/>
      <c r="R134" s="147"/>
      <c r="S134" s="147"/>
      <c r="T134" s="147"/>
      <c r="U134" s="147"/>
      <c r="V134" s="581"/>
      <c r="W134" s="581">
        <v>6.7000000000000004E-2</v>
      </c>
      <c r="X134" s="673">
        <v>0.9</v>
      </c>
      <c r="Y134" s="673">
        <v>0.9</v>
      </c>
      <c r="Z134" s="581"/>
      <c r="AA134" s="581"/>
      <c r="AB134" s="581"/>
      <c r="AC134" s="581"/>
      <c r="AD134" s="147"/>
      <c r="AE134" s="581"/>
      <c r="AF134" s="94"/>
      <c r="AG134" s="14"/>
      <c r="AH134" s="62"/>
      <c r="AI134" s="62"/>
      <c r="AJ134" s="14"/>
      <c r="AK134" s="62"/>
      <c r="AL134" s="14"/>
      <c r="AM134" s="14"/>
      <c r="AN134" s="14"/>
      <c r="AO134" s="14"/>
      <c r="AP134" s="14"/>
    </row>
    <row r="135" spans="1:42" x14ac:dyDescent="0.2">
      <c r="A135" s="50">
        <v>132</v>
      </c>
      <c r="B135" s="50"/>
      <c r="C135" s="50"/>
      <c r="D135" s="50"/>
      <c r="E135" s="50"/>
      <c r="F135" s="50"/>
      <c r="G135" s="50"/>
      <c r="H135" s="50"/>
      <c r="I135" s="50"/>
      <c r="J135" s="50"/>
      <c r="K135" s="581"/>
      <c r="L135" s="581"/>
      <c r="M135" s="581"/>
      <c r="N135" s="50"/>
      <c r="O135" s="50"/>
      <c r="P135" s="50"/>
      <c r="Q135" s="147"/>
      <c r="R135" s="147"/>
      <c r="S135" s="147"/>
      <c r="T135" s="147"/>
      <c r="U135" s="147"/>
      <c r="V135" s="581"/>
      <c r="W135" s="581">
        <v>6.4000000000000001E-2</v>
      </c>
      <c r="X135" s="673">
        <v>0.9</v>
      </c>
      <c r="Y135" s="673">
        <v>0.9</v>
      </c>
      <c r="Z135" s="581"/>
      <c r="AA135" s="581"/>
      <c r="AB135" s="581"/>
      <c r="AC135" s="581"/>
      <c r="AD135" s="147"/>
      <c r="AE135" s="581"/>
      <c r="AF135" s="94"/>
      <c r="AG135" s="14"/>
      <c r="AH135" s="62"/>
      <c r="AI135" s="62"/>
      <c r="AJ135" s="14"/>
      <c r="AK135" s="62"/>
      <c r="AL135" s="14"/>
      <c r="AM135" s="14"/>
      <c r="AN135" s="14"/>
      <c r="AO135" s="14"/>
      <c r="AP135" s="14"/>
    </row>
    <row r="136" spans="1:42" x14ac:dyDescent="0.2">
      <c r="A136" s="50">
        <v>133</v>
      </c>
      <c r="B136" s="50"/>
      <c r="C136" s="50"/>
      <c r="D136" s="50"/>
      <c r="E136" s="50"/>
      <c r="F136" s="50"/>
      <c r="G136" s="50"/>
      <c r="H136" s="50"/>
      <c r="I136" s="50"/>
      <c r="J136" s="50"/>
      <c r="K136" s="581"/>
      <c r="L136" s="581"/>
      <c r="M136" s="581"/>
      <c r="N136" s="50"/>
      <c r="O136" s="50"/>
      <c r="P136" s="50"/>
      <c r="Q136" s="147"/>
      <c r="R136" s="147"/>
      <c r="S136" s="147"/>
      <c r="T136" s="147"/>
      <c r="U136" s="147"/>
      <c r="V136" s="581"/>
      <c r="W136" s="581">
        <v>6.0999999999999999E-2</v>
      </c>
      <c r="X136" s="673">
        <v>0.9</v>
      </c>
      <c r="Y136" s="673">
        <v>0.9</v>
      </c>
      <c r="Z136" s="581"/>
      <c r="AA136" s="581"/>
      <c r="AB136" s="581"/>
      <c r="AC136" s="581"/>
      <c r="AD136" s="147"/>
      <c r="AE136" s="581"/>
      <c r="AF136" s="94"/>
      <c r="AG136" s="14"/>
      <c r="AH136" s="62"/>
      <c r="AI136" s="62"/>
      <c r="AJ136" s="14"/>
      <c r="AK136" s="62"/>
      <c r="AL136" s="14"/>
      <c r="AM136" s="14"/>
      <c r="AN136" s="14"/>
      <c r="AO136" s="14"/>
      <c r="AP136" s="14"/>
    </row>
    <row r="137" spans="1:42" x14ac:dyDescent="0.2">
      <c r="A137" s="50">
        <v>134</v>
      </c>
      <c r="B137" s="50"/>
      <c r="C137" s="50"/>
      <c r="D137" s="50"/>
      <c r="E137" s="50"/>
      <c r="F137" s="50"/>
      <c r="G137" s="50"/>
      <c r="H137" s="50"/>
      <c r="I137" s="50"/>
      <c r="J137" s="50"/>
      <c r="K137" s="581"/>
      <c r="L137" s="581"/>
      <c r="M137" s="581"/>
      <c r="N137" s="50"/>
      <c r="O137" s="50"/>
      <c r="P137" s="50"/>
      <c r="Q137" s="147"/>
      <c r="R137" s="147"/>
      <c r="S137" s="147"/>
      <c r="T137" s="147"/>
      <c r="U137" s="147"/>
      <c r="V137" s="581"/>
      <c r="W137" s="581">
        <v>5.8000000000000003E-2</v>
      </c>
      <c r="X137" s="673">
        <v>0.9</v>
      </c>
      <c r="Y137" s="673">
        <v>0.9</v>
      </c>
      <c r="Z137" s="581"/>
      <c r="AA137" s="581"/>
      <c r="AB137" s="581"/>
      <c r="AC137" s="581"/>
      <c r="AD137" s="147"/>
      <c r="AE137" s="581"/>
      <c r="AF137" s="94"/>
      <c r="AG137" s="14"/>
      <c r="AH137" s="62"/>
      <c r="AI137" s="62"/>
      <c r="AJ137" s="14"/>
      <c r="AK137" s="62"/>
      <c r="AL137" s="14"/>
      <c r="AM137" s="14"/>
      <c r="AN137" s="14"/>
      <c r="AO137" s="14"/>
      <c r="AP137" s="14"/>
    </row>
    <row r="138" spans="1:42" x14ac:dyDescent="0.2">
      <c r="A138" s="50">
        <v>135</v>
      </c>
      <c r="B138" s="50"/>
      <c r="C138" s="50"/>
      <c r="D138" s="50"/>
      <c r="E138" s="50"/>
      <c r="F138" s="50"/>
      <c r="G138" s="50"/>
      <c r="H138" s="50"/>
      <c r="I138" s="50"/>
      <c r="J138" s="50"/>
      <c r="K138" s="581"/>
      <c r="L138" s="581"/>
      <c r="M138" s="581"/>
      <c r="N138" s="50"/>
      <c r="O138" s="50"/>
      <c r="P138" s="50"/>
      <c r="Q138" s="147"/>
      <c r="R138" s="147"/>
      <c r="S138" s="147"/>
      <c r="T138" s="147"/>
      <c r="U138" s="147"/>
      <c r="V138" s="581"/>
      <c r="W138" s="581">
        <v>5.5E-2</v>
      </c>
      <c r="X138" s="673">
        <v>0.9</v>
      </c>
      <c r="Y138" s="673">
        <v>0.9</v>
      </c>
      <c r="Z138" s="581"/>
      <c r="AA138" s="581"/>
      <c r="AB138" s="581"/>
      <c r="AC138" s="581"/>
      <c r="AD138" s="147"/>
      <c r="AE138" s="581"/>
      <c r="AF138" s="94"/>
      <c r="AG138" s="14"/>
      <c r="AH138" s="62"/>
      <c r="AI138" s="62"/>
      <c r="AJ138" s="14"/>
      <c r="AK138" s="62"/>
      <c r="AL138" s="14"/>
      <c r="AM138" s="14"/>
      <c r="AN138" s="14"/>
      <c r="AO138" s="14"/>
      <c r="AP138" s="14"/>
    </row>
    <row r="139" spans="1:42" x14ac:dyDescent="0.2">
      <c r="A139" s="50">
        <v>136</v>
      </c>
      <c r="B139" s="50"/>
      <c r="C139" s="50"/>
      <c r="D139" s="50"/>
      <c r="E139" s="50"/>
      <c r="F139" s="50"/>
      <c r="G139" s="50"/>
      <c r="H139" s="50"/>
      <c r="I139" s="50"/>
      <c r="J139" s="50"/>
      <c r="K139" s="581"/>
      <c r="L139" s="581"/>
      <c r="M139" s="581"/>
      <c r="N139" s="50"/>
      <c r="O139" s="50"/>
      <c r="P139" s="50"/>
      <c r="Q139" s="147"/>
      <c r="R139" s="147"/>
      <c r="S139" s="147"/>
      <c r="T139" s="147"/>
      <c r="U139" s="147"/>
      <c r="V139" s="581"/>
      <c r="W139" s="581">
        <v>5.1999999999999998E-2</v>
      </c>
      <c r="X139" s="673">
        <v>0.9</v>
      </c>
      <c r="Y139" s="673">
        <v>0.9</v>
      </c>
      <c r="Z139" s="581"/>
      <c r="AA139" s="581"/>
      <c r="AB139" s="581"/>
      <c r="AC139" s="581"/>
      <c r="AD139" s="147"/>
      <c r="AE139" s="581"/>
      <c r="AF139" s="94"/>
      <c r="AG139" s="14"/>
      <c r="AH139" s="62"/>
      <c r="AI139" s="62"/>
      <c r="AJ139" s="14"/>
      <c r="AK139" s="62"/>
      <c r="AL139" s="14"/>
      <c r="AM139" s="14"/>
      <c r="AN139" s="14"/>
      <c r="AO139" s="14"/>
      <c r="AP139" s="14"/>
    </row>
    <row r="140" spans="1:42" x14ac:dyDescent="0.2">
      <c r="A140" s="50">
        <v>137</v>
      </c>
      <c r="B140" s="50"/>
      <c r="C140" s="50"/>
      <c r="D140" s="50"/>
      <c r="E140" s="50"/>
      <c r="F140" s="50"/>
      <c r="G140" s="50"/>
      <c r="H140" s="50"/>
      <c r="I140" s="50"/>
      <c r="J140" s="50"/>
      <c r="K140" s="581"/>
      <c r="L140" s="581"/>
      <c r="M140" s="581"/>
      <c r="N140" s="50"/>
      <c r="O140" s="50"/>
      <c r="P140" s="50"/>
      <c r="Q140" s="147"/>
      <c r="R140" s="147"/>
      <c r="S140" s="147"/>
      <c r="T140" s="147"/>
      <c r="U140" s="147"/>
      <c r="V140" s="581"/>
      <c r="W140" s="581">
        <v>4.9000000000000002E-2</v>
      </c>
      <c r="X140" s="673">
        <v>0.9</v>
      </c>
      <c r="Y140" s="673">
        <v>0.9</v>
      </c>
      <c r="Z140" s="581"/>
      <c r="AA140" s="581"/>
      <c r="AB140" s="581"/>
      <c r="AC140" s="581"/>
      <c r="AD140" s="147"/>
      <c r="AE140" s="581"/>
      <c r="AF140" s="94"/>
      <c r="AG140" s="14"/>
      <c r="AH140" s="62"/>
      <c r="AI140" s="62"/>
      <c r="AJ140" s="14"/>
      <c r="AK140" s="62"/>
      <c r="AL140" s="14"/>
      <c r="AM140" s="14"/>
      <c r="AN140" s="14"/>
      <c r="AO140" s="14"/>
      <c r="AP140" s="14"/>
    </row>
    <row r="141" spans="1:42" x14ac:dyDescent="0.2">
      <c r="A141" s="50">
        <v>138</v>
      </c>
      <c r="B141" s="50"/>
      <c r="C141" s="50"/>
      <c r="D141" s="50"/>
      <c r="E141" s="50"/>
      <c r="F141" s="50"/>
      <c r="G141" s="50"/>
      <c r="H141" s="50"/>
      <c r="I141" s="50"/>
      <c r="J141" s="50"/>
      <c r="K141" s="581"/>
      <c r="L141" s="581"/>
      <c r="M141" s="581"/>
      <c r="N141" s="50"/>
      <c r="O141" s="50"/>
      <c r="P141" s="50"/>
      <c r="Q141" s="147"/>
      <c r="R141" s="147"/>
      <c r="S141" s="147"/>
      <c r="T141" s="147"/>
      <c r="U141" s="147"/>
      <c r="V141" s="581"/>
      <c r="W141" s="581">
        <v>4.5999999999999999E-2</v>
      </c>
      <c r="X141" s="673">
        <v>0.9</v>
      </c>
      <c r="Y141" s="673">
        <v>0.9</v>
      </c>
      <c r="Z141" s="581"/>
      <c r="AA141" s="581"/>
      <c r="AB141" s="581"/>
      <c r="AC141" s="581"/>
      <c r="AD141" s="147"/>
      <c r="AE141" s="581"/>
      <c r="AF141" s="94"/>
      <c r="AG141" s="14"/>
      <c r="AH141" s="62"/>
      <c r="AI141" s="62"/>
      <c r="AJ141" s="14"/>
      <c r="AK141" s="62"/>
      <c r="AL141" s="14"/>
      <c r="AM141" s="14"/>
      <c r="AN141" s="14"/>
      <c r="AO141" s="14"/>
      <c r="AP141" s="14"/>
    </row>
    <row r="142" spans="1:42" x14ac:dyDescent="0.2">
      <c r="A142" s="50">
        <v>139</v>
      </c>
      <c r="B142" s="50"/>
      <c r="C142" s="50"/>
      <c r="D142" s="50"/>
      <c r="E142" s="50"/>
      <c r="F142" s="50"/>
      <c r="G142" s="50"/>
      <c r="H142" s="50"/>
      <c r="I142" s="50"/>
      <c r="J142" s="50"/>
      <c r="K142" s="581"/>
      <c r="L142" s="581"/>
      <c r="M142" s="581"/>
      <c r="N142" s="50"/>
      <c r="O142" s="50"/>
      <c r="P142" s="50"/>
      <c r="Q142" s="147"/>
      <c r="R142" s="147"/>
      <c r="S142" s="147"/>
      <c r="T142" s="147"/>
      <c r="U142" s="147"/>
      <c r="V142" s="581"/>
      <c r="W142" s="581">
        <v>4.2999999999999997E-2</v>
      </c>
      <c r="X142" s="673">
        <v>0.9</v>
      </c>
      <c r="Y142" s="673">
        <v>0.9</v>
      </c>
      <c r="Z142" s="581"/>
      <c r="AA142" s="581"/>
      <c r="AB142" s="581"/>
      <c r="AC142" s="581"/>
      <c r="AD142" s="147"/>
      <c r="AE142" s="581"/>
      <c r="AF142" s="94"/>
      <c r="AG142" s="14"/>
      <c r="AH142" s="62"/>
      <c r="AI142" s="62"/>
      <c r="AJ142" s="14"/>
      <c r="AK142" s="62"/>
      <c r="AL142" s="14"/>
      <c r="AM142" s="14"/>
      <c r="AN142" s="14"/>
      <c r="AO142" s="14"/>
      <c r="AP142" s="14"/>
    </row>
    <row r="143" spans="1:42" x14ac:dyDescent="0.2">
      <c r="A143" s="50">
        <v>140</v>
      </c>
      <c r="B143" s="50"/>
      <c r="C143" s="50"/>
      <c r="D143" s="50"/>
      <c r="E143" s="50"/>
      <c r="F143" s="50"/>
      <c r="G143" s="50"/>
      <c r="H143" s="50"/>
      <c r="I143" s="50"/>
      <c r="J143" s="50"/>
      <c r="K143" s="581"/>
      <c r="L143" s="581"/>
      <c r="M143" s="581"/>
      <c r="N143" s="50"/>
      <c r="O143" s="50"/>
      <c r="P143" s="50"/>
      <c r="Q143" s="147"/>
      <c r="R143" s="147"/>
      <c r="S143" s="147"/>
      <c r="T143" s="147"/>
      <c r="U143" s="147"/>
      <c r="V143" s="581"/>
      <c r="W143" s="581">
        <v>0.04</v>
      </c>
      <c r="X143" s="673">
        <v>0.9</v>
      </c>
      <c r="Y143" s="673">
        <v>0.9</v>
      </c>
      <c r="Z143" s="581"/>
      <c r="AA143" s="581"/>
      <c r="AB143" s="581"/>
      <c r="AC143" s="581"/>
      <c r="AD143" s="147"/>
      <c r="AE143" s="581"/>
      <c r="AF143" s="94"/>
      <c r="AG143" s="14"/>
      <c r="AH143" s="62"/>
      <c r="AI143" s="62"/>
      <c r="AJ143" s="14"/>
      <c r="AK143" s="62"/>
      <c r="AL143" s="14"/>
      <c r="AM143" s="14"/>
      <c r="AN143" s="14"/>
      <c r="AO143" s="14"/>
      <c r="AP143" s="14"/>
    </row>
    <row r="144" spans="1:42" x14ac:dyDescent="0.2">
      <c r="A144" s="50">
        <v>141</v>
      </c>
      <c r="B144" s="50"/>
      <c r="C144" s="50"/>
      <c r="D144" s="50"/>
      <c r="E144" s="50"/>
      <c r="F144" s="50"/>
      <c r="G144" s="50"/>
      <c r="H144" s="50"/>
      <c r="I144" s="50"/>
      <c r="J144" s="50"/>
      <c r="K144" s="581"/>
      <c r="L144" s="581"/>
      <c r="M144" s="581"/>
      <c r="N144" s="50"/>
      <c r="O144" s="50"/>
      <c r="P144" s="50"/>
      <c r="Q144" s="147"/>
      <c r="R144" s="147"/>
      <c r="S144" s="147"/>
      <c r="T144" s="147"/>
      <c r="U144" s="147"/>
      <c r="V144" s="581"/>
      <c r="W144" s="581">
        <v>3.5999999999999997E-2</v>
      </c>
      <c r="X144" s="673">
        <v>0.9</v>
      </c>
      <c r="Y144" s="673">
        <v>0.9</v>
      </c>
      <c r="Z144" s="581"/>
      <c r="AA144" s="581"/>
      <c r="AB144" s="581"/>
      <c r="AC144" s="581"/>
      <c r="AD144" s="147"/>
      <c r="AE144" s="581"/>
      <c r="AF144" s="94"/>
      <c r="AG144" s="14"/>
      <c r="AH144" s="62"/>
      <c r="AI144" s="62"/>
      <c r="AJ144" s="14"/>
      <c r="AK144" s="62"/>
      <c r="AL144" s="14"/>
      <c r="AM144" s="14"/>
      <c r="AN144" s="14"/>
      <c r="AO144" s="14"/>
      <c r="AP144" s="14"/>
    </row>
    <row r="145" spans="1:42" x14ac:dyDescent="0.2">
      <c r="A145" s="50">
        <v>142</v>
      </c>
      <c r="B145" s="50"/>
      <c r="C145" s="50"/>
      <c r="D145" s="50"/>
      <c r="E145" s="50"/>
      <c r="F145" s="50"/>
      <c r="G145" s="50"/>
      <c r="H145" s="50"/>
      <c r="I145" s="50"/>
      <c r="J145" s="50"/>
      <c r="K145" s="581"/>
      <c r="L145" s="581"/>
      <c r="M145" s="581"/>
      <c r="N145" s="50"/>
      <c r="O145" s="50"/>
      <c r="P145" s="50"/>
      <c r="Q145" s="147"/>
      <c r="R145" s="147"/>
      <c r="S145" s="147"/>
      <c r="T145" s="147"/>
      <c r="U145" s="147"/>
      <c r="V145" s="581"/>
      <c r="W145" s="581">
        <v>3.2000000000000001E-2</v>
      </c>
      <c r="X145" s="673">
        <v>0.9</v>
      </c>
      <c r="Y145" s="673">
        <v>0.9</v>
      </c>
      <c r="Z145" s="581"/>
      <c r="AA145" s="581"/>
      <c r="AB145" s="581"/>
      <c r="AC145" s="581"/>
      <c r="AD145" s="147"/>
      <c r="AE145" s="581"/>
      <c r="AF145" s="94"/>
      <c r="AG145" s="14"/>
      <c r="AH145" s="62"/>
      <c r="AI145" s="62"/>
      <c r="AJ145" s="14"/>
      <c r="AK145" s="62"/>
      <c r="AL145" s="14"/>
      <c r="AM145" s="14"/>
      <c r="AN145" s="14"/>
      <c r="AO145" s="14"/>
      <c r="AP145" s="14"/>
    </row>
    <row r="146" spans="1:42" x14ac:dyDescent="0.2">
      <c r="A146" s="50">
        <v>143</v>
      </c>
      <c r="B146" s="50"/>
      <c r="C146" s="50"/>
      <c r="D146" s="50"/>
      <c r="E146" s="50"/>
      <c r="F146" s="50"/>
      <c r="G146" s="50"/>
      <c r="H146" s="50"/>
      <c r="I146" s="50"/>
      <c r="J146" s="50"/>
      <c r="K146" s="581"/>
      <c r="L146" s="581"/>
      <c r="M146" s="581"/>
      <c r="N146" s="50"/>
      <c r="O146" s="50"/>
      <c r="P146" s="50"/>
      <c r="Q146" s="147"/>
      <c r="R146" s="147"/>
      <c r="S146" s="147"/>
      <c r="T146" s="147"/>
      <c r="U146" s="147"/>
      <c r="V146" s="581"/>
      <c r="W146" s="581">
        <v>2.8000000000000001E-2</v>
      </c>
      <c r="X146" s="673">
        <v>0.9</v>
      </c>
      <c r="Y146" s="673">
        <v>0.9</v>
      </c>
      <c r="Z146" s="581"/>
      <c r="AA146" s="581"/>
      <c r="AB146" s="581"/>
      <c r="AC146" s="581"/>
      <c r="AD146" s="147"/>
      <c r="AE146" s="581"/>
      <c r="AF146" s="94"/>
      <c r="AG146" s="14"/>
      <c r="AH146" s="62"/>
      <c r="AI146" s="62"/>
      <c r="AJ146" s="14"/>
      <c r="AK146" s="62"/>
      <c r="AL146" s="14"/>
      <c r="AM146" s="14"/>
      <c r="AN146" s="14"/>
      <c r="AO146" s="14"/>
      <c r="AP146" s="14"/>
    </row>
    <row r="147" spans="1:42" x14ac:dyDescent="0.2">
      <c r="A147" s="50">
        <v>144</v>
      </c>
      <c r="B147" s="50"/>
      <c r="C147" s="50"/>
      <c r="D147" s="50"/>
      <c r="E147" s="50"/>
      <c r="F147" s="50"/>
      <c r="G147" s="50"/>
      <c r="H147" s="50"/>
      <c r="I147" s="50"/>
      <c r="J147" s="50"/>
      <c r="K147" s="581"/>
      <c r="L147" s="581"/>
      <c r="M147" s="581"/>
      <c r="N147" s="50"/>
      <c r="O147" s="50"/>
      <c r="P147" s="50"/>
      <c r="Q147" s="147"/>
      <c r="R147" s="147"/>
      <c r="S147" s="147"/>
      <c r="T147" s="147"/>
      <c r="U147" s="147"/>
      <c r="V147" s="581"/>
      <c r="W147" s="581">
        <v>2.4E-2</v>
      </c>
      <c r="X147" s="673">
        <v>0.9</v>
      </c>
      <c r="Y147" s="673">
        <v>0.9</v>
      </c>
      <c r="Z147" s="581"/>
      <c r="AA147" s="581"/>
      <c r="AB147" s="581"/>
      <c r="AC147" s="581"/>
      <c r="AD147" s="147"/>
      <c r="AE147" s="581"/>
      <c r="AF147" s="94"/>
      <c r="AG147" s="14"/>
      <c r="AH147" s="62"/>
      <c r="AI147" s="62"/>
      <c r="AJ147" s="14"/>
      <c r="AK147" s="62"/>
      <c r="AL147" s="14"/>
      <c r="AM147" s="14"/>
      <c r="AN147" s="14"/>
      <c r="AO147" s="14"/>
      <c r="AP147" s="14"/>
    </row>
    <row r="148" spans="1:42" x14ac:dyDescent="0.2">
      <c r="A148" s="50">
        <v>145</v>
      </c>
      <c r="B148" s="50"/>
      <c r="C148" s="50"/>
      <c r="D148" s="50"/>
      <c r="E148" s="50"/>
      <c r="F148" s="50"/>
      <c r="G148" s="50"/>
      <c r="H148" s="50"/>
      <c r="I148" s="50"/>
      <c r="J148" s="50"/>
      <c r="K148" s="581"/>
      <c r="L148" s="581"/>
      <c r="M148" s="581"/>
      <c r="N148" s="50"/>
      <c r="O148" s="50"/>
      <c r="P148" s="50"/>
      <c r="Q148" s="147"/>
      <c r="R148" s="147"/>
      <c r="S148" s="147"/>
      <c r="T148" s="147"/>
      <c r="U148" s="147"/>
      <c r="V148" s="581"/>
      <c r="W148" s="581">
        <v>0.02</v>
      </c>
      <c r="X148" s="673">
        <v>0.9</v>
      </c>
      <c r="Y148" s="673">
        <v>0.9</v>
      </c>
      <c r="Z148" s="581"/>
      <c r="AA148" s="581"/>
      <c r="AB148" s="581"/>
      <c r="AC148" s="581"/>
      <c r="AD148" s="147"/>
      <c r="AE148" s="581"/>
      <c r="AF148" s="94"/>
      <c r="AG148" s="14"/>
      <c r="AH148" s="62"/>
      <c r="AI148" s="62"/>
      <c r="AJ148" s="14"/>
      <c r="AK148" s="62"/>
      <c r="AL148" s="14"/>
      <c r="AM148" s="14"/>
      <c r="AN148" s="14"/>
      <c r="AO148" s="14"/>
      <c r="AP148" s="14"/>
    </row>
    <row r="149" spans="1:42" x14ac:dyDescent="0.2">
      <c r="A149" s="50">
        <v>146</v>
      </c>
      <c r="B149" s="50"/>
      <c r="C149" s="50"/>
      <c r="D149" s="50"/>
      <c r="E149" s="50"/>
      <c r="F149" s="50"/>
      <c r="G149" s="50"/>
      <c r="H149" s="50"/>
      <c r="I149" s="50"/>
      <c r="J149" s="50"/>
      <c r="K149" s="581"/>
      <c r="L149" s="581"/>
      <c r="M149" s="581"/>
      <c r="N149" s="50"/>
      <c r="O149" s="50"/>
      <c r="P149" s="50"/>
      <c r="Q149" s="147"/>
      <c r="R149" s="147"/>
      <c r="S149" s="147"/>
      <c r="T149" s="147"/>
      <c r="U149" s="147"/>
      <c r="V149" s="581"/>
      <c r="W149" s="581">
        <v>1.6E-2</v>
      </c>
      <c r="X149" s="673">
        <v>0.9</v>
      </c>
      <c r="Y149" s="673">
        <v>0.9</v>
      </c>
      <c r="Z149" s="581"/>
      <c r="AA149" s="581"/>
      <c r="AB149" s="581"/>
      <c r="AC149" s="581"/>
      <c r="AD149" s="147"/>
      <c r="AE149" s="581"/>
      <c r="AF149" s="94"/>
      <c r="AG149" s="14"/>
      <c r="AH149" s="62"/>
      <c r="AI149" s="62"/>
      <c r="AJ149" s="14"/>
      <c r="AK149" s="62"/>
      <c r="AL149" s="14"/>
      <c r="AM149" s="14"/>
      <c r="AN149" s="14"/>
      <c r="AO149" s="14"/>
      <c r="AP149" s="14"/>
    </row>
    <row r="150" spans="1:42" x14ac:dyDescent="0.2">
      <c r="A150" s="50">
        <v>147</v>
      </c>
      <c r="B150" s="50"/>
      <c r="C150" s="50"/>
      <c r="D150" s="50"/>
      <c r="E150" s="50"/>
      <c r="F150" s="50"/>
      <c r="G150" s="50"/>
      <c r="H150" s="50"/>
      <c r="I150" s="50"/>
      <c r="J150" s="50"/>
      <c r="K150" s="581"/>
      <c r="L150" s="581"/>
      <c r="M150" s="581"/>
      <c r="N150" s="50"/>
      <c r="O150" s="50"/>
      <c r="P150" s="50"/>
      <c r="Q150" s="147"/>
      <c r="R150" s="147"/>
      <c r="S150" s="147"/>
      <c r="T150" s="147"/>
      <c r="U150" s="147"/>
      <c r="V150" s="581"/>
      <c r="W150" s="581">
        <v>1.2E-2</v>
      </c>
      <c r="X150" s="673">
        <v>0.9</v>
      </c>
      <c r="Y150" s="673">
        <v>0.9</v>
      </c>
      <c r="Z150" s="581"/>
      <c r="AA150" s="581"/>
      <c r="AB150" s="581"/>
      <c r="AC150" s="581"/>
      <c r="AD150" s="147"/>
      <c r="AE150" s="581"/>
      <c r="AF150" s="94"/>
      <c r="AG150" s="14"/>
      <c r="AH150" s="62"/>
      <c r="AI150" s="62"/>
      <c r="AJ150" s="14"/>
      <c r="AK150" s="62"/>
      <c r="AL150" s="14"/>
      <c r="AM150" s="14"/>
      <c r="AN150" s="14"/>
      <c r="AO150" s="14"/>
      <c r="AP150" s="14"/>
    </row>
    <row r="151" spans="1:42" x14ac:dyDescent="0.2">
      <c r="A151" s="50">
        <v>148</v>
      </c>
      <c r="B151" s="50"/>
      <c r="C151" s="50"/>
      <c r="D151" s="50"/>
      <c r="E151" s="50"/>
      <c r="F151" s="50"/>
      <c r="G151" s="50"/>
      <c r="H151" s="50"/>
      <c r="I151" s="50"/>
      <c r="J151" s="50"/>
      <c r="K151" s="581"/>
      <c r="L151" s="581"/>
      <c r="M151" s="581"/>
      <c r="N151" s="50"/>
      <c r="O151" s="50"/>
      <c r="P151" s="50"/>
      <c r="Q151" s="147"/>
      <c r="R151" s="147"/>
      <c r="S151" s="147"/>
      <c r="T151" s="147"/>
      <c r="U151" s="147"/>
      <c r="V151" s="581"/>
      <c r="W151" s="581">
        <v>8.0000000000000002E-3</v>
      </c>
      <c r="X151" s="673">
        <v>0.9</v>
      </c>
      <c r="Y151" s="673">
        <v>0.9</v>
      </c>
      <c r="Z151" s="581"/>
      <c r="AA151" s="581"/>
      <c r="AB151" s="581"/>
      <c r="AC151" s="581"/>
      <c r="AD151" s="147"/>
      <c r="AE151" s="581"/>
      <c r="AF151" s="94"/>
      <c r="AG151" s="14"/>
      <c r="AH151" s="62"/>
      <c r="AI151" s="62"/>
      <c r="AJ151" s="14"/>
      <c r="AK151" s="62"/>
      <c r="AL151" s="14"/>
      <c r="AM151" s="14"/>
      <c r="AN151" s="14"/>
      <c r="AO151" s="14"/>
      <c r="AP151" s="14"/>
    </row>
    <row r="152" spans="1:42" x14ac:dyDescent="0.2">
      <c r="A152" s="50">
        <v>149</v>
      </c>
      <c r="B152" s="50"/>
      <c r="C152" s="50"/>
      <c r="D152" s="50"/>
      <c r="E152" s="50"/>
      <c r="F152" s="50"/>
      <c r="G152" s="50"/>
      <c r="H152" s="50"/>
      <c r="I152" s="50"/>
      <c r="J152" s="50"/>
      <c r="K152" s="581"/>
      <c r="L152" s="581"/>
      <c r="M152" s="581"/>
      <c r="N152" s="50"/>
      <c r="O152" s="50"/>
      <c r="P152" s="50"/>
      <c r="Q152" s="147"/>
      <c r="R152" s="147"/>
      <c r="S152" s="147"/>
      <c r="T152" s="147"/>
      <c r="U152" s="147"/>
      <c r="V152" s="581"/>
      <c r="W152" s="581">
        <v>4.0000000000000001E-3</v>
      </c>
      <c r="X152" s="673">
        <v>0.9</v>
      </c>
      <c r="Y152" s="673">
        <v>0.9</v>
      </c>
      <c r="Z152" s="581"/>
      <c r="AA152" s="581"/>
      <c r="AB152" s="581"/>
      <c r="AC152" s="581"/>
      <c r="AD152" s="147"/>
      <c r="AE152" s="581"/>
      <c r="AF152" s="94"/>
      <c r="AG152" s="14"/>
      <c r="AH152" s="62"/>
      <c r="AI152" s="62"/>
      <c r="AJ152" s="14"/>
      <c r="AK152" s="62"/>
      <c r="AL152" s="14"/>
      <c r="AM152" s="14"/>
      <c r="AN152" s="14"/>
      <c r="AO152" s="14"/>
      <c r="AP152" s="14"/>
    </row>
    <row r="153" spans="1:42" x14ac:dyDescent="0.2">
      <c r="A153" s="50">
        <v>150</v>
      </c>
      <c r="B153" s="50"/>
      <c r="C153" s="50"/>
      <c r="D153" s="50"/>
      <c r="E153" s="50"/>
      <c r="F153" s="50"/>
      <c r="G153" s="50"/>
      <c r="H153" s="50"/>
      <c r="I153" s="50"/>
      <c r="J153" s="50"/>
      <c r="K153" s="581"/>
      <c r="L153" s="581"/>
      <c r="M153" s="581"/>
      <c r="N153" s="50"/>
      <c r="O153" s="50"/>
      <c r="P153" s="50"/>
      <c r="Q153" s="147"/>
      <c r="R153" s="147"/>
      <c r="S153" s="147"/>
      <c r="T153" s="147"/>
      <c r="U153" s="147"/>
      <c r="V153" s="581"/>
      <c r="W153" s="581">
        <v>0</v>
      </c>
      <c r="X153" s="673">
        <v>0.9</v>
      </c>
      <c r="Y153" s="673">
        <v>0.9</v>
      </c>
      <c r="Z153" s="581"/>
      <c r="AA153" s="581"/>
      <c r="AB153" s="581"/>
      <c r="AC153" s="581"/>
      <c r="AD153" s="147"/>
      <c r="AE153" s="581"/>
      <c r="AF153" s="94"/>
      <c r="AG153" s="14"/>
      <c r="AH153" s="62"/>
      <c r="AI153" s="62"/>
      <c r="AJ153" s="14"/>
      <c r="AK153" s="62"/>
      <c r="AL153" s="14"/>
      <c r="AM153" s="14"/>
      <c r="AN153" s="14"/>
      <c r="AO153" s="14"/>
      <c r="AP153" s="14"/>
    </row>
    <row r="154" spans="1:42" x14ac:dyDescent="0.2">
      <c r="K154" s="94"/>
      <c r="L154" s="94"/>
      <c r="M154" s="94"/>
      <c r="Q154" s="14"/>
      <c r="R154" s="14"/>
      <c r="S154" s="14"/>
      <c r="T154" s="14"/>
      <c r="U154" s="14"/>
      <c r="V154" s="94"/>
      <c r="W154" s="94"/>
      <c r="X154" s="94"/>
      <c r="Y154" s="94"/>
      <c r="Z154" s="94"/>
      <c r="AA154" s="94"/>
      <c r="AB154" s="94"/>
      <c r="AC154" s="94"/>
      <c r="AD154" s="14"/>
      <c r="AE154" s="94"/>
      <c r="AF154" s="94"/>
      <c r="AG154" s="14"/>
      <c r="AH154" s="62"/>
      <c r="AI154" s="62"/>
      <c r="AJ154" s="14"/>
      <c r="AK154" s="62"/>
      <c r="AL154" s="14"/>
      <c r="AM154" s="14"/>
      <c r="AN154" s="14"/>
      <c r="AO154" s="14"/>
      <c r="AP154" s="14"/>
    </row>
    <row r="155" spans="1:42" x14ac:dyDescent="0.2">
      <c r="K155" s="94"/>
      <c r="L155" s="94"/>
      <c r="M155" s="94"/>
      <c r="Q155" s="14"/>
      <c r="R155" s="14"/>
      <c r="S155" s="14"/>
      <c r="T155" s="14"/>
      <c r="U155" s="14"/>
      <c r="V155" s="94"/>
      <c r="W155" s="94"/>
      <c r="X155" s="94"/>
      <c r="Y155" s="94"/>
      <c r="Z155" s="94"/>
      <c r="AA155" s="94"/>
      <c r="AB155" s="94"/>
      <c r="AC155" s="94"/>
      <c r="AD155" s="14"/>
      <c r="AE155" s="94"/>
      <c r="AF155" s="94"/>
      <c r="AG155" s="14"/>
      <c r="AH155" s="62"/>
      <c r="AI155" s="62"/>
      <c r="AJ155" s="14"/>
      <c r="AK155" s="62"/>
      <c r="AL155" s="14"/>
      <c r="AM155" s="14"/>
      <c r="AN155" s="14"/>
      <c r="AO155" s="14"/>
      <c r="AP155" s="14"/>
    </row>
    <row r="156" spans="1:42" x14ac:dyDescent="0.2">
      <c r="K156" s="94"/>
      <c r="L156" s="94"/>
      <c r="M156" s="94"/>
      <c r="Q156" s="14"/>
      <c r="R156" s="14"/>
      <c r="S156" s="14"/>
      <c r="T156" s="14"/>
      <c r="U156" s="14"/>
      <c r="V156" s="94"/>
      <c r="W156" s="94"/>
      <c r="X156" s="94"/>
      <c r="Y156" s="94"/>
      <c r="Z156" s="94"/>
      <c r="AA156" s="94"/>
      <c r="AB156" s="94"/>
      <c r="AC156" s="94"/>
      <c r="AD156" s="14"/>
      <c r="AE156" s="94"/>
      <c r="AF156" s="94"/>
      <c r="AG156" s="14"/>
      <c r="AH156" s="62"/>
      <c r="AI156" s="62"/>
      <c r="AJ156" s="14"/>
      <c r="AK156" s="62"/>
      <c r="AL156" s="14"/>
      <c r="AM156" s="14"/>
      <c r="AN156" s="14"/>
      <c r="AO156" s="14"/>
      <c r="AP156" s="14"/>
    </row>
    <row r="157" spans="1:42" x14ac:dyDescent="0.2">
      <c r="K157" s="94"/>
      <c r="L157" s="94"/>
      <c r="M157" s="94"/>
      <c r="Q157" s="14"/>
      <c r="R157" s="14"/>
      <c r="S157" s="14"/>
      <c r="T157" s="14"/>
      <c r="U157" s="14"/>
      <c r="V157" s="94"/>
      <c r="W157" s="94"/>
      <c r="X157" s="94"/>
      <c r="Y157" s="94"/>
      <c r="Z157" s="94"/>
      <c r="AA157" s="94"/>
      <c r="AB157" s="94"/>
      <c r="AC157" s="94"/>
      <c r="AD157" s="14"/>
      <c r="AE157" s="94"/>
      <c r="AF157" s="94"/>
      <c r="AG157" s="14"/>
      <c r="AH157" s="62"/>
      <c r="AI157" s="62"/>
      <c r="AJ157" s="14"/>
      <c r="AK157" s="62"/>
      <c r="AL157" s="14"/>
      <c r="AM157" s="14"/>
      <c r="AN157" s="14"/>
      <c r="AO157" s="14"/>
      <c r="AP157" s="14"/>
    </row>
    <row r="158" spans="1:42" x14ac:dyDescent="0.2">
      <c r="K158" s="94"/>
      <c r="L158" s="94"/>
      <c r="M158" s="94"/>
      <c r="Q158" s="14"/>
      <c r="R158" s="14"/>
      <c r="S158" s="14"/>
      <c r="T158" s="14"/>
      <c r="U158" s="14"/>
      <c r="V158" s="94"/>
      <c r="W158" s="94"/>
      <c r="X158" s="94"/>
      <c r="Y158" s="94"/>
      <c r="Z158" s="94"/>
      <c r="AA158" s="94"/>
      <c r="AB158" s="94"/>
      <c r="AC158" s="94"/>
      <c r="AD158" s="14"/>
      <c r="AE158" s="94"/>
      <c r="AF158" s="94"/>
      <c r="AG158" s="14"/>
      <c r="AH158" s="62"/>
      <c r="AI158" s="62"/>
      <c r="AJ158" s="14"/>
      <c r="AK158" s="62"/>
      <c r="AL158" s="14"/>
      <c r="AM158" s="14"/>
      <c r="AN158" s="14"/>
      <c r="AO158" s="14"/>
      <c r="AP158" s="14"/>
    </row>
    <row r="159" spans="1:42" x14ac:dyDescent="0.2">
      <c r="K159" s="94"/>
      <c r="L159" s="94"/>
      <c r="M159" s="94"/>
      <c r="Q159" s="14"/>
      <c r="R159" s="14"/>
      <c r="S159" s="14"/>
      <c r="T159" s="14"/>
      <c r="U159" s="14"/>
      <c r="V159" s="94"/>
      <c r="W159" s="94"/>
      <c r="X159" s="94"/>
      <c r="Y159" s="94"/>
      <c r="Z159" s="94"/>
      <c r="AA159" s="94"/>
      <c r="AB159" s="94"/>
      <c r="AC159" s="94"/>
      <c r="AD159" s="14"/>
      <c r="AE159" s="94"/>
      <c r="AF159" s="94"/>
      <c r="AG159" s="14"/>
      <c r="AH159" s="62"/>
      <c r="AI159" s="62"/>
      <c r="AJ159" s="14"/>
      <c r="AK159" s="62"/>
      <c r="AL159" s="14"/>
      <c r="AM159" s="14"/>
      <c r="AN159" s="14"/>
      <c r="AO159" s="14"/>
      <c r="AP159" s="14"/>
    </row>
    <row r="160" spans="1:42" x14ac:dyDescent="0.2">
      <c r="K160" s="94"/>
      <c r="L160" s="94"/>
      <c r="M160" s="94"/>
      <c r="Q160" s="14"/>
      <c r="R160" s="14"/>
      <c r="S160" s="14"/>
      <c r="T160" s="14"/>
      <c r="U160" s="14"/>
      <c r="V160" s="94"/>
      <c r="W160" s="94"/>
      <c r="X160" s="94"/>
      <c r="Y160" s="94"/>
      <c r="Z160" s="94"/>
      <c r="AA160" s="94"/>
      <c r="AB160" s="94"/>
      <c r="AC160" s="94"/>
      <c r="AD160" s="14"/>
      <c r="AE160" s="94"/>
      <c r="AF160" s="94"/>
      <c r="AG160" s="14"/>
      <c r="AH160" s="62"/>
      <c r="AI160" s="62"/>
      <c r="AJ160" s="14"/>
      <c r="AK160" s="62"/>
      <c r="AL160" s="14"/>
      <c r="AM160" s="14"/>
      <c r="AN160" s="14"/>
      <c r="AO160" s="14"/>
      <c r="AP160" s="14"/>
    </row>
    <row r="161" spans="11:42" x14ac:dyDescent="0.2">
      <c r="K161" s="94"/>
      <c r="L161" s="94"/>
      <c r="M161" s="94"/>
      <c r="Q161" s="14"/>
      <c r="R161" s="14"/>
      <c r="S161" s="14"/>
      <c r="T161" s="14"/>
      <c r="U161" s="14"/>
      <c r="V161" s="94"/>
      <c r="W161" s="94"/>
      <c r="X161" s="94"/>
      <c r="Y161" s="94"/>
      <c r="Z161" s="94"/>
      <c r="AA161" s="94"/>
      <c r="AB161" s="94"/>
      <c r="AC161" s="94"/>
      <c r="AD161" s="14"/>
      <c r="AE161" s="94"/>
      <c r="AF161" s="94"/>
      <c r="AG161" s="14"/>
      <c r="AH161" s="62"/>
      <c r="AI161" s="62"/>
      <c r="AJ161" s="14"/>
      <c r="AK161" s="62"/>
      <c r="AL161" s="14"/>
      <c r="AM161" s="14"/>
      <c r="AN161" s="14"/>
      <c r="AO161" s="14"/>
      <c r="AP161" s="14"/>
    </row>
    <row r="162" spans="11:42" x14ac:dyDescent="0.2">
      <c r="K162" s="94"/>
      <c r="L162" s="94"/>
      <c r="M162" s="94"/>
      <c r="Q162" s="14"/>
      <c r="R162" s="14"/>
      <c r="S162" s="14"/>
      <c r="T162" s="14"/>
      <c r="U162" s="14"/>
      <c r="V162" s="94"/>
      <c r="W162" s="94"/>
      <c r="X162" s="94"/>
      <c r="Y162" s="94"/>
      <c r="Z162" s="94"/>
      <c r="AA162" s="94"/>
      <c r="AB162" s="94"/>
      <c r="AC162" s="94"/>
      <c r="AD162" s="14"/>
      <c r="AE162" s="94"/>
      <c r="AF162" s="94"/>
      <c r="AG162" s="14"/>
      <c r="AH162" s="62"/>
      <c r="AI162" s="62"/>
      <c r="AJ162" s="14"/>
      <c r="AK162" s="62"/>
      <c r="AL162" s="14"/>
      <c r="AM162" s="14"/>
      <c r="AN162" s="14"/>
      <c r="AO162" s="14"/>
      <c r="AP162" s="14"/>
    </row>
    <row r="163" spans="11:42" x14ac:dyDescent="0.2">
      <c r="K163" s="94"/>
      <c r="L163" s="94"/>
      <c r="M163" s="94"/>
      <c r="Q163" s="14"/>
      <c r="R163" s="14"/>
      <c r="S163" s="14"/>
      <c r="T163" s="14"/>
      <c r="U163" s="14"/>
      <c r="V163" s="94"/>
      <c r="W163" s="94"/>
      <c r="X163" s="94"/>
      <c r="Y163" s="94"/>
      <c r="Z163" s="94"/>
      <c r="AA163" s="94"/>
      <c r="AB163" s="94"/>
      <c r="AC163" s="94"/>
      <c r="AD163" s="14"/>
      <c r="AE163" s="94"/>
      <c r="AF163" s="94"/>
      <c r="AG163" s="14"/>
      <c r="AH163" s="62"/>
      <c r="AI163" s="62"/>
      <c r="AJ163" s="14"/>
      <c r="AK163" s="62"/>
      <c r="AL163" s="14"/>
      <c r="AM163" s="14"/>
      <c r="AN163" s="14"/>
      <c r="AO163" s="14"/>
      <c r="AP163" s="14"/>
    </row>
    <row r="164" spans="11:42" x14ac:dyDescent="0.2">
      <c r="K164" s="94"/>
      <c r="L164" s="94"/>
      <c r="M164" s="94"/>
      <c r="Q164" s="14"/>
      <c r="R164" s="14"/>
      <c r="S164" s="14"/>
      <c r="T164" s="14"/>
      <c r="U164" s="14"/>
      <c r="V164" s="94"/>
      <c r="W164" s="94"/>
      <c r="X164" s="94"/>
      <c r="Y164" s="94"/>
      <c r="Z164" s="94"/>
      <c r="AA164" s="94"/>
      <c r="AB164" s="94"/>
      <c r="AC164" s="94"/>
      <c r="AD164" s="14"/>
      <c r="AE164" s="94"/>
      <c r="AF164" s="94"/>
      <c r="AG164" s="14"/>
      <c r="AH164" s="62"/>
      <c r="AI164" s="62"/>
      <c r="AJ164" s="14"/>
      <c r="AK164" s="62"/>
      <c r="AL164" s="14"/>
      <c r="AM164" s="14"/>
      <c r="AN164" s="14"/>
      <c r="AO164" s="14"/>
      <c r="AP164" s="14"/>
    </row>
    <row r="165" spans="11:42" x14ac:dyDescent="0.2">
      <c r="K165" s="94"/>
      <c r="L165" s="94"/>
      <c r="M165" s="94"/>
      <c r="Q165" s="14"/>
      <c r="R165" s="14"/>
      <c r="S165" s="14"/>
      <c r="T165" s="14"/>
      <c r="U165" s="14"/>
      <c r="V165" s="94"/>
      <c r="W165" s="94"/>
      <c r="X165" s="94"/>
      <c r="Y165" s="94"/>
      <c r="Z165" s="94"/>
      <c r="AA165" s="94"/>
      <c r="AB165" s="94"/>
      <c r="AC165" s="94"/>
      <c r="AD165" s="14"/>
      <c r="AE165" s="94"/>
      <c r="AF165" s="94"/>
      <c r="AG165" s="14"/>
      <c r="AH165" s="62"/>
      <c r="AI165" s="62"/>
      <c r="AJ165" s="14"/>
      <c r="AK165" s="62"/>
      <c r="AL165" s="14"/>
      <c r="AM165" s="14"/>
      <c r="AN165" s="14"/>
      <c r="AO165" s="14"/>
      <c r="AP165" s="14"/>
    </row>
    <row r="166" spans="11:42" x14ac:dyDescent="0.2">
      <c r="K166" s="94"/>
      <c r="L166" s="94"/>
      <c r="M166" s="94"/>
      <c r="Q166" s="14"/>
      <c r="R166" s="14"/>
      <c r="S166" s="14"/>
      <c r="T166" s="14"/>
      <c r="U166" s="14"/>
      <c r="V166" s="94"/>
      <c r="W166" s="94"/>
      <c r="X166" s="94"/>
      <c r="Y166" s="94"/>
      <c r="Z166" s="94"/>
      <c r="AA166" s="94"/>
      <c r="AB166" s="94"/>
      <c r="AC166" s="94"/>
      <c r="AD166" s="14"/>
      <c r="AE166" s="94"/>
      <c r="AF166" s="94"/>
      <c r="AG166" s="14"/>
      <c r="AH166" s="62"/>
      <c r="AI166" s="62"/>
      <c r="AJ166" s="14"/>
      <c r="AK166" s="62"/>
      <c r="AL166" s="14"/>
      <c r="AM166" s="14"/>
      <c r="AN166" s="14"/>
      <c r="AO166" s="14"/>
      <c r="AP166" s="14"/>
    </row>
    <row r="167" spans="11:42" x14ac:dyDescent="0.2">
      <c r="K167" s="94"/>
      <c r="L167" s="94"/>
      <c r="M167" s="94"/>
      <c r="Q167" s="14"/>
      <c r="R167" s="14"/>
      <c r="S167" s="14"/>
      <c r="T167" s="14"/>
      <c r="U167" s="14"/>
      <c r="V167" s="94"/>
      <c r="W167" s="94"/>
      <c r="X167" s="94"/>
      <c r="Y167" s="94"/>
      <c r="Z167" s="94"/>
      <c r="AA167" s="94"/>
      <c r="AB167" s="94"/>
      <c r="AC167" s="94"/>
      <c r="AD167" s="14"/>
      <c r="AE167" s="94"/>
      <c r="AF167" s="94"/>
      <c r="AG167" s="14"/>
      <c r="AH167" s="62"/>
      <c r="AI167" s="62"/>
      <c r="AJ167" s="14"/>
      <c r="AK167" s="62"/>
      <c r="AL167" s="14"/>
      <c r="AM167" s="14"/>
      <c r="AN167" s="14"/>
      <c r="AO167" s="14"/>
      <c r="AP167" s="14"/>
    </row>
    <row r="168" spans="11:42" x14ac:dyDescent="0.2">
      <c r="K168" s="94"/>
      <c r="L168" s="94"/>
      <c r="M168" s="94"/>
      <c r="Q168" s="14"/>
      <c r="R168" s="14"/>
      <c r="S168" s="14"/>
      <c r="T168" s="14"/>
      <c r="U168" s="14"/>
      <c r="V168" s="94"/>
      <c r="W168" s="94"/>
      <c r="X168" s="94"/>
      <c r="Y168" s="94"/>
      <c r="Z168" s="94"/>
      <c r="AA168" s="94"/>
      <c r="AB168" s="94"/>
      <c r="AC168" s="94"/>
      <c r="AD168" s="14"/>
      <c r="AE168" s="94"/>
      <c r="AF168" s="94"/>
      <c r="AG168" s="14"/>
      <c r="AH168" s="62"/>
      <c r="AI168" s="62"/>
      <c r="AJ168" s="14"/>
      <c r="AK168" s="62"/>
      <c r="AL168" s="14"/>
      <c r="AM168" s="14"/>
      <c r="AN168" s="14"/>
      <c r="AO168" s="14"/>
      <c r="AP168" s="14"/>
    </row>
    <row r="169" spans="11:42" x14ac:dyDescent="0.2">
      <c r="K169" s="94"/>
      <c r="L169" s="94"/>
      <c r="M169" s="94"/>
      <c r="Q169" s="14"/>
      <c r="R169" s="14"/>
      <c r="S169" s="14"/>
      <c r="T169" s="14"/>
      <c r="U169" s="14"/>
      <c r="V169" s="94"/>
      <c r="W169" s="94"/>
      <c r="X169" s="94"/>
      <c r="Y169" s="94"/>
      <c r="Z169" s="94"/>
      <c r="AA169" s="94"/>
      <c r="AB169" s="94"/>
      <c r="AC169" s="94"/>
      <c r="AD169" s="14"/>
      <c r="AE169" s="94"/>
      <c r="AF169" s="94"/>
      <c r="AG169" s="14"/>
      <c r="AH169" s="62"/>
      <c r="AI169" s="62"/>
      <c r="AJ169" s="14"/>
      <c r="AK169" s="62"/>
      <c r="AL169" s="14"/>
      <c r="AM169" s="14"/>
      <c r="AN169" s="14"/>
      <c r="AO169" s="14"/>
      <c r="AP169" s="14"/>
    </row>
    <row r="170" spans="11:42" x14ac:dyDescent="0.2">
      <c r="K170" s="94"/>
      <c r="L170" s="94"/>
      <c r="M170" s="94"/>
      <c r="Q170" s="14"/>
      <c r="R170" s="14"/>
      <c r="S170" s="14"/>
      <c r="T170" s="14"/>
      <c r="U170" s="14"/>
      <c r="V170" s="94"/>
      <c r="W170" s="94"/>
      <c r="X170" s="94"/>
      <c r="Y170" s="94"/>
      <c r="Z170" s="94"/>
      <c r="AA170" s="94"/>
      <c r="AB170" s="94"/>
      <c r="AC170" s="94"/>
      <c r="AD170" s="14"/>
      <c r="AE170" s="94"/>
      <c r="AF170" s="94"/>
      <c r="AG170" s="14"/>
      <c r="AH170" s="62"/>
      <c r="AI170" s="62"/>
      <c r="AJ170" s="14"/>
      <c r="AK170" s="62"/>
      <c r="AL170" s="14"/>
      <c r="AM170" s="14"/>
      <c r="AN170" s="14"/>
      <c r="AO170" s="14"/>
      <c r="AP170" s="14"/>
    </row>
    <row r="171" spans="11:42" x14ac:dyDescent="0.2">
      <c r="K171" s="94"/>
      <c r="L171" s="94"/>
      <c r="M171" s="94"/>
      <c r="Q171" s="14"/>
      <c r="R171" s="14"/>
      <c r="S171" s="14"/>
      <c r="T171" s="14"/>
      <c r="U171" s="14"/>
      <c r="V171" s="94"/>
      <c r="W171" s="94"/>
      <c r="X171" s="94"/>
      <c r="Y171" s="94"/>
      <c r="Z171" s="94"/>
      <c r="AA171" s="94"/>
      <c r="AB171" s="94"/>
      <c r="AC171" s="94"/>
      <c r="AD171" s="14"/>
      <c r="AE171" s="94"/>
      <c r="AF171" s="94"/>
      <c r="AG171" s="14"/>
      <c r="AH171" s="62"/>
      <c r="AI171" s="62"/>
      <c r="AJ171" s="14"/>
      <c r="AK171" s="62"/>
      <c r="AL171" s="14"/>
      <c r="AM171" s="14"/>
      <c r="AN171" s="14"/>
      <c r="AO171" s="14"/>
      <c r="AP171" s="14"/>
    </row>
    <row r="172" spans="11:42" x14ac:dyDescent="0.2">
      <c r="K172" s="94"/>
      <c r="L172" s="94"/>
      <c r="M172" s="94"/>
      <c r="Q172" s="14"/>
      <c r="R172" s="14"/>
      <c r="S172" s="14"/>
      <c r="T172" s="14"/>
      <c r="U172" s="14"/>
      <c r="V172" s="94"/>
      <c r="W172" s="94"/>
      <c r="X172" s="94"/>
      <c r="Y172" s="94"/>
      <c r="Z172" s="94"/>
      <c r="AA172" s="94"/>
      <c r="AB172" s="94"/>
      <c r="AC172" s="94"/>
      <c r="AD172" s="14"/>
      <c r="AE172" s="94"/>
      <c r="AF172" s="94"/>
      <c r="AG172" s="14"/>
      <c r="AH172" s="62"/>
      <c r="AI172" s="62"/>
      <c r="AJ172" s="14"/>
      <c r="AK172" s="62"/>
      <c r="AL172" s="14"/>
      <c r="AM172" s="14"/>
      <c r="AN172" s="14"/>
      <c r="AO172" s="14"/>
      <c r="AP172" s="14"/>
    </row>
    <row r="173" spans="11:42" x14ac:dyDescent="0.2">
      <c r="K173" s="94"/>
      <c r="L173" s="94"/>
      <c r="M173" s="94"/>
      <c r="Q173" s="14"/>
      <c r="R173" s="14"/>
      <c r="S173" s="14"/>
      <c r="T173" s="14"/>
      <c r="U173" s="14"/>
      <c r="V173" s="94"/>
      <c r="W173" s="94"/>
      <c r="X173" s="94"/>
      <c r="Y173" s="94"/>
      <c r="Z173" s="94"/>
      <c r="AA173" s="94"/>
      <c r="AB173" s="94"/>
      <c r="AC173" s="94"/>
      <c r="AD173" s="14"/>
      <c r="AE173" s="94"/>
      <c r="AF173" s="94"/>
      <c r="AG173" s="14"/>
      <c r="AH173" s="62"/>
      <c r="AI173" s="62"/>
      <c r="AJ173" s="14"/>
      <c r="AK173" s="62"/>
      <c r="AL173" s="14"/>
      <c r="AM173" s="14"/>
      <c r="AN173" s="14"/>
      <c r="AO173" s="14"/>
      <c r="AP173" s="14"/>
    </row>
    <row r="174" spans="11:42" x14ac:dyDescent="0.2">
      <c r="K174" s="94"/>
      <c r="L174" s="94"/>
      <c r="M174" s="94"/>
      <c r="Q174" s="14"/>
      <c r="R174" s="14"/>
      <c r="S174" s="14"/>
      <c r="T174" s="14"/>
      <c r="U174" s="14"/>
      <c r="V174" s="94"/>
      <c r="W174" s="94"/>
      <c r="X174" s="94"/>
      <c r="Y174" s="94"/>
      <c r="Z174" s="94"/>
      <c r="AA174" s="94"/>
      <c r="AB174" s="94"/>
      <c r="AC174" s="94"/>
      <c r="AD174" s="14"/>
      <c r="AE174" s="94"/>
      <c r="AF174" s="94"/>
      <c r="AG174" s="14"/>
      <c r="AH174" s="62"/>
      <c r="AI174" s="62"/>
      <c r="AJ174" s="14"/>
      <c r="AK174" s="62"/>
      <c r="AL174" s="14"/>
      <c r="AM174" s="14"/>
      <c r="AN174" s="14"/>
      <c r="AO174" s="14"/>
      <c r="AP174" s="14"/>
    </row>
    <row r="175" spans="11:42" x14ac:dyDescent="0.2">
      <c r="K175" s="94"/>
      <c r="L175" s="94"/>
      <c r="M175" s="94"/>
      <c r="Q175" s="14"/>
      <c r="R175" s="14"/>
      <c r="S175" s="14"/>
      <c r="T175" s="14"/>
      <c r="U175" s="14"/>
      <c r="V175" s="94"/>
      <c r="W175" s="94"/>
      <c r="X175" s="94"/>
      <c r="Y175" s="94"/>
      <c r="Z175" s="94"/>
      <c r="AA175" s="94"/>
      <c r="AB175" s="94"/>
      <c r="AC175" s="94"/>
      <c r="AD175" s="14"/>
      <c r="AE175" s="94"/>
      <c r="AF175" s="94"/>
      <c r="AG175" s="14"/>
      <c r="AH175" s="62"/>
      <c r="AI175" s="62"/>
      <c r="AJ175" s="14"/>
      <c r="AK175" s="62"/>
      <c r="AL175" s="14"/>
      <c r="AM175" s="14"/>
      <c r="AN175" s="14"/>
      <c r="AO175" s="14"/>
      <c r="AP175" s="14"/>
    </row>
    <row r="176" spans="11:42" x14ac:dyDescent="0.2">
      <c r="K176" s="94"/>
      <c r="L176" s="94"/>
      <c r="M176" s="94"/>
      <c r="Q176" s="14"/>
      <c r="R176" s="14"/>
      <c r="S176" s="14"/>
      <c r="T176" s="14"/>
      <c r="U176" s="14"/>
      <c r="V176" s="94"/>
      <c r="W176" s="94"/>
      <c r="X176" s="94"/>
      <c r="Y176" s="94"/>
      <c r="Z176" s="94"/>
      <c r="AA176" s="94"/>
      <c r="AB176" s="94"/>
      <c r="AC176" s="94"/>
      <c r="AD176" s="14"/>
      <c r="AE176" s="94"/>
      <c r="AF176" s="94"/>
      <c r="AG176" s="14"/>
      <c r="AH176" s="62"/>
      <c r="AI176" s="62"/>
      <c r="AJ176" s="14"/>
      <c r="AK176" s="62"/>
      <c r="AL176" s="14"/>
      <c r="AM176" s="14"/>
      <c r="AN176" s="14"/>
      <c r="AO176" s="14"/>
      <c r="AP176" s="14"/>
    </row>
    <row r="177" spans="11:42" x14ac:dyDescent="0.2">
      <c r="K177" s="94"/>
      <c r="L177" s="94"/>
      <c r="M177" s="94"/>
      <c r="Q177" s="14"/>
      <c r="R177" s="14"/>
      <c r="S177" s="14"/>
      <c r="T177" s="14"/>
      <c r="U177" s="14"/>
      <c r="V177" s="94"/>
      <c r="W177" s="94"/>
      <c r="X177" s="94"/>
      <c r="Y177" s="94"/>
      <c r="Z177" s="94"/>
      <c r="AA177" s="94"/>
      <c r="AB177" s="94"/>
      <c r="AC177" s="94"/>
      <c r="AD177" s="14"/>
      <c r="AE177" s="94"/>
      <c r="AF177" s="94"/>
      <c r="AG177" s="14"/>
      <c r="AH177" s="62"/>
      <c r="AI177" s="62"/>
      <c r="AJ177" s="14"/>
      <c r="AK177" s="62"/>
      <c r="AL177" s="14"/>
      <c r="AM177" s="14"/>
      <c r="AN177" s="14"/>
      <c r="AO177" s="14"/>
      <c r="AP177" s="14"/>
    </row>
    <row r="178" spans="11:42" x14ac:dyDescent="0.2">
      <c r="K178" s="94"/>
      <c r="L178" s="94"/>
      <c r="M178" s="94"/>
      <c r="Q178" s="14"/>
      <c r="R178" s="14"/>
      <c r="S178" s="14"/>
      <c r="T178" s="14"/>
      <c r="U178" s="14"/>
      <c r="V178" s="94"/>
      <c r="W178" s="94"/>
      <c r="X178" s="94"/>
      <c r="Y178" s="94"/>
      <c r="Z178" s="94"/>
      <c r="AA178" s="94"/>
      <c r="AB178" s="94"/>
      <c r="AC178" s="94"/>
      <c r="AD178" s="14"/>
      <c r="AE178" s="94"/>
      <c r="AF178" s="94"/>
      <c r="AG178" s="14"/>
      <c r="AH178" s="62"/>
      <c r="AI178" s="62"/>
      <c r="AJ178" s="14"/>
      <c r="AK178" s="62"/>
      <c r="AL178" s="14"/>
      <c r="AM178" s="14"/>
      <c r="AN178" s="14"/>
      <c r="AO178" s="14"/>
      <c r="AP178" s="14"/>
    </row>
    <row r="179" spans="11:42" x14ac:dyDescent="0.2">
      <c r="K179" s="94"/>
      <c r="L179" s="94"/>
      <c r="M179" s="94"/>
      <c r="Q179" s="14"/>
      <c r="R179" s="14"/>
      <c r="S179" s="14"/>
      <c r="T179" s="14"/>
      <c r="U179" s="14"/>
      <c r="V179" s="94"/>
      <c r="W179" s="94"/>
      <c r="X179" s="94"/>
      <c r="Y179" s="94"/>
      <c r="Z179" s="94"/>
      <c r="AA179" s="94"/>
      <c r="AB179" s="94"/>
      <c r="AC179" s="94"/>
      <c r="AD179" s="14"/>
      <c r="AE179" s="94"/>
      <c r="AF179" s="94"/>
      <c r="AG179" s="14"/>
      <c r="AH179" s="62"/>
      <c r="AI179" s="62"/>
      <c r="AJ179" s="14"/>
      <c r="AK179" s="62"/>
      <c r="AL179" s="14"/>
      <c r="AM179" s="14"/>
      <c r="AN179" s="14"/>
      <c r="AO179" s="14"/>
      <c r="AP179" s="14"/>
    </row>
    <row r="180" spans="11:42" x14ac:dyDescent="0.2">
      <c r="K180" s="94"/>
      <c r="L180" s="94"/>
      <c r="M180" s="94"/>
      <c r="Q180" s="14"/>
      <c r="R180" s="14"/>
      <c r="S180" s="14"/>
      <c r="T180" s="14"/>
      <c r="U180" s="14"/>
      <c r="V180" s="94"/>
      <c r="W180" s="94"/>
      <c r="X180" s="94"/>
      <c r="Y180" s="94"/>
      <c r="Z180" s="94"/>
      <c r="AA180" s="94"/>
      <c r="AB180" s="94"/>
      <c r="AC180" s="94"/>
      <c r="AD180" s="14"/>
      <c r="AE180" s="94"/>
      <c r="AF180" s="94"/>
      <c r="AG180" s="14"/>
      <c r="AH180" s="62"/>
      <c r="AI180" s="62"/>
      <c r="AJ180" s="14"/>
      <c r="AK180" s="62"/>
      <c r="AL180" s="14"/>
      <c r="AM180" s="14"/>
      <c r="AN180" s="14"/>
      <c r="AO180" s="14"/>
      <c r="AP180" s="14"/>
    </row>
    <row r="181" spans="11:42" x14ac:dyDescent="0.2">
      <c r="K181" s="94"/>
      <c r="L181" s="94"/>
      <c r="M181" s="94"/>
      <c r="Q181" s="14"/>
      <c r="R181" s="14"/>
      <c r="S181" s="14"/>
      <c r="T181" s="14"/>
      <c r="U181" s="14"/>
      <c r="V181" s="94"/>
      <c r="W181" s="94"/>
      <c r="X181" s="94"/>
      <c r="Y181" s="94"/>
      <c r="Z181" s="94"/>
      <c r="AA181" s="94"/>
      <c r="AB181" s="94"/>
      <c r="AC181" s="94"/>
      <c r="AD181" s="14"/>
      <c r="AE181" s="94"/>
      <c r="AF181" s="94"/>
      <c r="AG181" s="14"/>
      <c r="AH181" s="62"/>
      <c r="AI181" s="62"/>
      <c r="AJ181" s="14"/>
      <c r="AK181" s="62"/>
      <c r="AL181" s="14"/>
      <c r="AM181" s="14"/>
      <c r="AN181" s="14"/>
      <c r="AO181" s="14"/>
      <c r="AP181" s="14"/>
    </row>
    <row r="182" spans="11:42" x14ac:dyDescent="0.2">
      <c r="K182" s="94"/>
      <c r="L182" s="94"/>
      <c r="M182" s="94"/>
      <c r="Q182" s="14"/>
      <c r="R182" s="14"/>
      <c r="S182" s="14"/>
      <c r="T182" s="14"/>
      <c r="U182" s="14"/>
      <c r="V182" s="94"/>
      <c r="W182" s="94"/>
      <c r="X182" s="94"/>
      <c r="Y182" s="94"/>
      <c r="Z182" s="94"/>
      <c r="AA182" s="94"/>
      <c r="AB182" s="94"/>
      <c r="AC182" s="94"/>
      <c r="AD182" s="14"/>
      <c r="AE182" s="94"/>
      <c r="AF182" s="94"/>
      <c r="AG182" s="14"/>
      <c r="AH182" s="62"/>
      <c r="AI182" s="62"/>
      <c r="AJ182" s="14"/>
      <c r="AK182" s="62"/>
      <c r="AL182" s="14"/>
      <c r="AM182" s="14"/>
      <c r="AN182" s="14"/>
      <c r="AO182" s="14"/>
      <c r="AP182" s="14"/>
    </row>
    <row r="183" spans="11:42" x14ac:dyDescent="0.2">
      <c r="K183" s="94"/>
      <c r="L183" s="94"/>
      <c r="M183" s="94"/>
      <c r="Q183" s="14"/>
      <c r="R183" s="14"/>
      <c r="S183" s="14"/>
      <c r="T183" s="14"/>
      <c r="U183" s="14"/>
      <c r="V183" s="94"/>
      <c r="W183" s="94"/>
      <c r="X183" s="94"/>
      <c r="Y183" s="94"/>
      <c r="Z183" s="94"/>
      <c r="AA183" s="94"/>
      <c r="AB183" s="94"/>
      <c r="AC183" s="94"/>
      <c r="AD183" s="14"/>
      <c r="AE183" s="94"/>
      <c r="AF183" s="94"/>
      <c r="AG183" s="14"/>
      <c r="AH183" s="62"/>
      <c r="AI183" s="62"/>
      <c r="AJ183" s="14"/>
      <c r="AK183" s="62"/>
      <c r="AL183" s="14"/>
      <c r="AM183" s="14"/>
      <c r="AN183" s="14"/>
      <c r="AO183" s="14"/>
      <c r="AP183" s="14"/>
    </row>
    <row r="184" spans="11:42" x14ac:dyDescent="0.2">
      <c r="K184" s="94"/>
      <c r="L184" s="94"/>
      <c r="M184" s="94"/>
      <c r="Q184" s="14"/>
      <c r="R184" s="14"/>
      <c r="S184" s="14"/>
      <c r="T184" s="14"/>
      <c r="U184" s="14"/>
      <c r="V184" s="94"/>
      <c r="W184" s="94"/>
      <c r="X184" s="94"/>
      <c r="Y184" s="94"/>
      <c r="Z184" s="94"/>
      <c r="AA184" s="94"/>
      <c r="AB184" s="94"/>
      <c r="AC184" s="94"/>
      <c r="AD184" s="14"/>
      <c r="AE184" s="94"/>
      <c r="AF184" s="94"/>
      <c r="AG184" s="14"/>
      <c r="AH184" s="62"/>
      <c r="AI184" s="62"/>
      <c r="AJ184" s="14"/>
      <c r="AK184" s="62"/>
      <c r="AL184" s="14"/>
      <c r="AM184" s="14"/>
      <c r="AN184" s="14"/>
      <c r="AO184" s="14"/>
      <c r="AP184" s="14"/>
    </row>
    <row r="185" spans="11:42" x14ac:dyDescent="0.2">
      <c r="K185" s="94"/>
      <c r="L185" s="94"/>
      <c r="M185" s="94"/>
      <c r="Q185" s="14"/>
      <c r="R185" s="14"/>
      <c r="S185" s="14"/>
      <c r="T185" s="14"/>
      <c r="U185" s="14"/>
      <c r="V185" s="94"/>
      <c r="W185" s="94"/>
      <c r="X185" s="94"/>
      <c r="Y185" s="94"/>
      <c r="Z185" s="94"/>
      <c r="AA185" s="94"/>
      <c r="AB185" s="94"/>
      <c r="AC185" s="94"/>
      <c r="AD185" s="14"/>
      <c r="AE185" s="94"/>
      <c r="AF185" s="94"/>
      <c r="AG185" s="14"/>
      <c r="AH185" s="62"/>
      <c r="AI185" s="62"/>
      <c r="AJ185" s="14"/>
      <c r="AK185" s="62"/>
      <c r="AL185" s="14"/>
      <c r="AM185" s="14"/>
      <c r="AN185" s="14"/>
      <c r="AO185" s="14"/>
      <c r="AP185" s="14"/>
    </row>
    <row r="186" spans="11:42" x14ac:dyDescent="0.2">
      <c r="K186" s="94"/>
      <c r="L186" s="94"/>
      <c r="M186" s="94"/>
      <c r="Q186" s="14"/>
      <c r="R186" s="14"/>
      <c r="S186" s="14"/>
      <c r="T186" s="14"/>
      <c r="U186" s="14"/>
      <c r="V186" s="94"/>
      <c r="W186" s="94"/>
      <c r="X186" s="94"/>
      <c r="Y186" s="94"/>
      <c r="Z186" s="94"/>
      <c r="AA186" s="94"/>
      <c r="AB186" s="94"/>
      <c r="AC186" s="94"/>
      <c r="AD186" s="14"/>
      <c r="AE186" s="94"/>
      <c r="AF186" s="94"/>
      <c r="AG186" s="14"/>
      <c r="AH186" s="62"/>
      <c r="AI186" s="62"/>
      <c r="AJ186" s="14"/>
      <c r="AK186" s="62"/>
      <c r="AL186" s="14"/>
      <c r="AM186" s="14"/>
      <c r="AN186" s="14"/>
      <c r="AO186" s="14"/>
      <c r="AP186" s="14"/>
    </row>
    <row r="187" spans="11:42" x14ac:dyDescent="0.2">
      <c r="K187" s="94"/>
      <c r="L187" s="94"/>
      <c r="M187" s="94"/>
      <c r="Q187" s="14"/>
      <c r="R187" s="14"/>
      <c r="S187" s="14"/>
      <c r="T187" s="14"/>
      <c r="U187" s="14"/>
      <c r="V187" s="94"/>
      <c r="W187" s="94"/>
      <c r="X187" s="94"/>
      <c r="Y187" s="94"/>
      <c r="Z187" s="94"/>
      <c r="AA187" s="94"/>
      <c r="AB187" s="94"/>
      <c r="AC187" s="94"/>
      <c r="AD187" s="14"/>
      <c r="AE187" s="94"/>
      <c r="AF187" s="94"/>
      <c r="AG187" s="14"/>
      <c r="AH187" s="62"/>
      <c r="AI187" s="62"/>
      <c r="AJ187" s="14"/>
      <c r="AK187" s="62"/>
      <c r="AL187" s="14"/>
      <c r="AM187" s="14"/>
      <c r="AN187" s="14"/>
      <c r="AO187" s="14"/>
      <c r="AP187" s="14"/>
    </row>
    <row r="188" spans="11:42" x14ac:dyDescent="0.2">
      <c r="K188" s="94"/>
      <c r="L188" s="94"/>
      <c r="M188" s="94"/>
      <c r="Q188" s="14"/>
      <c r="R188" s="14"/>
      <c r="S188" s="14"/>
      <c r="T188" s="14"/>
      <c r="U188" s="14"/>
      <c r="V188" s="94"/>
      <c r="W188" s="94"/>
      <c r="X188" s="94"/>
      <c r="Y188" s="94"/>
      <c r="Z188" s="94"/>
      <c r="AA188" s="94"/>
      <c r="AB188" s="94"/>
      <c r="AC188" s="94"/>
      <c r="AD188" s="14"/>
      <c r="AE188" s="94"/>
      <c r="AF188" s="94"/>
      <c r="AG188" s="14"/>
      <c r="AH188" s="62"/>
      <c r="AI188" s="62"/>
      <c r="AJ188" s="14"/>
      <c r="AK188" s="62"/>
      <c r="AL188" s="14"/>
      <c r="AM188" s="14"/>
      <c r="AN188" s="14"/>
      <c r="AO188" s="14"/>
      <c r="AP188" s="14"/>
    </row>
    <row r="189" spans="11:42" x14ac:dyDescent="0.2">
      <c r="K189" s="94"/>
      <c r="L189" s="94"/>
      <c r="M189" s="94"/>
      <c r="Q189" s="14"/>
      <c r="R189" s="14"/>
      <c r="S189" s="14"/>
      <c r="T189" s="14"/>
      <c r="U189" s="14"/>
      <c r="V189" s="94"/>
      <c r="W189" s="94"/>
      <c r="X189" s="94"/>
      <c r="Y189" s="94"/>
      <c r="Z189" s="94"/>
      <c r="AA189" s="94"/>
      <c r="AB189" s="94"/>
      <c r="AC189" s="94"/>
      <c r="AD189" s="14"/>
      <c r="AE189" s="94"/>
      <c r="AF189" s="94"/>
      <c r="AG189" s="14"/>
      <c r="AH189" s="62"/>
      <c r="AI189" s="62"/>
      <c r="AJ189" s="14"/>
      <c r="AK189" s="62"/>
      <c r="AL189" s="14"/>
      <c r="AM189" s="14"/>
      <c r="AN189" s="14"/>
      <c r="AO189" s="14"/>
      <c r="AP189" s="14"/>
    </row>
    <row r="190" spans="11:42" x14ac:dyDescent="0.2">
      <c r="K190" s="94"/>
      <c r="L190" s="94"/>
      <c r="M190" s="94"/>
      <c r="Q190" s="14"/>
      <c r="R190" s="14"/>
      <c r="S190" s="14"/>
      <c r="T190" s="14"/>
      <c r="U190" s="14"/>
      <c r="V190" s="94"/>
      <c r="W190" s="94"/>
      <c r="X190" s="94"/>
      <c r="Y190" s="94"/>
      <c r="Z190" s="94"/>
      <c r="AA190" s="94"/>
      <c r="AB190" s="94"/>
      <c r="AC190" s="94"/>
      <c r="AD190" s="14"/>
      <c r="AE190" s="94"/>
      <c r="AF190" s="94"/>
      <c r="AG190" s="14"/>
      <c r="AH190" s="62"/>
      <c r="AI190" s="62"/>
      <c r="AJ190" s="14"/>
      <c r="AK190" s="62"/>
      <c r="AL190" s="14"/>
      <c r="AM190" s="14"/>
      <c r="AN190" s="14"/>
      <c r="AO190" s="14"/>
      <c r="AP190" s="14"/>
    </row>
    <row r="191" spans="11:42" x14ac:dyDescent="0.2">
      <c r="K191" s="94"/>
      <c r="L191" s="94"/>
      <c r="M191" s="94"/>
      <c r="Q191" s="14"/>
      <c r="R191" s="14"/>
      <c r="S191" s="14"/>
      <c r="T191" s="14"/>
      <c r="U191" s="14"/>
      <c r="V191" s="94"/>
      <c r="W191" s="94"/>
      <c r="X191" s="94"/>
      <c r="Y191" s="94"/>
      <c r="Z191" s="94"/>
      <c r="AA191" s="94"/>
      <c r="AB191" s="94"/>
      <c r="AC191" s="94"/>
      <c r="AD191" s="14"/>
      <c r="AE191" s="94"/>
      <c r="AF191" s="94"/>
      <c r="AG191" s="14"/>
      <c r="AH191" s="62"/>
      <c r="AI191" s="62"/>
      <c r="AJ191" s="14"/>
      <c r="AK191" s="62"/>
      <c r="AL191" s="14"/>
      <c r="AM191" s="14"/>
      <c r="AN191" s="14"/>
      <c r="AO191" s="14"/>
      <c r="AP191" s="14"/>
    </row>
    <row r="192" spans="11:42" x14ac:dyDescent="0.2">
      <c r="K192" s="94"/>
      <c r="L192" s="94"/>
      <c r="M192" s="94"/>
      <c r="Q192" s="14"/>
      <c r="R192" s="14"/>
      <c r="S192" s="14"/>
      <c r="T192" s="14"/>
      <c r="U192" s="14"/>
      <c r="V192" s="94"/>
      <c r="W192" s="94"/>
      <c r="X192" s="94"/>
      <c r="Y192" s="94"/>
      <c r="Z192" s="94"/>
      <c r="AA192" s="94"/>
      <c r="AB192" s="94"/>
      <c r="AC192" s="94"/>
      <c r="AD192" s="14"/>
      <c r="AE192" s="94"/>
      <c r="AF192" s="94"/>
      <c r="AG192" s="14"/>
      <c r="AH192" s="62"/>
      <c r="AI192" s="62"/>
      <c r="AJ192" s="14"/>
      <c r="AK192" s="62"/>
      <c r="AL192" s="14"/>
      <c r="AM192" s="14"/>
      <c r="AN192" s="14"/>
      <c r="AO192" s="14"/>
      <c r="AP192" s="14"/>
    </row>
    <row r="193" spans="11:42" x14ac:dyDescent="0.2">
      <c r="K193" s="94"/>
      <c r="L193" s="94"/>
      <c r="M193" s="94"/>
      <c r="Q193" s="14"/>
      <c r="R193" s="14"/>
      <c r="S193" s="14"/>
      <c r="T193" s="14"/>
      <c r="U193" s="14"/>
      <c r="V193" s="94"/>
      <c r="W193" s="94"/>
      <c r="X193" s="94"/>
      <c r="Y193" s="94"/>
      <c r="Z193" s="94"/>
      <c r="AA193" s="94"/>
      <c r="AB193" s="94"/>
      <c r="AC193" s="94"/>
      <c r="AD193" s="14"/>
      <c r="AE193" s="94"/>
      <c r="AF193" s="94"/>
      <c r="AG193" s="14"/>
      <c r="AH193" s="62"/>
      <c r="AI193" s="62"/>
      <c r="AJ193" s="14"/>
      <c r="AK193" s="62"/>
      <c r="AL193" s="14"/>
      <c r="AM193" s="14"/>
      <c r="AN193" s="14"/>
      <c r="AO193" s="14"/>
      <c r="AP193" s="14"/>
    </row>
    <row r="194" spans="11:42" x14ac:dyDescent="0.2">
      <c r="K194" s="94"/>
      <c r="L194" s="94"/>
      <c r="M194" s="94"/>
      <c r="Q194" s="14"/>
      <c r="R194" s="14"/>
      <c r="S194" s="14"/>
      <c r="T194" s="14"/>
      <c r="U194" s="14"/>
      <c r="V194" s="94"/>
      <c r="W194" s="94"/>
      <c r="X194" s="94"/>
      <c r="Y194" s="94"/>
      <c r="Z194" s="94"/>
      <c r="AA194" s="94"/>
      <c r="AB194" s="94"/>
      <c r="AC194" s="94"/>
      <c r="AD194" s="14"/>
      <c r="AE194" s="94"/>
      <c r="AF194" s="94"/>
      <c r="AG194" s="14"/>
      <c r="AH194" s="62"/>
      <c r="AI194" s="62"/>
      <c r="AJ194" s="14"/>
      <c r="AK194" s="62"/>
      <c r="AL194" s="14"/>
      <c r="AM194" s="14"/>
      <c r="AN194" s="14"/>
      <c r="AO194" s="14"/>
      <c r="AP194" s="14"/>
    </row>
    <row r="195" spans="11:42" x14ac:dyDescent="0.2">
      <c r="K195" s="94"/>
      <c r="L195" s="94"/>
      <c r="M195" s="94"/>
      <c r="Q195" s="14"/>
      <c r="R195" s="14"/>
      <c r="S195" s="14"/>
      <c r="T195" s="14"/>
      <c r="U195" s="14"/>
      <c r="V195" s="94"/>
      <c r="W195" s="94"/>
      <c r="X195" s="94"/>
      <c r="Y195" s="94"/>
      <c r="Z195" s="94"/>
      <c r="AA195" s="94"/>
      <c r="AB195" s="94"/>
      <c r="AC195" s="94"/>
      <c r="AD195" s="14"/>
      <c r="AE195" s="94"/>
      <c r="AF195" s="94"/>
      <c r="AG195" s="14"/>
      <c r="AH195" s="62"/>
      <c r="AI195" s="62"/>
      <c r="AJ195" s="14"/>
      <c r="AK195" s="62"/>
      <c r="AL195" s="14"/>
      <c r="AM195" s="14"/>
      <c r="AN195" s="14"/>
      <c r="AO195" s="14"/>
      <c r="AP195" s="14"/>
    </row>
    <row r="196" spans="11:42" x14ac:dyDescent="0.2">
      <c r="K196" s="94"/>
      <c r="L196" s="94"/>
      <c r="M196" s="94"/>
      <c r="Q196" s="14"/>
      <c r="R196" s="14"/>
      <c r="S196" s="14"/>
      <c r="T196" s="14"/>
      <c r="U196" s="14"/>
      <c r="V196" s="94"/>
      <c r="W196" s="94"/>
      <c r="X196" s="94"/>
      <c r="Y196" s="94"/>
      <c r="Z196" s="94"/>
      <c r="AA196" s="94"/>
      <c r="AB196" s="94"/>
      <c r="AC196" s="94"/>
      <c r="AD196" s="14"/>
      <c r="AE196" s="94"/>
      <c r="AF196" s="94"/>
      <c r="AG196" s="14"/>
      <c r="AH196" s="62"/>
      <c r="AI196" s="62"/>
      <c r="AJ196" s="14"/>
      <c r="AK196" s="62"/>
      <c r="AL196" s="14"/>
      <c r="AM196" s="14"/>
      <c r="AN196" s="14"/>
      <c r="AO196" s="14"/>
      <c r="AP196" s="14"/>
    </row>
    <row r="197" spans="11:42" x14ac:dyDescent="0.2">
      <c r="K197" s="94"/>
      <c r="L197" s="94"/>
      <c r="M197" s="94"/>
      <c r="Q197" s="14"/>
      <c r="R197" s="14"/>
      <c r="S197" s="14"/>
      <c r="T197" s="14"/>
      <c r="U197" s="14"/>
      <c r="V197" s="94"/>
      <c r="W197" s="94"/>
      <c r="X197" s="94"/>
      <c r="Y197" s="94"/>
      <c r="Z197" s="94"/>
      <c r="AA197" s="94"/>
      <c r="AB197" s="94"/>
      <c r="AC197" s="94"/>
      <c r="AD197" s="14"/>
      <c r="AE197" s="94"/>
      <c r="AF197" s="94"/>
      <c r="AG197" s="14"/>
      <c r="AH197" s="62"/>
      <c r="AI197" s="62"/>
      <c r="AJ197" s="14"/>
      <c r="AK197" s="62"/>
      <c r="AL197" s="14"/>
      <c r="AM197" s="14"/>
      <c r="AN197" s="14"/>
      <c r="AO197" s="14"/>
      <c r="AP197" s="14"/>
    </row>
    <row r="198" spans="11:42" x14ac:dyDescent="0.2">
      <c r="K198" s="94"/>
      <c r="L198" s="94"/>
      <c r="M198" s="94"/>
      <c r="Q198" s="14"/>
      <c r="R198" s="14"/>
      <c r="S198" s="14"/>
      <c r="T198" s="14"/>
      <c r="U198" s="14"/>
      <c r="V198" s="94"/>
      <c r="W198" s="94"/>
      <c r="X198" s="94"/>
      <c r="Y198" s="94"/>
      <c r="Z198" s="94"/>
      <c r="AA198" s="94"/>
      <c r="AB198" s="94"/>
      <c r="AC198" s="94"/>
      <c r="AD198" s="14"/>
      <c r="AE198" s="94"/>
      <c r="AF198" s="94"/>
      <c r="AG198" s="14"/>
      <c r="AH198" s="62"/>
      <c r="AI198" s="62"/>
      <c r="AJ198" s="14"/>
      <c r="AK198" s="62"/>
      <c r="AL198" s="14"/>
      <c r="AM198" s="14"/>
      <c r="AN198" s="14"/>
      <c r="AO198" s="14"/>
      <c r="AP198" s="14"/>
    </row>
    <row r="199" spans="11:42" x14ac:dyDescent="0.2">
      <c r="K199" s="94"/>
      <c r="L199" s="94"/>
      <c r="M199" s="94"/>
      <c r="Q199" s="14"/>
      <c r="R199" s="14"/>
      <c r="S199" s="14"/>
      <c r="T199" s="14"/>
      <c r="U199" s="14"/>
      <c r="V199" s="94"/>
      <c r="W199" s="94"/>
      <c r="X199" s="94"/>
      <c r="Y199" s="94"/>
      <c r="Z199" s="94"/>
      <c r="AA199" s="94"/>
      <c r="AB199" s="94"/>
      <c r="AC199" s="94"/>
      <c r="AD199" s="14"/>
      <c r="AE199" s="94"/>
      <c r="AF199" s="94"/>
      <c r="AG199" s="14"/>
      <c r="AH199" s="62"/>
      <c r="AI199" s="62"/>
      <c r="AJ199" s="14"/>
      <c r="AK199" s="62"/>
      <c r="AL199" s="14"/>
      <c r="AM199" s="14"/>
      <c r="AN199" s="14"/>
      <c r="AO199" s="14"/>
      <c r="AP199" s="14"/>
    </row>
    <row r="200" spans="11:42" x14ac:dyDescent="0.2">
      <c r="K200" s="94"/>
      <c r="L200" s="94"/>
      <c r="M200" s="94"/>
      <c r="Q200" s="14"/>
      <c r="R200" s="14"/>
      <c r="S200" s="14"/>
      <c r="T200" s="14"/>
      <c r="U200" s="14"/>
      <c r="V200" s="94"/>
      <c r="W200" s="94"/>
      <c r="X200" s="94"/>
      <c r="Y200" s="94"/>
      <c r="Z200" s="94"/>
      <c r="AA200" s="94"/>
      <c r="AB200" s="94"/>
      <c r="AC200" s="94"/>
      <c r="AD200" s="14"/>
      <c r="AE200" s="94"/>
      <c r="AF200" s="94"/>
      <c r="AG200" s="14"/>
      <c r="AH200" s="62"/>
      <c r="AI200" s="62"/>
      <c r="AJ200" s="14"/>
      <c r="AK200" s="62"/>
      <c r="AL200" s="14"/>
      <c r="AM200" s="14"/>
      <c r="AN200" s="14"/>
      <c r="AO200" s="14"/>
      <c r="AP200" s="14"/>
    </row>
    <row r="201" spans="11:42" x14ac:dyDescent="0.2">
      <c r="K201" s="94"/>
      <c r="L201" s="94"/>
      <c r="M201" s="94"/>
      <c r="Q201" s="14"/>
      <c r="R201" s="14"/>
      <c r="S201" s="14"/>
      <c r="T201" s="14"/>
      <c r="U201" s="14"/>
      <c r="V201" s="94"/>
      <c r="W201" s="94"/>
      <c r="X201" s="94"/>
      <c r="Y201" s="94"/>
      <c r="Z201" s="94"/>
      <c r="AA201" s="94"/>
      <c r="AB201" s="94"/>
      <c r="AC201" s="94"/>
      <c r="AD201" s="14"/>
      <c r="AE201" s="94"/>
      <c r="AF201" s="94"/>
      <c r="AG201" s="14"/>
      <c r="AH201" s="62"/>
      <c r="AI201" s="62"/>
      <c r="AJ201" s="14"/>
      <c r="AK201" s="62"/>
      <c r="AL201" s="14"/>
      <c r="AM201" s="14"/>
      <c r="AN201" s="14"/>
      <c r="AO201" s="14"/>
      <c r="AP201" s="14"/>
    </row>
    <row r="202" spans="11:42" x14ac:dyDescent="0.2">
      <c r="K202" s="94"/>
      <c r="L202" s="94"/>
      <c r="M202" s="94"/>
      <c r="Q202" s="14"/>
      <c r="R202" s="14"/>
      <c r="S202" s="14"/>
      <c r="T202" s="14"/>
      <c r="U202" s="14"/>
      <c r="V202" s="94"/>
      <c r="W202" s="94"/>
      <c r="X202" s="94"/>
      <c r="Y202" s="94"/>
      <c r="Z202" s="94"/>
      <c r="AA202" s="94"/>
      <c r="AB202" s="94"/>
      <c r="AC202" s="94"/>
      <c r="AD202" s="14"/>
      <c r="AE202" s="94"/>
      <c r="AF202" s="94"/>
      <c r="AG202" s="14"/>
      <c r="AH202" s="62"/>
      <c r="AI202" s="62"/>
      <c r="AJ202" s="14"/>
      <c r="AK202" s="62"/>
      <c r="AL202" s="14"/>
      <c r="AM202" s="14"/>
      <c r="AN202" s="14"/>
      <c r="AO202" s="14"/>
      <c r="AP202" s="14"/>
    </row>
    <row r="203" spans="11:42" x14ac:dyDescent="0.2">
      <c r="K203" s="94"/>
      <c r="L203" s="94"/>
      <c r="M203" s="94"/>
      <c r="Q203" s="14"/>
      <c r="R203" s="14"/>
      <c r="S203" s="14"/>
      <c r="T203" s="14"/>
      <c r="U203" s="14"/>
      <c r="V203" s="94"/>
      <c r="W203" s="94"/>
      <c r="X203" s="94"/>
      <c r="Y203" s="94"/>
      <c r="Z203" s="94"/>
      <c r="AA203" s="94"/>
      <c r="AB203" s="94"/>
      <c r="AC203" s="94"/>
      <c r="AD203" s="14"/>
      <c r="AE203" s="94"/>
      <c r="AF203" s="94"/>
      <c r="AG203" s="14"/>
      <c r="AH203" s="62"/>
      <c r="AI203" s="62"/>
      <c r="AJ203" s="14"/>
      <c r="AK203" s="62"/>
      <c r="AL203" s="14"/>
      <c r="AM203" s="14"/>
      <c r="AN203" s="14"/>
      <c r="AO203" s="14"/>
      <c r="AP203" s="14"/>
    </row>
    <row r="204" spans="11:42" x14ac:dyDescent="0.2">
      <c r="K204" s="94"/>
      <c r="L204" s="94"/>
      <c r="M204" s="94"/>
      <c r="Q204" s="14"/>
      <c r="R204" s="14"/>
      <c r="S204" s="14"/>
      <c r="T204" s="14"/>
      <c r="U204" s="14"/>
      <c r="V204" s="94"/>
      <c r="W204" s="94"/>
      <c r="X204" s="94"/>
      <c r="Y204" s="94"/>
      <c r="Z204" s="94"/>
      <c r="AA204" s="94"/>
      <c r="AB204" s="94"/>
      <c r="AC204" s="94"/>
      <c r="AD204" s="14"/>
      <c r="AE204" s="94"/>
      <c r="AF204" s="94"/>
      <c r="AG204" s="14"/>
      <c r="AH204" s="62"/>
      <c r="AI204" s="62"/>
      <c r="AJ204" s="14"/>
      <c r="AK204" s="62"/>
      <c r="AL204" s="14"/>
      <c r="AM204" s="14"/>
      <c r="AN204" s="14"/>
      <c r="AO204" s="14"/>
      <c r="AP204" s="14"/>
    </row>
    <row r="205" spans="11:42" x14ac:dyDescent="0.2">
      <c r="K205" s="94"/>
      <c r="L205" s="94"/>
      <c r="M205" s="94"/>
      <c r="Q205" s="14"/>
      <c r="R205" s="14"/>
      <c r="S205" s="14"/>
      <c r="T205" s="14"/>
      <c r="U205" s="14"/>
      <c r="V205" s="94"/>
      <c r="W205" s="94"/>
      <c r="X205" s="94"/>
      <c r="Y205" s="94"/>
      <c r="Z205" s="94"/>
      <c r="AA205" s="94"/>
      <c r="AB205" s="94"/>
      <c r="AC205" s="94"/>
      <c r="AD205" s="14"/>
      <c r="AE205" s="94"/>
      <c r="AF205" s="94"/>
      <c r="AG205" s="14"/>
      <c r="AH205" s="62"/>
      <c r="AI205" s="62"/>
      <c r="AJ205" s="14"/>
      <c r="AK205" s="62"/>
      <c r="AL205" s="14"/>
      <c r="AM205" s="14"/>
      <c r="AN205" s="14"/>
      <c r="AO205" s="14"/>
      <c r="AP205" s="14"/>
    </row>
    <row r="206" spans="11:42" x14ac:dyDescent="0.2">
      <c r="K206" s="94"/>
      <c r="L206" s="94"/>
      <c r="M206" s="94"/>
      <c r="Q206" s="14"/>
      <c r="R206" s="14"/>
      <c r="S206" s="14"/>
      <c r="T206" s="14"/>
      <c r="U206" s="14"/>
      <c r="V206" s="94"/>
      <c r="W206" s="94"/>
      <c r="X206" s="94"/>
      <c r="Y206" s="94"/>
      <c r="Z206" s="94"/>
      <c r="AA206" s="94"/>
      <c r="AB206" s="94"/>
      <c r="AC206" s="94"/>
      <c r="AD206" s="14"/>
      <c r="AE206" s="94"/>
      <c r="AF206" s="94"/>
      <c r="AG206" s="14"/>
      <c r="AH206" s="62"/>
      <c r="AI206" s="62"/>
      <c r="AJ206" s="14"/>
      <c r="AK206" s="62"/>
      <c r="AL206" s="14"/>
      <c r="AM206" s="14"/>
      <c r="AN206" s="14"/>
      <c r="AO206" s="14"/>
      <c r="AP206" s="14"/>
    </row>
    <row r="207" spans="11:42" x14ac:dyDescent="0.2">
      <c r="K207" s="94"/>
      <c r="L207" s="94"/>
      <c r="M207" s="94"/>
      <c r="Q207" s="14"/>
      <c r="R207" s="14"/>
      <c r="S207" s="14"/>
      <c r="T207" s="14"/>
      <c r="U207" s="14"/>
      <c r="V207" s="94"/>
      <c r="W207" s="94"/>
      <c r="X207" s="94"/>
      <c r="Y207" s="94"/>
      <c r="Z207" s="94"/>
      <c r="AA207" s="94"/>
      <c r="AB207" s="94"/>
      <c r="AC207" s="94"/>
      <c r="AD207" s="14"/>
      <c r="AE207" s="94"/>
      <c r="AF207" s="94"/>
      <c r="AG207" s="14"/>
      <c r="AH207" s="62"/>
      <c r="AI207" s="62"/>
      <c r="AJ207" s="14"/>
      <c r="AK207" s="62"/>
      <c r="AL207" s="14"/>
      <c r="AM207" s="14"/>
      <c r="AN207" s="14"/>
      <c r="AO207" s="14"/>
      <c r="AP207" s="14"/>
    </row>
    <row r="208" spans="11:42" x14ac:dyDescent="0.2">
      <c r="K208" s="94"/>
      <c r="L208" s="94"/>
      <c r="M208" s="94"/>
      <c r="Q208" s="14"/>
      <c r="R208" s="14"/>
      <c r="S208" s="14"/>
      <c r="T208" s="14"/>
      <c r="U208" s="14"/>
      <c r="V208" s="94"/>
      <c r="W208" s="94"/>
      <c r="X208" s="94"/>
      <c r="Y208" s="94"/>
      <c r="Z208" s="94"/>
      <c r="AA208" s="94"/>
      <c r="AB208" s="94"/>
      <c r="AC208" s="94"/>
      <c r="AD208" s="14"/>
      <c r="AE208" s="94"/>
      <c r="AF208" s="94"/>
      <c r="AG208" s="14"/>
      <c r="AH208" s="62"/>
      <c r="AI208" s="62"/>
      <c r="AJ208" s="14"/>
      <c r="AK208" s="62"/>
      <c r="AL208" s="14"/>
      <c r="AM208" s="14"/>
      <c r="AN208" s="14"/>
      <c r="AO208" s="14"/>
      <c r="AP208" s="14"/>
    </row>
    <row r="209" spans="11:42" x14ac:dyDescent="0.2">
      <c r="K209" s="94"/>
      <c r="L209" s="94"/>
      <c r="M209" s="94"/>
      <c r="Q209" s="14"/>
      <c r="R209" s="14"/>
      <c r="S209" s="14"/>
      <c r="T209" s="14"/>
      <c r="U209" s="14"/>
      <c r="V209" s="94"/>
      <c r="W209" s="94"/>
      <c r="X209" s="94"/>
      <c r="Y209" s="94"/>
      <c r="Z209" s="94"/>
      <c r="AA209" s="94"/>
      <c r="AB209" s="94"/>
      <c r="AC209" s="94"/>
      <c r="AD209" s="14"/>
      <c r="AE209" s="94"/>
      <c r="AF209" s="94"/>
      <c r="AG209" s="14"/>
      <c r="AH209" s="62"/>
      <c r="AI209" s="62"/>
      <c r="AJ209" s="14"/>
      <c r="AK209" s="62"/>
      <c r="AL209" s="14"/>
      <c r="AM209" s="14"/>
      <c r="AN209" s="14"/>
      <c r="AO209" s="14"/>
      <c r="AP209" s="14"/>
    </row>
    <row r="210" spans="11:42" x14ac:dyDescent="0.2">
      <c r="K210" s="94"/>
      <c r="L210" s="94"/>
      <c r="M210" s="94"/>
      <c r="Q210" s="14"/>
      <c r="R210" s="14"/>
      <c r="S210" s="14"/>
      <c r="T210" s="14"/>
      <c r="U210" s="14"/>
      <c r="V210" s="94"/>
      <c r="W210" s="94"/>
      <c r="X210" s="94"/>
      <c r="Y210" s="94"/>
      <c r="Z210" s="94"/>
      <c r="AA210" s="94"/>
      <c r="AB210" s="94"/>
      <c r="AC210" s="94"/>
      <c r="AD210" s="14"/>
      <c r="AE210" s="94"/>
      <c r="AF210" s="94"/>
      <c r="AG210" s="14"/>
      <c r="AH210" s="62"/>
      <c r="AI210" s="62"/>
      <c r="AJ210" s="14"/>
      <c r="AK210" s="62"/>
      <c r="AL210" s="14"/>
      <c r="AM210" s="14"/>
      <c r="AN210" s="14"/>
      <c r="AO210" s="14"/>
      <c r="AP210" s="14"/>
    </row>
    <row r="211" spans="11:42" x14ac:dyDescent="0.2">
      <c r="K211" s="94"/>
      <c r="L211" s="94"/>
      <c r="M211" s="94"/>
      <c r="Q211" s="14"/>
      <c r="R211" s="14"/>
      <c r="S211" s="14"/>
      <c r="T211" s="14"/>
      <c r="U211" s="14"/>
      <c r="V211" s="94"/>
      <c r="W211" s="94"/>
      <c r="X211" s="94"/>
      <c r="Y211" s="94"/>
      <c r="Z211" s="94"/>
      <c r="AA211" s="94"/>
      <c r="AB211" s="94"/>
      <c r="AC211" s="94"/>
      <c r="AD211" s="14"/>
      <c r="AE211" s="94"/>
      <c r="AF211" s="94"/>
      <c r="AG211" s="14"/>
      <c r="AH211" s="62"/>
      <c r="AI211" s="62"/>
      <c r="AJ211" s="14"/>
      <c r="AK211" s="62"/>
      <c r="AL211" s="14"/>
      <c r="AM211" s="14"/>
      <c r="AN211" s="14"/>
      <c r="AO211" s="14"/>
      <c r="AP211" s="14"/>
    </row>
    <row r="212" spans="11:42" x14ac:dyDescent="0.2">
      <c r="K212" s="94"/>
      <c r="L212" s="94"/>
      <c r="M212" s="94"/>
      <c r="Q212" s="14"/>
      <c r="R212" s="14"/>
      <c r="S212" s="14"/>
      <c r="T212" s="14"/>
      <c r="U212" s="14"/>
      <c r="V212" s="94"/>
      <c r="W212" s="94"/>
      <c r="X212" s="94"/>
      <c r="Y212" s="94"/>
      <c r="Z212" s="94"/>
      <c r="AA212" s="94"/>
      <c r="AB212" s="94"/>
      <c r="AC212" s="94"/>
      <c r="AD212" s="14"/>
      <c r="AE212" s="94"/>
      <c r="AF212" s="94"/>
      <c r="AG212" s="14"/>
      <c r="AH212" s="62"/>
      <c r="AI212" s="62"/>
      <c r="AJ212" s="14"/>
      <c r="AK212" s="62"/>
      <c r="AL212" s="14"/>
      <c r="AM212" s="14"/>
      <c r="AN212" s="14"/>
      <c r="AO212" s="14"/>
      <c r="AP212" s="14"/>
    </row>
    <row r="213" spans="11:42" x14ac:dyDescent="0.2">
      <c r="K213" s="94"/>
      <c r="L213" s="94"/>
      <c r="M213" s="94"/>
      <c r="Q213" s="14"/>
      <c r="R213" s="14"/>
      <c r="S213" s="14"/>
      <c r="T213" s="14"/>
      <c r="U213" s="14"/>
      <c r="V213" s="94"/>
      <c r="W213" s="94"/>
      <c r="X213" s="94"/>
      <c r="Y213" s="94"/>
      <c r="Z213" s="94"/>
      <c r="AA213" s="94"/>
      <c r="AB213" s="94"/>
      <c r="AC213" s="94"/>
      <c r="AD213" s="14"/>
      <c r="AE213" s="94"/>
      <c r="AF213" s="94"/>
      <c r="AG213" s="14"/>
      <c r="AH213" s="62"/>
      <c r="AI213" s="62"/>
      <c r="AJ213" s="14"/>
      <c r="AK213" s="62"/>
      <c r="AL213" s="14"/>
      <c r="AM213" s="14"/>
      <c r="AN213" s="14"/>
      <c r="AO213" s="14"/>
      <c r="AP213" s="14"/>
    </row>
    <row r="214" spans="11:42" x14ac:dyDescent="0.2">
      <c r="K214" s="94"/>
      <c r="L214" s="94"/>
      <c r="M214" s="94"/>
      <c r="Q214" s="14"/>
      <c r="R214" s="14"/>
      <c r="S214" s="14"/>
      <c r="T214" s="14"/>
      <c r="U214" s="14"/>
      <c r="V214" s="94"/>
      <c r="W214" s="94"/>
      <c r="X214" s="94"/>
      <c r="Y214" s="94"/>
      <c r="Z214" s="94"/>
      <c r="AA214" s="94"/>
      <c r="AB214" s="94"/>
      <c r="AC214" s="94"/>
      <c r="AD214" s="14"/>
      <c r="AE214" s="94"/>
      <c r="AF214" s="94"/>
      <c r="AG214" s="14"/>
      <c r="AH214" s="62"/>
      <c r="AI214" s="62"/>
      <c r="AJ214" s="14"/>
      <c r="AK214" s="62"/>
      <c r="AL214" s="14"/>
      <c r="AM214" s="14"/>
      <c r="AN214" s="14"/>
      <c r="AO214" s="14"/>
      <c r="AP214" s="14"/>
    </row>
    <row r="215" spans="11:42" x14ac:dyDescent="0.2">
      <c r="K215" s="94"/>
      <c r="L215" s="94"/>
      <c r="M215" s="94"/>
      <c r="Q215" s="14"/>
      <c r="R215" s="14"/>
      <c r="S215" s="14"/>
      <c r="T215" s="14"/>
      <c r="U215" s="14"/>
      <c r="V215" s="94"/>
      <c r="W215" s="94"/>
      <c r="X215" s="94"/>
      <c r="Y215" s="94"/>
      <c r="Z215" s="94"/>
      <c r="AA215" s="94"/>
      <c r="AB215" s="94"/>
      <c r="AC215" s="94"/>
      <c r="AD215" s="14"/>
      <c r="AE215" s="94"/>
      <c r="AF215" s="94"/>
      <c r="AG215" s="14"/>
      <c r="AH215" s="62"/>
      <c r="AI215" s="62"/>
      <c r="AJ215" s="14"/>
      <c r="AK215" s="62"/>
      <c r="AL215" s="14"/>
      <c r="AM215" s="14"/>
      <c r="AN215" s="14"/>
      <c r="AO215" s="14"/>
      <c r="AP215" s="14"/>
    </row>
    <row r="216" spans="11:42" x14ac:dyDescent="0.2">
      <c r="K216" s="94"/>
      <c r="L216" s="94"/>
      <c r="M216" s="94"/>
      <c r="Q216" s="14"/>
      <c r="R216" s="14"/>
      <c r="S216" s="14"/>
      <c r="T216" s="14"/>
      <c r="U216" s="14"/>
      <c r="V216" s="94"/>
      <c r="W216" s="94"/>
      <c r="X216" s="94"/>
      <c r="Y216" s="94"/>
      <c r="Z216" s="94"/>
      <c r="AA216" s="94"/>
      <c r="AB216" s="94"/>
      <c r="AC216" s="94"/>
      <c r="AD216" s="14"/>
      <c r="AE216" s="94"/>
      <c r="AF216" s="94"/>
      <c r="AG216" s="14"/>
      <c r="AH216" s="62"/>
      <c r="AI216" s="62"/>
      <c r="AJ216" s="14"/>
      <c r="AK216" s="62"/>
      <c r="AL216" s="14"/>
      <c r="AM216" s="14"/>
      <c r="AN216" s="14"/>
      <c r="AO216" s="14"/>
      <c r="AP216" s="14"/>
    </row>
    <row r="217" spans="11:42" x14ac:dyDescent="0.2">
      <c r="K217" s="94"/>
      <c r="L217" s="94"/>
      <c r="M217" s="94"/>
      <c r="Q217" s="14"/>
      <c r="R217" s="14"/>
      <c r="S217" s="14"/>
      <c r="T217" s="14"/>
      <c r="U217" s="14"/>
      <c r="V217" s="94"/>
      <c r="W217" s="94"/>
      <c r="X217" s="94"/>
      <c r="Y217" s="94"/>
      <c r="Z217" s="94"/>
      <c r="AA217" s="94"/>
      <c r="AB217" s="94"/>
      <c r="AC217" s="94"/>
      <c r="AD217" s="14"/>
      <c r="AE217" s="94"/>
      <c r="AF217" s="94"/>
      <c r="AG217" s="14"/>
      <c r="AH217" s="62"/>
      <c r="AI217" s="62"/>
      <c r="AJ217" s="14"/>
      <c r="AK217" s="62"/>
      <c r="AL217" s="14"/>
      <c r="AM217" s="14"/>
      <c r="AN217" s="14"/>
      <c r="AO217" s="14"/>
      <c r="AP217" s="14"/>
    </row>
    <row r="218" spans="11:42" x14ac:dyDescent="0.2">
      <c r="K218" s="94"/>
      <c r="L218" s="94"/>
      <c r="M218" s="94"/>
      <c r="Q218" s="14"/>
      <c r="R218" s="14"/>
      <c r="S218" s="14"/>
      <c r="T218" s="14"/>
      <c r="U218" s="14"/>
      <c r="V218" s="94"/>
      <c r="W218" s="94"/>
      <c r="X218" s="94"/>
      <c r="Y218" s="94"/>
      <c r="Z218" s="94"/>
      <c r="AA218" s="94"/>
      <c r="AB218" s="94"/>
      <c r="AC218" s="94"/>
      <c r="AD218" s="14"/>
      <c r="AE218" s="94"/>
      <c r="AF218" s="94"/>
      <c r="AG218" s="14"/>
      <c r="AH218" s="62"/>
      <c r="AI218" s="62"/>
      <c r="AJ218" s="14"/>
      <c r="AK218" s="62"/>
      <c r="AL218" s="14"/>
      <c r="AM218" s="14"/>
      <c r="AN218" s="14"/>
      <c r="AO218" s="14"/>
      <c r="AP218" s="14"/>
    </row>
    <row r="219" spans="11:42" x14ac:dyDescent="0.2">
      <c r="K219" s="94"/>
      <c r="L219" s="94"/>
      <c r="M219" s="94"/>
      <c r="Q219" s="14"/>
      <c r="R219" s="14"/>
      <c r="S219" s="14"/>
      <c r="T219" s="14"/>
      <c r="U219" s="14"/>
      <c r="V219" s="94"/>
      <c r="W219" s="94"/>
      <c r="X219" s="94"/>
      <c r="Y219" s="94"/>
      <c r="Z219" s="94"/>
      <c r="AA219" s="94"/>
      <c r="AB219" s="94"/>
      <c r="AC219" s="94"/>
      <c r="AD219" s="14"/>
      <c r="AE219" s="94"/>
      <c r="AF219" s="94"/>
      <c r="AG219" s="14"/>
      <c r="AH219" s="62"/>
      <c r="AI219" s="62"/>
      <c r="AJ219" s="14"/>
      <c r="AK219" s="62"/>
      <c r="AL219" s="14"/>
      <c r="AM219" s="14"/>
      <c r="AN219" s="14"/>
      <c r="AO219" s="14"/>
      <c r="AP219" s="14"/>
    </row>
    <row r="220" spans="11:42" x14ac:dyDescent="0.2">
      <c r="K220" s="94"/>
      <c r="L220" s="94"/>
      <c r="M220" s="94"/>
      <c r="Q220" s="14"/>
      <c r="R220" s="14"/>
      <c r="S220" s="14"/>
      <c r="T220" s="14"/>
      <c r="U220" s="14"/>
      <c r="V220" s="94"/>
      <c r="W220" s="94"/>
      <c r="X220" s="94"/>
      <c r="Y220" s="94"/>
      <c r="Z220" s="94"/>
      <c r="AA220" s="94"/>
      <c r="AB220" s="94"/>
      <c r="AC220" s="94"/>
      <c r="AD220" s="14"/>
      <c r="AE220" s="94"/>
      <c r="AF220" s="94"/>
      <c r="AG220" s="14"/>
      <c r="AH220" s="62"/>
      <c r="AI220" s="62"/>
      <c r="AJ220" s="14"/>
      <c r="AK220" s="62"/>
      <c r="AL220" s="14"/>
      <c r="AM220" s="14"/>
      <c r="AN220" s="14"/>
      <c r="AO220" s="14"/>
      <c r="AP220" s="14"/>
    </row>
    <row r="221" spans="11:42" x14ac:dyDescent="0.2">
      <c r="K221" s="94"/>
      <c r="L221" s="94"/>
      <c r="M221" s="94"/>
      <c r="Q221" s="14"/>
      <c r="R221" s="14"/>
      <c r="S221" s="14"/>
      <c r="T221" s="14"/>
      <c r="U221" s="14"/>
      <c r="V221" s="94"/>
      <c r="W221" s="94"/>
      <c r="X221" s="94"/>
      <c r="Y221" s="94"/>
      <c r="Z221" s="94"/>
      <c r="AA221" s="94"/>
      <c r="AB221" s="94"/>
      <c r="AC221" s="94"/>
      <c r="AD221" s="14"/>
      <c r="AE221" s="94"/>
      <c r="AF221" s="94"/>
      <c r="AG221" s="14"/>
      <c r="AH221" s="62"/>
      <c r="AI221" s="62"/>
      <c r="AJ221" s="14"/>
      <c r="AK221" s="62"/>
      <c r="AL221" s="14"/>
      <c r="AM221" s="14"/>
      <c r="AN221" s="14"/>
      <c r="AO221" s="14"/>
      <c r="AP221" s="14"/>
    </row>
    <row r="222" spans="11:42" x14ac:dyDescent="0.2">
      <c r="K222" s="94"/>
      <c r="L222" s="94"/>
      <c r="M222" s="94"/>
      <c r="Q222" s="14"/>
      <c r="R222" s="14"/>
      <c r="S222" s="14"/>
      <c r="T222" s="14"/>
      <c r="U222" s="14"/>
      <c r="V222" s="94"/>
      <c r="W222" s="94"/>
      <c r="X222" s="94"/>
      <c r="Y222" s="94"/>
      <c r="Z222" s="94"/>
      <c r="AA222" s="94"/>
      <c r="AB222" s="94"/>
      <c r="AC222" s="94"/>
      <c r="AD222" s="14"/>
      <c r="AE222" s="94"/>
      <c r="AF222" s="94"/>
      <c r="AG222" s="14"/>
      <c r="AH222" s="62"/>
      <c r="AI222" s="62"/>
      <c r="AJ222" s="14"/>
      <c r="AK222" s="62"/>
      <c r="AL222" s="14"/>
      <c r="AM222" s="14"/>
      <c r="AN222" s="14"/>
      <c r="AO222" s="14"/>
      <c r="AP222" s="14"/>
    </row>
    <row r="223" spans="11:42" x14ac:dyDescent="0.2">
      <c r="K223" s="94"/>
      <c r="L223" s="94"/>
      <c r="M223" s="94"/>
      <c r="Q223" s="14"/>
      <c r="R223" s="14"/>
      <c r="S223" s="14"/>
      <c r="T223" s="14"/>
      <c r="U223" s="14"/>
      <c r="V223" s="94"/>
      <c r="W223" s="94"/>
      <c r="X223" s="94"/>
      <c r="Y223" s="94"/>
      <c r="Z223" s="94"/>
      <c r="AA223" s="94"/>
      <c r="AB223" s="94"/>
      <c r="AC223" s="94"/>
      <c r="AD223" s="14"/>
      <c r="AE223" s="94"/>
      <c r="AF223" s="94"/>
      <c r="AG223" s="14"/>
      <c r="AH223" s="62"/>
      <c r="AI223" s="62"/>
      <c r="AJ223" s="14"/>
      <c r="AK223" s="62"/>
      <c r="AL223" s="14"/>
      <c r="AM223" s="14"/>
      <c r="AN223" s="14"/>
      <c r="AO223" s="14"/>
      <c r="AP223" s="14"/>
    </row>
    <row r="224" spans="11:42" x14ac:dyDescent="0.2">
      <c r="K224" s="94"/>
      <c r="L224" s="94"/>
      <c r="M224" s="94"/>
      <c r="Q224" s="14"/>
      <c r="R224" s="14"/>
      <c r="S224" s="14"/>
      <c r="T224" s="14"/>
      <c r="U224" s="14"/>
      <c r="V224" s="94"/>
      <c r="W224" s="94"/>
      <c r="X224" s="94"/>
      <c r="Y224" s="94"/>
      <c r="Z224" s="94"/>
      <c r="AA224" s="94"/>
      <c r="AB224" s="94"/>
      <c r="AC224" s="94"/>
      <c r="AD224" s="14"/>
      <c r="AE224" s="94"/>
      <c r="AF224" s="94"/>
      <c r="AG224" s="14"/>
      <c r="AH224" s="62"/>
      <c r="AI224" s="62"/>
      <c r="AJ224" s="14"/>
      <c r="AK224" s="62"/>
      <c r="AL224" s="14"/>
      <c r="AM224" s="14"/>
      <c r="AN224" s="14"/>
      <c r="AO224" s="14"/>
      <c r="AP224" s="14"/>
    </row>
    <row r="225" spans="11:42" x14ac:dyDescent="0.2">
      <c r="K225" s="94"/>
      <c r="L225" s="94"/>
      <c r="M225" s="94"/>
      <c r="Q225" s="14"/>
      <c r="R225" s="14"/>
      <c r="S225" s="14"/>
      <c r="T225" s="14"/>
      <c r="U225" s="14"/>
      <c r="V225" s="94"/>
      <c r="W225" s="94"/>
      <c r="X225" s="94"/>
      <c r="Y225" s="94"/>
      <c r="Z225" s="94"/>
      <c r="AA225" s="94"/>
      <c r="AB225" s="94"/>
      <c r="AC225" s="94"/>
      <c r="AD225" s="14"/>
      <c r="AE225" s="94"/>
      <c r="AF225" s="94"/>
      <c r="AG225" s="14"/>
      <c r="AH225" s="62"/>
      <c r="AI225" s="62"/>
      <c r="AJ225" s="14"/>
      <c r="AK225" s="62"/>
      <c r="AL225" s="14"/>
      <c r="AM225" s="14"/>
      <c r="AN225" s="14"/>
      <c r="AO225" s="14"/>
      <c r="AP225" s="14"/>
    </row>
    <row r="226" spans="11:42" x14ac:dyDescent="0.2">
      <c r="K226" s="94"/>
      <c r="L226" s="94"/>
      <c r="M226" s="94"/>
      <c r="Q226" s="14"/>
      <c r="R226" s="14"/>
      <c r="S226" s="14"/>
      <c r="T226" s="14"/>
      <c r="U226" s="14"/>
      <c r="V226" s="94"/>
      <c r="W226" s="94"/>
      <c r="X226" s="94"/>
      <c r="Y226" s="94"/>
      <c r="Z226" s="94"/>
      <c r="AA226" s="94"/>
      <c r="AB226" s="94"/>
      <c r="AC226" s="94"/>
      <c r="AD226" s="14"/>
      <c r="AE226" s="94"/>
      <c r="AF226" s="94"/>
      <c r="AG226" s="14"/>
      <c r="AH226" s="62"/>
      <c r="AI226" s="62"/>
      <c r="AJ226" s="14"/>
      <c r="AK226" s="62"/>
      <c r="AL226" s="14"/>
      <c r="AM226" s="14"/>
      <c r="AN226" s="14"/>
      <c r="AO226" s="14"/>
      <c r="AP226" s="14"/>
    </row>
    <row r="227" spans="11:42" x14ac:dyDescent="0.2">
      <c r="K227" s="94"/>
      <c r="L227" s="94"/>
      <c r="M227" s="94"/>
      <c r="Q227" s="14"/>
      <c r="R227" s="14"/>
      <c r="S227" s="14"/>
      <c r="T227" s="14"/>
      <c r="U227" s="14"/>
      <c r="V227" s="94"/>
      <c r="W227" s="94"/>
      <c r="X227" s="94"/>
      <c r="Y227" s="94"/>
      <c r="Z227" s="94"/>
      <c r="AA227" s="94"/>
      <c r="AB227" s="94"/>
      <c r="AC227" s="94"/>
      <c r="AD227" s="14"/>
      <c r="AE227" s="94"/>
      <c r="AF227" s="94"/>
      <c r="AG227" s="14"/>
      <c r="AH227" s="62"/>
      <c r="AI227" s="62"/>
      <c r="AJ227" s="14"/>
      <c r="AK227" s="62"/>
      <c r="AL227" s="14"/>
      <c r="AM227" s="14"/>
      <c r="AN227" s="14"/>
      <c r="AO227" s="14"/>
      <c r="AP227" s="14"/>
    </row>
    <row r="228" spans="11:42" x14ac:dyDescent="0.2">
      <c r="K228" s="94"/>
      <c r="L228" s="94"/>
      <c r="M228" s="94"/>
      <c r="Q228" s="14"/>
      <c r="R228" s="14"/>
      <c r="S228" s="14"/>
      <c r="T228" s="14"/>
      <c r="U228" s="14"/>
      <c r="V228" s="94"/>
      <c r="W228" s="94"/>
      <c r="X228" s="94"/>
      <c r="Y228" s="94"/>
      <c r="Z228" s="94"/>
      <c r="AA228" s="94"/>
      <c r="AB228" s="94"/>
      <c r="AC228" s="94"/>
      <c r="AD228" s="14"/>
      <c r="AE228" s="94"/>
      <c r="AF228" s="94"/>
      <c r="AG228" s="14"/>
      <c r="AH228" s="62"/>
      <c r="AI228" s="62"/>
      <c r="AJ228" s="14"/>
      <c r="AK228" s="62"/>
      <c r="AL228" s="14"/>
      <c r="AM228" s="14"/>
      <c r="AN228" s="14"/>
      <c r="AO228" s="14"/>
      <c r="AP228" s="14"/>
    </row>
    <row r="229" spans="11:42" x14ac:dyDescent="0.2">
      <c r="K229" s="94"/>
      <c r="L229" s="94"/>
      <c r="M229" s="94"/>
      <c r="Q229" s="14"/>
      <c r="R229" s="14"/>
      <c r="S229" s="14"/>
      <c r="T229" s="14"/>
      <c r="U229" s="14"/>
      <c r="V229" s="94"/>
      <c r="W229" s="94"/>
      <c r="X229" s="94"/>
      <c r="Y229" s="94"/>
      <c r="Z229" s="94"/>
      <c r="AA229" s="94"/>
      <c r="AB229" s="94"/>
      <c r="AC229" s="94"/>
      <c r="AD229" s="14"/>
      <c r="AE229" s="94"/>
      <c r="AF229" s="94"/>
      <c r="AG229" s="14"/>
      <c r="AH229" s="62"/>
      <c r="AI229" s="62"/>
      <c r="AJ229" s="14"/>
      <c r="AK229" s="62"/>
      <c r="AL229" s="14"/>
      <c r="AM229" s="14"/>
      <c r="AN229" s="14"/>
      <c r="AO229" s="14"/>
      <c r="AP229" s="14"/>
    </row>
    <row r="230" spans="11:42" x14ac:dyDescent="0.2">
      <c r="K230" s="94"/>
      <c r="L230" s="94"/>
      <c r="M230" s="94"/>
      <c r="Q230" s="14"/>
      <c r="R230" s="14"/>
      <c r="S230" s="14"/>
      <c r="T230" s="14"/>
      <c r="U230" s="14"/>
      <c r="V230" s="94"/>
      <c r="W230" s="94"/>
      <c r="X230" s="94"/>
      <c r="Y230" s="94"/>
      <c r="Z230" s="94"/>
      <c r="AA230" s="94"/>
      <c r="AB230" s="94"/>
      <c r="AC230" s="94"/>
      <c r="AD230" s="14"/>
      <c r="AE230" s="94"/>
      <c r="AF230" s="94"/>
      <c r="AG230" s="14"/>
      <c r="AH230" s="62"/>
      <c r="AI230" s="62"/>
      <c r="AJ230" s="14"/>
      <c r="AK230" s="62"/>
      <c r="AL230" s="14"/>
      <c r="AM230" s="14"/>
      <c r="AN230" s="14"/>
      <c r="AO230" s="14"/>
      <c r="AP230" s="14"/>
    </row>
    <row r="231" spans="11:42" x14ac:dyDescent="0.2">
      <c r="K231" s="94"/>
      <c r="L231" s="94"/>
      <c r="M231" s="94"/>
      <c r="Q231" s="14"/>
      <c r="R231" s="14"/>
      <c r="S231" s="14"/>
      <c r="T231" s="14"/>
      <c r="U231" s="14"/>
      <c r="V231" s="94"/>
      <c r="W231" s="94"/>
      <c r="X231" s="94"/>
      <c r="Y231" s="94"/>
      <c r="Z231" s="94"/>
      <c r="AA231" s="94"/>
      <c r="AB231" s="94"/>
      <c r="AC231" s="94"/>
      <c r="AD231" s="14"/>
      <c r="AE231" s="94"/>
      <c r="AF231" s="94"/>
      <c r="AG231" s="14"/>
      <c r="AH231" s="62"/>
      <c r="AI231" s="62"/>
      <c r="AJ231" s="14"/>
      <c r="AK231" s="62"/>
      <c r="AL231" s="14"/>
      <c r="AM231" s="14"/>
      <c r="AN231" s="14"/>
      <c r="AO231" s="14"/>
      <c r="AP231" s="14"/>
    </row>
    <row r="232" spans="11:42" x14ac:dyDescent="0.2">
      <c r="K232" s="94"/>
      <c r="L232" s="94"/>
      <c r="M232" s="94"/>
      <c r="Q232" s="14"/>
      <c r="R232" s="14"/>
      <c r="S232" s="14"/>
      <c r="T232" s="14"/>
      <c r="U232" s="14"/>
      <c r="V232" s="94"/>
      <c r="W232" s="94"/>
      <c r="X232" s="94"/>
      <c r="Y232" s="94"/>
      <c r="Z232" s="94"/>
      <c r="AA232" s="94"/>
      <c r="AB232" s="94"/>
      <c r="AC232" s="94"/>
      <c r="AD232" s="14"/>
      <c r="AE232" s="94"/>
      <c r="AF232" s="94"/>
      <c r="AG232" s="14"/>
      <c r="AH232" s="62"/>
      <c r="AI232" s="62"/>
      <c r="AJ232" s="14"/>
      <c r="AK232" s="62"/>
      <c r="AL232" s="14"/>
      <c r="AM232" s="14"/>
      <c r="AN232" s="14"/>
      <c r="AO232" s="14"/>
      <c r="AP232" s="14"/>
    </row>
    <row r="233" spans="11:42" x14ac:dyDescent="0.2">
      <c r="K233" s="94"/>
      <c r="L233" s="94"/>
      <c r="M233" s="94"/>
      <c r="Q233" s="14"/>
      <c r="R233" s="14"/>
      <c r="S233" s="14"/>
      <c r="T233" s="14"/>
      <c r="U233" s="14"/>
      <c r="V233" s="94"/>
      <c r="W233" s="94"/>
      <c r="X233" s="94"/>
      <c r="Y233" s="94"/>
      <c r="Z233" s="94"/>
      <c r="AA233" s="94"/>
      <c r="AB233" s="94"/>
      <c r="AC233" s="94"/>
      <c r="AD233" s="14"/>
      <c r="AE233" s="94"/>
      <c r="AF233" s="94"/>
      <c r="AG233" s="14"/>
      <c r="AH233" s="62"/>
      <c r="AI233" s="62"/>
      <c r="AJ233" s="14"/>
      <c r="AK233" s="62"/>
      <c r="AL233" s="14"/>
      <c r="AM233" s="14"/>
      <c r="AN233" s="14"/>
      <c r="AO233" s="14"/>
      <c r="AP233" s="14"/>
    </row>
    <row r="234" spans="11:42" x14ac:dyDescent="0.2">
      <c r="K234" s="94"/>
      <c r="L234" s="94"/>
      <c r="M234" s="94"/>
      <c r="Q234" s="14"/>
      <c r="R234" s="14"/>
      <c r="S234" s="14"/>
      <c r="T234" s="14"/>
      <c r="U234" s="14"/>
      <c r="V234" s="94"/>
      <c r="W234" s="94"/>
      <c r="X234" s="94"/>
      <c r="Y234" s="94"/>
      <c r="Z234" s="94"/>
      <c r="AA234" s="94"/>
      <c r="AB234" s="94"/>
      <c r="AC234" s="94"/>
      <c r="AD234" s="14"/>
      <c r="AE234" s="94"/>
      <c r="AF234" s="94"/>
      <c r="AG234" s="14"/>
      <c r="AH234" s="62"/>
      <c r="AI234" s="62"/>
      <c r="AJ234" s="14"/>
      <c r="AK234" s="62"/>
      <c r="AL234" s="14"/>
      <c r="AM234" s="14"/>
      <c r="AN234" s="14"/>
      <c r="AO234" s="14"/>
      <c r="AP234" s="14"/>
    </row>
    <row r="235" spans="11:42" x14ac:dyDescent="0.2">
      <c r="K235" s="94"/>
      <c r="L235" s="94"/>
      <c r="M235" s="94"/>
      <c r="Q235" s="14"/>
      <c r="R235" s="14"/>
      <c r="S235" s="14"/>
      <c r="T235" s="14"/>
      <c r="U235" s="14"/>
      <c r="V235" s="94"/>
      <c r="W235" s="94"/>
      <c r="X235" s="94"/>
      <c r="Y235" s="94"/>
      <c r="Z235" s="94"/>
      <c r="AA235" s="94"/>
      <c r="AB235" s="94"/>
      <c r="AC235" s="94"/>
      <c r="AD235" s="14"/>
      <c r="AE235" s="94"/>
      <c r="AF235" s="94"/>
      <c r="AG235" s="14"/>
      <c r="AH235" s="62"/>
      <c r="AI235" s="62"/>
      <c r="AJ235" s="14"/>
      <c r="AK235" s="62"/>
      <c r="AL235" s="14"/>
      <c r="AM235" s="14"/>
      <c r="AN235" s="14"/>
      <c r="AO235" s="14"/>
      <c r="AP235" s="14"/>
    </row>
    <row r="236" spans="11:42" x14ac:dyDescent="0.2">
      <c r="K236" s="94"/>
      <c r="L236" s="94"/>
      <c r="M236" s="94"/>
      <c r="Q236" s="14"/>
      <c r="R236" s="14"/>
      <c r="S236" s="14"/>
      <c r="T236" s="14"/>
      <c r="U236" s="14"/>
      <c r="V236" s="94"/>
      <c r="W236" s="94"/>
      <c r="X236" s="94"/>
      <c r="Y236" s="94"/>
      <c r="Z236" s="94"/>
      <c r="AA236" s="94"/>
      <c r="AB236" s="94"/>
      <c r="AC236" s="94"/>
      <c r="AD236" s="14"/>
      <c r="AE236" s="94"/>
      <c r="AF236" s="94"/>
      <c r="AG236" s="14"/>
      <c r="AH236" s="62"/>
      <c r="AI236" s="62"/>
      <c r="AJ236" s="14"/>
      <c r="AK236" s="62"/>
      <c r="AL236" s="14"/>
      <c r="AM236" s="14"/>
      <c r="AN236" s="14"/>
      <c r="AO236" s="14"/>
      <c r="AP236" s="14"/>
    </row>
    <row r="237" spans="11:42" x14ac:dyDescent="0.2">
      <c r="K237" s="94"/>
      <c r="L237" s="94"/>
      <c r="M237" s="94"/>
      <c r="Q237" s="14"/>
      <c r="R237" s="14"/>
      <c r="S237" s="14"/>
      <c r="T237" s="14"/>
      <c r="U237" s="14"/>
      <c r="V237" s="94"/>
      <c r="W237" s="94"/>
      <c r="X237" s="94"/>
      <c r="Y237" s="94"/>
      <c r="Z237" s="94"/>
      <c r="AA237" s="94"/>
      <c r="AB237" s="94"/>
      <c r="AC237" s="94"/>
      <c r="AD237" s="14"/>
      <c r="AE237" s="94"/>
      <c r="AF237" s="94"/>
      <c r="AG237" s="14"/>
      <c r="AH237" s="62"/>
      <c r="AI237" s="62"/>
      <c r="AJ237" s="14"/>
      <c r="AK237" s="62"/>
      <c r="AL237" s="14"/>
      <c r="AM237" s="14"/>
      <c r="AN237" s="14"/>
      <c r="AO237" s="14"/>
      <c r="AP237" s="14"/>
    </row>
    <row r="238" spans="11:42" x14ac:dyDescent="0.2">
      <c r="K238" s="94"/>
      <c r="L238" s="94"/>
      <c r="M238" s="94"/>
      <c r="Q238" s="14"/>
      <c r="R238" s="14"/>
      <c r="S238" s="14"/>
      <c r="T238" s="14"/>
      <c r="U238" s="14"/>
      <c r="V238" s="94"/>
      <c r="W238" s="94"/>
      <c r="X238" s="94"/>
      <c r="Y238" s="94"/>
      <c r="Z238" s="94"/>
      <c r="AA238" s="94"/>
      <c r="AB238" s="94"/>
      <c r="AC238" s="94"/>
      <c r="AD238" s="14"/>
      <c r="AE238" s="94"/>
      <c r="AF238" s="94"/>
      <c r="AG238" s="14"/>
      <c r="AH238" s="62"/>
      <c r="AI238" s="62"/>
      <c r="AJ238" s="14"/>
      <c r="AK238" s="62"/>
      <c r="AL238" s="14"/>
      <c r="AM238" s="14"/>
      <c r="AN238" s="14"/>
      <c r="AO238" s="14"/>
      <c r="AP238" s="14"/>
    </row>
    <row r="239" spans="11:42" x14ac:dyDescent="0.2">
      <c r="K239" s="94"/>
      <c r="L239" s="94"/>
      <c r="M239" s="94"/>
      <c r="Q239" s="14"/>
      <c r="R239" s="14"/>
      <c r="S239" s="14"/>
      <c r="T239" s="14"/>
      <c r="U239" s="14"/>
      <c r="V239" s="94"/>
      <c r="W239" s="94"/>
      <c r="X239" s="94"/>
      <c r="Y239" s="94"/>
      <c r="Z239" s="94"/>
      <c r="AA239" s="94"/>
      <c r="AB239" s="94"/>
      <c r="AC239" s="94"/>
      <c r="AD239" s="14"/>
      <c r="AE239" s="94"/>
      <c r="AF239" s="94"/>
      <c r="AG239" s="14"/>
      <c r="AH239" s="62"/>
      <c r="AI239" s="62"/>
      <c r="AJ239" s="14"/>
      <c r="AK239" s="62"/>
      <c r="AL239" s="14"/>
      <c r="AM239" s="14"/>
      <c r="AN239" s="14"/>
      <c r="AO239" s="14"/>
      <c r="AP239" s="14"/>
    </row>
    <row r="240" spans="11:42" x14ac:dyDescent="0.2">
      <c r="K240" s="94"/>
      <c r="L240" s="94"/>
      <c r="M240" s="94"/>
      <c r="Q240" s="14"/>
      <c r="R240" s="14"/>
      <c r="S240" s="14"/>
      <c r="T240" s="14"/>
      <c r="U240" s="14"/>
      <c r="V240" s="94"/>
      <c r="W240" s="94"/>
      <c r="X240" s="94"/>
      <c r="Y240" s="94"/>
      <c r="Z240" s="94"/>
      <c r="AA240" s="94"/>
      <c r="AB240" s="94"/>
      <c r="AC240" s="94"/>
      <c r="AD240" s="14"/>
      <c r="AE240" s="94"/>
      <c r="AF240" s="94"/>
      <c r="AG240" s="14"/>
      <c r="AH240" s="62"/>
      <c r="AI240" s="62"/>
      <c r="AJ240" s="14"/>
      <c r="AK240" s="62"/>
      <c r="AL240" s="14"/>
      <c r="AM240" s="14"/>
      <c r="AN240" s="14"/>
      <c r="AO240" s="14"/>
      <c r="AP240" s="14"/>
    </row>
    <row r="241" spans="11:42" x14ac:dyDescent="0.2">
      <c r="K241" s="94"/>
      <c r="L241" s="94"/>
      <c r="M241" s="94"/>
      <c r="Q241" s="14"/>
      <c r="R241" s="14"/>
      <c r="S241" s="14"/>
      <c r="T241" s="14"/>
      <c r="U241" s="14"/>
      <c r="V241" s="94"/>
      <c r="W241" s="94"/>
      <c r="X241" s="94"/>
      <c r="Y241" s="94"/>
      <c r="Z241" s="94"/>
      <c r="AA241" s="94"/>
      <c r="AB241" s="94"/>
      <c r="AC241" s="94"/>
      <c r="AD241" s="14"/>
      <c r="AE241" s="94"/>
      <c r="AF241" s="94"/>
      <c r="AG241" s="14"/>
      <c r="AH241" s="62"/>
      <c r="AI241" s="62"/>
      <c r="AJ241" s="14"/>
      <c r="AK241" s="62"/>
      <c r="AL241" s="14"/>
      <c r="AM241" s="14"/>
      <c r="AN241" s="14"/>
      <c r="AO241" s="14"/>
      <c r="AP241" s="14"/>
    </row>
    <row r="242" spans="11:42" x14ac:dyDescent="0.2">
      <c r="K242" s="94"/>
      <c r="L242" s="94"/>
      <c r="M242" s="94"/>
      <c r="Q242" s="14"/>
      <c r="R242" s="14"/>
      <c r="S242" s="14"/>
      <c r="T242" s="14"/>
      <c r="U242" s="14"/>
      <c r="V242" s="94"/>
      <c r="W242" s="94"/>
      <c r="X242" s="94"/>
      <c r="Y242" s="94"/>
      <c r="Z242" s="94"/>
      <c r="AA242" s="94"/>
      <c r="AB242" s="94"/>
      <c r="AC242" s="94"/>
      <c r="AD242" s="14"/>
      <c r="AE242" s="94"/>
      <c r="AF242" s="94"/>
      <c r="AG242" s="14"/>
      <c r="AH242" s="62"/>
      <c r="AI242" s="62"/>
      <c r="AJ242" s="14"/>
      <c r="AK242" s="62"/>
      <c r="AL242" s="14"/>
      <c r="AM242" s="14"/>
      <c r="AN242" s="14"/>
      <c r="AO242" s="14"/>
      <c r="AP242" s="14"/>
    </row>
    <row r="243" spans="11:42" x14ac:dyDescent="0.2">
      <c r="K243" s="94"/>
      <c r="L243" s="94"/>
      <c r="M243" s="94"/>
      <c r="Q243" s="14"/>
      <c r="R243" s="14"/>
      <c r="S243" s="14"/>
      <c r="T243" s="14"/>
      <c r="U243" s="14"/>
      <c r="V243" s="94"/>
      <c r="W243" s="94"/>
      <c r="X243" s="94"/>
      <c r="Y243" s="94"/>
      <c r="Z243" s="94"/>
      <c r="AA243" s="94"/>
      <c r="AB243" s="94"/>
      <c r="AC243" s="94"/>
      <c r="AD243" s="14"/>
      <c r="AE243" s="94"/>
      <c r="AF243" s="94"/>
      <c r="AG243" s="14"/>
      <c r="AH243" s="62"/>
      <c r="AI243" s="62"/>
      <c r="AJ243" s="14"/>
      <c r="AK243" s="62"/>
      <c r="AL243" s="14"/>
      <c r="AM243" s="14"/>
      <c r="AN243" s="14"/>
      <c r="AO243" s="14"/>
      <c r="AP243" s="14"/>
    </row>
    <row r="244" spans="11:42" x14ac:dyDescent="0.2">
      <c r="K244" s="94"/>
      <c r="L244" s="94"/>
      <c r="M244" s="94"/>
      <c r="Q244" s="14"/>
      <c r="R244" s="14"/>
      <c r="S244" s="14"/>
      <c r="T244" s="14"/>
      <c r="U244" s="14"/>
      <c r="V244" s="94"/>
      <c r="W244" s="94"/>
      <c r="X244" s="94"/>
      <c r="Y244" s="94"/>
      <c r="Z244" s="94"/>
      <c r="AA244" s="94"/>
      <c r="AB244" s="94"/>
      <c r="AC244" s="94"/>
      <c r="AD244" s="14"/>
      <c r="AE244" s="94"/>
      <c r="AF244" s="94"/>
      <c r="AG244" s="14"/>
      <c r="AH244" s="62"/>
      <c r="AI244" s="62"/>
      <c r="AJ244" s="14"/>
      <c r="AK244" s="62"/>
      <c r="AL244" s="14"/>
      <c r="AM244" s="14"/>
      <c r="AN244" s="14"/>
      <c r="AO244" s="14"/>
      <c r="AP244" s="14"/>
    </row>
    <row r="245" spans="11:42" x14ac:dyDescent="0.2">
      <c r="K245" s="94"/>
      <c r="L245" s="94"/>
      <c r="M245" s="94"/>
      <c r="Q245" s="14"/>
      <c r="R245" s="14"/>
      <c r="S245" s="14"/>
      <c r="T245" s="14"/>
      <c r="U245" s="14"/>
      <c r="V245" s="94"/>
      <c r="W245" s="94"/>
      <c r="X245" s="94"/>
      <c r="Y245" s="94"/>
      <c r="Z245" s="94"/>
      <c r="AA245" s="94"/>
      <c r="AB245" s="94"/>
      <c r="AC245" s="94"/>
      <c r="AD245" s="14"/>
      <c r="AE245" s="94"/>
      <c r="AF245" s="94"/>
      <c r="AG245" s="14"/>
      <c r="AH245" s="62"/>
      <c r="AI245" s="62"/>
      <c r="AJ245" s="14"/>
      <c r="AK245" s="62"/>
      <c r="AL245" s="14"/>
      <c r="AM245" s="14"/>
      <c r="AN245" s="14"/>
      <c r="AO245" s="14"/>
      <c r="AP245" s="14"/>
    </row>
    <row r="246" spans="11:42" x14ac:dyDescent="0.2">
      <c r="K246" s="94"/>
      <c r="L246" s="94"/>
      <c r="M246" s="94"/>
      <c r="Q246" s="14"/>
      <c r="R246" s="14"/>
      <c r="S246" s="14"/>
      <c r="T246" s="14"/>
      <c r="U246" s="14"/>
      <c r="V246" s="94"/>
      <c r="W246" s="94"/>
      <c r="X246" s="94"/>
      <c r="Y246" s="94"/>
      <c r="Z246" s="94"/>
      <c r="AA246" s="94"/>
      <c r="AB246" s="94"/>
      <c r="AC246" s="94"/>
      <c r="AD246" s="14"/>
      <c r="AE246" s="94"/>
      <c r="AF246" s="94"/>
      <c r="AG246" s="14"/>
      <c r="AH246" s="62"/>
      <c r="AI246" s="62"/>
      <c r="AJ246" s="14"/>
      <c r="AK246" s="62"/>
      <c r="AL246" s="14"/>
      <c r="AM246" s="14"/>
      <c r="AN246" s="14"/>
      <c r="AO246" s="14"/>
      <c r="AP246" s="14"/>
    </row>
    <row r="247" spans="11:42" x14ac:dyDescent="0.2">
      <c r="K247" s="94"/>
      <c r="L247" s="94"/>
      <c r="M247" s="94"/>
      <c r="Q247" s="14"/>
      <c r="R247" s="14"/>
      <c r="S247" s="14"/>
      <c r="T247" s="14"/>
      <c r="U247" s="14"/>
      <c r="V247" s="94"/>
      <c r="W247" s="94"/>
      <c r="X247" s="94"/>
      <c r="Y247" s="94"/>
      <c r="Z247" s="94"/>
      <c r="AA247" s="94"/>
      <c r="AB247" s="94"/>
      <c r="AC247" s="94"/>
      <c r="AD247" s="14"/>
      <c r="AE247" s="94"/>
      <c r="AF247" s="94"/>
      <c r="AG247" s="14"/>
      <c r="AH247" s="62"/>
      <c r="AI247" s="62"/>
      <c r="AJ247" s="14"/>
      <c r="AK247" s="62"/>
      <c r="AL247" s="14"/>
      <c r="AM247" s="14"/>
      <c r="AN247" s="14"/>
      <c r="AO247" s="14"/>
      <c r="AP247" s="14"/>
    </row>
    <row r="248" spans="11:42" x14ac:dyDescent="0.2">
      <c r="K248" s="94"/>
      <c r="L248" s="94"/>
      <c r="M248" s="94"/>
      <c r="Q248" s="14"/>
      <c r="R248" s="14"/>
      <c r="S248" s="14"/>
      <c r="T248" s="14"/>
      <c r="U248" s="14"/>
      <c r="V248" s="94"/>
      <c r="W248" s="94"/>
      <c r="X248" s="94"/>
      <c r="Y248" s="94"/>
      <c r="Z248" s="94"/>
      <c r="AA248" s="94"/>
      <c r="AB248" s="94"/>
      <c r="AC248" s="94"/>
      <c r="AD248" s="14"/>
      <c r="AE248" s="94"/>
      <c r="AF248" s="94"/>
      <c r="AG248" s="14"/>
      <c r="AH248" s="62"/>
      <c r="AI248" s="62"/>
      <c r="AJ248" s="14"/>
      <c r="AK248" s="62"/>
      <c r="AL248" s="14"/>
      <c r="AM248" s="14"/>
      <c r="AN248" s="14"/>
      <c r="AO248" s="14"/>
      <c r="AP248" s="14"/>
    </row>
    <row r="249" spans="11:42" x14ac:dyDescent="0.2">
      <c r="K249" s="94"/>
      <c r="L249" s="94"/>
      <c r="M249" s="94"/>
      <c r="Q249" s="14"/>
      <c r="R249" s="14"/>
      <c r="S249" s="14"/>
      <c r="T249" s="14"/>
      <c r="U249" s="14"/>
      <c r="V249" s="94"/>
      <c r="W249" s="94"/>
      <c r="X249" s="94"/>
      <c r="Y249" s="94"/>
      <c r="Z249" s="94"/>
      <c r="AA249" s="94"/>
      <c r="AB249" s="94"/>
      <c r="AC249" s="94"/>
      <c r="AD249" s="14"/>
      <c r="AE249" s="94"/>
      <c r="AF249" s="94"/>
      <c r="AG249" s="14"/>
      <c r="AH249" s="62"/>
      <c r="AI249" s="62"/>
      <c r="AJ249" s="14"/>
      <c r="AK249" s="62"/>
      <c r="AL249" s="14"/>
      <c r="AM249" s="14"/>
      <c r="AN249" s="14"/>
      <c r="AO249" s="14"/>
      <c r="AP249" s="14"/>
    </row>
    <row r="250" spans="11:42" x14ac:dyDescent="0.2">
      <c r="K250" s="94"/>
      <c r="L250" s="94"/>
      <c r="M250" s="94"/>
      <c r="Q250" s="14"/>
      <c r="R250" s="14"/>
      <c r="S250" s="14"/>
      <c r="T250" s="14"/>
      <c r="U250" s="14"/>
      <c r="V250" s="94"/>
      <c r="W250" s="94"/>
      <c r="X250" s="94"/>
      <c r="Y250" s="94"/>
      <c r="Z250" s="94"/>
      <c r="AA250" s="94"/>
      <c r="AB250" s="94"/>
      <c r="AC250" s="94"/>
      <c r="AD250" s="14"/>
      <c r="AE250" s="94"/>
      <c r="AF250" s="94"/>
      <c r="AG250" s="14"/>
      <c r="AH250" s="62"/>
      <c r="AI250" s="62"/>
      <c r="AJ250" s="14"/>
      <c r="AK250" s="62"/>
      <c r="AL250" s="14"/>
      <c r="AM250" s="14"/>
      <c r="AN250" s="14"/>
      <c r="AO250" s="14"/>
      <c r="AP250" s="14"/>
    </row>
    <row r="251" spans="11:42" x14ac:dyDescent="0.2">
      <c r="K251" s="94"/>
      <c r="L251" s="94"/>
      <c r="M251" s="94"/>
      <c r="Q251" s="14"/>
      <c r="R251" s="14"/>
      <c r="S251" s="14"/>
      <c r="T251" s="14"/>
      <c r="U251" s="14"/>
      <c r="V251" s="94"/>
      <c r="W251" s="94"/>
      <c r="X251" s="94"/>
      <c r="Y251" s="94"/>
      <c r="Z251" s="94"/>
      <c r="AA251" s="94"/>
      <c r="AB251" s="94"/>
      <c r="AC251" s="94"/>
      <c r="AD251" s="14"/>
      <c r="AE251" s="94"/>
      <c r="AF251" s="94"/>
      <c r="AG251" s="14"/>
      <c r="AH251" s="62"/>
      <c r="AI251" s="62"/>
      <c r="AJ251" s="14"/>
      <c r="AK251" s="62"/>
      <c r="AL251" s="14"/>
      <c r="AM251" s="14"/>
      <c r="AN251" s="14"/>
      <c r="AO251" s="14"/>
      <c r="AP251" s="14"/>
    </row>
    <row r="252" spans="11:42" x14ac:dyDescent="0.2">
      <c r="K252" s="94"/>
      <c r="L252" s="94"/>
      <c r="M252" s="94"/>
      <c r="Q252" s="14"/>
      <c r="R252" s="14"/>
      <c r="S252" s="14"/>
      <c r="T252" s="14"/>
      <c r="U252" s="14"/>
      <c r="V252" s="94"/>
      <c r="W252" s="94"/>
      <c r="X252" s="94"/>
      <c r="Y252" s="94"/>
      <c r="Z252" s="94"/>
      <c r="AA252" s="94"/>
      <c r="AB252" s="94"/>
      <c r="AC252" s="94"/>
      <c r="AD252" s="14"/>
      <c r="AE252" s="94"/>
      <c r="AF252" s="94"/>
      <c r="AG252" s="14"/>
      <c r="AH252" s="62"/>
      <c r="AI252" s="62"/>
      <c r="AJ252" s="14"/>
      <c r="AK252" s="62"/>
      <c r="AL252" s="14"/>
      <c r="AM252" s="14"/>
      <c r="AN252" s="14"/>
      <c r="AO252" s="14"/>
      <c r="AP252" s="14"/>
    </row>
    <row r="253" spans="11:42" x14ac:dyDescent="0.2">
      <c r="K253" s="94"/>
      <c r="L253" s="94"/>
      <c r="M253" s="94"/>
      <c r="Q253" s="14"/>
      <c r="R253" s="14"/>
      <c r="S253" s="14"/>
      <c r="T253" s="14"/>
      <c r="U253" s="14"/>
      <c r="V253" s="94"/>
      <c r="W253" s="94"/>
      <c r="X253" s="94"/>
      <c r="Y253" s="94"/>
      <c r="Z253" s="94"/>
      <c r="AA253" s="94"/>
      <c r="AB253" s="94"/>
      <c r="AC253" s="94"/>
      <c r="AD253" s="14"/>
      <c r="AE253" s="94"/>
      <c r="AF253" s="94"/>
      <c r="AG253" s="14"/>
      <c r="AH253" s="62"/>
      <c r="AI253" s="62"/>
      <c r="AJ253" s="14"/>
      <c r="AK253" s="62"/>
      <c r="AL253" s="14"/>
      <c r="AM253" s="14"/>
      <c r="AN253" s="14"/>
      <c r="AO253" s="14"/>
      <c r="AP253" s="14"/>
    </row>
  </sheetData>
  <sheetProtection sheet="1" objects="1" scenarios="1"/>
  <phoneticPr fontId="0" type="noConversion"/>
  <pageMargins left="0.75" right="0.75" top="1" bottom="1" header="0.5" footer="0.5"/>
  <pageSetup orientation="portrait" horizontalDpi="300" verticalDpi="300"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866"/>
  <sheetViews>
    <sheetView workbookViewId="0"/>
  </sheetViews>
  <sheetFormatPr defaultColWidth="9.140625" defaultRowHeight="12.75" x14ac:dyDescent="0.2"/>
  <cols>
    <col min="1" max="1" width="14.42578125" style="10" bestFit="1" customWidth="1"/>
    <col min="2" max="2" width="9.42578125" style="10" customWidth="1"/>
    <col min="3" max="3" width="9" style="87" customWidth="1"/>
    <col min="4" max="4" width="4.42578125" style="10" customWidth="1"/>
    <col min="5" max="16384" width="9.140625" style="10"/>
  </cols>
  <sheetData>
    <row r="1" spans="1:3" ht="25.5" customHeight="1" x14ac:dyDescent="0.2">
      <c r="B1" s="50" t="s">
        <v>28</v>
      </c>
      <c r="C1" s="50" t="s">
        <v>29</v>
      </c>
    </row>
    <row r="2" spans="1:3" x14ac:dyDescent="0.2">
      <c r="A2" s="50" t="s">
        <v>729</v>
      </c>
      <c r="B2" s="50">
        <f>ROUND(Hearing!C14,0)</f>
        <v>0</v>
      </c>
      <c r="C2" s="50">
        <f>ROUND(Hearing!F14,0)</f>
        <v>0</v>
      </c>
    </row>
    <row r="3" spans="1:3" x14ac:dyDescent="0.2">
      <c r="A3" s="50" t="s">
        <v>730</v>
      </c>
      <c r="B3" s="581">
        <f>IF(B2&lt;150,0,VLOOKUP(B2,A11:B711,2))</f>
        <v>0</v>
      </c>
      <c r="C3" s="581">
        <f>IF(C2&lt;150,0,VLOOKUP(C2,A11:B711,2))</f>
        <v>0</v>
      </c>
    </row>
    <row r="4" spans="1:3" x14ac:dyDescent="0.2">
      <c r="C4" s="10"/>
    </row>
    <row r="5" spans="1:3" x14ac:dyDescent="0.2">
      <c r="A5" s="50" t="s">
        <v>731</v>
      </c>
      <c r="B5" s="50">
        <f>ROUND(Hearing!I14,0)</f>
        <v>0</v>
      </c>
      <c r="C5" s="50">
        <f>ROUND(Hearing!L14,0)</f>
        <v>0</v>
      </c>
    </row>
    <row r="6" spans="1:3" x14ac:dyDescent="0.2">
      <c r="A6" s="50" t="s">
        <v>730</v>
      </c>
      <c r="B6" s="581">
        <f>IF(B5&lt;150,0,VLOOKUP(B5,A11:B711,2))</f>
        <v>0</v>
      </c>
      <c r="C6" s="581">
        <f>IF(C5&lt;150,0,VLOOKUP(C5,A11:B711,2))</f>
        <v>0</v>
      </c>
    </row>
    <row r="9" spans="1:3" x14ac:dyDescent="0.2">
      <c r="A9" s="1666" t="s">
        <v>2251</v>
      </c>
      <c r="B9" s="1666"/>
    </row>
    <row r="10" spans="1:3" x14ac:dyDescent="0.2">
      <c r="A10" s="679" t="s">
        <v>727</v>
      </c>
      <c r="B10" s="554" t="s">
        <v>728</v>
      </c>
    </row>
    <row r="11" spans="1:3" x14ac:dyDescent="0.2">
      <c r="A11" s="50">
        <v>0</v>
      </c>
      <c r="B11" s="581">
        <v>0</v>
      </c>
    </row>
    <row r="12" spans="1:3" x14ac:dyDescent="0.2">
      <c r="A12" s="50">
        <v>1</v>
      </c>
      <c r="B12" s="581">
        <v>0</v>
      </c>
    </row>
    <row r="13" spans="1:3" x14ac:dyDescent="0.2">
      <c r="A13" s="50">
        <v>2</v>
      </c>
      <c r="B13" s="581">
        <v>0</v>
      </c>
    </row>
    <row r="14" spans="1:3" x14ac:dyDescent="0.2">
      <c r="A14" s="50">
        <v>3</v>
      </c>
      <c r="B14" s="581">
        <v>0</v>
      </c>
    </row>
    <row r="15" spans="1:3" x14ac:dyDescent="0.2">
      <c r="A15" s="50">
        <v>4</v>
      </c>
      <c r="B15" s="581">
        <v>0</v>
      </c>
    </row>
    <row r="16" spans="1:3" x14ac:dyDescent="0.2">
      <c r="A16" s="50">
        <v>5</v>
      </c>
      <c r="B16" s="581">
        <v>0</v>
      </c>
    </row>
    <row r="17" spans="1:2" x14ac:dyDescent="0.2">
      <c r="A17" s="50">
        <v>6</v>
      </c>
      <c r="B17" s="581">
        <v>0</v>
      </c>
    </row>
    <row r="18" spans="1:2" x14ac:dyDescent="0.2">
      <c r="A18" s="50">
        <v>7</v>
      </c>
      <c r="B18" s="581">
        <v>0</v>
      </c>
    </row>
    <row r="19" spans="1:2" x14ac:dyDescent="0.2">
      <c r="A19" s="50">
        <v>8</v>
      </c>
      <c r="B19" s="581">
        <v>0</v>
      </c>
    </row>
    <row r="20" spans="1:2" x14ac:dyDescent="0.2">
      <c r="A20" s="50">
        <v>9</v>
      </c>
      <c r="B20" s="581">
        <v>0</v>
      </c>
    </row>
    <row r="21" spans="1:2" x14ac:dyDescent="0.2">
      <c r="A21" s="50">
        <v>10</v>
      </c>
      <c r="B21" s="581">
        <v>0</v>
      </c>
    </row>
    <row r="22" spans="1:2" x14ac:dyDescent="0.2">
      <c r="A22" s="50">
        <v>11</v>
      </c>
      <c r="B22" s="581">
        <v>0</v>
      </c>
    </row>
    <row r="23" spans="1:2" x14ac:dyDescent="0.2">
      <c r="A23" s="50">
        <v>12</v>
      </c>
      <c r="B23" s="581">
        <v>0</v>
      </c>
    </row>
    <row r="24" spans="1:2" x14ac:dyDescent="0.2">
      <c r="A24" s="50">
        <v>13</v>
      </c>
      <c r="B24" s="581">
        <v>0</v>
      </c>
    </row>
    <row r="25" spans="1:2" x14ac:dyDescent="0.2">
      <c r="A25" s="50">
        <v>14</v>
      </c>
      <c r="B25" s="581">
        <v>0</v>
      </c>
    </row>
    <row r="26" spans="1:2" x14ac:dyDescent="0.2">
      <c r="A26" s="50">
        <v>15</v>
      </c>
      <c r="B26" s="581">
        <v>0</v>
      </c>
    </row>
    <row r="27" spans="1:2" x14ac:dyDescent="0.2">
      <c r="A27" s="50">
        <v>16</v>
      </c>
      <c r="B27" s="581">
        <v>0</v>
      </c>
    </row>
    <row r="28" spans="1:2" x14ac:dyDescent="0.2">
      <c r="A28" s="50">
        <v>17</v>
      </c>
      <c r="B28" s="581">
        <v>0</v>
      </c>
    </row>
    <row r="29" spans="1:2" x14ac:dyDescent="0.2">
      <c r="A29" s="50">
        <v>18</v>
      </c>
      <c r="B29" s="581">
        <v>0</v>
      </c>
    </row>
    <row r="30" spans="1:2" x14ac:dyDescent="0.2">
      <c r="A30" s="50">
        <v>19</v>
      </c>
      <c r="B30" s="581">
        <v>0</v>
      </c>
    </row>
    <row r="31" spans="1:2" x14ac:dyDescent="0.2">
      <c r="A31" s="50">
        <v>20</v>
      </c>
      <c r="B31" s="581">
        <v>0</v>
      </c>
    </row>
    <row r="32" spans="1:2" x14ac:dyDescent="0.2">
      <c r="A32" s="50">
        <v>21</v>
      </c>
      <c r="B32" s="581">
        <v>0</v>
      </c>
    </row>
    <row r="33" spans="1:2" x14ac:dyDescent="0.2">
      <c r="A33" s="50">
        <v>22</v>
      </c>
      <c r="B33" s="581">
        <v>0</v>
      </c>
    </row>
    <row r="34" spans="1:2" x14ac:dyDescent="0.2">
      <c r="A34" s="50">
        <v>23</v>
      </c>
      <c r="B34" s="581">
        <v>0</v>
      </c>
    </row>
    <row r="35" spans="1:2" x14ac:dyDescent="0.2">
      <c r="A35" s="50">
        <v>24</v>
      </c>
      <c r="B35" s="581">
        <v>0</v>
      </c>
    </row>
    <row r="36" spans="1:2" x14ac:dyDescent="0.2">
      <c r="A36" s="50">
        <v>25</v>
      </c>
      <c r="B36" s="581">
        <v>0</v>
      </c>
    </row>
    <row r="37" spans="1:2" x14ac:dyDescent="0.2">
      <c r="A37" s="50">
        <v>26</v>
      </c>
      <c r="B37" s="581">
        <v>0</v>
      </c>
    </row>
    <row r="38" spans="1:2" x14ac:dyDescent="0.2">
      <c r="A38" s="50">
        <v>27</v>
      </c>
      <c r="B38" s="581">
        <v>0</v>
      </c>
    </row>
    <row r="39" spans="1:2" x14ac:dyDescent="0.2">
      <c r="A39" s="50">
        <v>28</v>
      </c>
      <c r="B39" s="581">
        <v>0</v>
      </c>
    </row>
    <row r="40" spans="1:2" x14ac:dyDescent="0.2">
      <c r="A40" s="50">
        <v>29</v>
      </c>
      <c r="B40" s="581">
        <v>0</v>
      </c>
    </row>
    <row r="41" spans="1:2" x14ac:dyDescent="0.2">
      <c r="A41" s="50">
        <v>30</v>
      </c>
      <c r="B41" s="581">
        <v>0</v>
      </c>
    </row>
    <row r="42" spans="1:2" x14ac:dyDescent="0.2">
      <c r="A42" s="50">
        <v>31</v>
      </c>
      <c r="B42" s="581">
        <v>0</v>
      </c>
    </row>
    <row r="43" spans="1:2" x14ac:dyDescent="0.2">
      <c r="A43" s="50">
        <v>32</v>
      </c>
      <c r="B43" s="581">
        <v>0</v>
      </c>
    </row>
    <row r="44" spans="1:2" x14ac:dyDescent="0.2">
      <c r="A44" s="50">
        <v>33</v>
      </c>
      <c r="B44" s="581">
        <v>0</v>
      </c>
    </row>
    <row r="45" spans="1:2" x14ac:dyDescent="0.2">
      <c r="A45" s="50">
        <v>34</v>
      </c>
      <c r="B45" s="581">
        <v>0</v>
      </c>
    </row>
    <row r="46" spans="1:2" x14ac:dyDescent="0.2">
      <c r="A46" s="50">
        <v>35</v>
      </c>
      <c r="B46" s="581">
        <v>0</v>
      </c>
    </row>
    <row r="47" spans="1:2" x14ac:dyDescent="0.2">
      <c r="A47" s="50">
        <v>36</v>
      </c>
      <c r="B47" s="581">
        <v>0</v>
      </c>
    </row>
    <row r="48" spans="1:2" x14ac:dyDescent="0.2">
      <c r="A48" s="50">
        <v>37</v>
      </c>
      <c r="B48" s="581">
        <v>0</v>
      </c>
    </row>
    <row r="49" spans="1:2" x14ac:dyDescent="0.2">
      <c r="A49" s="50">
        <v>38</v>
      </c>
      <c r="B49" s="581">
        <v>0</v>
      </c>
    </row>
    <row r="50" spans="1:2" x14ac:dyDescent="0.2">
      <c r="A50" s="50">
        <v>39</v>
      </c>
      <c r="B50" s="581">
        <v>0</v>
      </c>
    </row>
    <row r="51" spans="1:2" x14ac:dyDescent="0.2">
      <c r="A51" s="50">
        <v>40</v>
      </c>
      <c r="B51" s="581">
        <v>0</v>
      </c>
    </row>
    <row r="52" spans="1:2" x14ac:dyDescent="0.2">
      <c r="A52" s="50">
        <v>41</v>
      </c>
      <c r="B52" s="581">
        <v>0</v>
      </c>
    </row>
    <row r="53" spans="1:2" x14ac:dyDescent="0.2">
      <c r="A53" s="50">
        <v>42</v>
      </c>
      <c r="B53" s="581">
        <v>0</v>
      </c>
    </row>
    <row r="54" spans="1:2" x14ac:dyDescent="0.2">
      <c r="A54" s="50">
        <v>43</v>
      </c>
      <c r="B54" s="581">
        <v>0</v>
      </c>
    </row>
    <row r="55" spans="1:2" x14ac:dyDescent="0.2">
      <c r="A55" s="50">
        <v>44</v>
      </c>
      <c r="B55" s="581">
        <v>0</v>
      </c>
    </row>
    <row r="56" spans="1:2" x14ac:dyDescent="0.2">
      <c r="A56" s="50">
        <v>45</v>
      </c>
      <c r="B56" s="581">
        <v>0</v>
      </c>
    </row>
    <row r="57" spans="1:2" x14ac:dyDescent="0.2">
      <c r="A57" s="50">
        <v>46</v>
      </c>
      <c r="B57" s="581">
        <v>0</v>
      </c>
    </row>
    <row r="58" spans="1:2" x14ac:dyDescent="0.2">
      <c r="A58" s="50">
        <v>47</v>
      </c>
      <c r="B58" s="581">
        <v>0</v>
      </c>
    </row>
    <row r="59" spans="1:2" x14ac:dyDescent="0.2">
      <c r="A59" s="50">
        <v>48</v>
      </c>
      <c r="B59" s="581">
        <v>0</v>
      </c>
    </row>
    <row r="60" spans="1:2" x14ac:dyDescent="0.2">
      <c r="A60" s="50">
        <v>49</v>
      </c>
      <c r="B60" s="581">
        <v>0</v>
      </c>
    </row>
    <row r="61" spans="1:2" x14ac:dyDescent="0.2">
      <c r="A61" s="50">
        <v>50</v>
      </c>
      <c r="B61" s="581">
        <v>0</v>
      </c>
    </row>
    <row r="62" spans="1:2" x14ac:dyDescent="0.2">
      <c r="A62" s="50">
        <v>51</v>
      </c>
      <c r="B62" s="581">
        <v>0</v>
      </c>
    </row>
    <row r="63" spans="1:2" x14ac:dyDescent="0.2">
      <c r="A63" s="50">
        <v>52</v>
      </c>
      <c r="B63" s="581">
        <v>0</v>
      </c>
    </row>
    <row r="64" spans="1:2" x14ac:dyDescent="0.2">
      <c r="A64" s="50">
        <v>53</v>
      </c>
      <c r="B64" s="581">
        <v>0</v>
      </c>
    </row>
    <row r="65" spans="1:2" x14ac:dyDescent="0.2">
      <c r="A65" s="50">
        <v>54</v>
      </c>
      <c r="B65" s="581">
        <v>0</v>
      </c>
    </row>
    <row r="66" spans="1:2" x14ac:dyDescent="0.2">
      <c r="A66" s="50">
        <v>55</v>
      </c>
      <c r="B66" s="581">
        <v>0</v>
      </c>
    </row>
    <row r="67" spans="1:2" x14ac:dyDescent="0.2">
      <c r="A67" s="50">
        <v>56</v>
      </c>
      <c r="B67" s="581">
        <v>0</v>
      </c>
    </row>
    <row r="68" spans="1:2" x14ac:dyDescent="0.2">
      <c r="A68" s="50">
        <v>57</v>
      </c>
      <c r="B68" s="581">
        <v>0</v>
      </c>
    </row>
    <row r="69" spans="1:2" x14ac:dyDescent="0.2">
      <c r="A69" s="50">
        <v>58</v>
      </c>
      <c r="B69" s="581">
        <v>0</v>
      </c>
    </row>
    <row r="70" spans="1:2" x14ac:dyDescent="0.2">
      <c r="A70" s="50">
        <v>59</v>
      </c>
      <c r="B70" s="581">
        <v>0</v>
      </c>
    </row>
    <row r="71" spans="1:2" x14ac:dyDescent="0.2">
      <c r="A71" s="50">
        <v>60</v>
      </c>
      <c r="B71" s="581">
        <v>0</v>
      </c>
    </row>
    <row r="72" spans="1:2" x14ac:dyDescent="0.2">
      <c r="A72" s="50">
        <v>61</v>
      </c>
      <c r="B72" s="581">
        <v>0</v>
      </c>
    </row>
    <row r="73" spans="1:2" x14ac:dyDescent="0.2">
      <c r="A73" s="50">
        <v>62</v>
      </c>
      <c r="B73" s="581">
        <v>0</v>
      </c>
    </row>
    <row r="74" spans="1:2" x14ac:dyDescent="0.2">
      <c r="A74" s="50">
        <v>63</v>
      </c>
      <c r="B74" s="581">
        <v>0</v>
      </c>
    </row>
    <row r="75" spans="1:2" x14ac:dyDescent="0.2">
      <c r="A75" s="50">
        <v>64</v>
      </c>
      <c r="B75" s="581">
        <v>0</v>
      </c>
    </row>
    <row r="76" spans="1:2" x14ac:dyDescent="0.2">
      <c r="A76" s="50">
        <v>65</v>
      </c>
      <c r="B76" s="581">
        <v>0</v>
      </c>
    </row>
    <row r="77" spans="1:2" x14ac:dyDescent="0.2">
      <c r="A77" s="50">
        <v>66</v>
      </c>
      <c r="B77" s="581">
        <v>0</v>
      </c>
    </row>
    <row r="78" spans="1:2" x14ac:dyDescent="0.2">
      <c r="A78" s="50">
        <v>67</v>
      </c>
      <c r="B78" s="581">
        <v>0</v>
      </c>
    </row>
    <row r="79" spans="1:2" x14ac:dyDescent="0.2">
      <c r="A79" s="50">
        <v>68</v>
      </c>
      <c r="B79" s="581">
        <v>0</v>
      </c>
    </row>
    <row r="80" spans="1:2" x14ac:dyDescent="0.2">
      <c r="A80" s="50">
        <v>69</v>
      </c>
      <c r="B80" s="581">
        <v>0</v>
      </c>
    </row>
    <row r="81" spans="1:2" x14ac:dyDescent="0.2">
      <c r="A81" s="50">
        <v>70</v>
      </c>
      <c r="B81" s="581">
        <v>0</v>
      </c>
    </row>
    <row r="82" spans="1:2" x14ac:dyDescent="0.2">
      <c r="A82" s="50">
        <v>71</v>
      </c>
      <c r="B82" s="581">
        <v>0</v>
      </c>
    </row>
    <row r="83" spans="1:2" x14ac:dyDescent="0.2">
      <c r="A83" s="50">
        <v>72</v>
      </c>
      <c r="B83" s="581">
        <v>0</v>
      </c>
    </row>
    <row r="84" spans="1:2" x14ac:dyDescent="0.2">
      <c r="A84" s="50">
        <v>73</v>
      </c>
      <c r="B84" s="581">
        <v>0</v>
      </c>
    </row>
    <row r="85" spans="1:2" x14ac:dyDescent="0.2">
      <c r="A85" s="50">
        <v>74</v>
      </c>
      <c r="B85" s="581">
        <v>0</v>
      </c>
    </row>
    <row r="86" spans="1:2" x14ac:dyDescent="0.2">
      <c r="A86" s="50">
        <v>75</v>
      </c>
      <c r="B86" s="581">
        <v>0</v>
      </c>
    </row>
    <row r="87" spans="1:2" x14ac:dyDescent="0.2">
      <c r="A87" s="50">
        <v>76</v>
      </c>
      <c r="B87" s="581">
        <v>0</v>
      </c>
    </row>
    <row r="88" spans="1:2" x14ac:dyDescent="0.2">
      <c r="A88" s="50">
        <v>77</v>
      </c>
      <c r="B88" s="581">
        <v>0</v>
      </c>
    </row>
    <row r="89" spans="1:2" x14ac:dyDescent="0.2">
      <c r="A89" s="50">
        <v>78</v>
      </c>
      <c r="B89" s="581">
        <v>0</v>
      </c>
    </row>
    <row r="90" spans="1:2" x14ac:dyDescent="0.2">
      <c r="A90" s="50">
        <v>79</v>
      </c>
      <c r="B90" s="581">
        <v>0</v>
      </c>
    </row>
    <row r="91" spans="1:2" x14ac:dyDescent="0.2">
      <c r="A91" s="50">
        <v>80</v>
      </c>
      <c r="B91" s="581">
        <v>0</v>
      </c>
    </row>
    <row r="92" spans="1:2" x14ac:dyDescent="0.2">
      <c r="A92" s="50">
        <v>81</v>
      </c>
      <c r="B92" s="581">
        <v>0</v>
      </c>
    </row>
    <row r="93" spans="1:2" x14ac:dyDescent="0.2">
      <c r="A93" s="50">
        <v>82</v>
      </c>
      <c r="B93" s="581">
        <v>0</v>
      </c>
    </row>
    <row r="94" spans="1:2" x14ac:dyDescent="0.2">
      <c r="A94" s="50">
        <v>83</v>
      </c>
      <c r="B94" s="581">
        <v>0</v>
      </c>
    </row>
    <row r="95" spans="1:2" x14ac:dyDescent="0.2">
      <c r="A95" s="50">
        <v>84</v>
      </c>
      <c r="B95" s="581">
        <v>0</v>
      </c>
    </row>
    <row r="96" spans="1:2" x14ac:dyDescent="0.2">
      <c r="A96" s="50">
        <v>85</v>
      </c>
      <c r="B96" s="581">
        <v>0</v>
      </c>
    </row>
    <row r="97" spans="1:2" x14ac:dyDescent="0.2">
      <c r="A97" s="50">
        <v>86</v>
      </c>
      <c r="B97" s="581">
        <v>0</v>
      </c>
    </row>
    <row r="98" spans="1:2" x14ac:dyDescent="0.2">
      <c r="A98" s="50">
        <v>87</v>
      </c>
      <c r="B98" s="581">
        <v>0</v>
      </c>
    </row>
    <row r="99" spans="1:2" x14ac:dyDescent="0.2">
      <c r="A99" s="50">
        <v>88</v>
      </c>
      <c r="B99" s="581">
        <v>0</v>
      </c>
    </row>
    <row r="100" spans="1:2" x14ac:dyDescent="0.2">
      <c r="A100" s="50">
        <v>89</v>
      </c>
      <c r="B100" s="581">
        <v>0</v>
      </c>
    </row>
    <row r="101" spans="1:2" x14ac:dyDescent="0.2">
      <c r="A101" s="50">
        <v>90</v>
      </c>
      <c r="B101" s="581">
        <v>0</v>
      </c>
    </row>
    <row r="102" spans="1:2" x14ac:dyDescent="0.2">
      <c r="A102" s="50">
        <v>91</v>
      </c>
      <c r="B102" s="581">
        <v>0</v>
      </c>
    </row>
    <row r="103" spans="1:2" x14ac:dyDescent="0.2">
      <c r="A103" s="50">
        <v>92</v>
      </c>
      <c r="B103" s="581">
        <v>0</v>
      </c>
    </row>
    <row r="104" spans="1:2" x14ac:dyDescent="0.2">
      <c r="A104" s="50">
        <v>93</v>
      </c>
      <c r="B104" s="581">
        <v>0</v>
      </c>
    </row>
    <row r="105" spans="1:2" x14ac:dyDescent="0.2">
      <c r="A105" s="50">
        <v>94</v>
      </c>
      <c r="B105" s="581">
        <v>0</v>
      </c>
    </row>
    <row r="106" spans="1:2" x14ac:dyDescent="0.2">
      <c r="A106" s="50">
        <v>95</v>
      </c>
      <c r="B106" s="581">
        <v>0</v>
      </c>
    </row>
    <row r="107" spans="1:2" x14ac:dyDescent="0.2">
      <c r="A107" s="50">
        <v>96</v>
      </c>
      <c r="B107" s="581">
        <v>0</v>
      </c>
    </row>
    <row r="108" spans="1:2" x14ac:dyDescent="0.2">
      <c r="A108" s="50">
        <v>97</v>
      </c>
      <c r="B108" s="581">
        <v>0</v>
      </c>
    </row>
    <row r="109" spans="1:2" x14ac:dyDescent="0.2">
      <c r="A109" s="50">
        <v>98</v>
      </c>
      <c r="B109" s="581">
        <v>0</v>
      </c>
    </row>
    <row r="110" spans="1:2" x14ac:dyDescent="0.2">
      <c r="A110" s="50">
        <v>99</v>
      </c>
      <c r="B110" s="581">
        <v>0</v>
      </c>
    </row>
    <row r="111" spans="1:2" x14ac:dyDescent="0.2">
      <c r="A111" s="50">
        <v>100</v>
      </c>
      <c r="B111" s="581">
        <v>0</v>
      </c>
    </row>
    <row r="112" spans="1:2" x14ac:dyDescent="0.2">
      <c r="A112" s="50">
        <v>101</v>
      </c>
      <c r="B112" s="581">
        <v>0</v>
      </c>
    </row>
    <row r="113" spans="1:2" x14ac:dyDescent="0.2">
      <c r="A113" s="50">
        <v>102</v>
      </c>
      <c r="B113" s="581">
        <v>0</v>
      </c>
    </row>
    <row r="114" spans="1:2" x14ac:dyDescent="0.2">
      <c r="A114" s="50">
        <v>103</v>
      </c>
      <c r="B114" s="581">
        <v>0</v>
      </c>
    </row>
    <row r="115" spans="1:2" x14ac:dyDescent="0.2">
      <c r="A115" s="50">
        <v>104</v>
      </c>
      <c r="B115" s="581">
        <v>0</v>
      </c>
    </row>
    <row r="116" spans="1:2" x14ac:dyDescent="0.2">
      <c r="A116" s="50">
        <v>105</v>
      </c>
      <c r="B116" s="581">
        <v>0</v>
      </c>
    </row>
    <row r="117" spans="1:2" x14ac:dyDescent="0.2">
      <c r="A117" s="50">
        <v>106</v>
      </c>
      <c r="B117" s="581">
        <v>0</v>
      </c>
    </row>
    <row r="118" spans="1:2" x14ac:dyDescent="0.2">
      <c r="A118" s="50">
        <v>107</v>
      </c>
      <c r="B118" s="581">
        <v>0</v>
      </c>
    </row>
    <row r="119" spans="1:2" x14ac:dyDescent="0.2">
      <c r="A119" s="50">
        <v>108</v>
      </c>
      <c r="B119" s="581">
        <v>0</v>
      </c>
    </row>
    <row r="120" spans="1:2" x14ac:dyDescent="0.2">
      <c r="A120" s="50">
        <v>109</v>
      </c>
      <c r="B120" s="581">
        <v>0</v>
      </c>
    </row>
    <row r="121" spans="1:2" x14ac:dyDescent="0.2">
      <c r="A121" s="50">
        <v>110</v>
      </c>
      <c r="B121" s="581">
        <v>0</v>
      </c>
    </row>
    <row r="122" spans="1:2" x14ac:dyDescent="0.2">
      <c r="A122" s="50">
        <v>111</v>
      </c>
      <c r="B122" s="581">
        <v>0</v>
      </c>
    </row>
    <row r="123" spans="1:2" x14ac:dyDescent="0.2">
      <c r="A123" s="50">
        <v>112</v>
      </c>
      <c r="B123" s="581">
        <v>0</v>
      </c>
    </row>
    <row r="124" spans="1:2" x14ac:dyDescent="0.2">
      <c r="A124" s="50">
        <v>113</v>
      </c>
      <c r="B124" s="581">
        <v>0</v>
      </c>
    </row>
    <row r="125" spans="1:2" x14ac:dyDescent="0.2">
      <c r="A125" s="50">
        <v>114</v>
      </c>
      <c r="B125" s="581">
        <v>0</v>
      </c>
    </row>
    <row r="126" spans="1:2" x14ac:dyDescent="0.2">
      <c r="A126" s="50">
        <v>115</v>
      </c>
      <c r="B126" s="581">
        <v>0</v>
      </c>
    </row>
    <row r="127" spans="1:2" x14ac:dyDescent="0.2">
      <c r="A127" s="50">
        <v>116</v>
      </c>
      <c r="B127" s="581">
        <v>0</v>
      </c>
    </row>
    <row r="128" spans="1:2" x14ac:dyDescent="0.2">
      <c r="A128" s="50">
        <v>117</v>
      </c>
      <c r="B128" s="581">
        <v>0</v>
      </c>
    </row>
    <row r="129" spans="1:2" x14ac:dyDescent="0.2">
      <c r="A129" s="50">
        <v>118</v>
      </c>
      <c r="B129" s="581">
        <v>0</v>
      </c>
    </row>
    <row r="130" spans="1:2" x14ac:dyDescent="0.2">
      <c r="A130" s="50">
        <v>119</v>
      </c>
      <c r="B130" s="581">
        <v>0</v>
      </c>
    </row>
    <row r="131" spans="1:2" x14ac:dyDescent="0.2">
      <c r="A131" s="50">
        <v>120</v>
      </c>
      <c r="B131" s="581">
        <v>0</v>
      </c>
    </row>
    <row r="132" spans="1:2" x14ac:dyDescent="0.2">
      <c r="A132" s="50">
        <v>121</v>
      </c>
      <c r="B132" s="581">
        <v>0</v>
      </c>
    </row>
    <row r="133" spans="1:2" x14ac:dyDescent="0.2">
      <c r="A133" s="50">
        <v>122</v>
      </c>
      <c r="B133" s="581">
        <v>0</v>
      </c>
    </row>
    <row r="134" spans="1:2" x14ac:dyDescent="0.2">
      <c r="A134" s="50">
        <v>123</v>
      </c>
      <c r="B134" s="581">
        <v>0</v>
      </c>
    </row>
    <row r="135" spans="1:2" x14ac:dyDescent="0.2">
      <c r="A135" s="50">
        <v>124</v>
      </c>
      <c r="B135" s="581">
        <v>0</v>
      </c>
    </row>
    <row r="136" spans="1:2" x14ac:dyDescent="0.2">
      <c r="A136" s="50">
        <v>125</v>
      </c>
      <c r="B136" s="581">
        <v>0</v>
      </c>
    </row>
    <row r="137" spans="1:2" x14ac:dyDescent="0.2">
      <c r="A137" s="50">
        <v>126</v>
      </c>
      <c r="B137" s="581">
        <v>0</v>
      </c>
    </row>
    <row r="138" spans="1:2" x14ac:dyDescent="0.2">
      <c r="A138" s="50">
        <v>127</v>
      </c>
      <c r="B138" s="581">
        <v>0</v>
      </c>
    </row>
    <row r="139" spans="1:2" x14ac:dyDescent="0.2">
      <c r="A139" s="50">
        <v>128</v>
      </c>
      <c r="B139" s="581">
        <v>0</v>
      </c>
    </row>
    <row r="140" spans="1:2" x14ac:dyDescent="0.2">
      <c r="A140" s="50">
        <v>129</v>
      </c>
      <c r="B140" s="581">
        <v>0</v>
      </c>
    </row>
    <row r="141" spans="1:2" x14ac:dyDescent="0.2">
      <c r="A141" s="50">
        <v>130</v>
      </c>
      <c r="B141" s="581">
        <v>0</v>
      </c>
    </row>
    <row r="142" spans="1:2" x14ac:dyDescent="0.2">
      <c r="A142" s="50">
        <v>131</v>
      </c>
      <c r="B142" s="581">
        <v>0</v>
      </c>
    </row>
    <row r="143" spans="1:2" x14ac:dyDescent="0.2">
      <c r="A143" s="50">
        <v>132</v>
      </c>
      <c r="B143" s="581">
        <v>0</v>
      </c>
    </row>
    <row r="144" spans="1:2" x14ac:dyDescent="0.2">
      <c r="A144" s="50">
        <v>133</v>
      </c>
      <c r="B144" s="581">
        <v>0</v>
      </c>
    </row>
    <row r="145" spans="1:2" x14ac:dyDescent="0.2">
      <c r="A145" s="50">
        <v>134</v>
      </c>
      <c r="B145" s="581">
        <v>0</v>
      </c>
    </row>
    <row r="146" spans="1:2" x14ac:dyDescent="0.2">
      <c r="A146" s="50">
        <v>135</v>
      </c>
      <c r="B146" s="581">
        <v>0</v>
      </c>
    </row>
    <row r="147" spans="1:2" x14ac:dyDescent="0.2">
      <c r="A147" s="50">
        <v>136</v>
      </c>
      <c r="B147" s="581">
        <v>0</v>
      </c>
    </row>
    <row r="148" spans="1:2" x14ac:dyDescent="0.2">
      <c r="A148" s="50">
        <v>137</v>
      </c>
      <c r="B148" s="581">
        <v>0</v>
      </c>
    </row>
    <row r="149" spans="1:2" x14ac:dyDescent="0.2">
      <c r="A149" s="50">
        <v>138</v>
      </c>
      <c r="B149" s="581">
        <v>0</v>
      </c>
    </row>
    <row r="150" spans="1:2" x14ac:dyDescent="0.2">
      <c r="A150" s="50">
        <v>139</v>
      </c>
      <c r="B150" s="581">
        <v>0</v>
      </c>
    </row>
    <row r="151" spans="1:2" x14ac:dyDescent="0.2">
      <c r="A151" s="50">
        <v>140</v>
      </c>
      <c r="B151" s="581">
        <v>0</v>
      </c>
    </row>
    <row r="152" spans="1:2" x14ac:dyDescent="0.2">
      <c r="A152" s="50">
        <v>141</v>
      </c>
      <c r="B152" s="581">
        <v>0</v>
      </c>
    </row>
    <row r="153" spans="1:2" x14ac:dyDescent="0.2">
      <c r="A153" s="50">
        <v>142</v>
      </c>
      <c r="B153" s="581">
        <v>0</v>
      </c>
    </row>
    <row r="154" spans="1:2" x14ac:dyDescent="0.2">
      <c r="A154" s="50">
        <v>143</v>
      </c>
      <c r="B154" s="581">
        <v>0</v>
      </c>
    </row>
    <row r="155" spans="1:2" x14ac:dyDescent="0.2">
      <c r="A155" s="50">
        <v>144</v>
      </c>
      <c r="B155" s="581">
        <v>0</v>
      </c>
    </row>
    <row r="156" spans="1:2" x14ac:dyDescent="0.2">
      <c r="A156" s="50">
        <v>145</v>
      </c>
      <c r="B156" s="581">
        <v>0</v>
      </c>
    </row>
    <row r="157" spans="1:2" x14ac:dyDescent="0.2">
      <c r="A157" s="50">
        <v>146</v>
      </c>
      <c r="B157" s="581">
        <v>0</v>
      </c>
    </row>
    <row r="158" spans="1:2" x14ac:dyDescent="0.2">
      <c r="A158" s="50">
        <v>147</v>
      </c>
      <c r="B158" s="581">
        <v>0</v>
      </c>
    </row>
    <row r="159" spans="1:2" x14ac:dyDescent="0.2">
      <c r="A159" s="50">
        <v>148</v>
      </c>
      <c r="B159" s="581">
        <v>0</v>
      </c>
    </row>
    <row r="160" spans="1:2" x14ac:dyDescent="0.2">
      <c r="A160" s="50">
        <v>149</v>
      </c>
      <c r="B160" s="581">
        <v>0</v>
      </c>
    </row>
    <row r="161" spans="1:2" x14ac:dyDescent="0.2">
      <c r="A161" s="679">
        <v>150</v>
      </c>
      <c r="B161" s="581">
        <v>0</v>
      </c>
    </row>
    <row r="162" spans="1:2" x14ac:dyDescent="0.2">
      <c r="A162" s="679">
        <v>151</v>
      </c>
      <c r="B162" s="581">
        <v>2.5000000000000001E-3</v>
      </c>
    </row>
    <row r="163" spans="1:2" x14ac:dyDescent="0.2">
      <c r="A163" s="679">
        <v>152</v>
      </c>
      <c r="B163" s="581">
        <v>5.0000000000000001E-3</v>
      </c>
    </row>
    <row r="164" spans="1:2" x14ac:dyDescent="0.2">
      <c r="A164" s="679">
        <v>153</v>
      </c>
      <c r="B164" s="581">
        <v>7.4999999999999997E-3</v>
      </c>
    </row>
    <row r="165" spans="1:2" x14ac:dyDescent="0.2">
      <c r="A165" s="679">
        <v>154</v>
      </c>
      <c r="B165" s="581">
        <v>0.01</v>
      </c>
    </row>
    <row r="166" spans="1:2" x14ac:dyDescent="0.2">
      <c r="A166" s="679">
        <v>155</v>
      </c>
      <c r="B166" s="581">
        <v>1.2500000000000001E-2</v>
      </c>
    </row>
    <row r="167" spans="1:2" x14ac:dyDescent="0.2">
      <c r="A167" s="679">
        <v>156</v>
      </c>
      <c r="B167" s="581">
        <v>1.4999999999999999E-2</v>
      </c>
    </row>
    <row r="168" spans="1:2" x14ac:dyDescent="0.2">
      <c r="A168" s="679">
        <v>157</v>
      </c>
      <c r="B168" s="581">
        <v>1.7500000000000002E-2</v>
      </c>
    </row>
    <row r="169" spans="1:2" x14ac:dyDescent="0.2">
      <c r="A169" s="679">
        <v>158</v>
      </c>
      <c r="B169" s="581">
        <v>0.02</v>
      </c>
    </row>
    <row r="170" spans="1:2" x14ac:dyDescent="0.2">
      <c r="A170" s="679">
        <v>159</v>
      </c>
      <c r="B170" s="581">
        <v>2.2499999999999999E-2</v>
      </c>
    </row>
    <row r="171" spans="1:2" x14ac:dyDescent="0.2">
      <c r="A171" s="679">
        <v>160</v>
      </c>
      <c r="B171" s="581">
        <v>2.5000000000000001E-2</v>
      </c>
    </row>
    <row r="172" spans="1:2" x14ac:dyDescent="0.2">
      <c r="A172" s="679">
        <v>161</v>
      </c>
      <c r="B172" s="581">
        <v>2.75E-2</v>
      </c>
    </row>
    <row r="173" spans="1:2" x14ac:dyDescent="0.2">
      <c r="A173" s="679">
        <v>162</v>
      </c>
      <c r="B173" s="581">
        <v>0.03</v>
      </c>
    </row>
    <row r="174" spans="1:2" x14ac:dyDescent="0.2">
      <c r="A174" s="679">
        <v>163</v>
      </c>
      <c r="B174" s="581">
        <v>3.2500000000000001E-2</v>
      </c>
    </row>
    <row r="175" spans="1:2" x14ac:dyDescent="0.2">
      <c r="A175" s="679">
        <v>164</v>
      </c>
      <c r="B175" s="581">
        <v>3.5000000000000003E-2</v>
      </c>
    </row>
    <row r="176" spans="1:2" x14ac:dyDescent="0.2">
      <c r="A176" s="679">
        <v>165</v>
      </c>
      <c r="B176" s="581">
        <v>3.7499999999999999E-2</v>
      </c>
    </row>
    <row r="177" spans="1:2" x14ac:dyDescent="0.2">
      <c r="A177" s="679">
        <v>166</v>
      </c>
      <c r="B177" s="581">
        <v>0.04</v>
      </c>
    </row>
    <row r="178" spans="1:2" x14ac:dyDescent="0.2">
      <c r="A178" s="679">
        <v>167</v>
      </c>
      <c r="B178" s="581">
        <v>4.2500000000000003E-2</v>
      </c>
    </row>
    <row r="179" spans="1:2" x14ac:dyDescent="0.2">
      <c r="A179" s="679">
        <v>168</v>
      </c>
      <c r="B179" s="581">
        <v>4.4999999999999998E-2</v>
      </c>
    </row>
    <row r="180" spans="1:2" x14ac:dyDescent="0.2">
      <c r="A180" s="679">
        <v>169</v>
      </c>
      <c r="B180" s="581">
        <v>4.7500000000000001E-2</v>
      </c>
    </row>
    <row r="181" spans="1:2" x14ac:dyDescent="0.2">
      <c r="A181" s="679">
        <v>170</v>
      </c>
      <c r="B181" s="581">
        <v>0.05</v>
      </c>
    </row>
    <row r="182" spans="1:2" x14ac:dyDescent="0.2">
      <c r="A182" s="679">
        <v>171</v>
      </c>
      <c r="B182" s="581">
        <v>5.2499999999999998E-2</v>
      </c>
    </row>
    <row r="183" spans="1:2" x14ac:dyDescent="0.2">
      <c r="A183" s="679">
        <v>172</v>
      </c>
      <c r="B183" s="581">
        <v>5.5E-2</v>
      </c>
    </row>
    <row r="184" spans="1:2" x14ac:dyDescent="0.2">
      <c r="A184" s="679">
        <v>173</v>
      </c>
      <c r="B184" s="581">
        <v>5.7500000000000002E-2</v>
      </c>
    </row>
    <row r="185" spans="1:2" x14ac:dyDescent="0.2">
      <c r="A185" s="679">
        <v>174</v>
      </c>
      <c r="B185" s="581">
        <v>0.06</v>
      </c>
    </row>
    <row r="186" spans="1:2" x14ac:dyDescent="0.2">
      <c r="A186" s="679">
        <v>175</v>
      </c>
      <c r="B186" s="581">
        <v>6.25E-2</v>
      </c>
    </row>
    <row r="187" spans="1:2" x14ac:dyDescent="0.2">
      <c r="A187" s="679">
        <v>176</v>
      </c>
      <c r="B187" s="581">
        <v>6.5000000000000002E-2</v>
      </c>
    </row>
    <row r="188" spans="1:2" x14ac:dyDescent="0.2">
      <c r="A188" s="679">
        <v>177</v>
      </c>
      <c r="B188" s="581">
        <v>6.7500000000000004E-2</v>
      </c>
    </row>
    <row r="189" spans="1:2" x14ac:dyDescent="0.2">
      <c r="A189" s="679">
        <v>178</v>
      </c>
      <c r="B189" s="581">
        <v>7.0000000000000007E-2</v>
      </c>
    </row>
    <row r="190" spans="1:2" x14ac:dyDescent="0.2">
      <c r="A190" s="679">
        <v>179</v>
      </c>
      <c r="B190" s="581">
        <v>7.2499999999999995E-2</v>
      </c>
    </row>
    <row r="191" spans="1:2" x14ac:dyDescent="0.2">
      <c r="A191" s="679">
        <v>180</v>
      </c>
      <c r="B191" s="581">
        <v>7.4999999999999997E-2</v>
      </c>
    </row>
    <row r="192" spans="1:2" x14ac:dyDescent="0.2">
      <c r="A192" s="679">
        <v>181</v>
      </c>
      <c r="B192" s="581">
        <v>7.7499999999999999E-2</v>
      </c>
    </row>
    <row r="193" spans="1:2" x14ac:dyDescent="0.2">
      <c r="A193" s="679">
        <v>182</v>
      </c>
      <c r="B193" s="581">
        <v>0.08</v>
      </c>
    </row>
    <row r="194" spans="1:2" x14ac:dyDescent="0.2">
      <c r="A194" s="679">
        <v>183</v>
      </c>
      <c r="B194" s="581">
        <v>8.2500000000000004E-2</v>
      </c>
    </row>
    <row r="195" spans="1:2" x14ac:dyDescent="0.2">
      <c r="A195" s="679">
        <v>184</v>
      </c>
      <c r="B195" s="581">
        <v>8.5000000000000006E-2</v>
      </c>
    </row>
    <row r="196" spans="1:2" x14ac:dyDescent="0.2">
      <c r="A196" s="679">
        <v>185</v>
      </c>
      <c r="B196" s="581">
        <v>8.7499999999999994E-2</v>
      </c>
    </row>
    <row r="197" spans="1:2" x14ac:dyDescent="0.2">
      <c r="A197" s="679">
        <v>186</v>
      </c>
      <c r="B197" s="581">
        <v>0.09</v>
      </c>
    </row>
    <row r="198" spans="1:2" x14ac:dyDescent="0.2">
      <c r="A198" s="679">
        <v>187</v>
      </c>
      <c r="B198" s="581">
        <v>9.2499999999999999E-2</v>
      </c>
    </row>
    <row r="199" spans="1:2" x14ac:dyDescent="0.2">
      <c r="A199" s="679">
        <v>188</v>
      </c>
      <c r="B199" s="581">
        <v>9.5000000000000001E-2</v>
      </c>
    </row>
    <row r="200" spans="1:2" x14ac:dyDescent="0.2">
      <c r="A200" s="679">
        <v>189</v>
      </c>
      <c r="B200" s="581">
        <v>9.7500000000000003E-2</v>
      </c>
    </row>
    <row r="201" spans="1:2" x14ac:dyDescent="0.2">
      <c r="A201" s="679">
        <v>190</v>
      </c>
      <c r="B201" s="581">
        <v>0.1</v>
      </c>
    </row>
    <row r="202" spans="1:2" x14ac:dyDescent="0.2">
      <c r="A202" s="679">
        <v>191</v>
      </c>
      <c r="B202" s="581">
        <v>0.10249999999999999</v>
      </c>
    </row>
    <row r="203" spans="1:2" x14ac:dyDescent="0.2">
      <c r="A203" s="679">
        <v>192</v>
      </c>
      <c r="B203" s="581">
        <v>0.105</v>
      </c>
    </row>
    <row r="204" spans="1:2" x14ac:dyDescent="0.2">
      <c r="A204" s="679">
        <v>193</v>
      </c>
      <c r="B204" s="581">
        <v>0.1075</v>
      </c>
    </row>
    <row r="205" spans="1:2" x14ac:dyDescent="0.2">
      <c r="A205" s="679">
        <v>194</v>
      </c>
      <c r="B205" s="581">
        <v>0.11</v>
      </c>
    </row>
    <row r="206" spans="1:2" x14ac:dyDescent="0.2">
      <c r="A206" s="679">
        <v>195</v>
      </c>
      <c r="B206" s="581">
        <v>0.1125</v>
      </c>
    </row>
    <row r="207" spans="1:2" x14ac:dyDescent="0.2">
      <c r="A207" s="679">
        <v>196</v>
      </c>
      <c r="B207" s="581">
        <v>0.115</v>
      </c>
    </row>
    <row r="208" spans="1:2" x14ac:dyDescent="0.2">
      <c r="A208" s="679">
        <v>197</v>
      </c>
      <c r="B208" s="581">
        <v>0.11749999999999999</v>
      </c>
    </row>
    <row r="209" spans="1:2" x14ac:dyDescent="0.2">
      <c r="A209" s="679">
        <v>198</v>
      </c>
      <c r="B209" s="581">
        <v>0.12</v>
      </c>
    </row>
    <row r="210" spans="1:2" x14ac:dyDescent="0.2">
      <c r="A210" s="679">
        <v>199</v>
      </c>
      <c r="B210" s="581">
        <v>0.1225</v>
      </c>
    </row>
    <row r="211" spans="1:2" x14ac:dyDescent="0.2">
      <c r="A211" s="679">
        <v>200</v>
      </c>
      <c r="B211" s="581">
        <v>0.125</v>
      </c>
    </row>
    <row r="212" spans="1:2" x14ac:dyDescent="0.2">
      <c r="A212" s="679">
        <v>201</v>
      </c>
      <c r="B212" s="581">
        <v>0.1275</v>
      </c>
    </row>
    <row r="213" spans="1:2" x14ac:dyDescent="0.2">
      <c r="A213" s="679">
        <v>202</v>
      </c>
      <c r="B213" s="581">
        <v>0.13</v>
      </c>
    </row>
    <row r="214" spans="1:2" x14ac:dyDescent="0.2">
      <c r="A214" s="679">
        <v>203</v>
      </c>
      <c r="B214" s="581">
        <v>0.13250000000000001</v>
      </c>
    </row>
    <row r="215" spans="1:2" x14ac:dyDescent="0.2">
      <c r="A215" s="679">
        <v>204</v>
      </c>
      <c r="B215" s="581">
        <v>0.13500000000000001</v>
      </c>
    </row>
    <row r="216" spans="1:2" x14ac:dyDescent="0.2">
      <c r="A216" s="679">
        <v>205</v>
      </c>
      <c r="B216" s="581">
        <v>0.13750000000000001</v>
      </c>
    </row>
    <row r="217" spans="1:2" x14ac:dyDescent="0.2">
      <c r="A217" s="679">
        <v>206</v>
      </c>
      <c r="B217" s="581">
        <v>0.14000000000000001</v>
      </c>
    </row>
    <row r="218" spans="1:2" x14ac:dyDescent="0.2">
      <c r="A218" s="679">
        <v>207</v>
      </c>
      <c r="B218" s="581">
        <v>0.14249999999999999</v>
      </c>
    </row>
    <row r="219" spans="1:2" x14ac:dyDescent="0.2">
      <c r="A219" s="679">
        <v>208</v>
      </c>
      <c r="B219" s="581">
        <v>0.14499999999999999</v>
      </c>
    </row>
    <row r="220" spans="1:2" x14ac:dyDescent="0.2">
      <c r="A220" s="679">
        <v>209</v>
      </c>
      <c r="B220" s="581">
        <v>0.14749999999999999</v>
      </c>
    </row>
    <row r="221" spans="1:2" x14ac:dyDescent="0.2">
      <c r="A221" s="679">
        <v>210</v>
      </c>
      <c r="B221" s="581">
        <v>0.15</v>
      </c>
    </row>
    <row r="222" spans="1:2" x14ac:dyDescent="0.2">
      <c r="A222" s="679">
        <v>211</v>
      </c>
      <c r="B222" s="581">
        <v>0.1525</v>
      </c>
    </row>
    <row r="223" spans="1:2" x14ac:dyDescent="0.2">
      <c r="A223" s="679">
        <v>212</v>
      </c>
      <c r="B223" s="581">
        <v>0.155</v>
      </c>
    </row>
    <row r="224" spans="1:2" x14ac:dyDescent="0.2">
      <c r="A224" s="679">
        <v>213</v>
      </c>
      <c r="B224" s="581">
        <v>0.1575</v>
      </c>
    </row>
    <row r="225" spans="1:2" x14ac:dyDescent="0.2">
      <c r="A225" s="679">
        <v>214</v>
      </c>
      <c r="B225" s="581">
        <v>0.16</v>
      </c>
    </row>
    <row r="226" spans="1:2" x14ac:dyDescent="0.2">
      <c r="A226" s="679">
        <v>215</v>
      </c>
      <c r="B226" s="581">
        <v>0.16250000000000001</v>
      </c>
    </row>
    <row r="227" spans="1:2" x14ac:dyDescent="0.2">
      <c r="A227" s="679">
        <v>216</v>
      </c>
      <c r="B227" s="581">
        <v>0.16500000000000001</v>
      </c>
    </row>
    <row r="228" spans="1:2" x14ac:dyDescent="0.2">
      <c r="A228" s="679">
        <v>217</v>
      </c>
      <c r="B228" s="581">
        <v>0.16750000000000001</v>
      </c>
    </row>
    <row r="229" spans="1:2" x14ac:dyDescent="0.2">
      <c r="A229" s="679">
        <v>218</v>
      </c>
      <c r="B229" s="581">
        <v>0.17</v>
      </c>
    </row>
    <row r="230" spans="1:2" x14ac:dyDescent="0.2">
      <c r="A230" s="679">
        <v>219</v>
      </c>
      <c r="B230" s="581">
        <v>0.17249999999999999</v>
      </c>
    </row>
    <row r="231" spans="1:2" x14ac:dyDescent="0.2">
      <c r="A231" s="679">
        <v>220</v>
      </c>
      <c r="B231" s="581">
        <v>0.17499999999999999</v>
      </c>
    </row>
    <row r="232" spans="1:2" x14ac:dyDescent="0.2">
      <c r="A232" s="679">
        <v>221</v>
      </c>
      <c r="B232" s="581">
        <v>0.17749999999999999</v>
      </c>
    </row>
    <row r="233" spans="1:2" x14ac:dyDescent="0.2">
      <c r="A233" s="679">
        <v>222</v>
      </c>
      <c r="B233" s="581">
        <v>0.18</v>
      </c>
    </row>
    <row r="234" spans="1:2" x14ac:dyDescent="0.2">
      <c r="A234" s="679">
        <v>223</v>
      </c>
      <c r="B234" s="581">
        <v>0.1825</v>
      </c>
    </row>
    <row r="235" spans="1:2" x14ac:dyDescent="0.2">
      <c r="A235" s="679">
        <v>224</v>
      </c>
      <c r="B235" s="581">
        <v>0.185</v>
      </c>
    </row>
    <row r="236" spans="1:2" x14ac:dyDescent="0.2">
      <c r="A236" s="679">
        <v>225</v>
      </c>
      <c r="B236" s="581">
        <v>0.1875</v>
      </c>
    </row>
    <row r="237" spans="1:2" x14ac:dyDescent="0.2">
      <c r="A237" s="679">
        <v>226</v>
      </c>
      <c r="B237" s="581">
        <v>0.19</v>
      </c>
    </row>
    <row r="238" spans="1:2" x14ac:dyDescent="0.2">
      <c r="A238" s="679">
        <v>227</v>
      </c>
      <c r="B238" s="581">
        <v>0.1925</v>
      </c>
    </row>
    <row r="239" spans="1:2" x14ac:dyDescent="0.2">
      <c r="A239" s="679">
        <v>228</v>
      </c>
      <c r="B239" s="581">
        <v>0.19500000000000001</v>
      </c>
    </row>
    <row r="240" spans="1:2" x14ac:dyDescent="0.2">
      <c r="A240" s="679">
        <v>229</v>
      </c>
      <c r="B240" s="581">
        <v>0.19750000000000001</v>
      </c>
    </row>
    <row r="241" spans="1:2" x14ac:dyDescent="0.2">
      <c r="A241" s="679">
        <v>230</v>
      </c>
      <c r="B241" s="581">
        <v>0.2</v>
      </c>
    </row>
    <row r="242" spans="1:2" x14ac:dyDescent="0.2">
      <c r="A242" s="679">
        <v>231</v>
      </c>
      <c r="B242" s="581">
        <v>0.20250000000000001</v>
      </c>
    </row>
    <row r="243" spans="1:2" x14ac:dyDescent="0.2">
      <c r="A243" s="679">
        <v>232</v>
      </c>
      <c r="B243" s="581">
        <v>0.20499999999999999</v>
      </c>
    </row>
    <row r="244" spans="1:2" x14ac:dyDescent="0.2">
      <c r="A244" s="679">
        <v>233</v>
      </c>
      <c r="B244" s="581">
        <v>0.20749999999999999</v>
      </c>
    </row>
    <row r="245" spans="1:2" x14ac:dyDescent="0.2">
      <c r="A245" s="679">
        <v>234</v>
      </c>
      <c r="B245" s="581">
        <v>0.21</v>
      </c>
    </row>
    <row r="246" spans="1:2" x14ac:dyDescent="0.2">
      <c r="A246" s="679">
        <v>235</v>
      </c>
      <c r="B246" s="581">
        <v>0.21249999999999999</v>
      </c>
    </row>
    <row r="247" spans="1:2" x14ac:dyDescent="0.2">
      <c r="A247" s="679">
        <v>236</v>
      </c>
      <c r="B247" s="581">
        <v>0.215</v>
      </c>
    </row>
    <row r="248" spans="1:2" x14ac:dyDescent="0.2">
      <c r="A248" s="679">
        <v>237</v>
      </c>
      <c r="B248" s="581">
        <v>0.2175</v>
      </c>
    </row>
    <row r="249" spans="1:2" x14ac:dyDescent="0.2">
      <c r="A249" s="679">
        <v>238</v>
      </c>
      <c r="B249" s="581">
        <v>0.22</v>
      </c>
    </row>
    <row r="250" spans="1:2" x14ac:dyDescent="0.2">
      <c r="A250" s="679">
        <v>239</v>
      </c>
      <c r="B250" s="581">
        <v>0.2225</v>
      </c>
    </row>
    <row r="251" spans="1:2" x14ac:dyDescent="0.2">
      <c r="A251" s="679">
        <v>240</v>
      </c>
      <c r="B251" s="581">
        <v>0.22500000000000001</v>
      </c>
    </row>
    <row r="252" spans="1:2" x14ac:dyDescent="0.2">
      <c r="A252" s="679">
        <v>241</v>
      </c>
      <c r="B252" s="581">
        <v>0.22750000000000001</v>
      </c>
    </row>
    <row r="253" spans="1:2" x14ac:dyDescent="0.2">
      <c r="A253" s="679">
        <v>242</v>
      </c>
      <c r="B253" s="581">
        <v>0.23</v>
      </c>
    </row>
    <row r="254" spans="1:2" x14ac:dyDescent="0.2">
      <c r="A254" s="679">
        <v>243</v>
      </c>
      <c r="B254" s="581">
        <v>0.23250000000000001</v>
      </c>
    </row>
    <row r="255" spans="1:2" x14ac:dyDescent="0.2">
      <c r="A255" s="679">
        <v>244</v>
      </c>
      <c r="B255" s="581">
        <v>0.23499999999999999</v>
      </c>
    </row>
    <row r="256" spans="1:2" x14ac:dyDescent="0.2">
      <c r="A256" s="679">
        <v>245</v>
      </c>
      <c r="B256" s="581">
        <v>0.23749999999999999</v>
      </c>
    </row>
    <row r="257" spans="1:2" x14ac:dyDescent="0.2">
      <c r="A257" s="679">
        <v>246</v>
      </c>
      <c r="B257" s="581">
        <v>0.24</v>
      </c>
    </row>
    <row r="258" spans="1:2" x14ac:dyDescent="0.2">
      <c r="A258" s="679">
        <v>247</v>
      </c>
      <c r="B258" s="581">
        <v>0.24249999999999999</v>
      </c>
    </row>
    <row r="259" spans="1:2" x14ac:dyDescent="0.2">
      <c r="A259" s="679">
        <v>248</v>
      </c>
      <c r="B259" s="581">
        <v>0.245</v>
      </c>
    </row>
    <row r="260" spans="1:2" x14ac:dyDescent="0.2">
      <c r="A260" s="679">
        <v>249</v>
      </c>
      <c r="B260" s="581">
        <v>0.2475</v>
      </c>
    </row>
    <row r="261" spans="1:2" x14ac:dyDescent="0.2">
      <c r="A261" s="679">
        <v>250</v>
      </c>
      <c r="B261" s="581">
        <v>0.25</v>
      </c>
    </row>
    <row r="262" spans="1:2" x14ac:dyDescent="0.2">
      <c r="A262" s="679">
        <v>251</v>
      </c>
      <c r="B262" s="581">
        <v>0.2525</v>
      </c>
    </row>
    <row r="263" spans="1:2" x14ac:dyDescent="0.2">
      <c r="A263" s="679">
        <v>252</v>
      </c>
      <c r="B263" s="581">
        <v>0.255</v>
      </c>
    </row>
    <row r="264" spans="1:2" x14ac:dyDescent="0.2">
      <c r="A264" s="679">
        <v>253</v>
      </c>
      <c r="B264" s="581">
        <v>0.25750000000000001</v>
      </c>
    </row>
    <row r="265" spans="1:2" x14ac:dyDescent="0.2">
      <c r="A265" s="679">
        <v>254</v>
      </c>
      <c r="B265" s="581">
        <v>0.26</v>
      </c>
    </row>
    <row r="266" spans="1:2" x14ac:dyDescent="0.2">
      <c r="A266" s="679">
        <v>255</v>
      </c>
      <c r="B266" s="581">
        <v>0.26250000000000001</v>
      </c>
    </row>
    <row r="267" spans="1:2" x14ac:dyDescent="0.2">
      <c r="A267" s="679">
        <v>256</v>
      </c>
      <c r="B267" s="581">
        <v>0.26500000000000001</v>
      </c>
    </row>
    <row r="268" spans="1:2" x14ac:dyDescent="0.2">
      <c r="A268" s="679">
        <v>257</v>
      </c>
      <c r="B268" s="581">
        <v>0.26750000000000002</v>
      </c>
    </row>
    <row r="269" spans="1:2" x14ac:dyDescent="0.2">
      <c r="A269" s="679">
        <v>258</v>
      </c>
      <c r="B269" s="581">
        <v>0.27</v>
      </c>
    </row>
    <row r="270" spans="1:2" x14ac:dyDescent="0.2">
      <c r="A270" s="679">
        <v>259</v>
      </c>
      <c r="B270" s="581">
        <v>0.27250000000000002</v>
      </c>
    </row>
    <row r="271" spans="1:2" x14ac:dyDescent="0.2">
      <c r="A271" s="679">
        <v>260</v>
      </c>
      <c r="B271" s="581">
        <v>0.27500000000000002</v>
      </c>
    </row>
    <row r="272" spans="1:2" x14ac:dyDescent="0.2">
      <c r="A272" s="679">
        <v>261</v>
      </c>
      <c r="B272" s="581">
        <v>0.27750000000000002</v>
      </c>
    </row>
    <row r="273" spans="1:2" x14ac:dyDescent="0.2">
      <c r="A273" s="679">
        <v>262</v>
      </c>
      <c r="B273" s="581">
        <v>0.28000000000000003</v>
      </c>
    </row>
    <row r="274" spans="1:2" x14ac:dyDescent="0.2">
      <c r="A274" s="679">
        <v>263</v>
      </c>
      <c r="B274" s="581">
        <v>0.28249999999999997</v>
      </c>
    </row>
    <row r="275" spans="1:2" x14ac:dyDescent="0.2">
      <c r="A275" s="679">
        <v>264</v>
      </c>
      <c r="B275" s="581">
        <v>0.28499999999999998</v>
      </c>
    </row>
    <row r="276" spans="1:2" x14ac:dyDescent="0.2">
      <c r="A276" s="679">
        <v>265</v>
      </c>
      <c r="B276" s="581">
        <v>0.28749999999999998</v>
      </c>
    </row>
    <row r="277" spans="1:2" x14ac:dyDescent="0.2">
      <c r="A277" s="679">
        <v>266</v>
      </c>
      <c r="B277" s="581">
        <v>0.28999999999999998</v>
      </c>
    </row>
    <row r="278" spans="1:2" x14ac:dyDescent="0.2">
      <c r="A278" s="679">
        <v>267</v>
      </c>
      <c r="B278" s="581">
        <v>0.29249999999999998</v>
      </c>
    </row>
    <row r="279" spans="1:2" x14ac:dyDescent="0.2">
      <c r="A279" s="679">
        <v>268</v>
      </c>
      <c r="B279" s="581">
        <v>0.29499999999999998</v>
      </c>
    </row>
    <row r="280" spans="1:2" x14ac:dyDescent="0.2">
      <c r="A280" s="679">
        <v>269</v>
      </c>
      <c r="B280" s="581">
        <v>0.29749999999999999</v>
      </c>
    </row>
    <row r="281" spans="1:2" x14ac:dyDescent="0.2">
      <c r="A281" s="679">
        <v>270</v>
      </c>
      <c r="B281" s="581">
        <v>0.3</v>
      </c>
    </row>
    <row r="282" spans="1:2" x14ac:dyDescent="0.2">
      <c r="A282" s="679">
        <v>271</v>
      </c>
      <c r="B282" s="581">
        <v>0.30249999999999999</v>
      </c>
    </row>
    <row r="283" spans="1:2" x14ac:dyDescent="0.2">
      <c r="A283" s="679">
        <v>272</v>
      </c>
      <c r="B283" s="581">
        <v>0.30499999999999999</v>
      </c>
    </row>
    <row r="284" spans="1:2" x14ac:dyDescent="0.2">
      <c r="A284" s="679">
        <v>273</v>
      </c>
      <c r="B284" s="581">
        <v>0.3075</v>
      </c>
    </row>
    <row r="285" spans="1:2" x14ac:dyDescent="0.2">
      <c r="A285" s="679">
        <v>274</v>
      </c>
      <c r="B285" s="581">
        <v>0.31</v>
      </c>
    </row>
    <row r="286" spans="1:2" x14ac:dyDescent="0.2">
      <c r="A286" s="679">
        <v>275</v>
      </c>
      <c r="B286" s="581">
        <v>0.3125</v>
      </c>
    </row>
    <row r="287" spans="1:2" x14ac:dyDescent="0.2">
      <c r="A287" s="679">
        <v>276</v>
      </c>
      <c r="B287" s="581">
        <v>0.315</v>
      </c>
    </row>
    <row r="288" spans="1:2" x14ac:dyDescent="0.2">
      <c r="A288" s="679">
        <v>277</v>
      </c>
      <c r="B288" s="581">
        <v>0.3175</v>
      </c>
    </row>
    <row r="289" spans="1:2" x14ac:dyDescent="0.2">
      <c r="A289" s="679">
        <v>278</v>
      </c>
      <c r="B289" s="581">
        <v>0.32</v>
      </c>
    </row>
    <row r="290" spans="1:2" x14ac:dyDescent="0.2">
      <c r="A290" s="679">
        <v>279</v>
      </c>
      <c r="B290" s="581">
        <v>0.32250000000000001</v>
      </c>
    </row>
    <row r="291" spans="1:2" x14ac:dyDescent="0.2">
      <c r="A291" s="679">
        <v>280</v>
      </c>
      <c r="B291" s="581">
        <v>0.32500000000000001</v>
      </c>
    </row>
    <row r="292" spans="1:2" x14ac:dyDescent="0.2">
      <c r="A292" s="679">
        <v>281</v>
      </c>
      <c r="B292" s="581">
        <v>0.32750000000000001</v>
      </c>
    </row>
    <row r="293" spans="1:2" x14ac:dyDescent="0.2">
      <c r="A293" s="679">
        <v>282</v>
      </c>
      <c r="B293" s="581">
        <v>0.33</v>
      </c>
    </row>
    <row r="294" spans="1:2" x14ac:dyDescent="0.2">
      <c r="A294" s="679">
        <v>283</v>
      </c>
      <c r="B294" s="581">
        <v>0.33250000000000002</v>
      </c>
    </row>
    <row r="295" spans="1:2" x14ac:dyDescent="0.2">
      <c r="A295" s="679">
        <v>284</v>
      </c>
      <c r="B295" s="581">
        <v>0.33500000000000002</v>
      </c>
    </row>
    <row r="296" spans="1:2" x14ac:dyDescent="0.2">
      <c r="A296" s="679">
        <v>285</v>
      </c>
      <c r="B296" s="581">
        <v>0.33750000000000002</v>
      </c>
    </row>
    <row r="297" spans="1:2" x14ac:dyDescent="0.2">
      <c r="A297" s="679">
        <v>286</v>
      </c>
      <c r="B297" s="581">
        <v>0.34</v>
      </c>
    </row>
    <row r="298" spans="1:2" x14ac:dyDescent="0.2">
      <c r="A298" s="679">
        <v>287</v>
      </c>
      <c r="B298" s="581">
        <v>0.34250000000000003</v>
      </c>
    </row>
    <row r="299" spans="1:2" x14ac:dyDescent="0.2">
      <c r="A299" s="679">
        <v>288</v>
      </c>
      <c r="B299" s="581">
        <v>0.34499999999999997</v>
      </c>
    </row>
    <row r="300" spans="1:2" x14ac:dyDescent="0.2">
      <c r="A300" s="679">
        <v>289</v>
      </c>
      <c r="B300" s="581">
        <v>0.34749999999999998</v>
      </c>
    </row>
    <row r="301" spans="1:2" x14ac:dyDescent="0.2">
      <c r="A301" s="679">
        <v>290</v>
      </c>
      <c r="B301" s="581">
        <v>0.35</v>
      </c>
    </row>
    <row r="302" spans="1:2" x14ac:dyDescent="0.2">
      <c r="A302" s="679">
        <v>291</v>
      </c>
      <c r="B302" s="581">
        <v>0.35249999999999998</v>
      </c>
    </row>
    <row r="303" spans="1:2" x14ac:dyDescent="0.2">
      <c r="A303" s="679">
        <v>292</v>
      </c>
      <c r="B303" s="581">
        <v>0.35499999999999998</v>
      </c>
    </row>
    <row r="304" spans="1:2" x14ac:dyDescent="0.2">
      <c r="A304" s="679">
        <v>293</v>
      </c>
      <c r="B304" s="581">
        <v>0.35749999999999998</v>
      </c>
    </row>
    <row r="305" spans="1:2" x14ac:dyDescent="0.2">
      <c r="A305" s="679">
        <v>294</v>
      </c>
      <c r="B305" s="581">
        <v>0.36</v>
      </c>
    </row>
    <row r="306" spans="1:2" x14ac:dyDescent="0.2">
      <c r="A306" s="679">
        <v>295</v>
      </c>
      <c r="B306" s="581">
        <v>0.36249999999999999</v>
      </c>
    </row>
    <row r="307" spans="1:2" x14ac:dyDescent="0.2">
      <c r="A307" s="679">
        <v>296</v>
      </c>
      <c r="B307" s="581">
        <v>0.36499999999999999</v>
      </c>
    </row>
    <row r="308" spans="1:2" x14ac:dyDescent="0.2">
      <c r="A308" s="679">
        <v>297</v>
      </c>
      <c r="B308" s="581">
        <v>0.36749999999999999</v>
      </c>
    </row>
    <row r="309" spans="1:2" x14ac:dyDescent="0.2">
      <c r="A309" s="679">
        <v>298</v>
      </c>
      <c r="B309" s="581">
        <v>0.37</v>
      </c>
    </row>
    <row r="310" spans="1:2" x14ac:dyDescent="0.2">
      <c r="A310" s="679">
        <v>299</v>
      </c>
      <c r="B310" s="581">
        <v>0.3725</v>
      </c>
    </row>
    <row r="311" spans="1:2" x14ac:dyDescent="0.2">
      <c r="A311" s="679">
        <v>300</v>
      </c>
      <c r="B311" s="581">
        <v>0.375</v>
      </c>
    </row>
    <row r="312" spans="1:2" x14ac:dyDescent="0.2">
      <c r="A312" s="679">
        <v>301</v>
      </c>
      <c r="B312" s="581">
        <v>0.3775</v>
      </c>
    </row>
    <row r="313" spans="1:2" x14ac:dyDescent="0.2">
      <c r="A313" s="679">
        <v>302</v>
      </c>
      <c r="B313" s="581">
        <v>0.38</v>
      </c>
    </row>
    <row r="314" spans="1:2" x14ac:dyDescent="0.2">
      <c r="A314" s="679">
        <v>303</v>
      </c>
      <c r="B314" s="581">
        <v>0.38250000000000001</v>
      </c>
    </row>
    <row r="315" spans="1:2" x14ac:dyDescent="0.2">
      <c r="A315" s="679">
        <v>304</v>
      </c>
      <c r="B315" s="581">
        <v>0.38500000000000001</v>
      </c>
    </row>
    <row r="316" spans="1:2" x14ac:dyDescent="0.2">
      <c r="A316" s="679">
        <v>305</v>
      </c>
      <c r="B316" s="581">
        <v>0.38750000000000001</v>
      </c>
    </row>
    <row r="317" spans="1:2" x14ac:dyDescent="0.2">
      <c r="A317" s="679">
        <v>306</v>
      </c>
      <c r="B317" s="581">
        <v>0.39</v>
      </c>
    </row>
    <row r="318" spans="1:2" x14ac:dyDescent="0.2">
      <c r="A318" s="679">
        <v>307</v>
      </c>
      <c r="B318" s="581">
        <v>0.39250000000000002</v>
      </c>
    </row>
    <row r="319" spans="1:2" x14ac:dyDescent="0.2">
      <c r="A319" s="679">
        <v>308</v>
      </c>
      <c r="B319" s="581">
        <v>0.39500000000000002</v>
      </c>
    </row>
    <row r="320" spans="1:2" x14ac:dyDescent="0.2">
      <c r="A320" s="679">
        <v>309</v>
      </c>
      <c r="B320" s="581">
        <v>0.39750000000000002</v>
      </c>
    </row>
    <row r="321" spans="1:2" x14ac:dyDescent="0.2">
      <c r="A321" s="679">
        <v>310</v>
      </c>
      <c r="B321" s="581">
        <v>0.4</v>
      </c>
    </row>
    <row r="322" spans="1:2" x14ac:dyDescent="0.2">
      <c r="A322" s="679">
        <v>311</v>
      </c>
      <c r="B322" s="581">
        <v>0.40250000000000002</v>
      </c>
    </row>
    <row r="323" spans="1:2" x14ac:dyDescent="0.2">
      <c r="A323" s="679">
        <v>312</v>
      </c>
      <c r="B323" s="581">
        <v>0.40500000000000003</v>
      </c>
    </row>
    <row r="324" spans="1:2" x14ac:dyDescent="0.2">
      <c r="A324" s="679">
        <v>313</v>
      </c>
      <c r="B324" s="581">
        <v>0.40749999999999997</v>
      </c>
    </row>
    <row r="325" spans="1:2" x14ac:dyDescent="0.2">
      <c r="A325" s="679">
        <v>314</v>
      </c>
      <c r="B325" s="581">
        <v>0.41</v>
      </c>
    </row>
    <row r="326" spans="1:2" x14ac:dyDescent="0.2">
      <c r="A326" s="679">
        <v>315</v>
      </c>
      <c r="B326" s="581">
        <v>0.41249999999999998</v>
      </c>
    </row>
    <row r="327" spans="1:2" x14ac:dyDescent="0.2">
      <c r="A327" s="679">
        <v>316</v>
      </c>
      <c r="B327" s="581">
        <v>0.41499999999999998</v>
      </c>
    </row>
    <row r="328" spans="1:2" x14ac:dyDescent="0.2">
      <c r="A328" s="679">
        <v>317</v>
      </c>
      <c r="B328" s="581">
        <v>0.41749999999999998</v>
      </c>
    </row>
    <row r="329" spans="1:2" x14ac:dyDescent="0.2">
      <c r="A329" s="679">
        <v>318</v>
      </c>
      <c r="B329" s="581">
        <v>0.42</v>
      </c>
    </row>
    <row r="330" spans="1:2" x14ac:dyDescent="0.2">
      <c r="A330" s="679">
        <v>319</v>
      </c>
      <c r="B330" s="581">
        <v>0.42249999999999999</v>
      </c>
    </row>
    <row r="331" spans="1:2" x14ac:dyDescent="0.2">
      <c r="A331" s="679">
        <v>320</v>
      </c>
      <c r="B331" s="581">
        <v>0.42499999999999999</v>
      </c>
    </row>
    <row r="332" spans="1:2" x14ac:dyDescent="0.2">
      <c r="A332" s="679">
        <v>321</v>
      </c>
      <c r="B332" s="581">
        <v>0.42749999999999999</v>
      </c>
    </row>
    <row r="333" spans="1:2" x14ac:dyDescent="0.2">
      <c r="A333" s="679">
        <v>322</v>
      </c>
      <c r="B333" s="581">
        <v>0.43</v>
      </c>
    </row>
    <row r="334" spans="1:2" x14ac:dyDescent="0.2">
      <c r="A334" s="679">
        <v>323</v>
      </c>
      <c r="B334" s="581">
        <v>0.4325</v>
      </c>
    </row>
    <row r="335" spans="1:2" x14ac:dyDescent="0.2">
      <c r="A335" s="679">
        <v>324</v>
      </c>
      <c r="B335" s="581">
        <v>0.435</v>
      </c>
    </row>
    <row r="336" spans="1:2" x14ac:dyDescent="0.2">
      <c r="A336" s="679">
        <v>325</v>
      </c>
      <c r="B336" s="581">
        <v>0.4375</v>
      </c>
    </row>
    <row r="337" spans="1:2" x14ac:dyDescent="0.2">
      <c r="A337" s="679">
        <v>326</v>
      </c>
      <c r="B337" s="581">
        <v>0.44</v>
      </c>
    </row>
    <row r="338" spans="1:2" x14ac:dyDescent="0.2">
      <c r="A338" s="679">
        <v>327</v>
      </c>
      <c r="B338" s="581">
        <v>0.4425</v>
      </c>
    </row>
    <row r="339" spans="1:2" x14ac:dyDescent="0.2">
      <c r="A339" s="679">
        <v>328</v>
      </c>
      <c r="B339" s="581">
        <v>0.44500000000000001</v>
      </c>
    </row>
    <row r="340" spans="1:2" x14ac:dyDescent="0.2">
      <c r="A340" s="679">
        <v>329</v>
      </c>
      <c r="B340" s="581">
        <v>0.44750000000000001</v>
      </c>
    </row>
    <row r="341" spans="1:2" x14ac:dyDescent="0.2">
      <c r="A341" s="679">
        <v>330</v>
      </c>
      <c r="B341" s="581">
        <v>0.45</v>
      </c>
    </row>
    <row r="342" spans="1:2" x14ac:dyDescent="0.2">
      <c r="A342" s="679">
        <v>331</v>
      </c>
      <c r="B342" s="581">
        <v>0.45250000000000001</v>
      </c>
    </row>
    <row r="343" spans="1:2" x14ac:dyDescent="0.2">
      <c r="A343" s="679">
        <v>332</v>
      </c>
      <c r="B343" s="581">
        <v>0.45500000000000002</v>
      </c>
    </row>
    <row r="344" spans="1:2" x14ac:dyDescent="0.2">
      <c r="A344" s="679">
        <v>333</v>
      </c>
      <c r="B344" s="581">
        <v>0.45750000000000002</v>
      </c>
    </row>
    <row r="345" spans="1:2" x14ac:dyDescent="0.2">
      <c r="A345" s="679">
        <v>334</v>
      </c>
      <c r="B345" s="581">
        <v>0.46</v>
      </c>
    </row>
    <row r="346" spans="1:2" x14ac:dyDescent="0.2">
      <c r="A346" s="679">
        <v>335</v>
      </c>
      <c r="B346" s="581">
        <v>0.46250000000000002</v>
      </c>
    </row>
    <row r="347" spans="1:2" x14ac:dyDescent="0.2">
      <c r="A347" s="679">
        <v>336</v>
      </c>
      <c r="B347" s="581">
        <v>0.46500000000000002</v>
      </c>
    </row>
    <row r="348" spans="1:2" x14ac:dyDescent="0.2">
      <c r="A348" s="679">
        <v>337</v>
      </c>
      <c r="B348" s="581">
        <v>0.46750000000000003</v>
      </c>
    </row>
    <row r="349" spans="1:2" x14ac:dyDescent="0.2">
      <c r="A349" s="679">
        <v>338</v>
      </c>
      <c r="B349" s="581">
        <v>0.47</v>
      </c>
    </row>
    <row r="350" spans="1:2" x14ac:dyDescent="0.2">
      <c r="A350" s="679">
        <v>339</v>
      </c>
      <c r="B350" s="581">
        <v>0.47249999999999998</v>
      </c>
    </row>
    <row r="351" spans="1:2" x14ac:dyDescent="0.2">
      <c r="A351" s="679">
        <v>340</v>
      </c>
      <c r="B351" s="581">
        <v>0.47499999999999998</v>
      </c>
    </row>
    <row r="352" spans="1:2" x14ac:dyDescent="0.2">
      <c r="A352" s="679">
        <v>341</v>
      </c>
      <c r="B352" s="581">
        <v>0.47749999999999998</v>
      </c>
    </row>
    <row r="353" spans="1:2" x14ac:dyDescent="0.2">
      <c r="A353" s="679">
        <v>342</v>
      </c>
      <c r="B353" s="581">
        <v>0.48</v>
      </c>
    </row>
    <row r="354" spans="1:2" x14ac:dyDescent="0.2">
      <c r="A354" s="679">
        <v>343</v>
      </c>
      <c r="B354" s="581">
        <v>0.48249999999999998</v>
      </c>
    </row>
    <row r="355" spans="1:2" x14ac:dyDescent="0.2">
      <c r="A355" s="679">
        <v>344</v>
      </c>
      <c r="B355" s="581">
        <v>0.48499999999999999</v>
      </c>
    </row>
    <row r="356" spans="1:2" x14ac:dyDescent="0.2">
      <c r="A356" s="679">
        <v>345</v>
      </c>
      <c r="B356" s="581">
        <v>0.48749999999999999</v>
      </c>
    </row>
    <row r="357" spans="1:2" x14ac:dyDescent="0.2">
      <c r="A357" s="679">
        <v>346</v>
      </c>
      <c r="B357" s="581">
        <v>0.49</v>
      </c>
    </row>
    <row r="358" spans="1:2" x14ac:dyDescent="0.2">
      <c r="A358" s="679">
        <v>347</v>
      </c>
      <c r="B358" s="581">
        <v>0.49249999999999999</v>
      </c>
    </row>
    <row r="359" spans="1:2" x14ac:dyDescent="0.2">
      <c r="A359" s="679">
        <v>348</v>
      </c>
      <c r="B359" s="581">
        <v>0.495</v>
      </c>
    </row>
    <row r="360" spans="1:2" x14ac:dyDescent="0.2">
      <c r="A360" s="679">
        <v>349</v>
      </c>
      <c r="B360" s="581">
        <v>0.4975</v>
      </c>
    </row>
    <row r="361" spans="1:2" x14ac:dyDescent="0.2">
      <c r="A361" s="679">
        <v>350</v>
      </c>
      <c r="B361" s="581">
        <v>0.5</v>
      </c>
    </row>
    <row r="362" spans="1:2" x14ac:dyDescent="0.2">
      <c r="A362" s="679">
        <v>351</v>
      </c>
      <c r="B362" s="581">
        <v>0.50249999999999995</v>
      </c>
    </row>
    <row r="363" spans="1:2" x14ac:dyDescent="0.2">
      <c r="A363" s="679">
        <v>352</v>
      </c>
      <c r="B363" s="581">
        <v>0.505</v>
      </c>
    </row>
    <row r="364" spans="1:2" x14ac:dyDescent="0.2">
      <c r="A364" s="679">
        <v>353</v>
      </c>
      <c r="B364" s="581">
        <v>0.50749999999999995</v>
      </c>
    </row>
    <row r="365" spans="1:2" x14ac:dyDescent="0.2">
      <c r="A365" s="679">
        <v>354</v>
      </c>
      <c r="B365" s="581">
        <v>0.51</v>
      </c>
    </row>
    <row r="366" spans="1:2" x14ac:dyDescent="0.2">
      <c r="A366" s="679">
        <v>355</v>
      </c>
      <c r="B366" s="581">
        <v>0.51249999999999996</v>
      </c>
    </row>
    <row r="367" spans="1:2" x14ac:dyDescent="0.2">
      <c r="A367" s="679">
        <v>356</v>
      </c>
      <c r="B367" s="581">
        <v>0.51500000000000001</v>
      </c>
    </row>
    <row r="368" spans="1:2" x14ac:dyDescent="0.2">
      <c r="A368" s="679">
        <v>357</v>
      </c>
      <c r="B368" s="581">
        <v>0.51749999999999996</v>
      </c>
    </row>
    <row r="369" spans="1:2" x14ac:dyDescent="0.2">
      <c r="A369" s="679">
        <v>358</v>
      </c>
      <c r="B369" s="581">
        <v>0.52</v>
      </c>
    </row>
    <row r="370" spans="1:2" x14ac:dyDescent="0.2">
      <c r="A370" s="679">
        <v>359</v>
      </c>
      <c r="B370" s="581">
        <v>0.52249999999999996</v>
      </c>
    </row>
    <row r="371" spans="1:2" x14ac:dyDescent="0.2">
      <c r="A371" s="679">
        <v>360</v>
      </c>
      <c r="B371" s="581">
        <v>0.52500000000000002</v>
      </c>
    </row>
    <row r="372" spans="1:2" x14ac:dyDescent="0.2">
      <c r="A372" s="679">
        <v>361</v>
      </c>
      <c r="B372" s="581">
        <v>0.52749999999999997</v>
      </c>
    </row>
    <row r="373" spans="1:2" x14ac:dyDescent="0.2">
      <c r="A373" s="679">
        <v>362</v>
      </c>
      <c r="B373" s="581">
        <v>0.53</v>
      </c>
    </row>
    <row r="374" spans="1:2" x14ac:dyDescent="0.2">
      <c r="A374" s="679">
        <v>363</v>
      </c>
      <c r="B374" s="581">
        <v>0.53249999999999997</v>
      </c>
    </row>
    <row r="375" spans="1:2" x14ac:dyDescent="0.2">
      <c r="A375" s="679">
        <v>364</v>
      </c>
      <c r="B375" s="581">
        <v>0.53500000000000003</v>
      </c>
    </row>
    <row r="376" spans="1:2" x14ac:dyDescent="0.2">
      <c r="A376" s="679">
        <v>365</v>
      </c>
      <c r="B376" s="581">
        <v>0.53749999999999998</v>
      </c>
    </row>
    <row r="377" spans="1:2" x14ac:dyDescent="0.2">
      <c r="A377" s="679">
        <v>366</v>
      </c>
      <c r="B377" s="581">
        <v>0.54</v>
      </c>
    </row>
    <row r="378" spans="1:2" x14ac:dyDescent="0.2">
      <c r="A378" s="679">
        <v>367</v>
      </c>
      <c r="B378" s="581">
        <v>0.54249999999999998</v>
      </c>
    </row>
    <row r="379" spans="1:2" x14ac:dyDescent="0.2">
      <c r="A379" s="679">
        <v>368</v>
      </c>
      <c r="B379" s="581">
        <v>0.54500000000000004</v>
      </c>
    </row>
    <row r="380" spans="1:2" x14ac:dyDescent="0.2">
      <c r="A380" s="679">
        <v>369</v>
      </c>
      <c r="B380" s="581">
        <v>0.54749999999999999</v>
      </c>
    </row>
    <row r="381" spans="1:2" x14ac:dyDescent="0.2">
      <c r="A381" s="679">
        <v>370</v>
      </c>
      <c r="B381" s="581">
        <v>0.55000000000000004</v>
      </c>
    </row>
    <row r="382" spans="1:2" x14ac:dyDescent="0.2">
      <c r="A382" s="679">
        <v>371</v>
      </c>
      <c r="B382" s="581">
        <v>0.55249999999999999</v>
      </c>
    </row>
    <row r="383" spans="1:2" x14ac:dyDescent="0.2">
      <c r="A383" s="679">
        <v>372</v>
      </c>
      <c r="B383" s="581">
        <v>0.55500000000000005</v>
      </c>
    </row>
    <row r="384" spans="1:2" x14ac:dyDescent="0.2">
      <c r="A384" s="679">
        <v>373</v>
      </c>
      <c r="B384" s="581">
        <v>0.5575</v>
      </c>
    </row>
    <row r="385" spans="1:2" x14ac:dyDescent="0.2">
      <c r="A385" s="679">
        <v>374</v>
      </c>
      <c r="B385" s="581">
        <v>0.56000000000000005</v>
      </c>
    </row>
    <row r="386" spans="1:2" x14ac:dyDescent="0.2">
      <c r="A386" s="679">
        <v>375</v>
      </c>
      <c r="B386" s="581">
        <v>0.5625</v>
      </c>
    </row>
    <row r="387" spans="1:2" x14ac:dyDescent="0.2">
      <c r="A387" s="679">
        <v>376</v>
      </c>
      <c r="B387" s="581">
        <v>0.56499999999999995</v>
      </c>
    </row>
    <row r="388" spans="1:2" x14ac:dyDescent="0.2">
      <c r="A388" s="679">
        <v>377</v>
      </c>
      <c r="B388" s="581">
        <v>0.5675</v>
      </c>
    </row>
    <row r="389" spans="1:2" x14ac:dyDescent="0.2">
      <c r="A389" s="679">
        <v>378</v>
      </c>
      <c r="B389" s="581">
        <v>0.56999999999999995</v>
      </c>
    </row>
    <row r="390" spans="1:2" x14ac:dyDescent="0.2">
      <c r="A390" s="679">
        <v>379</v>
      </c>
      <c r="B390" s="581">
        <v>0.57250000000000001</v>
      </c>
    </row>
    <row r="391" spans="1:2" x14ac:dyDescent="0.2">
      <c r="A391" s="679">
        <v>380</v>
      </c>
      <c r="B391" s="581">
        <v>0.57499999999999996</v>
      </c>
    </row>
    <row r="392" spans="1:2" x14ac:dyDescent="0.2">
      <c r="A392" s="679">
        <v>381</v>
      </c>
      <c r="B392" s="581">
        <v>0.57750000000000001</v>
      </c>
    </row>
    <row r="393" spans="1:2" x14ac:dyDescent="0.2">
      <c r="A393" s="679">
        <v>382</v>
      </c>
      <c r="B393" s="581">
        <v>0.57999999999999996</v>
      </c>
    </row>
    <row r="394" spans="1:2" x14ac:dyDescent="0.2">
      <c r="A394" s="679">
        <v>383</v>
      </c>
      <c r="B394" s="581">
        <v>0.58250000000000002</v>
      </c>
    </row>
    <row r="395" spans="1:2" x14ac:dyDescent="0.2">
      <c r="A395" s="679">
        <v>384</v>
      </c>
      <c r="B395" s="581">
        <v>0.58499999999999996</v>
      </c>
    </row>
    <row r="396" spans="1:2" x14ac:dyDescent="0.2">
      <c r="A396" s="679">
        <v>385</v>
      </c>
      <c r="B396" s="581">
        <v>0.58750000000000002</v>
      </c>
    </row>
    <row r="397" spans="1:2" x14ac:dyDescent="0.2">
      <c r="A397" s="679">
        <v>386</v>
      </c>
      <c r="B397" s="581">
        <v>0.59</v>
      </c>
    </row>
    <row r="398" spans="1:2" x14ac:dyDescent="0.2">
      <c r="A398" s="679">
        <v>387</v>
      </c>
      <c r="B398" s="581">
        <v>0.59250000000000003</v>
      </c>
    </row>
    <row r="399" spans="1:2" x14ac:dyDescent="0.2">
      <c r="A399" s="679">
        <v>388</v>
      </c>
      <c r="B399" s="581">
        <v>0.59499999999999997</v>
      </c>
    </row>
    <row r="400" spans="1:2" x14ac:dyDescent="0.2">
      <c r="A400" s="679">
        <v>389</v>
      </c>
      <c r="B400" s="581">
        <v>0.59750000000000003</v>
      </c>
    </row>
    <row r="401" spans="1:2" x14ac:dyDescent="0.2">
      <c r="A401" s="679">
        <v>390</v>
      </c>
      <c r="B401" s="581">
        <v>0.6</v>
      </c>
    </row>
    <row r="402" spans="1:2" x14ac:dyDescent="0.2">
      <c r="A402" s="679">
        <v>391</v>
      </c>
      <c r="B402" s="581">
        <v>0.60250000000000004</v>
      </c>
    </row>
    <row r="403" spans="1:2" x14ac:dyDescent="0.2">
      <c r="A403" s="679">
        <v>392</v>
      </c>
      <c r="B403" s="581">
        <v>0.60499999999999998</v>
      </c>
    </row>
    <row r="404" spans="1:2" x14ac:dyDescent="0.2">
      <c r="A404" s="679">
        <v>393</v>
      </c>
      <c r="B404" s="581">
        <v>0.60750000000000004</v>
      </c>
    </row>
    <row r="405" spans="1:2" x14ac:dyDescent="0.2">
      <c r="A405" s="679">
        <v>394</v>
      </c>
      <c r="B405" s="581">
        <v>0.61</v>
      </c>
    </row>
    <row r="406" spans="1:2" x14ac:dyDescent="0.2">
      <c r="A406" s="679">
        <v>395</v>
      </c>
      <c r="B406" s="581">
        <v>0.61250000000000004</v>
      </c>
    </row>
    <row r="407" spans="1:2" x14ac:dyDescent="0.2">
      <c r="A407" s="679">
        <v>396</v>
      </c>
      <c r="B407" s="581">
        <v>0.61499999999999999</v>
      </c>
    </row>
    <row r="408" spans="1:2" x14ac:dyDescent="0.2">
      <c r="A408" s="679">
        <v>397</v>
      </c>
      <c r="B408" s="581">
        <v>0.61750000000000005</v>
      </c>
    </row>
    <row r="409" spans="1:2" x14ac:dyDescent="0.2">
      <c r="A409" s="679">
        <v>398</v>
      </c>
      <c r="B409" s="581">
        <v>0.62</v>
      </c>
    </row>
    <row r="410" spans="1:2" x14ac:dyDescent="0.2">
      <c r="A410" s="679">
        <v>399</v>
      </c>
      <c r="B410" s="581">
        <v>0.62250000000000005</v>
      </c>
    </row>
    <row r="411" spans="1:2" x14ac:dyDescent="0.2">
      <c r="A411" s="679">
        <v>400</v>
      </c>
      <c r="B411" s="581">
        <v>0.625</v>
      </c>
    </row>
    <row r="412" spans="1:2" x14ac:dyDescent="0.2">
      <c r="A412" s="679">
        <v>401</v>
      </c>
      <c r="B412" s="581">
        <v>0.62749999999999995</v>
      </c>
    </row>
    <row r="413" spans="1:2" x14ac:dyDescent="0.2">
      <c r="A413" s="679">
        <v>402</v>
      </c>
      <c r="B413" s="581">
        <v>0.63</v>
      </c>
    </row>
    <row r="414" spans="1:2" x14ac:dyDescent="0.2">
      <c r="A414" s="679">
        <v>403</v>
      </c>
      <c r="B414" s="581">
        <v>0.63249999999999995</v>
      </c>
    </row>
    <row r="415" spans="1:2" x14ac:dyDescent="0.2">
      <c r="A415" s="679">
        <v>404</v>
      </c>
      <c r="B415" s="581">
        <v>0.63500000000000001</v>
      </c>
    </row>
    <row r="416" spans="1:2" x14ac:dyDescent="0.2">
      <c r="A416" s="679">
        <v>405</v>
      </c>
      <c r="B416" s="581">
        <v>0.63749999999999996</v>
      </c>
    </row>
    <row r="417" spans="1:2" x14ac:dyDescent="0.2">
      <c r="A417" s="679">
        <v>406</v>
      </c>
      <c r="B417" s="581">
        <v>0.64</v>
      </c>
    </row>
    <row r="418" spans="1:2" x14ac:dyDescent="0.2">
      <c r="A418" s="679">
        <v>407</v>
      </c>
      <c r="B418" s="581">
        <v>0.64249999999999996</v>
      </c>
    </row>
    <row r="419" spans="1:2" x14ac:dyDescent="0.2">
      <c r="A419" s="679">
        <v>408</v>
      </c>
      <c r="B419" s="581">
        <v>0.64500000000000002</v>
      </c>
    </row>
    <row r="420" spans="1:2" x14ac:dyDescent="0.2">
      <c r="A420" s="679">
        <v>409</v>
      </c>
      <c r="B420" s="581">
        <v>0.64749999999999996</v>
      </c>
    </row>
    <row r="421" spans="1:2" x14ac:dyDescent="0.2">
      <c r="A421" s="679">
        <v>410</v>
      </c>
      <c r="B421" s="581">
        <v>0.65</v>
      </c>
    </row>
    <row r="422" spans="1:2" x14ac:dyDescent="0.2">
      <c r="A422" s="679">
        <v>411</v>
      </c>
      <c r="B422" s="581">
        <v>0.65249999999999997</v>
      </c>
    </row>
    <row r="423" spans="1:2" x14ac:dyDescent="0.2">
      <c r="A423" s="679">
        <v>412</v>
      </c>
      <c r="B423" s="581">
        <v>0.65500000000000003</v>
      </c>
    </row>
    <row r="424" spans="1:2" x14ac:dyDescent="0.2">
      <c r="A424" s="679">
        <v>413</v>
      </c>
      <c r="B424" s="581">
        <v>0.65749999999999997</v>
      </c>
    </row>
    <row r="425" spans="1:2" x14ac:dyDescent="0.2">
      <c r="A425" s="679">
        <v>414</v>
      </c>
      <c r="B425" s="581">
        <v>0.66</v>
      </c>
    </row>
    <row r="426" spans="1:2" x14ac:dyDescent="0.2">
      <c r="A426" s="679">
        <v>415</v>
      </c>
      <c r="B426" s="581">
        <v>0.66249999999999998</v>
      </c>
    </row>
    <row r="427" spans="1:2" x14ac:dyDescent="0.2">
      <c r="A427" s="679">
        <v>416</v>
      </c>
      <c r="B427" s="581">
        <v>0.66500000000000004</v>
      </c>
    </row>
    <row r="428" spans="1:2" x14ac:dyDescent="0.2">
      <c r="A428" s="679">
        <v>417</v>
      </c>
      <c r="B428" s="581">
        <v>0.66749999999999998</v>
      </c>
    </row>
    <row r="429" spans="1:2" x14ac:dyDescent="0.2">
      <c r="A429" s="679">
        <v>418</v>
      </c>
      <c r="B429" s="581">
        <v>0.67</v>
      </c>
    </row>
    <row r="430" spans="1:2" x14ac:dyDescent="0.2">
      <c r="A430" s="679">
        <v>419</v>
      </c>
      <c r="B430" s="581">
        <v>0.67249999999999999</v>
      </c>
    </row>
    <row r="431" spans="1:2" x14ac:dyDescent="0.2">
      <c r="A431" s="679">
        <v>420</v>
      </c>
      <c r="B431" s="581">
        <v>0.67500000000000004</v>
      </c>
    </row>
    <row r="432" spans="1:2" x14ac:dyDescent="0.2">
      <c r="A432" s="679">
        <v>421</v>
      </c>
      <c r="B432" s="581">
        <v>0.67749999999999999</v>
      </c>
    </row>
    <row r="433" spans="1:2" x14ac:dyDescent="0.2">
      <c r="A433" s="679">
        <v>422</v>
      </c>
      <c r="B433" s="581">
        <v>0.68</v>
      </c>
    </row>
    <row r="434" spans="1:2" x14ac:dyDescent="0.2">
      <c r="A434" s="679">
        <v>423</v>
      </c>
      <c r="B434" s="581">
        <v>0.6825</v>
      </c>
    </row>
    <row r="435" spans="1:2" x14ac:dyDescent="0.2">
      <c r="A435" s="679">
        <v>424</v>
      </c>
      <c r="B435" s="581">
        <v>0.68500000000000005</v>
      </c>
    </row>
    <row r="436" spans="1:2" x14ac:dyDescent="0.2">
      <c r="A436" s="679">
        <v>425</v>
      </c>
      <c r="B436" s="581">
        <v>0.6875</v>
      </c>
    </row>
    <row r="437" spans="1:2" x14ac:dyDescent="0.2">
      <c r="A437" s="679">
        <v>426</v>
      </c>
      <c r="B437" s="581">
        <v>0.69</v>
      </c>
    </row>
    <row r="438" spans="1:2" x14ac:dyDescent="0.2">
      <c r="A438" s="679">
        <v>427</v>
      </c>
      <c r="B438" s="581">
        <v>0.6925</v>
      </c>
    </row>
    <row r="439" spans="1:2" x14ac:dyDescent="0.2">
      <c r="A439" s="679">
        <v>428</v>
      </c>
      <c r="B439" s="581">
        <v>0.69499999999999995</v>
      </c>
    </row>
    <row r="440" spans="1:2" x14ac:dyDescent="0.2">
      <c r="A440" s="679">
        <v>429</v>
      </c>
      <c r="B440" s="581">
        <v>0.69750000000000001</v>
      </c>
    </row>
    <row r="441" spans="1:2" x14ac:dyDescent="0.2">
      <c r="A441" s="679">
        <v>430</v>
      </c>
      <c r="B441" s="581">
        <v>0.7</v>
      </c>
    </row>
    <row r="442" spans="1:2" x14ac:dyDescent="0.2">
      <c r="A442" s="679">
        <v>431</v>
      </c>
      <c r="B442" s="581">
        <v>0.70250000000000001</v>
      </c>
    </row>
    <row r="443" spans="1:2" x14ac:dyDescent="0.2">
      <c r="A443" s="679">
        <v>432</v>
      </c>
      <c r="B443" s="581">
        <v>0.70499999999999996</v>
      </c>
    </row>
    <row r="444" spans="1:2" x14ac:dyDescent="0.2">
      <c r="A444" s="679">
        <v>433</v>
      </c>
      <c r="B444" s="581">
        <v>0.70750000000000002</v>
      </c>
    </row>
    <row r="445" spans="1:2" x14ac:dyDescent="0.2">
      <c r="A445" s="679">
        <v>434</v>
      </c>
      <c r="B445" s="581">
        <v>0.71</v>
      </c>
    </row>
    <row r="446" spans="1:2" x14ac:dyDescent="0.2">
      <c r="A446" s="679">
        <v>435</v>
      </c>
      <c r="B446" s="581">
        <v>0.71250000000000002</v>
      </c>
    </row>
    <row r="447" spans="1:2" x14ac:dyDescent="0.2">
      <c r="A447" s="679">
        <v>436</v>
      </c>
      <c r="B447" s="581">
        <v>0.71499999999999997</v>
      </c>
    </row>
    <row r="448" spans="1:2" x14ac:dyDescent="0.2">
      <c r="A448" s="679">
        <v>437</v>
      </c>
      <c r="B448" s="581">
        <v>0.71750000000000003</v>
      </c>
    </row>
    <row r="449" spans="1:2" x14ac:dyDescent="0.2">
      <c r="A449" s="679">
        <v>438</v>
      </c>
      <c r="B449" s="581">
        <v>0.72</v>
      </c>
    </row>
    <row r="450" spans="1:2" x14ac:dyDescent="0.2">
      <c r="A450" s="679">
        <v>439</v>
      </c>
      <c r="B450" s="581">
        <v>0.72250000000000003</v>
      </c>
    </row>
    <row r="451" spans="1:2" x14ac:dyDescent="0.2">
      <c r="A451" s="679">
        <v>440</v>
      </c>
      <c r="B451" s="581">
        <v>0.72499999999999998</v>
      </c>
    </row>
    <row r="452" spans="1:2" x14ac:dyDescent="0.2">
      <c r="A452" s="679">
        <v>441</v>
      </c>
      <c r="B452" s="581">
        <v>0.72750000000000004</v>
      </c>
    </row>
    <row r="453" spans="1:2" x14ac:dyDescent="0.2">
      <c r="A453" s="679">
        <v>442</v>
      </c>
      <c r="B453" s="581">
        <v>0.73</v>
      </c>
    </row>
    <row r="454" spans="1:2" x14ac:dyDescent="0.2">
      <c r="A454" s="679">
        <v>443</v>
      </c>
      <c r="B454" s="581">
        <v>0.73250000000000004</v>
      </c>
    </row>
    <row r="455" spans="1:2" x14ac:dyDescent="0.2">
      <c r="A455" s="679">
        <v>444</v>
      </c>
      <c r="B455" s="581">
        <v>0.73499999999999999</v>
      </c>
    </row>
    <row r="456" spans="1:2" x14ac:dyDescent="0.2">
      <c r="A456" s="679">
        <v>445</v>
      </c>
      <c r="B456" s="581">
        <v>0.73750000000000004</v>
      </c>
    </row>
    <row r="457" spans="1:2" x14ac:dyDescent="0.2">
      <c r="A457" s="679">
        <v>446</v>
      </c>
      <c r="B457" s="581">
        <v>0.74</v>
      </c>
    </row>
    <row r="458" spans="1:2" x14ac:dyDescent="0.2">
      <c r="A458" s="679">
        <v>447</v>
      </c>
      <c r="B458" s="581">
        <v>0.74250000000000005</v>
      </c>
    </row>
    <row r="459" spans="1:2" x14ac:dyDescent="0.2">
      <c r="A459" s="679">
        <v>448</v>
      </c>
      <c r="B459" s="581">
        <v>0.745</v>
      </c>
    </row>
    <row r="460" spans="1:2" x14ac:dyDescent="0.2">
      <c r="A460" s="679">
        <v>449</v>
      </c>
      <c r="B460" s="581">
        <v>0.74750000000000005</v>
      </c>
    </row>
    <row r="461" spans="1:2" x14ac:dyDescent="0.2">
      <c r="A461" s="679">
        <v>450</v>
      </c>
      <c r="B461" s="581">
        <v>0.75</v>
      </c>
    </row>
    <row r="462" spans="1:2" x14ac:dyDescent="0.2">
      <c r="A462" s="679">
        <v>451</v>
      </c>
      <c r="B462" s="581">
        <v>0.75249999999999995</v>
      </c>
    </row>
    <row r="463" spans="1:2" x14ac:dyDescent="0.2">
      <c r="A463" s="679">
        <v>452</v>
      </c>
      <c r="B463" s="581">
        <v>0.755</v>
      </c>
    </row>
    <row r="464" spans="1:2" x14ac:dyDescent="0.2">
      <c r="A464" s="679">
        <v>453</v>
      </c>
      <c r="B464" s="581">
        <v>0.75749999999999995</v>
      </c>
    </row>
    <row r="465" spans="1:2" x14ac:dyDescent="0.2">
      <c r="A465" s="679">
        <v>454</v>
      </c>
      <c r="B465" s="581">
        <v>0.76</v>
      </c>
    </row>
    <row r="466" spans="1:2" x14ac:dyDescent="0.2">
      <c r="A466" s="679">
        <v>455</v>
      </c>
      <c r="B466" s="581">
        <v>0.76249999999999996</v>
      </c>
    </row>
    <row r="467" spans="1:2" x14ac:dyDescent="0.2">
      <c r="A467" s="679">
        <v>456</v>
      </c>
      <c r="B467" s="581">
        <v>0.76500000000000001</v>
      </c>
    </row>
    <row r="468" spans="1:2" x14ac:dyDescent="0.2">
      <c r="A468" s="679">
        <v>457</v>
      </c>
      <c r="B468" s="581">
        <v>0.76749999999999996</v>
      </c>
    </row>
    <row r="469" spans="1:2" x14ac:dyDescent="0.2">
      <c r="A469" s="679">
        <v>458</v>
      </c>
      <c r="B469" s="581">
        <v>0.77</v>
      </c>
    </row>
    <row r="470" spans="1:2" x14ac:dyDescent="0.2">
      <c r="A470" s="679">
        <v>459</v>
      </c>
      <c r="B470" s="581">
        <v>0.77249999999999996</v>
      </c>
    </row>
    <row r="471" spans="1:2" x14ac:dyDescent="0.2">
      <c r="A471" s="679">
        <v>460</v>
      </c>
      <c r="B471" s="581">
        <v>0.77500000000000002</v>
      </c>
    </row>
    <row r="472" spans="1:2" x14ac:dyDescent="0.2">
      <c r="A472" s="679">
        <v>461</v>
      </c>
      <c r="B472" s="581">
        <v>0.77749999999999997</v>
      </c>
    </row>
    <row r="473" spans="1:2" x14ac:dyDescent="0.2">
      <c r="A473" s="679">
        <v>462</v>
      </c>
      <c r="B473" s="581">
        <v>0.78</v>
      </c>
    </row>
    <row r="474" spans="1:2" x14ac:dyDescent="0.2">
      <c r="A474" s="679">
        <v>463</v>
      </c>
      <c r="B474" s="581">
        <v>0.78249999999999997</v>
      </c>
    </row>
    <row r="475" spans="1:2" x14ac:dyDescent="0.2">
      <c r="A475" s="679">
        <v>464</v>
      </c>
      <c r="B475" s="581">
        <v>0.78500000000000003</v>
      </c>
    </row>
    <row r="476" spans="1:2" x14ac:dyDescent="0.2">
      <c r="A476" s="679">
        <v>465</v>
      </c>
      <c r="B476" s="581">
        <v>0.78749999999999998</v>
      </c>
    </row>
    <row r="477" spans="1:2" x14ac:dyDescent="0.2">
      <c r="A477" s="679">
        <v>466</v>
      </c>
      <c r="B477" s="581">
        <v>0.79</v>
      </c>
    </row>
    <row r="478" spans="1:2" x14ac:dyDescent="0.2">
      <c r="A478" s="679">
        <v>467</v>
      </c>
      <c r="B478" s="581">
        <v>0.79249999999999998</v>
      </c>
    </row>
    <row r="479" spans="1:2" x14ac:dyDescent="0.2">
      <c r="A479" s="679">
        <v>468</v>
      </c>
      <c r="B479" s="581">
        <v>0.79500000000000004</v>
      </c>
    </row>
    <row r="480" spans="1:2" x14ac:dyDescent="0.2">
      <c r="A480" s="679">
        <v>469</v>
      </c>
      <c r="B480" s="581">
        <v>0.79749999999999999</v>
      </c>
    </row>
    <row r="481" spans="1:2" x14ac:dyDescent="0.2">
      <c r="A481" s="679">
        <v>470</v>
      </c>
      <c r="B481" s="581">
        <v>0.8</v>
      </c>
    </row>
    <row r="482" spans="1:2" x14ac:dyDescent="0.2">
      <c r="A482" s="679">
        <v>471</v>
      </c>
      <c r="B482" s="581">
        <v>0.80249999999999999</v>
      </c>
    </row>
    <row r="483" spans="1:2" x14ac:dyDescent="0.2">
      <c r="A483" s="679">
        <v>472</v>
      </c>
      <c r="B483" s="581">
        <v>0.80500000000000005</v>
      </c>
    </row>
    <row r="484" spans="1:2" x14ac:dyDescent="0.2">
      <c r="A484" s="679">
        <v>473</v>
      </c>
      <c r="B484" s="581">
        <v>0.8075</v>
      </c>
    </row>
    <row r="485" spans="1:2" x14ac:dyDescent="0.2">
      <c r="A485" s="679">
        <v>474</v>
      </c>
      <c r="B485" s="581">
        <v>0.81</v>
      </c>
    </row>
    <row r="486" spans="1:2" x14ac:dyDescent="0.2">
      <c r="A486" s="679">
        <v>475</v>
      </c>
      <c r="B486" s="581">
        <v>0.8125</v>
      </c>
    </row>
    <row r="487" spans="1:2" x14ac:dyDescent="0.2">
      <c r="A487" s="679">
        <v>476</v>
      </c>
      <c r="B487" s="581">
        <v>0.81499999999999995</v>
      </c>
    </row>
    <row r="488" spans="1:2" x14ac:dyDescent="0.2">
      <c r="A488" s="679">
        <v>477</v>
      </c>
      <c r="B488" s="581">
        <v>0.8175</v>
      </c>
    </row>
    <row r="489" spans="1:2" x14ac:dyDescent="0.2">
      <c r="A489" s="679">
        <v>478</v>
      </c>
      <c r="B489" s="581">
        <v>0.82</v>
      </c>
    </row>
    <row r="490" spans="1:2" x14ac:dyDescent="0.2">
      <c r="A490" s="679">
        <v>479</v>
      </c>
      <c r="B490" s="581">
        <v>0.82250000000000001</v>
      </c>
    </row>
    <row r="491" spans="1:2" x14ac:dyDescent="0.2">
      <c r="A491" s="679">
        <v>480</v>
      </c>
      <c r="B491" s="581">
        <v>0.82499999999999996</v>
      </c>
    </row>
    <row r="492" spans="1:2" x14ac:dyDescent="0.2">
      <c r="A492" s="679">
        <v>481</v>
      </c>
      <c r="B492" s="581">
        <v>0.82750000000000001</v>
      </c>
    </row>
    <row r="493" spans="1:2" x14ac:dyDescent="0.2">
      <c r="A493" s="679">
        <v>482</v>
      </c>
      <c r="B493" s="581">
        <v>0.83</v>
      </c>
    </row>
    <row r="494" spans="1:2" x14ac:dyDescent="0.2">
      <c r="A494" s="679">
        <v>483</v>
      </c>
      <c r="B494" s="581">
        <v>0.83250000000000002</v>
      </c>
    </row>
    <row r="495" spans="1:2" x14ac:dyDescent="0.2">
      <c r="A495" s="679">
        <v>484</v>
      </c>
      <c r="B495" s="581">
        <v>0.83499999999999996</v>
      </c>
    </row>
    <row r="496" spans="1:2" x14ac:dyDescent="0.2">
      <c r="A496" s="679">
        <v>485</v>
      </c>
      <c r="B496" s="581">
        <v>0.83750000000000002</v>
      </c>
    </row>
    <row r="497" spans="1:2" x14ac:dyDescent="0.2">
      <c r="A497" s="679">
        <v>486</v>
      </c>
      <c r="B497" s="581">
        <v>0.84</v>
      </c>
    </row>
    <row r="498" spans="1:2" x14ac:dyDescent="0.2">
      <c r="A498" s="679">
        <v>487</v>
      </c>
      <c r="B498" s="581">
        <v>0.84250000000000003</v>
      </c>
    </row>
    <row r="499" spans="1:2" x14ac:dyDescent="0.2">
      <c r="A499" s="679">
        <v>488</v>
      </c>
      <c r="B499" s="581">
        <v>0.84499999999999997</v>
      </c>
    </row>
    <row r="500" spans="1:2" x14ac:dyDescent="0.2">
      <c r="A500" s="679">
        <v>489</v>
      </c>
      <c r="B500" s="581">
        <v>0.84750000000000003</v>
      </c>
    </row>
    <row r="501" spans="1:2" x14ac:dyDescent="0.2">
      <c r="A501" s="679">
        <v>490</v>
      </c>
      <c r="B501" s="581">
        <v>0.85</v>
      </c>
    </row>
    <row r="502" spans="1:2" x14ac:dyDescent="0.2">
      <c r="A502" s="679">
        <v>491</v>
      </c>
      <c r="B502" s="581">
        <v>0.85250000000000004</v>
      </c>
    </row>
    <row r="503" spans="1:2" x14ac:dyDescent="0.2">
      <c r="A503" s="679">
        <v>492</v>
      </c>
      <c r="B503" s="581">
        <v>0.85499999999999998</v>
      </c>
    </row>
    <row r="504" spans="1:2" x14ac:dyDescent="0.2">
      <c r="A504" s="679">
        <v>493</v>
      </c>
      <c r="B504" s="581">
        <v>0.85750000000000004</v>
      </c>
    </row>
    <row r="505" spans="1:2" x14ac:dyDescent="0.2">
      <c r="A505" s="679">
        <v>494</v>
      </c>
      <c r="B505" s="581">
        <v>0.86</v>
      </c>
    </row>
    <row r="506" spans="1:2" x14ac:dyDescent="0.2">
      <c r="A506" s="679">
        <v>495</v>
      </c>
      <c r="B506" s="581">
        <v>0.86250000000000004</v>
      </c>
    </row>
    <row r="507" spans="1:2" x14ac:dyDescent="0.2">
      <c r="A507" s="679">
        <v>496</v>
      </c>
      <c r="B507" s="581">
        <v>0.86499999999999999</v>
      </c>
    </row>
    <row r="508" spans="1:2" x14ac:dyDescent="0.2">
      <c r="A508" s="679">
        <v>497</v>
      </c>
      <c r="B508" s="581">
        <v>0.86750000000000005</v>
      </c>
    </row>
    <row r="509" spans="1:2" x14ac:dyDescent="0.2">
      <c r="A509" s="679">
        <v>498</v>
      </c>
      <c r="B509" s="581">
        <v>0.87</v>
      </c>
    </row>
    <row r="510" spans="1:2" x14ac:dyDescent="0.2">
      <c r="A510" s="679">
        <v>499</v>
      </c>
      <c r="B510" s="581">
        <v>0.87250000000000005</v>
      </c>
    </row>
    <row r="511" spans="1:2" x14ac:dyDescent="0.2">
      <c r="A511" s="679">
        <v>500</v>
      </c>
      <c r="B511" s="581">
        <v>0.875</v>
      </c>
    </row>
    <row r="512" spans="1:2" x14ac:dyDescent="0.2">
      <c r="A512" s="679">
        <v>501</v>
      </c>
      <c r="B512" s="581">
        <v>0.87749999999999995</v>
      </c>
    </row>
    <row r="513" spans="1:2" x14ac:dyDescent="0.2">
      <c r="A513" s="679">
        <v>502</v>
      </c>
      <c r="B513" s="581">
        <v>0.88</v>
      </c>
    </row>
    <row r="514" spans="1:2" x14ac:dyDescent="0.2">
      <c r="A514" s="679">
        <v>503</v>
      </c>
      <c r="B514" s="581">
        <v>0.88249999999999995</v>
      </c>
    </row>
    <row r="515" spans="1:2" x14ac:dyDescent="0.2">
      <c r="A515" s="679">
        <v>504</v>
      </c>
      <c r="B515" s="581">
        <v>0.88500000000000001</v>
      </c>
    </row>
    <row r="516" spans="1:2" x14ac:dyDescent="0.2">
      <c r="A516" s="679">
        <v>505</v>
      </c>
      <c r="B516" s="581">
        <v>0.88749999999999996</v>
      </c>
    </row>
    <row r="517" spans="1:2" x14ac:dyDescent="0.2">
      <c r="A517" s="679">
        <v>506</v>
      </c>
      <c r="B517" s="581">
        <v>0.89</v>
      </c>
    </row>
    <row r="518" spans="1:2" x14ac:dyDescent="0.2">
      <c r="A518" s="679">
        <v>507</v>
      </c>
      <c r="B518" s="581">
        <v>0.89249999999999996</v>
      </c>
    </row>
    <row r="519" spans="1:2" x14ac:dyDescent="0.2">
      <c r="A519" s="679">
        <v>508</v>
      </c>
      <c r="B519" s="581">
        <v>0.89500000000000002</v>
      </c>
    </row>
    <row r="520" spans="1:2" x14ac:dyDescent="0.2">
      <c r="A520" s="679">
        <v>509</v>
      </c>
      <c r="B520" s="581">
        <v>0.89749999999999996</v>
      </c>
    </row>
    <row r="521" spans="1:2" x14ac:dyDescent="0.2">
      <c r="A521" s="679">
        <v>510</v>
      </c>
      <c r="B521" s="581">
        <v>0.9</v>
      </c>
    </row>
    <row r="522" spans="1:2" x14ac:dyDescent="0.2">
      <c r="A522" s="679">
        <v>511</v>
      </c>
      <c r="B522" s="581">
        <v>0.90249999999999997</v>
      </c>
    </row>
    <row r="523" spans="1:2" x14ac:dyDescent="0.2">
      <c r="A523" s="679">
        <v>512</v>
      </c>
      <c r="B523" s="581">
        <v>0.90500000000000003</v>
      </c>
    </row>
    <row r="524" spans="1:2" x14ac:dyDescent="0.2">
      <c r="A524" s="679">
        <v>513</v>
      </c>
      <c r="B524" s="581">
        <v>0.90749999999999997</v>
      </c>
    </row>
    <row r="525" spans="1:2" x14ac:dyDescent="0.2">
      <c r="A525" s="679">
        <v>514</v>
      </c>
      <c r="B525" s="581">
        <v>0.91</v>
      </c>
    </row>
    <row r="526" spans="1:2" x14ac:dyDescent="0.2">
      <c r="A526" s="679">
        <v>515</v>
      </c>
      <c r="B526" s="581">
        <v>0.91249999999999998</v>
      </c>
    </row>
    <row r="527" spans="1:2" x14ac:dyDescent="0.2">
      <c r="A527" s="679">
        <v>516</v>
      </c>
      <c r="B527" s="581">
        <v>0.91500000000000004</v>
      </c>
    </row>
    <row r="528" spans="1:2" x14ac:dyDescent="0.2">
      <c r="A528" s="679">
        <v>517</v>
      </c>
      <c r="B528" s="581">
        <v>0.91749999999999998</v>
      </c>
    </row>
    <row r="529" spans="1:2" x14ac:dyDescent="0.2">
      <c r="A529" s="679">
        <v>518</v>
      </c>
      <c r="B529" s="581">
        <v>0.92</v>
      </c>
    </row>
    <row r="530" spans="1:2" x14ac:dyDescent="0.2">
      <c r="A530" s="679">
        <v>519</v>
      </c>
      <c r="B530" s="581">
        <v>0.92249999999999999</v>
      </c>
    </row>
    <row r="531" spans="1:2" x14ac:dyDescent="0.2">
      <c r="A531" s="679">
        <v>520</v>
      </c>
      <c r="B531" s="581">
        <v>0.92500000000000004</v>
      </c>
    </row>
    <row r="532" spans="1:2" x14ac:dyDescent="0.2">
      <c r="A532" s="679">
        <v>521</v>
      </c>
      <c r="B532" s="581">
        <v>0.92749999999999999</v>
      </c>
    </row>
    <row r="533" spans="1:2" x14ac:dyDescent="0.2">
      <c r="A533" s="679">
        <v>522</v>
      </c>
      <c r="B533" s="581">
        <v>0.93</v>
      </c>
    </row>
    <row r="534" spans="1:2" x14ac:dyDescent="0.2">
      <c r="A534" s="679">
        <v>523</v>
      </c>
      <c r="B534" s="581">
        <v>0.9325</v>
      </c>
    </row>
    <row r="535" spans="1:2" x14ac:dyDescent="0.2">
      <c r="A535" s="679">
        <v>524</v>
      </c>
      <c r="B535" s="581">
        <v>0.93500000000000005</v>
      </c>
    </row>
    <row r="536" spans="1:2" x14ac:dyDescent="0.2">
      <c r="A536" s="679">
        <v>525</v>
      </c>
      <c r="B536" s="581">
        <v>0.9375</v>
      </c>
    </row>
    <row r="537" spans="1:2" x14ac:dyDescent="0.2">
      <c r="A537" s="679">
        <v>526</v>
      </c>
      <c r="B537" s="581">
        <v>0.94</v>
      </c>
    </row>
    <row r="538" spans="1:2" x14ac:dyDescent="0.2">
      <c r="A538" s="679">
        <v>527</v>
      </c>
      <c r="B538" s="581">
        <v>0.9425</v>
      </c>
    </row>
    <row r="539" spans="1:2" x14ac:dyDescent="0.2">
      <c r="A539" s="679">
        <v>528</v>
      </c>
      <c r="B539" s="581">
        <v>0.94499999999999995</v>
      </c>
    </row>
    <row r="540" spans="1:2" x14ac:dyDescent="0.2">
      <c r="A540" s="679">
        <v>529</v>
      </c>
      <c r="B540" s="581">
        <v>0.94750000000000001</v>
      </c>
    </row>
    <row r="541" spans="1:2" x14ac:dyDescent="0.2">
      <c r="A541" s="679">
        <v>530</v>
      </c>
      <c r="B541" s="581">
        <v>0.95</v>
      </c>
    </row>
    <row r="542" spans="1:2" x14ac:dyDescent="0.2">
      <c r="A542" s="679">
        <v>531</v>
      </c>
      <c r="B542" s="581">
        <v>0.95250000000000001</v>
      </c>
    </row>
    <row r="543" spans="1:2" x14ac:dyDescent="0.2">
      <c r="A543" s="679">
        <v>532</v>
      </c>
      <c r="B543" s="581">
        <v>0.95499999999999996</v>
      </c>
    </row>
    <row r="544" spans="1:2" x14ac:dyDescent="0.2">
      <c r="A544" s="679">
        <v>533</v>
      </c>
      <c r="B544" s="581">
        <v>0.95750000000000002</v>
      </c>
    </row>
    <row r="545" spans="1:2" x14ac:dyDescent="0.2">
      <c r="A545" s="679">
        <v>534</v>
      </c>
      <c r="B545" s="581">
        <v>0.96</v>
      </c>
    </row>
    <row r="546" spans="1:2" x14ac:dyDescent="0.2">
      <c r="A546" s="679">
        <v>535</v>
      </c>
      <c r="B546" s="581">
        <v>0.96250000000000002</v>
      </c>
    </row>
    <row r="547" spans="1:2" x14ac:dyDescent="0.2">
      <c r="A547" s="679">
        <v>536</v>
      </c>
      <c r="B547" s="581">
        <v>0.96499999999999997</v>
      </c>
    </row>
    <row r="548" spans="1:2" x14ac:dyDescent="0.2">
      <c r="A548" s="679">
        <v>537</v>
      </c>
      <c r="B548" s="581">
        <v>0.96750000000000003</v>
      </c>
    </row>
    <row r="549" spans="1:2" x14ac:dyDescent="0.2">
      <c r="A549" s="679">
        <v>538</v>
      </c>
      <c r="B549" s="581">
        <v>0.97</v>
      </c>
    </row>
    <row r="550" spans="1:2" x14ac:dyDescent="0.2">
      <c r="A550" s="679">
        <v>539</v>
      </c>
      <c r="B550" s="581">
        <v>0.97250000000000003</v>
      </c>
    </row>
    <row r="551" spans="1:2" x14ac:dyDescent="0.2">
      <c r="A551" s="679">
        <v>540</v>
      </c>
      <c r="B551" s="581">
        <v>0.97499999999999998</v>
      </c>
    </row>
    <row r="552" spans="1:2" x14ac:dyDescent="0.2">
      <c r="A552" s="679">
        <v>541</v>
      </c>
      <c r="B552" s="581">
        <v>0.97750000000000004</v>
      </c>
    </row>
    <row r="553" spans="1:2" x14ac:dyDescent="0.2">
      <c r="A553" s="679">
        <v>542</v>
      </c>
      <c r="B553" s="581">
        <v>0.98</v>
      </c>
    </row>
    <row r="554" spans="1:2" x14ac:dyDescent="0.2">
      <c r="A554" s="679">
        <v>543</v>
      </c>
      <c r="B554" s="581">
        <v>0.98250000000000004</v>
      </c>
    </row>
    <row r="555" spans="1:2" x14ac:dyDescent="0.2">
      <c r="A555" s="679">
        <v>544</v>
      </c>
      <c r="B555" s="581">
        <v>0.98499999999999999</v>
      </c>
    </row>
    <row r="556" spans="1:2" x14ac:dyDescent="0.2">
      <c r="A556" s="679">
        <v>545</v>
      </c>
      <c r="B556" s="581">
        <v>0.98750000000000004</v>
      </c>
    </row>
    <row r="557" spans="1:2" x14ac:dyDescent="0.2">
      <c r="A557" s="679">
        <v>546</v>
      </c>
      <c r="B557" s="581">
        <v>0.99</v>
      </c>
    </row>
    <row r="558" spans="1:2" x14ac:dyDescent="0.2">
      <c r="A558" s="679">
        <v>547</v>
      </c>
      <c r="B558" s="581">
        <v>0.99250000000000005</v>
      </c>
    </row>
    <row r="559" spans="1:2" x14ac:dyDescent="0.2">
      <c r="A559" s="679">
        <v>548</v>
      </c>
      <c r="B559" s="581">
        <v>0.995</v>
      </c>
    </row>
    <row r="560" spans="1:2" x14ac:dyDescent="0.2">
      <c r="A560" s="679">
        <v>549</v>
      </c>
      <c r="B560" s="581">
        <v>0.99750000000000005</v>
      </c>
    </row>
    <row r="561" spans="1:2" x14ac:dyDescent="0.2">
      <c r="A561" s="679">
        <v>550</v>
      </c>
      <c r="B561" s="581">
        <v>1</v>
      </c>
    </row>
    <row r="562" spans="1:2" x14ac:dyDescent="0.2">
      <c r="A562" s="679">
        <v>551</v>
      </c>
      <c r="B562" s="581">
        <v>1</v>
      </c>
    </row>
    <row r="563" spans="1:2" x14ac:dyDescent="0.2">
      <c r="A563" s="679">
        <v>552</v>
      </c>
      <c r="B563" s="581">
        <v>1</v>
      </c>
    </row>
    <row r="564" spans="1:2" x14ac:dyDescent="0.2">
      <c r="A564" s="679">
        <v>553</v>
      </c>
      <c r="B564" s="581">
        <v>1</v>
      </c>
    </row>
    <row r="565" spans="1:2" x14ac:dyDescent="0.2">
      <c r="A565" s="679">
        <v>554</v>
      </c>
      <c r="B565" s="581">
        <v>1</v>
      </c>
    </row>
    <row r="566" spans="1:2" x14ac:dyDescent="0.2">
      <c r="A566" s="679">
        <v>555</v>
      </c>
      <c r="B566" s="581">
        <v>1</v>
      </c>
    </row>
    <row r="567" spans="1:2" x14ac:dyDescent="0.2">
      <c r="A567" s="679">
        <v>556</v>
      </c>
      <c r="B567" s="581">
        <v>1</v>
      </c>
    </row>
    <row r="568" spans="1:2" x14ac:dyDescent="0.2">
      <c r="A568" s="679">
        <v>557</v>
      </c>
      <c r="B568" s="581">
        <v>1</v>
      </c>
    </row>
    <row r="569" spans="1:2" x14ac:dyDescent="0.2">
      <c r="A569" s="679">
        <v>558</v>
      </c>
      <c r="B569" s="581">
        <v>1</v>
      </c>
    </row>
    <row r="570" spans="1:2" x14ac:dyDescent="0.2">
      <c r="A570" s="679">
        <v>559</v>
      </c>
      <c r="B570" s="581">
        <v>1</v>
      </c>
    </row>
    <row r="571" spans="1:2" x14ac:dyDescent="0.2">
      <c r="A571" s="679">
        <v>560</v>
      </c>
      <c r="B571" s="581">
        <v>1</v>
      </c>
    </row>
    <row r="572" spans="1:2" x14ac:dyDescent="0.2">
      <c r="A572" s="679">
        <v>561</v>
      </c>
      <c r="B572" s="581">
        <v>1</v>
      </c>
    </row>
    <row r="573" spans="1:2" x14ac:dyDescent="0.2">
      <c r="A573" s="679">
        <v>562</v>
      </c>
      <c r="B573" s="581">
        <v>1</v>
      </c>
    </row>
    <row r="574" spans="1:2" x14ac:dyDescent="0.2">
      <c r="A574" s="679">
        <v>563</v>
      </c>
      <c r="B574" s="581">
        <v>1</v>
      </c>
    </row>
    <row r="575" spans="1:2" x14ac:dyDescent="0.2">
      <c r="A575" s="679">
        <v>564</v>
      </c>
      <c r="B575" s="581">
        <v>1</v>
      </c>
    </row>
    <row r="576" spans="1:2" x14ac:dyDescent="0.2">
      <c r="A576" s="679">
        <v>565</v>
      </c>
      <c r="B576" s="581">
        <v>1</v>
      </c>
    </row>
    <row r="577" spans="1:2" x14ac:dyDescent="0.2">
      <c r="A577" s="679">
        <v>566</v>
      </c>
      <c r="B577" s="581">
        <v>1</v>
      </c>
    </row>
    <row r="578" spans="1:2" x14ac:dyDescent="0.2">
      <c r="A578" s="679">
        <v>567</v>
      </c>
      <c r="B578" s="581">
        <v>1</v>
      </c>
    </row>
    <row r="579" spans="1:2" x14ac:dyDescent="0.2">
      <c r="A579" s="679">
        <v>568</v>
      </c>
      <c r="B579" s="581">
        <v>1</v>
      </c>
    </row>
    <row r="580" spans="1:2" x14ac:dyDescent="0.2">
      <c r="A580" s="679">
        <v>569</v>
      </c>
      <c r="B580" s="581">
        <v>1</v>
      </c>
    </row>
    <row r="581" spans="1:2" x14ac:dyDescent="0.2">
      <c r="A581" s="679">
        <v>570</v>
      </c>
      <c r="B581" s="581">
        <v>1</v>
      </c>
    </row>
    <row r="582" spans="1:2" x14ac:dyDescent="0.2">
      <c r="A582" s="679">
        <v>571</v>
      </c>
      <c r="B582" s="581">
        <v>1</v>
      </c>
    </row>
    <row r="583" spans="1:2" x14ac:dyDescent="0.2">
      <c r="A583" s="679">
        <v>572</v>
      </c>
      <c r="B583" s="581">
        <v>1</v>
      </c>
    </row>
    <row r="584" spans="1:2" x14ac:dyDescent="0.2">
      <c r="A584" s="679">
        <v>573</v>
      </c>
      <c r="B584" s="581">
        <v>1</v>
      </c>
    </row>
    <row r="585" spans="1:2" x14ac:dyDescent="0.2">
      <c r="A585" s="679">
        <v>574</v>
      </c>
      <c r="B585" s="581">
        <v>1</v>
      </c>
    </row>
    <row r="586" spans="1:2" x14ac:dyDescent="0.2">
      <c r="A586" s="679">
        <v>575</v>
      </c>
      <c r="B586" s="581">
        <v>1</v>
      </c>
    </row>
    <row r="587" spans="1:2" x14ac:dyDescent="0.2">
      <c r="A587" s="679">
        <v>576</v>
      </c>
      <c r="B587" s="581">
        <v>1</v>
      </c>
    </row>
    <row r="588" spans="1:2" x14ac:dyDescent="0.2">
      <c r="A588" s="679">
        <v>577</v>
      </c>
      <c r="B588" s="581">
        <v>1</v>
      </c>
    </row>
    <row r="589" spans="1:2" x14ac:dyDescent="0.2">
      <c r="A589" s="679">
        <v>578</v>
      </c>
      <c r="B589" s="581">
        <v>1</v>
      </c>
    </row>
    <row r="590" spans="1:2" x14ac:dyDescent="0.2">
      <c r="A590" s="679">
        <v>579</v>
      </c>
      <c r="B590" s="581">
        <v>1</v>
      </c>
    </row>
    <row r="591" spans="1:2" x14ac:dyDescent="0.2">
      <c r="A591" s="679">
        <v>580</v>
      </c>
      <c r="B591" s="581">
        <v>1</v>
      </c>
    </row>
    <row r="592" spans="1:2" x14ac:dyDescent="0.2">
      <c r="A592" s="679">
        <v>581</v>
      </c>
      <c r="B592" s="581">
        <v>1</v>
      </c>
    </row>
    <row r="593" spans="1:2" x14ac:dyDescent="0.2">
      <c r="A593" s="679">
        <v>582</v>
      </c>
      <c r="B593" s="581">
        <v>1</v>
      </c>
    </row>
    <row r="594" spans="1:2" x14ac:dyDescent="0.2">
      <c r="A594" s="679">
        <v>583</v>
      </c>
      <c r="B594" s="581">
        <v>1</v>
      </c>
    </row>
    <row r="595" spans="1:2" x14ac:dyDescent="0.2">
      <c r="A595" s="679">
        <v>584</v>
      </c>
      <c r="B595" s="581">
        <v>1</v>
      </c>
    </row>
    <row r="596" spans="1:2" x14ac:dyDescent="0.2">
      <c r="A596" s="679">
        <v>585</v>
      </c>
      <c r="B596" s="581">
        <v>1</v>
      </c>
    </row>
    <row r="597" spans="1:2" x14ac:dyDescent="0.2">
      <c r="A597" s="679">
        <v>586</v>
      </c>
      <c r="B597" s="581">
        <v>1</v>
      </c>
    </row>
    <row r="598" spans="1:2" x14ac:dyDescent="0.2">
      <c r="A598" s="679">
        <v>587</v>
      </c>
      <c r="B598" s="581">
        <v>1</v>
      </c>
    </row>
    <row r="599" spans="1:2" x14ac:dyDescent="0.2">
      <c r="A599" s="679">
        <v>588</v>
      </c>
      <c r="B599" s="581">
        <v>1</v>
      </c>
    </row>
    <row r="600" spans="1:2" x14ac:dyDescent="0.2">
      <c r="A600" s="679">
        <v>589</v>
      </c>
      <c r="B600" s="581">
        <v>1</v>
      </c>
    </row>
    <row r="601" spans="1:2" x14ac:dyDescent="0.2">
      <c r="A601" s="679">
        <v>590</v>
      </c>
      <c r="B601" s="581">
        <v>1</v>
      </c>
    </row>
    <row r="602" spans="1:2" x14ac:dyDescent="0.2">
      <c r="A602" s="679">
        <v>591</v>
      </c>
      <c r="B602" s="581">
        <v>1</v>
      </c>
    </row>
    <row r="603" spans="1:2" x14ac:dyDescent="0.2">
      <c r="A603" s="679">
        <v>592</v>
      </c>
      <c r="B603" s="581">
        <v>1</v>
      </c>
    </row>
    <row r="604" spans="1:2" x14ac:dyDescent="0.2">
      <c r="A604" s="679">
        <v>593</v>
      </c>
      <c r="B604" s="581">
        <v>1</v>
      </c>
    </row>
    <row r="605" spans="1:2" x14ac:dyDescent="0.2">
      <c r="A605" s="679">
        <v>594</v>
      </c>
      <c r="B605" s="581">
        <v>1</v>
      </c>
    </row>
    <row r="606" spans="1:2" x14ac:dyDescent="0.2">
      <c r="A606" s="679">
        <v>595</v>
      </c>
      <c r="B606" s="581">
        <v>1</v>
      </c>
    </row>
    <row r="607" spans="1:2" x14ac:dyDescent="0.2">
      <c r="A607" s="679">
        <v>596</v>
      </c>
      <c r="B607" s="581">
        <v>1</v>
      </c>
    </row>
    <row r="608" spans="1:2" x14ac:dyDescent="0.2">
      <c r="A608" s="679">
        <v>597</v>
      </c>
      <c r="B608" s="581">
        <v>1</v>
      </c>
    </row>
    <row r="609" spans="1:2" x14ac:dyDescent="0.2">
      <c r="A609" s="679">
        <v>598</v>
      </c>
      <c r="B609" s="581">
        <v>1</v>
      </c>
    </row>
    <row r="610" spans="1:2" x14ac:dyDescent="0.2">
      <c r="A610" s="679">
        <v>599</v>
      </c>
      <c r="B610" s="581">
        <v>1</v>
      </c>
    </row>
    <row r="611" spans="1:2" x14ac:dyDescent="0.2">
      <c r="A611" s="679">
        <v>600</v>
      </c>
      <c r="B611" s="581">
        <v>1</v>
      </c>
    </row>
    <row r="612" spans="1:2" x14ac:dyDescent="0.2">
      <c r="A612" s="679">
        <v>601</v>
      </c>
      <c r="B612" s="581">
        <v>1</v>
      </c>
    </row>
    <row r="613" spans="1:2" x14ac:dyDescent="0.2">
      <c r="A613" s="679">
        <v>602</v>
      </c>
      <c r="B613" s="581">
        <v>1</v>
      </c>
    </row>
    <row r="614" spans="1:2" x14ac:dyDescent="0.2">
      <c r="A614" s="679">
        <v>603</v>
      </c>
      <c r="B614" s="581">
        <v>1</v>
      </c>
    </row>
    <row r="615" spans="1:2" x14ac:dyDescent="0.2">
      <c r="A615" s="679">
        <v>604</v>
      </c>
      <c r="B615" s="581">
        <v>1</v>
      </c>
    </row>
    <row r="616" spans="1:2" x14ac:dyDescent="0.2">
      <c r="A616" s="679">
        <v>605</v>
      </c>
      <c r="B616" s="581">
        <v>1</v>
      </c>
    </row>
    <row r="617" spans="1:2" x14ac:dyDescent="0.2">
      <c r="A617" s="679">
        <v>606</v>
      </c>
      <c r="B617" s="581">
        <v>1</v>
      </c>
    </row>
    <row r="618" spans="1:2" x14ac:dyDescent="0.2">
      <c r="A618" s="679">
        <v>607</v>
      </c>
      <c r="B618" s="581">
        <v>1</v>
      </c>
    </row>
    <row r="619" spans="1:2" x14ac:dyDescent="0.2">
      <c r="A619" s="679">
        <v>608</v>
      </c>
      <c r="B619" s="581">
        <v>1</v>
      </c>
    </row>
    <row r="620" spans="1:2" x14ac:dyDescent="0.2">
      <c r="A620" s="679">
        <v>609</v>
      </c>
      <c r="B620" s="581">
        <v>1</v>
      </c>
    </row>
    <row r="621" spans="1:2" x14ac:dyDescent="0.2">
      <c r="A621" s="679">
        <v>610</v>
      </c>
      <c r="B621" s="581">
        <v>1</v>
      </c>
    </row>
    <row r="622" spans="1:2" x14ac:dyDescent="0.2">
      <c r="A622" s="679">
        <v>611</v>
      </c>
      <c r="B622" s="581">
        <v>1</v>
      </c>
    </row>
    <row r="623" spans="1:2" x14ac:dyDescent="0.2">
      <c r="A623" s="679">
        <v>612</v>
      </c>
      <c r="B623" s="581">
        <v>1</v>
      </c>
    </row>
    <row r="624" spans="1:2" x14ac:dyDescent="0.2">
      <c r="A624" s="679">
        <v>613</v>
      </c>
      <c r="B624" s="581">
        <v>1</v>
      </c>
    </row>
    <row r="625" spans="1:2" x14ac:dyDescent="0.2">
      <c r="A625" s="679">
        <v>614</v>
      </c>
      <c r="B625" s="581">
        <v>1</v>
      </c>
    </row>
    <row r="626" spans="1:2" x14ac:dyDescent="0.2">
      <c r="A626" s="679">
        <v>615</v>
      </c>
      <c r="B626" s="581">
        <v>1</v>
      </c>
    </row>
    <row r="627" spans="1:2" x14ac:dyDescent="0.2">
      <c r="A627" s="679">
        <v>616</v>
      </c>
      <c r="B627" s="581">
        <v>1</v>
      </c>
    </row>
    <row r="628" spans="1:2" x14ac:dyDescent="0.2">
      <c r="A628" s="679">
        <v>617</v>
      </c>
      <c r="B628" s="581">
        <v>1</v>
      </c>
    </row>
    <row r="629" spans="1:2" x14ac:dyDescent="0.2">
      <c r="A629" s="679">
        <v>618</v>
      </c>
      <c r="B629" s="581">
        <v>1</v>
      </c>
    </row>
    <row r="630" spans="1:2" x14ac:dyDescent="0.2">
      <c r="A630" s="679">
        <v>619</v>
      </c>
      <c r="B630" s="581">
        <v>1</v>
      </c>
    </row>
    <row r="631" spans="1:2" x14ac:dyDescent="0.2">
      <c r="A631" s="679">
        <v>620</v>
      </c>
      <c r="B631" s="581">
        <v>1</v>
      </c>
    </row>
    <row r="632" spans="1:2" x14ac:dyDescent="0.2">
      <c r="A632" s="679">
        <v>621</v>
      </c>
      <c r="B632" s="581">
        <v>1</v>
      </c>
    </row>
    <row r="633" spans="1:2" x14ac:dyDescent="0.2">
      <c r="A633" s="679">
        <v>622</v>
      </c>
      <c r="B633" s="581">
        <v>1</v>
      </c>
    </row>
    <row r="634" spans="1:2" x14ac:dyDescent="0.2">
      <c r="A634" s="679">
        <v>623</v>
      </c>
      <c r="B634" s="581">
        <v>1</v>
      </c>
    </row>
    <row r="635" spans="1:2" x14ac:dyDescent="0.2">
      <c r="A635" s="679">
        <v>624</v>
      </c>
      <c r="B635" s="581">
        <v>1</v>
      </c>
    </row>
    <row r="636" spans="1:2" x14ac:dyDescent="0.2">
      <c r="A636" s="679">
        <v>625</v>
      </c>
      <c r="B636" s="581">
        <v>1</v>
      </c>
    </row>
    <row r="637" spans="1:2" x14ac:dyDescent="0.2">
      <c r="A637" s="679">
        <v>626</v>
      </c>
      <c r="B637" s="581">
        <v>1</v>
      </c>
    </row>
    <row r="638" spans="1:2" x14ac:dyDescent="0.2">
      <c r="A638" s="679">
        <v>627</v>
      </c>
      <c r="B638" s="581">
        <v>1</v>
      </c>
    </row>
    <row r="639" spans="1:2" x14ac:dyDescent="0.2">
      <c r="A639" s="679">
        <v>628</v>
      </c>
      <c r="B639" s="581">
        <v>1</v>
      </c>
    </row>
    <row r="640" spans="1:2" x14ac:dyDescent="0.2">
      <c r="A640" s="679">
        <v>629</v>
      </c>
      <c r="B640" s="581">
        <v>1</v>
      </c>
    </row>
    <row r="641" spans="1:2" x14ac:dyDescent="0.2">
      <c r="A641" s="679">
        <v>630</v>
      </c>
      <c r="B641" s="581">
        <v>1</v>
      </c>
    </row>
    <row r="642" spans="1:2" x14ac:dyDescent="0.2">
      <c r="A642" s="679">
        <v>631</v>
      </c>
      <c r="B642" s="581">
        <v>1</v>
      </c>
    </row>
    <row r="643" spans="1:2" x14ac:dyDescent="0.2">
      <c r="A643" s="679">
        <v>632</v>
      </c>
      <c r="B643" s="581">
        <v>1</v>
      </c>
    </row>
    <row r="644" spans="1:2" x14ac:dyDescent="0.2">
      <c r="A644" s="679">
        <v>633</v>
      </c>
      <c r="B644" s="581">
        <v>1</v>
      </c>
    </row>
    <row r="645" spans="1:2" x14ac:dyDescent="0.2">
      <c r="A645" s="679">
        <v>634</v>
      </c>
      <c r="B645" s="581">
        <v>1</v>
      </c>
    </row>
    <row r="646" spans="1:2" x14ac:dyDescent="0.2">
      <c r="A646" s="679">
        <v>635</v>
      </c>
      <c r="B646" s="581">
        <v>1</v>
      </c>
    </row>
    <row r="647" spans="1:2" x14ac:dyDescent="0.2">
      <c r="A647" s="679">
        <v>636</v>
      </c>
      <c r="B647" s="581">
        <v>1</v>
      </c>
    </row>
    <row r="648" spans="1:2" x14ac:dyDescent="0.2">
      <c r="A648" s="679">
        <v>637</v>
      </c>
      <c r="B648" s="581">
        <v>1</v>
      </c>
    </row>
    <row r="649" spans="1:2" x14ac:dyDescent="0.2">
      <c r="A649" s="679">
        <v>638</v>
      </c>
      <c r="B649" s="581">
        <v>1</v>
      </c>
    </row>
    <row r="650" spans="1:2" x14ac:dyDescent="0.2">
      <c r="A650" s="679">
        <v>639</v>
      </c>
      <c r="B650" s="581">
        <v>1</v>
      </c>
    </row>
    <row r="651" spans="1:2" x14ac:dyDescent="0.2">
      <c r="A651" s="679">
        <v>640</v>
      </c>
      <c r="B651" s="581">
        <v>1</v>
      </c>
    </row>
    <row r="652" spans="1:2" x14ac:dyDescent="0.2">
      <c r="A652" s="679">
        <v>641</v>
      </c>
      <c r="B652" s="581">
        <v>1</v>
      </c>
    </row>
    <row r="653" spans="1:2" x14ac:dyDescent="0.2">
      <c r="A653" s="679">
        <v>642</v>
      </c>
      <c r="B653" s="581">
        <v>1</v>
      </c>
    </row>
    <row r="654" spans="1:2" x14ac:dyDescent="0.2">
      <c r="A654" s="679">
        <v>643</v>
      </c>
      <c r="B654" s="581">
        <v>1</v>
      </c>
    </row>
    <row r="655" spans="1:2" x14ac:dyDescent="0.2">
      <c r="A655" s="679">
        <v>644</v>
      </c>
      <c r="B655" s="581">
        <v>1</v>
      </c>
    </row>
    <row r="656" spans="1:2" x14ac:dyDescent="0.2">
      <c r="A656" s="679">
        <v>645</v>
      </c>
      <c r="B656" s="581">
        <v>1</v>
      </c>
    </row>
    <row r="657" spans="1:2" x14ac:dyDescent="0.2">
      <c r="A657" s="679">
        <v>646</v>
      </c>
      <c r="B657" s="581">
        <v>1</v>
      </c>
    </row>
    <row r="658" spans="1:2" x14ac:dyDescent="0.2">
      <c r="A658" s="679">
        <v>647</v>
      </c>
      <c r="B658" s="581">
        <v>1</v>
      </c>
    </row>
    <row r="659" spans="1:2" x14ac:dyDescent="0.2">
      <c r="A659" s="679">
        <v>648</v>
      </c>
      <c r="B659" s="581">
        <v>1</v>
      </c>
    </row>
    <row r="660" spans="1:2" x14ac:dyDescent="0.2">
      <c r="A660" s="679">
        <v>649</v>
      </c>
      <c r="B660" s="581">
        <v>1</v>
      </c>
    </row>
    <row r="661" spans="1:2" x14ac:dyDescent="0.2">
      <c r="A661" s="679">
        <v>650</v>
      </c>
      <c r="B661" s="581">
        <v>1</v>
      </c>
    </row>
    <row r="662" spans="1:2" x14ac:dyDescent="0.2">
      <c r="A662" s="679">
        <v>651</v>
      </c>
      <c r="B662" s="581">
        <v>1</v>
      </c>
    </row>
    <row r="663" spans="1:2" x14ac:dyDescent="0.2">
      <c r="A663" s="679">
        <v>652</v>
      </c>
      <c r="B663" s="581">
        <v>1</v>
      </c>
    </row>
    <row r="664" spans="1:2" x14ac:dyDescent="0.2">
      <c r="A664" s="679">
        <v>653</v>
      </c>
      <c r="B664" s="581">
        <v>1</v>
      </c>
    </row>
    <row r="665" spans="1:2" x14ac:dyDescent="0.2">
      <c r="A665" s="679">
        <v>654</v>
      </c>
      <c r="B665" s="581">
        <v>1</v>
      </c>
    </row>
    <row r="666" spans="1:2" x14ac:dyDescent="0.2">
      <c r="A666" s="679">
        <v>655</v>
      </c>
      <c r="B666" s="581">
        <v>1</v>
      </c>
    </row>
    <row r="667" spans="1:2" x14ac:dyDescent="0.2">
      <c r="A667" s="679">
        <v>656</v>
      </c>
      <c r="B667" s="581">
        <v>1</v>
      </c>
    </row>
    <row r="668" spans="1:2" x14ac:dyDescent="0.2">
      <c r="A668" s="679">
        <v>657</v>
      </c>
      <c r="B668" s="581">
        <v>1</v>
      </c>
    </row>
    <row r="669" spans="1:2" x14ac:dyDescent="0.2">
      <c r="A669" s="679">
        <v>658</v>
      </c>
      <c r="B669" s="581">
        <v>1</v>
      </c>
    </row>
    <row r="670" spans="1:2" x14ac:dyDescent="0.2">
      <c r="A670" s="679">
        <v>659</v>
      </c>
      <c r="B670" s="581">
        <v>1</v>
      </c>
    </row>
    <row r="671" spans="1:2" x14ac:dyDescent="0.2">
      <c r="A671" s="679">
        <v>660</v>
      </c>
      <c r="B671" s="581">
        <v>1</v>
      </c>
    </row>
    <row r="672" spans="1:2" x14ac:dyDescent="0.2">
      <c r="A672" s="679">
        <v>661</v>
      </c>
      <c r="B672" s="581">
        <v>1</v>
      </c>
    </row>
    <row r="673" spans="1:2" x14ac:dyDescent="0.2">
      <c r="A673" s="679">
        <v>662</v>
      </c>
      <c r="B673" s="581">
        <v>1</v>
      </c>
    </row>
    <row r="674" spans="1:2" x14ac:dyDescent="0.2">
      <c r="A674" s="679">
        <v>663</v>
      </c>
      <c r="B674" s="581">
        <v>1</v>
      </c>
    </row>
    <row r="675" spans="1:2" x14ac:dyDescent="0.2">
      <c r="A675" s="679">
        <v>664</v>
      </c>
      <c r="B675" s="581">
        <v>1</v>
      </c>
    </row>
    <row r="676" spans="1:2" x14ac:dyDescent="0.2">
      <c r="A676" s="679">
        <v>665</v>
      </c>
      <c r="B676" s="581">
        <v>1</v>
      </c>
    </row>
    <row r="677" spans="1:2" x14ac:dyDescent="0.2">
      <c r="A677" s="679">
        <v>666</v>
      </c>
      <c r="B677" s="581">
        <v>1</v>
      </c>
    </row>
    <row r="678" spans="1:2" x14ac:dyDescent="0.2">
      <c r="A678" s="679">
        <v>667</v>
      </c>
      <c r="B678" s="581">
        <v>1</v>
      </c>
    </row>
    <row r="679" spans="1:2" x14ac:dyDescent="0.2">
      <c r="A679" s="679">
        <v>668</v>
      </c>
      <c r="B679" s="581">
        <v>1</v>
      </c>
    </row>
    <row r="680" spans="1:2" x14ac:dyDescent="0.2">
      <c r="A680" s="679">
        <v>669</v>
      </c>
      <c r="B680" s="581">
        <v>1</v>
      </c>
    </row>
    <row r="681" spans="1:2" x14ac:dyDescent="0.2">
      <c r="A681" s="679">
        <v>670</v>
      </c>
      <c r="B681" s="581">
        <v>1</v>
      </c>
    </row>
    <row r="682" spans="1:2" x14ac:dyDescent="0.2">
      <c r="A682" s="679">
        <v>671</v>
      </c>
      <c r="B682" s="581">
        <v>1</v>
      </c>
    </row>
    <row r="683" spans="1:2" x14ac:dyDescent="0.2">
      <c r="A683" s="679">
        <v>672</v>
      </c>
      <c r="B683" s="581">
        <v>1</v>
      </c>
    </row>
    <row r="684" spans="1:2" x14ac:dyDescent="0.2">
      <c r="A684" s="679">
        <v>673</v>
      </c>
      <c r="B684" s="581">
        <v>1</v>
      </c>
    </row>
    <row r="685" spans="1:2" x14ac:dyDescent="0.2">
      <c r="A685" s="679">
        <v>674</v>
      </c>
      <c r="B685" s="581">
        <v>1</v>
      </c>
    </row>
    <row r="686" spans="1:2" x14ac:dyDescent="0.2">
      <c r="A686" s="679">
        <v>675</v>
      </c>
      <c r="B686" s="581">
        <v>1</v>
      </c>
    </row>
    <row r="687" spans="1:2" x14ac:dyDescent="0.2">
      <c r="A687" s="679">
        <v>676</v>
      </c>
      <c r="B687" s="581">
        <v>1</v>
      </c>
    </row>
    <row r="688" spans="1:2" x14ac:dyDescent="0.2">
      <c r="A688" s="679">
        <v>677</v>
      </c>
      <c r="B688" s="581">
        <v>1</v>
      </c>
    </row>
    <row r="689" spans="1:2" x14ac:dyDescent="0.2">
      <c r="A689" s="679">
        <v>678</v>
      </c>
      <c r="B689" s="581">
        <v>1</v>
      </c>
    </row>
    <row r="690" spans="1:2" x14ac:dyDescent="0.2">
      <c r="A690" s="679">
        <v>679</v>
      </c>
      <c r="B690" s="581">
        <v>1</v>
      </c>
    </row>
    <row r="691" spans="1:2" x14ac:dyDescent="0.2">
      <c r="A691" s="679">
        <v>680</v>
      </c>
      <c r="B691" s="581">
        <v>1</v>
      </c>
    </row>
    <row r="692" spans="1:2" x14ac:dyDescent="0.2">
      <c r="A692" s="679">
        <v>681</v>
      </c>
      <c r="B692" s="581">
        <v>1</v>
      </c>
    </row>
    <row r="693" spans="1:2" x14ac:dyDescent="0.2">
      <c r="A693" s="679">
        <v>682</v>
      </c>
      <c r="B693" s="581">
        <v>1</v>
      </c>
    </row>
    <row r="694" spans="1:2" x14ac:dyDescent="0.2">
      <c r="A694" s="679">
        <v>683</v>
      </c>
      <c r="B694" s="581">
        <v>1</v>
      </c>
    </row>
    <row r="695" spans="1:2" x14ac:dyDescent="0.2">
      <c r="A695" s="679">
        <v>684</v>
      </c>
      <c r="B695" s="581">
        <v>1</v>
      </c>
    </row>
    <row r="696" spans="1:2" x14ac:dyDescent="0.2">
      <c r="A696" s="679">
        <v>685</v>
      </c>
      <c r="B696" s="581">
        <v>1</v>
      </c>
    </row>
    <row r="697" spans="1:2" x14ac:dyDescent="0.2">
      <c r="A697" s="679">
        <v>686</v>
      </c>
      <c r="B697" s="581">
        <v>1</v>
      </c>
    </row>
    <row r="698" spans="1:2" x14ac:dyDescent="0.2">
      <c r="A698" s="679">
        <v>687</v>
      </c>
      <c r="B698" s="581">
        <v>1</v>
      </c>
    </row>
    <row r="699" spans="1:2" x14ac:dyDescent="0.2">
      <c r="A699" s="679">
        <v>688</v>
      </c>
      <c r="B699" s="581">
        <v>1</v>
      </c>
    </row>
    <row r="700" spans="1:2" x14ac:dyDescent="0.2">
      <c r="A700" s="679">
        <v>689</v>
      </c>
      <c r="B700" s="581">
        <v>1</v>
      </c>
    </row>
    <row r="701" spans="1:2" x14ac:dyDescent="0.2">
      <c r="A701" s="679">
        <v>690</v>
      </c>
      <c r="B701" s="581">
        <v>1</v>
      </c>
    </row>
    <row r="702" spans="1:2" x14ac:dyDescent="0.2">
      <c r="A702" s="679">
        <v>691</v>
      </c>
      <c r="B702" s="581">
        <v>1</v>
      </c>
    </row>
    <row r="703" spans="1:2" x14ac:dyDescent="0.2">
      <c r="A703" s="679">
        <v>692</v>
      </c>
      <c r="B703" s="581">
        <v>1</v>
      </c>
    </row>
    <row r="704" spans="1:2" x14ac:dyDescent="0.2">
      <c r="A704" s="679">
        <v>693</v>
      </c>
      <c r="B704" s="581">
        <v>1</v>
      </c>
    </row>
    <row r="705" spans="1:3" x14ac:dyDescent="0.2">
      <c r="A705" s="679">
        <v>694</v>
      </c>
      <c r="B705" s="581">
        <v>1</v>
      </c>
    </row>
    <row r="706" spans="1:3" x14ac:dyDescent="0.2">
      <c r="A706" s="679">
        <v>695</v>
      </c>
      <c r="B706" s="581">
        <v>1</v>
      </c>
    </row>
    <row r="707" spans="1:3" x14ac:dyDescent="0.2">
      <c r="A707" s="679">
        <v>696</v>
      </c>
      <c r="B707" s="581">
        <v>1</v>
      </c>
    </row>
    <row r="708" spans="1:3" x14ac:dyDescent="0.2">
      <c r="A708" s="679">
        <v>697</v>
      </c>
      <c r="B708" s="581">
        <v>1</v>
      </c>
    </row>
    <row r="709" spans="1:3" x14ac:dyDescent="0.2">
      <c r="A709" s="679">
        <v>698</v>
      </c>
      <c r="B709" s="581">
        <v>1</v>
      </c>
    </row>
    <row r="710" spans="1:3" x14ac:dyDescent="0.2">
      <c r="A710" s="679">
        <v>699</v>
      </c>
      <c r="B710" s="581">
        <v>1</v>
      </c>
    </row>
    <row r="711" spans="1:3" x14ac:dyDescent="0.2">
      <c r="A711" s="679">
        <v>700</v>
      </c>
      <c r="B711" s="581">
        <v>1</v>
      </c>
    </row>
    <row r="712" spans="1:3" x14ac:dyDescent="0.2">
      <c r="C712" s="10"/>
    </row>
    <row r="713" spans="1:3" x14ac:dyDescent="0.2">
      <c r="C713" s="10"/>
    </row>
    <row r="714" spans="1:3" x14ac:dyDescent="0.2">
      <c r="C714" s="10"/>
    </row>
    <row r="715" spans="1:3" x14ac:dyDescent="0.2">
      <c r="C715" s="10"/>
    </row>
    <row r="716" spans="1:3" x14ac:dyDescent="0.2">
      <c r="C716" s="10"/>
    </row>
    <row r="717" spans="1:3" x14ac:dyDescent="0.2">
      <c r="C717" s="10"/>
    </row>
    <row r="718" spans="1:3" x14ac:dyDescent="0.2">
      <c r="C718" s="10"/>
    </row>
    <row r="719" spans="1:3" x14ac:dyDescent="0.2">
      <c r="C719" s="10"/>
    </row>
    <row r="720" spans="1:3" x14ac:dyDescent="0.2">
      <c r="C720" s="10"/>
    </row>
    <row r="721" spans="3:3" x14ac:dyDescent="0.2">
      <c r="C721" s="10"/>
    </row>
    <row r="722" spans="3:3" x14ac:dyDescent="0.2">
      <c r="C722" s="10"/>
    </row>
    <row r="723" spans="3:3" x14ac:dyDescent="0.2">
      <c r="C723" s="10"/>
    </row>
    <row r="724" spans="3:3" x14ac:dyDescent="0.2">
      <c r="C724" s="10"/>
    </row>
    <row r="725" spans="3:3" x14ac:dyDescent="0.2">
      <c r="C725" s="10"/>
    </row>
    <row r="726" spans="3:3" x14ac:dyDescent="0.2">
      <c r="C726" s="10"/>
    </row>
    <row r="727" spans="3:3" x14ac:dyDescent="0.2">
      <c r="C727" s="10"/>
    </row>
    <row r="728" spans="3:3" x14ac:dyDescent="0.2">
      <c r="C728" s="10"/>
    </row>
    <row r="729" spans="3:3" x14ac:dyDescent="0.2">
      <c r="C729" s="10"/>
    </row>
    <row r="730" spans="3:3" x14ac:dyDescent="0.2">
      <c r="C730" s="10"/>
    </row>
    <row r="731" spans="3:3" x14ac:dyDescent="0.2">
      <c r="C731" s="10"/>
    </row>
    <row r="732" spans="3:3" x14ac:dyDescent="0.2">
      <c r="C732" s="10"/>
    </row>
    <row r="733" spans="3:3" x14ac:dyDescent="0.2">
      <c r="C733" s="10"/>
    </row>
    <row r="734" spans="3:3" x14ac:dyDescent="0.2">
      <c r="C734" s="10"/>
    </row>
    <row r="735" spans="3:3" x14ac:dyDescent="0.2">
      <c r="C735" s="10"/>
    </row>
    <row r="736" spans="3:3" x14ac:dyDescent="0.2">
      <c r="C736" s="10"/>
    </row>
    <row r="737" spans="3:3" x14ac:dyDescent="0.2">
      <c r="C737" s="10"/>
    </row>
    <row r="738" spans="3:3" x14ac:dyDescent="0.2">
      <c r="C738" s="10"/>
    </row>
    <row r="739" spans="3:3" x14ac:dyDescent="0.2">
      <c r="C739" s="10"/>
    </row>
    <row r="740" spans="3:3" x14ac:dyDescent="0.2">
      <c r="C740" s="10"/>
    </row>
    <row r="741" spans="3:3" x14ac:dyDescent="0.2">
      <c r="C741" s="10"/>
    </row>
    <row r="742" spans="3:3" x14ac:dyDescent="0.2">
      <c r="C742" s="10"/>
    </row>
    <row r="743" spans="3:3" x14ac:dyDescent="0.2">
      <c r="C743" s="10"/>
    </row>
    <row r="744" spans="3:3" x14ac:dyDescent="0.2">
      <c r="C744" s="10"/>
    </row>
    <row r="745" spans="3:3" x14ac:dyDescent="0.2">
      <c r="C745" s="10"/>
    </row>
    <row r="746" spans="3:3" x14ac:dyDescent="0.2">
      <c r="C746" s="10"/>
    </row>
    <row r="747" spans="3:3" x14ac:dyDescent="0.2">
      <c r="C747" s="10"/>
    </row>
    <row r="748" spans="3:3" x14ac:dyDescent="0.2">
      <c r="C748" s="10"/>
    </row>
    <row r="749" spans="3:3" x14ac:dyDescent="0.2">
      <c r="C749" s="10"/>
    </row>
    <row r="750" spans="3:3" x14ac:dyDescent="0.2">
      <c r="C750" s="10"/>
    </row>
    <row r="751" spans="3:3" x14ac:dyDescent="0.2">
      <c r="C751" s="10"/>
    </row>
    <row r="752" spans="3:3" x14ac:dyDescent="0.2">
      <c r="C752" s="10"/>
    </row>
    <row r="753" spans="3:3" x14ac:dyDescent="0.2">
      <c r="C753" s="10"/>
    </row>
    <row r="754" spans="3:3" x14ac:dyDescent="0.2">
      <c r="C754" s="10"/>
    </row>
    <row r="755" spans="3:3" x14ac:dyDescent="0.2">
      <c r="C755" s="10"/>
    </row>
    <row r="756" spans="3:3" x14ac:dyDescent="0.2">
      <c r="C756" s="10"/>
    </row>
    <row r="757" spans="3:3" x14ac:dyDescent="0.2">
      <c r="C757" s="10"/>
    </row>
    <row r="758" spans="3:3" x14ac:dyDescent="0.2">
      <c r="C758" s="10"/>
    </row>
    <row r="759" spans="3:3" x14ac:dyDescent="0.2">
      <c r="C759" s="10"/>
    </row>
    <row r="760" spans="3:3" x14ac:dyDescent="0.2">
      <c r="C760" s="10"/>
    </row>
    <row r="761" spans="3:3" x14ac:dyDescent="0.2">
      <c r="C761" s="10"/>
    </row>
    <row r="762" spans="3:3" x14ac:dyDescent="0.2">
      <c r="C762" s="10"/>
    </row>
    <row r="763" spans="3:3" x14ac:dyDescent="0.2">
      <c r="C763" s="10"/>
    </row>
    <row r="764" spans="3:3" x14ac:dyDescent="0.2">
      <c r="C764" s="10"/>
    </row>
    <row r="765" spans="3:3" x14ac:dyDescent="0.2">
      <c r="C765" s="10"/>
    </row>
    <row r="766" spans="3:3" x14ac:dyDescent="0.2">
      <c r="C766" s="10"/>
    </row>
    <row r="767" spans="3:3" x14ac:dyDescent="0.2">
      <c r="C767" s="10"/>
    </row>
    <row r="768" spans="3:3" x14ac:dyDescent="0.2">
      <c r="C768" s="10"/>
    </row>
    <row r="769" spans="3:3" x14ac:dyDescent="0.2">
      <c r="C769" s="10"/>
    </row>
    <row r="770" spans="3:3" x14ac:dyDescent="0.2">
      <c r="C770" s="10"/>
    </row>
    <row r="771" spans="3:3" x14ac:dyDescent="0.2">
      <c r="C771" s="10"/>
    </row>
    <row r="772" spans="3:3" x14ac:dyDescent="0.2">
      <c r="C772" s="10"/>
    </row>
    <row r="773" spans="3:3" x14ac:dyDescent="0.2">
      <c r="C773" s="10"/>
    </row>
    <row r="774" spans="3:3" x14ac:dyDescent="0.2">
      <c r="C774" s="10"/>
    </row>
    <row r="775" spans="3:3" x14ac:dyDescent="0.2">
      <c r="C775" s="10"/>
    </row>
    <row r="776" spans="3:3" x14ac:dyDescent="0.2">
      <c r="C776" s="10"/>
    </row>
    <row r="777" spans="3:3" x14ac:dyDescent="0.2">
      <c r="C777" s="10"/>
    </row>
    <row r="778" spans="3:3" x14ac:dyDescent="0.2">
      <c r="C778" s="10"/>
    </row>
    <row r="779" spans="3:3" x14ac:dyDescent="0.2">
      <c r="C779" s="10"/>
    </row>
    <row r="780" spans="3:3" x14ac:dyDescent="0.2">
      <c r="C780" s="10"/>
    </row>
    <row r="781" spans="3:3" x14ac:dyDescent="0.2">
      <c r="C781" s="10"/>
    </row>
    <row r="782" spans="3:3" x14ac:dyDescent="0.2">
      <c r="C782" s="10"/>
    </row>
    <row r="783" spans="3:3" x14ac:dyDescent="0.2">
      <c r="C783" s="10"/>
    </row>
    <row r="784" spans="3:3" x14ac:dyDescent="0.2">
      <c r="C784" s="10"/>
    </row>
    <row r="785" spans="3:3" x14ac:dyDescent="0.2">
      <c r="C785" s="10"/>
    </row>
    <row r="786" spans="3:3" x14ac:dyDescent="0.2">
      <c r="C786" s="10"/>
    </row>
    <row r="787" spans="3:3" x14ac:dyDescent="0.2">
      <c r="C787" s="10"/>
    </row>
    <row r="788" spans="3:3" x14ac:dyDescent="0.2">
      <c r="C788" s="10"/>
    </row>
    <row r="789" spans="3:3" x14ac:dyDescent="0.2">
      <c r="C789" s="10"/>
    </row>
    <row r="790" spans="3:3" x14ac:dyDescent="0.2">
      <c r="C790" s="10"/>
    </row>
    <row r="791" spans="3:3" x14ac:dyDescent="0.2">
      <c r="C791" s="10"/>
    </row>
    <row r="792" spans="3:3" x14ac:dyDescent="0.2">
      <c r="C792" s="10"/>
    </row>
    <row r="793" spans="3:3" x14ac:dyDescent="0.2">
      <c r="C793" s="10"/>
    </row>
    <row r="794" spans="3:3" x14ac:dyDescent="0.2">
      <c r="C794" s="10"/>
    </row>
    <row r="795" spans="3:3" x14ac:dyDescent="0.2">
      <c r="C795" s="10"/>
    </row>
    <row r="796" spans="3:3" x14ac:dyDescent="0.2">
      <c r="C796" s="10"/>
    </row>
    <row r="797" spans="3:3" x14ac:dyDescent="0.2">
      <c r="C797" s="10"/>
    </row>
    <row r="798" spans="3:3" x14ac:dyDescent="0.2">
      <c r="C798" s="10"/>
    </row>
    <row r="799" spans="3:3" x14ac:dyDescent="0.2">
      <c r="C799" s="10"/>
    </row>
    <row r="800" spans="3:3" x14ac:dyDescent="0.2">
      <c r="C800" s="10"/>
    </row>
    <row r="801" spans="3:3" x14ac:dyDescent="0.2">
      <c r="C801" s="10"/>
    </row>
    <row r="802" spans="3:3" x14ac:dyDescent="0.2">
      <c r="C802" s="10"/>
    </row>
    <row r="803" spans="3:3" x14ac:dyDescent="0.2">
      <c r="C803" s="10"/>
    </row>
    <row r="804" spans="3:3" x14ac:dyDescent="0.2">
      <c r="C804" s="10"/>
    </row>
    <row r="805" spans="3:3" x14ac:dyDescent="0.2">
      <c r="C805" s="10"/>
    </row>
    <row r="806" spans="3:3" x14ac:dyDescent="0.2">
      <c r="C806" s="10"/>
    </row>
    <row r="807" spans="3:3" x14ac:dyDescent="0.2">
      <c r="C807" s="10"/>
    </row>
    <row r="808" spans="3:3" x14ac:dyDescent="0.2">
      <c r="C808" s="10"/>
    </row>
    <row r="809" spans="3:3" x14ac:dyDescent="0.2">
      <c r="C809" s="10"/>
    </row>
    <row r="810" spans="3:3" x14ac:dyDescent="0.2">
      <c r="C810" s="10"/>
    </row>
    <row r="811" spans="3:3" x14ac:dyDescent="0.2">
      <c r="C811" s="10"/>
    </row>
    <row r="812" spans="3:3" x14ac:dyDescent="0.2">
      <c r="C812" s="10"/>
    </row>
    <row r="813" spans="3:3" x14ac:dyDescent="0.2">
      <c r="C813" s="10"/>
    </row>
    <row r="814" spans="3:3" x14ac:dyDescent="0.2">
      <c r="C814" s="10"/>
    </row>
    <row r="815" spans="3:3" x14ac:dyDescent="0.2">
      <c r="C815" s="10"/>
    </row>
    <row r="816" spans="3:3" x14ac:dyDescent="0.2">
      <c r="C816" s="10"/>
    </row>
    <row r="817" spans="3:3" x14ac:dyDescent="0.2">
      <c r="C817" s="10"/>
    </row>
    <row r="818" spans="3:3" x14ac:dyDescent="0.2">
      <c r="C818" s="10"/>
    </row>
    <row r="819" spans="3:3" x14ac:dyDescent="0.2">
      <c r="C819" s="10"/>
    </row>
    <row r="820" spans="3:3" x14ac:dyDescent="0.2">
      <c r="C820" s="10"/>
    </row>
    <row r="821" spans="3:3" x14ac:dyDescent="0.2">
      <c r="C821" s="10"/>
    </row>
    <row r="822" spans="3:3" x14ac:dyDescent="0.2">
      <c r="C822" s="10"/>
    </row>
    <row r="823" spans="3:3" x14ac:dyDescent="0.2">
      <c r="C823" s="10"/>
    </row>
    <row r="824" spans="3:3" x14ac:dyDescent="0.2">
      <c r="C824" s="10"/>
    </row>
    <row r="825" spans="3:3" x14ac:dyDescent="0.2">
      <c r="C825" s="10"/>
    </row>
    <row r="826" spans="3:3" x14ac:dyDescent="0.2">
      <c r="C826" s="10"/>
    </row>
    <row r="827" spans="3:3" x14ac:dyDescent="0.2">
      <c r="C827" s="10"/>
    </row>
    <row r="828" spans="3:3" x14ac:dyDescent="0.2">
      <c r="C828" s="10"/>
    </row>
    <row r="829" spans="3:3" x14ac:dyDescent="0.2">
      <c r="C829" s="10"/>
    </row>
    <row r="830" spans="3:3" x14ac:dyDescent="0.2">
      <c r="C830" s="10"/>
    </row>
    <row r="831" spans="3:3" x14ac:dyDescent="0.2">
      <c r="C831" s="10"/>
    </row>
    <row r="832" spans="3:3" x14ac:dyDescent="0.2">
      <c r="C832" s="10"/>
    </row>
    <row r="833" spans="3:3" x14ac:dyDescent="0.2">
      <c r="C833" s="10"/>
    </row>
    <row r="834" spans="3:3" x14ac:dyDescent="0.2">
      <c r="C834" s="10"/>
    </row>
    <row r="835" spans="3:3" x14ac:dyDescent="0.2">
      <c r="C835" s="10"/>
    </row>
    <row r="836" spans="3:3" x14ac:dyDescent="0.2">
      <c r="C836" s="10"/>
    </row>
    <row r="837" spans="3:3" x14ac:dyDescent="0.2">
      <c r="C837" s="10"/>
    </row>
    <row r="838" spans="3:3" x14ac:dyDescent="0.2">
      <c r="C838" s="10"/>
    </row>
    <row r="839" spans="3:3" x14ac:dyDescent="0.2">
      <c r="C839" s="10"/>
    </row>
    <row r="840" spans="3:3" x14ac:dyDescent="0.2">
      <c r="C840" s="10"/>
    </row>
    <row r="841" spans="3:3" x14ac:dyDescent="0.2">
      <c r="C841" s="10"/>
    </row>
    <row r="842" spans="3:3" x14ac:dyDescent="0.2">
      <c r="C842" s="10"/>
    </row>
    <row r="843" spans="3:3" x14ac:dyDescent="0.2">
      <c r="C843" s="10"/>
    </row>
    <row r="844" spans="3:3" x14ac:dyDescent="0.2">
      <c r="C844" s="10"/>
    </row>
    <row r="845" spans="3:3" x14ac:dyDescent="0.2">
      <c r="C845" s="10"/>
    </row>
    <row r="846" spans="3:3" x14ac:dyDescent="0.2">
      <c r="C846" s="10"/>
    </row>
    <row r="847" spans="3:3" x14ac:dyDescent="0.2">
      <c r="C847" s="10"/>
    </row>
    <row r="848" spans="3:3" x14ac:dyDescent="0.2">
      <c r="C848" s="10"/>
    </row>
    <row r="849" spans="3:3" x14ac:dyDescent="0.2">
      <c r="C849" s="10"/>
    </row>
    <row r="850" spans="3:3" x14ac:dyDescent="0.2">
      <c r="C850" s="10"/>
    </row>
    <row r="851" spans="3:3" x14ac:dyDescent="0.2">
      <c r="C851" s="10"/>
    </row>
    <row r="852" spans="3:3" x14ac:dyDescent="0.2">
      <c r="C852" s="10"/>
    </row>
    <row r="853" spans="3:3" x14ac:dyDescent="0.2">
      <c r="C853" s="10"/>
    </row>
    <row r="854" spans="3:3" x14ac:dyDescent="0.2">
      <c r="C854" s="10"/>
    </row>
    <row r="855" spans="3:3" x14ac:dyDescent="0.2">
      <c r="C855" s="10"/>
    </row>
    <row r="856" spans="3:3" x14ac:dyDescent="0.2">
      <c r="C856" s="10"/>
    </row>
    <row r="857" spans="3:3" x14ac:dyDescent="0.2">
      <c r="C857" s="10"/>
    </row>
    <row r="858" spans="3:3" x14ac:dyDescent="0.2">
      <c r="C858" s="10"/>
    </row>
    <row r="859" spans="3:3" x14ac:dyDescent="0.2">
      <c r="C859" s="10"/>
    </row>
    <row r="860" spans="3:3" x14ac:dyDescent="0.2">
      <c r="C860" s="10"/>
    </row>
    <row r="861" spans="3:3" x14ac:dyDescent="0.2">
      <c r="C861" s="10"/>
    </row>
    <row r="862" spans="3:3" x14ac:dyDescent="0.2">
      <c r="C862" s="10"/>
    </row>
    <row r="863" spans="3:3" x14ac:dyDescent="0.2">
      <c r="C863" s="10"/>
    </row>
    <row r="864" spans="3:3" x14ac:dyDescent="0.2">
      <c r="C864" s="10"/>
    </row>
    <row r="865" spans="3:3" x14ac:dyDescent="0.2">
      <c r="C865" s="10"/>
    </row>
    <row r="866" spans="3:3" x14ac:dyDescent="0.2">
      <c r="C866" s="10"/>
    </row>
  </sheetData>
  <sheetProtection sheet="1" objects="1" scenarios="1"/>
  <mergeCells count="1">
    <mergeCell ref="A9:B9"/>
  </mergeCells>
  <phoneticPr fontId="0" type="noConversion"/>
  <pageMargins left="0.75" right="0.75" top="1" bottom="1" header="0.5" footer="0.5"/>
  <pageSetup orientation="portrait" horizontalDpi="300" verticalDpi="300"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502"/>
  <sheetViews>
    <sheetView workbookViewId="0"/>
  </sheetViews>
  <sheetFormatPr defaultColWidth="9.140625" defaultRowHeight="12.75" x14ac:dyDescent="0.2"/>
  <cols>
    <col min="1" max="1" width="10.42578125" style="10" customWidth="1"/>
    <col min="2" max="2" width="12.7109375" style="10" customWidth="1"/>
    <col min="3" max="3" width="4.28515625" style="10" customWidth="1"/>
    <col min="4" max="4" width="13.85546875" style="10" customWidth="1"/>
    <col min="5" max="5" width="14.140625" style="10" customWidth="1"/>
    <col min="6" max="16384" width="9.140625" style="10"/>
  </cols>
  <sheetData>
    <row r="1" spans="1:6" ht="56.25" customHeight="1" x14ac:dyDescent="0.2">
      <c r="A1" s="256" t="s">
        <v>131</v>
      </c>
      <c r="B1" s="256" t="s">
        <v>132</v>
      </c>
      <c r="C1" s="39"/>
      <c r="D1" s="256" t="s">
        <v>130</v>
      </c>
      <c r="E1" s="256" t="s">
        <v>130</v>
      </c>
      <c r="F1" s="39"/>
    </row>
    <row r="2" spans="1:6" ht="12.75" customHeight="1" x14ac:dyDescent="0.2">
      <c r="A2" s="50">
        <v>0</v>
      </c>
      <c r="B2" s="680">
        <v>1</v>
      </c>
      <c r="D2" s="912" t="s">
        <v>133</v>
      </c>
      <c r="E2" s="912" t="s">
        <v>133</v>
      </c>
    </row>
    <row r="3" spans="1:6" x14ac:dyDescent="0.2">
      <c r="A3" s="50">
        <v>1</v>
      </c>
      <c r="B3" s="680">
        <v>1</v>
      </c>
      <c r="D3" s="912"/>
      <c r="E3" s="912"/>
    </row>
    <row r="4" spans="1:6" x14ac:dyDescent="0.2">
      <c r="A4" s="50">
        <v>2</v>
      </c>
      <c r="B4" s="680">
        <v>1</v>
      </c>
      <c r="D4" s="912"/>
      <c r="E4" s="912"/>
    </row>
    <row r="5" spans="1:6" x14ac:dyDescent="0.2">
      <c r="A5" s="50">
        <v>3</v>
      </c>
      <c r="B5" s="680">
        <v>1</v>
      </c>
      <c r="D5" s="912"/>
      <c r="E5" s="912"/>
    </row>
    <row r="6" spans="1:6" x14ac:dyDescent="0.2">
      <c r="A6" s="50">
        <v>4</v>
      </c>
      <c r="B6" s="680">
        <v>1</v>
      </c>
      <c r="D6" s="50" t="s">
        <v>134</v>
      </c>
      <c r="E6" s="50" t="s">
        <v>135</v>
      </c>
    </row>
    <row r="7" spans="1:6" x14ac:dyDescent="0.2">
      <c r="A7" s="50">
        <v>5</v>
      </c>
      <c r="B7" s="680">
        <v>0.99</v>
      </c>
      <c r="D7" s="553" t="str">
        <f>Vision!K32</f>
        <v/>
      </c>
      <c r="E7" s="553" t="str">
        <f>Vision!AB32</f>
        <v/>
      </c>
    </row>
    <row r="8" spans="1:6" x14ac:dyDescent="0.2">
      <c r="A8" s="50">
        <v>6</v>
      </c>
      <c r="B8" s="680">
        <v>0.99</v>
      </c>
      <c r="D8" s="50" t="str">
        <f>IF(D7="","",ROUND(D7,0))</f>
        <v/>
      </c>
      <c r="E8" s="50" t="str">
        <f>IF(E7="","",ROUND(E7,0))</f>
        <v/>
      </c>
    </row>
    <row r="9" spans="1:6" x14ac:dyDescent="0.2">
      <c r="A9" s="50">
        <v>7</v>
      </c>
      <c r="B9" s="680">
        <v>0.99</v>
      </c>
      <c r="D9" s="680">
        <f>IF(D8&lt;&gt;"",VLOOKUP(D8,A2:B502,2),0)</f>
        <v>0</v>
      </c>
      <c r="E9" s="680">
        <f>IF(E8&lt;&gt;"",VLOOKUP(E8,A2:B502,2),0)</f>
        <v>0</v>
      </c>
    </row>
    <row r="10" spans="1:6" x14ac:dyDescent="0.2">
      <c r="A10" s="50">
        <v>8</v>
      </c>
      <c r="B10" s="680">
        <v>0.99</v>
      </c>
    </row>
    <row r="11" spans="1:6" x14ac:dyDescent="0.2">
      <c r="A11" s="50">
        <v>9</v>
      </c>
      <c r="B11" s="680">
        <v>0.99</v>
      </c>
    </row>
    <row r="12" spans="1:6" x14ac:dyDescent="0.2">
      <c r="A12" s="50">
        <v>10</v>
      </c>
      <c r="B12" s="680">
        <v>0.98</v>
      </c>
    </row>
    <row r="13" spans="1:6" x14ac:dyDescent="0.2">
      <c r="A13" s="50">
        <v>11</v>
      </c>
      <c r="B13" s="680">
        <v>0.98</v>
      </c>
    </row>
    <row r="14" spans="1:6" x14ac:dyDescent="0.2">
      <c r="A14" s="50">
        <v>12</v>
      </c>
      <c r="B14" s="680">
        <v>0.98</v>
      </c>
    </row>
    <row r="15" spans="1:6" x14ac:dyDescent="0.2">
      <c r="A15" s="50">
        <v>13</v>
      </c>
      <c r="B15" s="680">
        <v>0.98</v>
      </c>
    </row>
    <row r="16" spans="1:6" x14ac:dyDescent="0.2">
      <c r="A16" s="50">
        <v>14</v>
      </c>
      <c r="B16" s="680">
        <v>0.98</v>
      </c>
    </row>
    <row r="17" spans="1:2" x14ac:dyDescent="0.2">
      <c r="A17" s="50">
        <v>15</v>
      </c>
      <c r="B17" s="680">
        <v>0.97</v>
      </c>
    </row>
    <row r="18" spans="1:2" x14ac:dyDescent="0.2">
      <c r="A18" s="50">
        <v>16</v>
      </c>
      <c r="B18" s="680">
        <v>0.97</v>
      </c>
    </row>
    <row r="19" spans="1:2" x14ac:dyDescent="0.2">
      <c r="A19" s="50">
        <v>17</v>
      </c>
      <c r="B19" s="680">
        <v>0.97</v>
      </c>
    </row>
    <row r="20" spans="1:2" x14ac:dyDescent="0.2">
      <c r="A20" s="50">
        <v>18</v>
      </c>
      <c r="B20" s="680">
        <v>0.97</v>
      </c>
    </row>
    <row r="21" spans="1:2" x14ac:dyDescent="0.2">
      <c r="A21" s="50">
        <v>19</v>
      </c>
      <c r="B21" s="680">
        <v>0.97</v>
      </c>
    </row>
    <row r="22" spans="1:2" x14ac:dyDescent="0.2">
      <c r="A22" s="50">
        <v>20</v>
      </c>
      <c r="B22" s="680">
        <v>0.96</v>
      </c>
    </row>
    <row r="23" spans="1:2" x14ac:dyDescent="0.2">
      <c r="A23" s="50">
        <v>21</v>
      </c>
      <c r="B23" s="680">
        <v>0.96</v>
      </c>
    </row>
    <row r="24" spans="1:2" x14ac:dyDescent="0.2">
      <c r="A24" s="50">
        <v>22</v>
      </c>
      <c r="B24" s="680">
        <v>0.96</v>
      </c>
    </row>
    <row r="25" spans="1:2" x14ac:dyDescent="0.2">
      <c r="A25" s="50">
        <v>23</v>
      </c>
      <c r="B25" s="680">
        <v>0.96</v>
      </c>
    </row>
    <row r="26" spans="1:2" x14ac:dyDescent="0.2">
      <c r="A26" s="50">
        <v>24</v>
      </c>
      <c r="B26" s="680">
        <v>0.96</v>
      </c>
    </row>
    <row r="27" spans="1:2" x14ac:dyDescent="0.2">
      <c r="A27" s="50">
        <v>25</v>
      </c>
      <c r="B27" s="680">
        <v>0.95</v>
      </c>
    </row>
    <row r="28" spans="1:2" x14ac:dyDescent="0.2">
      <c r="A28" s="50">
        <v>26</v>
      </c>
      <c r="B28" s="680">
        <v>0.95</v>
      </c>
    </row>
    <row r="29" spans="1:2" x14ac:dyDescent="0.2">
      <c r="A29" s="50">
        <v>27</v>
      </c>
      <c r="B29" s="680">
        <v>0.95</v>
      </c>
    </row>
    <row r="30" spans="1:2" x14ac:dyDescent="0.2">
      <c r="A30" s="50">
        <v>28</v>
      </c>
      <c r="B30" s="680">
        <v>0.95</v>
      </c>
    </row>
    <row r="31" spans="1:2" x14ac:dyDescent="0.2">
      <c r="A31" s="50">
        <v>29</v>
      </c>
      <c r="B31" s="680">
        <v>0.95</v>
      </c>
    </row>
    <row r="32" spans="1:2" x14ac:dyDescent="0.2">
      <c r="A32" s="50">
        <v>30</v>
      </c>
      <c r="B32" s="680">
        <v>0.94</v>
      </c>
    </row>
    <row r="33" spans="1:2" x14ac:dyDescent="0.2">
      <c r="A33" s="50">
        <v>31</v>
      </c>
      <c r="B33" s="680">
        <v>0.94</v>
      </c>
    </row>
    <row r="34" spans="1:2" x14ac:dyDescent="0.2">
      <c r="A34" s="50">
        <v>32</v>
      </c>
      <c r="B34" s="680">
        <v>0.94</v>
      </c>
    </row>
    <row r="35" spans="1:2" x14ac:dyDescent="0.2">
      <c r="A35" s="50">
        <v>33</v>
      </c>
      <c r="B35" s="680">
        <v>0.94</v>
      </c>
    </row>
    <row r="36" spans="1:2" x14ac:dyDescent="0.2">
      <c r="A36" s="50">
        <v>34</v>
      </c>
      <c r="B36" s="680">
        <v>0.94</v>
      </c>
    </row>
    <row r="37" spans="1:2" x14ac:dyDescent="0.2">
      <c r="A37" s="50">
        <v>35</v>
      </c>
      <c r="B37" s="680">
        <v>0.93</v>
      </c>
    </row>
    <row r="38" spans="1:2" x14ac:dyDescent="0.2">
      <c r="A38" s="50">
        <v>36</v>
      </c>
      <c r="B38" s="680">
        <v>0.93</v>
      </c>
    </row>
    <row r="39" spans="1:2" x14ac:dyDescent="0.2">
      <c r="A39" s="50">
        <v>37</v>
      </c>
      <c r="B39" s="680">
        <v>0.93</v>
      </c>
    </row>
    <row r="40" spans="1:2" x14ac:dyDescent="0.2">
      <c r="A40" s="50">
        <v>38</v>
      </c>
      <c r="B40" s="680">
        <v>0.93</v>
      </c>
    </row>
    <row r="41" spans="1:2" x14ac:dyDescent="0.2">
      <c r="A41" s="50">
        <v>39</v>
      </c>
      <c r="B41" s="680">
        <v>0.93</v>
      </c>
    </row>
    <row r="42" spans="1:2" x14ac:dyDescent="0.2">
      <c r="A42" s="50">
        <v>40</v>
      </c>
      <c r="B42" s="680">
        <v>0.92</v>
      </c>
    </row>
    <row r="43" spans="1:2" x14ac:dyDescent="0.2">
      <c r="A43" s="50">
        <v>41</v>
      </c>
      <c r="B43" s="680">
        <v>0.92</v>
      </c>
    </row>
    <row r="44" spans="1:2" x14ac:dyDescent="0.2">
      <c r="A44" s="50">
        <v>42</v>
      </c>
      <c r="B44" s="680">
        <v>0.92</v>
      </c>
    </row>
    <row r="45" spans="1:2" x14ac:dyDescent="0.2">
      <c r="A45" s="50">
        <v>43</v>
      </c>
      <c r="B45" s="680">
        <v>0.92</v>
      </c>
    </row>
    <row r="46" spans="1:2" x14ac:dyDescent="0.2">
      <c r="A46" s="50">
        <v>44</v>
      </c>
      <c r="B46" s="680">
        <v>0.92</v>
      </c>
    </row>
    <row r="47" spans="1:2" x14ac:dyDescent="0.2">
      <c r="A47" s="50">
        <v>45</v>
      </c>
      <c r="B47" s="680">
        <v>0.91</v>
      </c>
    </row>
    <row r="48" spans="1:2" x14ac:dyDescent="0.2">
      <c r="A48" s="50">
        <v>46</v>
      </c>
      <c r="B48" s="680">
        <v>0.91</v>
      </c>
    </row>
    <row r="49" spans="1:2" x14ac:dyDescent="0.2">
      <c r="A49" s="50">
        <v>47</v>
      </c>
      <c r="B49" s="680">
        <v>0.91</v>
      </c>
    </row>
    <row r="50" spans="1:2" x14ac:dyDescent="0.2">
      <c r="A50" s="50">
        <v>48</v>
      </c>
      <c r="B50" s="680">
        <v>0.91</v>
      </c>
    </row>
    <row r="51" spans="1:2" x14ac:dyDescent="0.2">
      <c r="A51" s="50">
        <v>49</v>
      </c>
      <c r="B51" s="680">
        <v>0.91</v>
      </c>
    </row>
    <row r="52" spans="1:2" x14ac:dyDescent="0.2">
      <c r="A52" s="50">
        <v>50</v>
      </c>
      <c r="B52" s="680">
        <v>0.9</v>
      </c>
    </row>
    <row r="53" spans="1:2" x14ac:dyDescent="0.2">
      <c r="A53" s="50">
        <v>51</v>
      </c>
      <c r="B53" s="680">
        <v>0.9</v>
      </c>
    </row>
    <row r="54" spans="1:2" x14ac:dyDescent="0.2">
      <c r="A54" s="50">
        <v>52</v>
      </c>
      <c r="B54" s="680">
        <v>0.9</v>
      </c>
    </row>
    <row r="55" spans="1:2" x14ac:dyDescent="0.2">
      <c r="A55" s="50">
        <v>53</v>
      </c>
      <c r="B55" s="680">
        <v>0.9</v>
      </c>
    </row>
    <row r="56" spans="1:2" x14ac:dyDescent="0.2">
      <c r="A56" s="50">
        <v>54</v>
      </c>
      <c r="B56" s="680">
        <v>0.9</v>
      </c>
    </row>
    <row r="57" spans="1:2" x14ac:dyDescent="0.2">
      <c r="A57" s="50">
        <v>55</v>
      </c>
      <c r="B57" s="680">
        <v>0.89</v>
      </c>
    </row>
    <row r="58" spans="1:2" x14ac:dyDescent="0.2">
      <c r="A58" s="50">
        <v>56</v>
      </c>
      <c r="B58" s="680">
        <v>0.89</v>
      </c>
    </row>
    <row r="59" spans="1:2" x14ac:dyDescent="0.2">
      <c r="A59" s="50">
        <v>57</v>
      </c>
      <c r="B59" s="680">
        <v>0.89</v>
      </c>
    </row>
    <row r="60" spans="1:2" x14ac:dyDescent="0.2">
      <c r="A60" s="50">
        <v>58</v>
      </c>
      <c r="B60" s="680">
        <v>0.89</v>
      </c>
    </row>
    <row r="61" spans="1:2" x14ac:dyDescent="0.2">
      <c r="A61" s="50">
        <v>59</v>
      </c>
      <c r="B61" s="680">
        <v>0.89</v>
      </c>
    </row>
    <row r="62" spans="1:2" x14ac:dyDescent="0.2">
      <c r="A62" s="50">
        <v>60</v>
      </c>
      <c r="B62" s="680">
        <v>0.88</v>
      </c>
    </row>
    <row r="63" spans="1:2" x14ac:dyDescent="0.2">
      <c r="A63" s="50">
        <v>61</v>
      </c>
      <c r="B63" s="680">
        <v>0.88</v>
      </c>
    </row>
    <row r="64" spans="1:2" x14ac:dyDescent="0.2">
      <c r="A64" s="50">
        <v>62</v>
      </c>
      <c r="B64" s="680">
        <v>0.88</v>
      </c>
    </row>
    <row r="65" spans="1:2" x14ac:dyDescent="0.2">
      <c r="A65" s="50">
        <v>63</v>
      </c>
      <c r="B65" s="680">
        <v>0.88</v>
      </c>
    </row>
    <row r="66" spans="1:2" x14ac:dyDescent="0.2">
      <c r="A66" s="50">
        <v>64</v>
      </c>
      <c r="B66" s="680">
        <v>0.88</v>
      </c>
    </row>
    <row r="67" spans="1:2" x14ac:dyDescent="0.2">
      <c r="A67" s="50">
        <v>65</v>
      </c>
      <c r="B67" s="680">
        <v>0.87</v>
      </c>
    </row>
    <row r="68" spans="1:2" x14ac:dyDescent="0.2">
      <c r="A68" s="50">
        <v>66</v>
      </c>
      <c r="B68" s="680">
        <v>0.87</v>
      </c>
    </row>
    <row r="69" spans="1:2" x14ac:dyDescent="0.2">
      <c r="A69" s="50">
        <v>67</v>
      </c>
      <c r="B69" s="680">
        <v>0.87</v>
      </c>
    </row>
    <row r="70" spans="1:2" x14ac:dyDescent="0.2">
      <c r="A70" s="50">
        <v>68</v>
      </c>
      <c r="B70" s="680">
        <v>0.87</v>
      </c>
    </row>
    <row r="71" spans="1:2" x14ac:dyDescent="0.2">
      <c r="A71" s="50">
        <v>69</v>
      </c>
      <c r="B71" s="680">
        <v>0.87</v>
      </c>
    </row>
    <row r="72" spans="1:2" x14ac:dyDescent="0.2">
      <c r="A72" s="50">
        <v>70</v>
      </c>
      <c r="B72" s="680">
        <v>0.86</v>
      </c>
    </row>
    <row r="73" spans="1:2" x14ac:dyDescent="0.2">
      <c r="A73" s="50">
        <v>71</v>
      </c>
      <c r="B73" s="680">
        <v>0.86</v>
      </c>
    </row>
    <row r="74" spans="1:2" x14ac:dyDescent="0.2">
      <c r="A74" s="50">
        <v>72</v>
      </c>
      <c r="B74" s="680">
        <v>0.86</v>
      </c>
    </row>
    <row r="75" spans="1:2" x14ac:dyDescent="0.2">
      <c r="A75" s="50">
        <v>73</v>
      </c>
      <c r="B75" s="680">
        <v>0.86</v>
      </c>
    </row>
    <row r="76" spans="1:2" x14ac:dyDescent="0.2">
      <c r="A76" s="50">
        <v>74</v>
      </c>
      <c r="B76" s="680">
        <v>0.86</v>
      </c>
    </row>
    <row r="77" spans="1:2" x14ac:dyDescent="0.2">
      <c r="A77" s="50">
        <v>75</v>
      </c>
      <c r="B77" s="680">
        <v>0.85</v>
      </c>
    </row>
    <row r="78" spans="1:2" x14ac:dyDescent="0.2">
      <c r="A78" s="50">
        <v>76</v>
      </c>
      <c r="B78" s="680">
        <v>0.85</v>
      </c>
    </row>
    <row r="79" spans="1:2" x14ac:dyDescent="0.2">
      <c r="A79" s="50">
        <v>77</v>
      </c>
      <c r="B79" s="680">
        <v>0.85</v>
      </c>
    </row>
    <row r="80" spans="1:2" x14ac:dyDescent="0.2">
      <c r="A80" s="50">
        <v>78</v>
      </c>
      <c r="B80" s="680">
        <v>0.85</v>
      </c>
    </row>
    <row r="81" spans="1:2" x14ac:dyDescent="0.2">
      <c r="A81" s="50">
        <v>79</v>
      </c>
      <c r="B81" s="680">
        <v>0.85</v>
      </c>
    </row>
    <row r="82" spans="1:2" x14ac:dyDescent="0.2">
      <c r="A82" s="50">
        <v>80</v>
      </c>
      <c r="B82" s="680">
        <v>0.84</v>
      </c>
    </row>
    <row r="83" spans="1:2" x14ac:dyDescent="0.2">
      <c r="A83" s="50">
        <v>81</v>
      </c>
      <c r="B83" s="680">
        <v>0.84</v>
      </c>
    </row>
    <row r="84" spans="1:2" x14ac:dyDescent="0.2">
      <c r="A84" s="50">
        <v>82</v>
      </c>
      <c r="B84" s="680">
        <v>0.84</v>
      </c>
    </row>
    <row r="85" spans="1:2" x14ac:dyDescent="0.2">
      <c r="A85" s="50">
        <v>83</v>
      </c>
      <c r="B85" s="680">
        <v>0.84</v>
      </c>
    </row>
    <row r="86" spans="1:2" x14ac:dyDescent="0.2">
      <c r="A86" s="50">
        <v>84</v>
      </c>
      <c r="B86" s="680">
        <v>0.84</v>
      </c>
    </row>
    <row r="87" spans="1:2" x14ac:dyDescent="0.2">
      <c r="A87" s="50">
        <v>85</v>
      </c>
      <c r="B87" s="680">
        <v>0.83</v>
      </c>
    </row>
    <row r="88" spans="1:2" x14ac:dyDescent="0.2">
      <c r="A88" s="50">
        <v>86</v>
      </c>
      <c r="B88" s="680">
        <v>0.83</v>
      </c>
    </row>
    <row r="89" spans="1:2" x14ac:dyDescent="0.2">
      <c r="A89" s="50">
        <v>87</v>
      </c>
      <c r="B89" s="680">
        <v>0.83</v>
      </c>
    </row>
    <row r="90" spans="1:2" x14ac:dyDescent="0.2">
      <c r="A90" s="50">
        <v>88</v>
      </c>
      <c r="B90" s="680">
        <v>0.83</v>
      </c>
    </row>
    <row r="91" spans="1:2" x14ac:dyDescent="0.2">
      <c r="A91" s="50">
        <v>89</v>
      </c>
      <c r="B91" s="680">
        <v>0.83</v>
      </c>
    </row>
    <row r="92" spans="1:2" x14ac:dyDescent="0.2">
      <c r="A92" s="50">
        <v>90</v>
      </c>
      <c r="B92" s="680">
        <v>0.82</v>
      </c>
    </row>
    <row r="93" spans="1:2" x14ac:dyDescent="0.2">
      <c r="A93" s="50">
        <v>91</v>
      </c>
      <c r="B93" s="680">
        <v>0.82</v>
      </c>
    </row>
    <row r="94" spans="1:2" x14ac:dyDescent="0.2">
      <c r="A94" s="50">
        <v>92</v>
      </c>
      <c r="B94" s="680">
        <v>0.82</v>
      </c>
    </row>
    <row r="95" spans="1:2" x14ac:dyDescent="0.2">
      <c r="A95" s="50">
        <v>93</v>
      </c>
      <c r="B95" s="680">
        <v>0.82</v>
      </c>
    </row>
    <row r="96" spans="1:2" x14ac:dyDescent="0.2">
      <c r="A96" s="50">
        <v>94</v>
      </c>
      <c r="B96" s="680">
        <v>0.82</v>
      </c>
    </row>
    <row r="97" spans="1:2" x14ac:dyDescent="0.2">
      <c r="A97" s="50">
        <v>95</v>
      </c>
      <c r="B97" s="680">
        <v>0.81</v>
      </c>
    </row>
    <row r="98" spans="1:2" x14ac:dyDescent="0.2">
      <c r="A98" s="50">
        <v>96</v>
      </c>
      <c r="B98" s="680">
        <v>0.81</v>
      </c>
    </row>
    <row r="99" spans="1:2" x14ac:dyDescent="0.2">
      <c r="A99" s="50">
        <v>97</v>
      </c>
      <c r="B99" s="680">
        <v>0.81</v>
      </c>
    </row>
    <row r="100" spans="1:2" x14ac:dyDescent="0.2">
      <c r="A100" s="50">
        <v>98</v>
      </c>
      <c r="B100" s="680">
        <v>0.81</v>
      </c>
    </row>
    <row r="101" spans="1:2" x14ac:dyDescent="0.2">
      <c r="A101" s="50">
        <v>99</v>
      </c>
      <c r="B101" s="680">
        <v>0.81</v>
      </c>
    </row>
    <row r="102" spans="1:2" x14ac:dyDescent="0.2">
      <c r="A102" s="50">
        <v>100</v>
      </c>
      <c r="B102" s="680">
        <v>0.8</v>
      </c>
    </row>
    <row r="103" spans="1:2" x14ac:dyDescent="0.2">
      <c r="A103" s="50">
        <v>101</v>
      </c>
      <c r="B103" s="680">
        <v>0.8</v>
      </c>
    </row>
    <row r="104" spans="1:2" x14ac:dyDescent="0.2">
      <c r="A104" s="50">
        <v>102</v>
      </c>
      <c r="B104" s="680">
        <v>0.8</v>
      </c>
    </row>
    <row r="105" spans="1:2" x14ac:dyDescent="0.2">
      <c r="A105" s="50">
        <v>103</v>
      </c>
      <c r="B105" s="680">
        <v>0.8</v>
      </c>
    </row>
    <row r="106" spans="1:2" x14ac:dyDescent="0.2">
      <c r="A106" s="50">
        <v>104</v>
      </c>
      <c r="B106" s="680">
        <v>0.8</v>
      </c>
    </row>
    <row r="107" spans="1:2" x14ac:dyDescent="0.2">
      <c r="A107" s="50">
        <v>105</v>
      </c>
      <c r="B107" s="680">
        <v>0.79</v>
      </c>
    </row>
    <row r="108" spans="1:2" x14ac:dyDescent="0.2">
      <c r="A108" s="50">
        <v>106</v>
      </c>
      <c r="B108" s="680">
        <v>0.79</v>
      </c>
    </row>
    <row r="109" spans="1:2" x14ac:dyDescent="0.2">
      <c r="A109" s="50">
        <v>107</v>
      </c>
      <c r="B109" s="680">
        <v>0.79</v>
      </c>
    </row>
    <row r="110" spans="1:2" x14ac:dyDescent="0.2">
      <c r="A110" s="50">
        <v>108</v>
      </c>
      <c r="B110" s="680">
        <v>0.79</v>
      </c>
    </row>
    <row r="111" spans="1:2" x14ac:dyDescent="0.2">
      <c r="A111" s="50">
        <v>109</v>
      </c>
      <c r="B111" s="680">
        <v>0.79</v>
      </c>
    </row>
    <row r="112" spans="1:2" x14ac:dyDescent="0.2">
      <c r="A112" s="50">
        <v>110</v>
      </c>
      <c r="B112" s="680">
        <v>0.78</v>
      </c>
    </row>
    <row r="113" spans="1:2" x14ac:dyDescent="0.2">
      <c r="A113" s="50">
        <v>111</v>
      </c>
      <c r="B113" s="680">
        <v>0.78</v>
      </c>
    </row>
    <row r="114" spans="1:2" x14ac:dyDescent="0.2">
      <c r="A114" s="50">
        <v>112</v>
      </c>
      <c r="B114" s="680">
        <v>0.78</v>
      </c>
    </row>
    <row r="115" spans="1:2" x14ac:dyDescent="0.2">
      <c r="A115" s="50">
        <v>113</v>
      </c>
      <c r="B115" s="680">
        <v>0.78</v>
      </c>
    </row>
    <row r="116" spans="1:2" x14ac:dyDescent="0.2">
      <c r="A116" s="50">
        <v>114</v>
      </c>
      <c r="B116" s="680">
        <v>0.78</v>
      </c>
    </row>
    <row r="117" spans="1:2" x14ac:dyDescent="0.2">
      <c r="A117" s="50">
        <v>115</v>
      </c>
      <c r="B117" s="680">
        <v>0.77</v>
      </c>
    </row>
    <row r="118" spans="1:2" x14ac:dyDescent="0.2">
      <c r="A118" s="50">
        <v>116</v>
      </c>
      <c r="B118" s="680">
        <v>0.77</v>
      </c>
    </row>
    <row r="119" spans="1:2" x14ac:dyDescent="0.2">
      <c r="A119" s="50">
        <v>117</v>
      </c>
      <c r="B119" s="680">
        <v>0.77</v>
      </c>
    </row>
    <row r="120" spans="1:2" x14ac:dyDescent="0.2">
      <c r="A120" s="50">
        <v>118</v>
      </c>
      <c r="B120" s="680">
        <v>0.77</v>
      </c>
    </row>
    <row r="121" spans="1:2" x14ac:dyDescent="0.2">
      <c r="A121" s="50">
        <v>119</v>
      </c>
      <c r="B121" s="680">
        <v>0.77</v>
      </c>
    </row>
    <row r="122" spans="1:2" x14ac:dyDescent="0.2">
      <c r="A122" s="50">
        <v>120</v>
      </c>
      <c r="B122" s="680">
        <v>0.76</v>
      </c>
    </row>
    <row r="123" spans="1:2" x14ac:dyDescent="0.2">
      <c r="A123" s="50">
        <v>121</v>
      </c>
      <c r="B123" s="680">
        <v>0.76</v>
      </c>
    </row>
    <row r="124" spans="1:2" x14ac:dyDescent="0.2">
      <c r="A124" s="50">
        <v>122</v>
      </c>
      <c r="B124" s="680">
        <v>0.76</v>
      </c>
    </row>
    <row r="125" spans="1:2" x14ac:dyDescent="0.2">
      <c r="A125" s="50">
        <v>123</v>
      </c>
      <c r="B125" s="680">
        <v>0.76</v>
      </c>
    </row>
    <row r="126" spans="1:2" x14ac:dyDescent="0.2">
      <c r="A126" s="50">
        <v>124</v>
      </c>
      <c r="B126" s="680">
        <v>0.76</v>
      </c>
    </row>
    <row r="127" spans="1:2" x14ac:dyDescent="0.2">
      <c r="A127" s="50">
        <v>125</v>
      </c>
      <c r="B127" s="680">
        <v>0.75</v>
      </c>
    </row>
    <row r="128" spans="1:2" x14ac:dyDescent="0.2">
      <c r="A128" s="50">
        <v>126</v>
      </c>
      <c r="B128" s="680">
        <v>0.75</v>
      </c>
    </row>
    <row r="129" spans="1:2" x14ac:dyDescent="0.2">
      <c r="A129" s="50">
        <v>127</v>
      </c>
      <c r="B129" s="680">
        <v>0.75</v>
      </c>
    </row>
    <row r="130" spans="1:2" x14ac:dyDescent="0.2">
      <c r="A130" s="50">
        <v>128</v>
      </c>
      <c r="B130" s="680">
        <v>0.75</v>
      </c>
    </row>
    <row r="131" spans="1:2" x14ac:dyDescent="0.2">
      <c r="A131" s="50">
        <v>129</v>
      </c>
      <c r="B131" s="680">
        <v>0.75</v>
      </c>
    </row>
    <row r="132" spans="1:2" x14ac:dyDescent="0.2">
      <c r="A132" s="50">
        <v>130</v>
      </c>
      <c r="B132" s="680">
        <v>0.74</v>
      </c>
    </row>
    <row r="133" spans="1:2" x14ac:dyDescent="0.2">
      <c r="A133" s="50">
        <v>131</v>
      </c>
      <c r="B133" s="680">
        <v>0.74</v>
      </c>
    </row>
    <row r="134" spans="1:2" x14ac:dyDescent="0.2">
      <c r="A134" s="50">
        <v>132</v>
      </c>
      <c r="B134" s="680">
        <v>0.74</v>
      </c>
    </row>
    <row r="135" spans="1:2" x14ac:dyDescent="0.2">
      <c r="A135" s="50">
        <v>133</v>
      </c>
      <c r="B135" s="680">
        <v>0.74</v>
      </c>
    </row>
    <row r="136" spans="1:2" x14ac:dyDescent="0.2">
      <c r="A136" s="50">
        <v>134</v>
      </c>
      <c r="B136" s="680">
        <v>0.74</v>
      </c>
    </row>
    <row r="137" spans="1:2" x14ac:dyDescent="0.2">
      <c r="A137" s="50">
        <v>135</v>
      </c>
      <c r="B137" s="680">
        <v>0.73</v>
      </c>
    </row>
    <row r="138" spans="1:2" x14ac:dyDescent="0.2">
      <c r="A138" s="50">
        <v>136</v>
      </c>
      <c r="B138" s="680">
        <v>0.73</v>
      </c>
    </row>
    <row r="139" spans="1:2" x14ac:dyDescent="0.2">
      <c r="A139" s="50">
        <v>137</v>
      </c>
      <c r="B139" s="680">
        <v>0.73</v>
      </c>
    </row>
    <row r="140" spans="1:2" x14ac:dyDescent="0.2">
      <c r="A140" s="50">
        <v>138</v>
      </c>
      <c r="B140" s="680">
        <v>0.73</v>
      </c>
    </row>
    <row r="141" spans="1:2" x14ac:dyDescent="0.2">
      <c r="A141" s="50">
        <v>139</v>
      </c>
      <c r="B141" s="680">
        <v>0.73</v>
      </c>
    </row>
    <row r="142" spans="1:2" x14ac:dyDescent="0.2">
      <c r="A142" s="50">
        <v>140</v>
      </c>
      <c r="B142" s="680">
        <v>0.72</v>
      </c>
    </row>
    <row r="143" spans="1:2" x14ac:dyDescent="0.2">
      <c r="A143" s="50">
        <v>141</v>
      </c>
      <c r="B143" s="680">
        <v>0.72</v>
      </c>
    </row>
    <row r="144" spans="1:2" x14ac:dyDescent="0.2">
      <c r="A144" s="50">
        <v>142</v>
      </c>
      <c r="B144" s="680">
        <v>0.72</v>
      </c>
    </row>
    <row r="145" spans="1:2" x14ac:dyDescent="0.2">
      <c r="A145" s="50">
        <v>143</v>
      </c>
      <c r="B145" s="680">
        <v>0.72</v>
      </c>
    </row>
    <row r="146" spans="1:2" x14ac:dyDescent="0.2">
      <c r="A146" s="50">
        <v>144</v>
      </c>
      <c r="B146" s="680">
        <v>0.72</v>
      </c>
    </row>
    <row r="147" spans="1:2" x14ac:dyDescent="0.2">
      <c r="A147" s="50">
        <v>145</v>
      </c>
      <c r="B147" s="680">
        <v>0.71</v>
      </c>
    </row>
    <row r="148" spans="1:2" x14ac:dyDescent="0.2">
      <c r="A148" s="50">
        <v>146</v>
      </c>
      <c r="B148" s="680">
        <v>0.71</v>
      </c>
    </row>
    <row r="149" spans="1:2" x14ac:dyDescent="0.2">
      <c r="A149" s="50">
        <v>147</v>
      </c>
      <c r="B149" s="680">
        <v>0.71</v>
      </c>
    </row>
    <row r="150" spans="1:2" x14ac:dyDescent="0.2">
      <c r="A150" s="50">
        <v>148</v>
      </c>
      <c r="B150" s="680">
        <v>0.71</v>
      </c>
    </row>
    <row r="151" spans="1:2" x14ac:dyDescent="0.2">
      <c r="A151" s="50">
        <v>149</v>
      </c>
      <c r="B151" s="680">
        <v>0.71</v>
      </c>
    </row>
    <row r="152" spans="1:2" x14ac:dyDescent="0.2">
      <c r="A152" s="50">
        <v>150</v>
      </c>
      <c r="B152" s="680">
        <v>0.7</v>
      </c>
    </row>
    <row r="153" spans="1:2" x14ac:dyDescent="0.2">
      <c r="A153" s="50">
        <v>151</v>
      </c>
      <c r="B153" s="680">
        <v>0.7</v>
      </c>
    </row>
    <row r="154" spans="1:2" x14ac:dyDescent="0.2">
      <c r="A154" s="50">
        <v>152</v>
      </c>
      <c r="B154" s="680">
        <v>0.7</v>
      </c>
    </row>
    <row r="155" spans="1:2" x14ac:dyDescent="0.2">
      <c r="A155" s="50">
        <v>153</v>
      </c>
      <c r="B155" s="680">
        <v>0.7</v>
      </c>
    </row>
    <row r="156" spans="1:2" x14ac:dyDescent="0.2">
      <c r="A156" s="50">
        <v>154</v>
      </c>
      <c r="B156" s="680">
        <v>0.7</v>
      </c>
    </row>
    <row r="157" spans="1:2" x14ac:dyDescent="0.2">
      <c r="A157" s="50">
        <v>155</v>
      </c>
      <c r="B157" s="680">
        <v>0.69</v>
      </c>
    </row>
    <row r="158" spans="1:2" x14ac:dyDescent="0.2">
      <c r="A158" s="50">
        <v>156</v>
      </c>
      <c r="B158" s="680">
        <v>0.69</v>
      </c>
    </row>
    <row r="159" spans="1:2" x14ac:dyDescent="0.2">
      <c r="A159" s="50">
        <v>157</v>
      </c>
      <c r="B159" s="680">
        <v>0.69</v>
      </c>
    </row>
    <row r="160" spans="1:2" x14ac:dyDescent="0.2">
      <c r="A160" s="50">
        <v>158</v>
      </c>
      <c r="B160" s="680">
        <v>0.69</v>
      </c>
    </row>
    <row r="161" spans="1:2" x14ac:dyDescent="0.2">
      <c r="A161" s="50">
        <v>159</v>
      </c>
      <c r="B161" s="680">
        <v>0.69</v>
      </c>
    </row>
    <row r="162" spans="1:2" x14ac:dyDescent="0.2">
      <c r="A162" s="50">
        <v>160</v>
      </c>
      <c r="B162" s="680">
        <v>0.68</v>
      </c>
    </row>
    <row r="163" spans="1:2" x14ac:dyDescent="0.2">
      <c r="A163" s="50">
        <v>161</v>
      </c>
      <c r="B163" s="680">
        <v>0.68</v>
      </c>
    </row>
    <row r="164" spans="1:2" x14ac:dyDescent="0.2">
      <c r="A164" s="50">
        <v>162</v>
      </c>
      <c r="B164" s="680">
        <v>0.68</v>
      </c>
    </row>
    <row r="165" spans="1:2" x14ac:dyDescent="0.2">
      <c r="A165" s="50">
        <v>163</v>
      </c>
      <c r="B165" s="680">
        <v>0.68</v>
      </c>
    </row>
    <row r="166" spans="1:2" x14ac:dyDescent="0.2">
      <c r="A166" s="50">
        <v>164</v>
      </c>
      <c r="B166" s="680">
        <v>0.68</v>
      </c>
    </row>
    <row r="167" spans="1:2" x14ac:dyDescent="0.2">
      <c r="A167" s="50">
        <v>165</v>
      </c>
      <c r="B167" s="680">
        <v>0.67</v>
      </c>
    </row>
    <row r="168" spans="1:2" x14ac:dyDescent="0.2">
      <c r="A168" s="50">
        <v>166</v>
      </c>
      <c r="B168" s="680">
        <v>0.67</v>
      </c>
    </row>
    <row r="169" spans="1:2" x14ac:dyDescent="0.2">
      <c r="A169" s="50">
        <v>167</v>
      </c>
      <c r="B169" s="680">
        <v>0.67</v>
      </c>
    </row>
    <row r="170" spans="1:2" x14ac:dyDescent="0.2">
      <c r="A170" s="50">
        <v>168</v>
      </c>
      <c r="B170" s="680">
        <v>0.67</v>
      </c>
    </row>
    <row r="171" spans="1:2" x14ac:dyDescent="0.2">
      <c r="A171" s="50">
        <v>169</v>
      </c>
      <c r="B171" s="680">
        <v>0.67</v>
      </c>
    </row>
    <row r="172" spans="1:2" x14ac:dyDescent="0.2">
      <c r="A172" s="50">
        <v>170</v>
      </c>
      <c r="B172" s="680">
        <v>0.66</v>
      </c>
    </row>
    <row r="173" spans="1:2" x14ac:dyDescent="0.2">
      <c r="A173" s="50">
        <v>171</v>
      </c>
      <c r="B173" s="680">
        <v>0.66</v>
      </c>
    </row>
    <row r="174" spans="1:2" x14ac:dyDescent="0.2">
      <c r="A174" s="50">
        <v>172</v>
      </c>
      <c r="B174" s="680">
        <v>0.66</v>
      </c>
    </row>
    <row r="175" spans="1:2" x14ac:dyDescent="0.2">
      <c r="A175" s="50">
        <v>173</v>
      </c>
      <c r="B175" s="680">
        <v>0.66</v>
      </c>
    </row>
    <row r="176" spans="1:2" x14ac:dyDescent="0.2">
      <c r="A176" s="50">
        <v>174</v>
      </c>
      <c r="B176" s="680">
        <v>0.66</v>
      </c>
    </row>
    <row r="177" spans="1:2" x14ac:dyDescent="0.2">
      <c r="A177" s="50">
        <v>175</v>
      </c>
      <c r="B177" s="680">
        <v>0.65</v>
      </c>
    </row>
    <row r="178" spans="1:2" x14ac:dyDescent="0.2">
      <c r="A178" s="50">
        <v>176</v>
      </c>
      <c r="B178" s="680">
        <v>0.65</v>
      </c>
    </row>
    <row r="179" spans="1:2" x14ac:dyDescent="0.2">
      <c r="A179" s="50">
        <v>177</v>
      </c>
      <c r="B179" s="680">
        <v>0.65</v>
      </c>
    </row>
    <row r="180" spans="1:2" x14ac:dyDescent="0.2">
      <c r="A180" s="50">
        <v>178</v>
      </c>
      <c r="B180" s="680">
        <v>0.65</v>
      </c>
    </row>
    <row r="181" spans="1:2" x14ac:dyDescent="0.2">
      <c r="A181" s="50">
        <v>179</v>
      </c>
      <c r="B181" s="680">
        <v>0.65</v>
      </c>
    </row>
    <row r="182" spans="1:2" x14ac:dyDescent="0.2">
      <c r="A182" s="50">
        <v>180</v>
      </c>
      <c r="B182" s="680">
        <v>0.64</v>
      </c>
    </row>
    <row r="183" spans="1:2" x14ac:dyDescent="0.2">
      <c r="A183" s="50">
        <v>181</v>
      </c>
      <c r="B183" s="680">
        <v>0.64</v>
      </c>
    </row>
    <row r="184" spans="1:2" x14ac:dyDescent="0.2">
      <c r="A184" s="50">
        <v>182</v>
      </c>
      <c r="B184" s="680">
        <v>0.64</v>
      </c>
    </row>
    <row r="185" spans="1:2" x14ac:dyDescent="0.2">
      <c r="A185" s="50">
        <v>183</v>
      </c>
      <c r="B185" s="680">
        <v>0.64</v>
      </c>
    </row>
    <row r="186" spans="1:2" x14ac:dyDescent="0.2">
      <c r="A186" s="50">
        <v>184</v>
      </c>
      <c r="B186" s="680">
        <v>0.64</v>
      </c>
    </row>
    <row r="187" spans="1:2" x14ac:dyDescent="0.2">
      <c r="A187" s="50">
        <v>185</v>
      </c>
      <c r="B187" s="680">
        <v>0.63</v>
      </c>
    </row>
    <row r="188" spans="1:2" x14ac:dyDescent="0.2">
      <c r="A188" s="50">
        <v>186</v>
      </c>
      <c r="B188" s="680">
        <v>0.63</v>
      </c>
    </row>
    <row r="189" spans="1:2" x14ac:dyDescent="0.2">
      <c r="A189" s="50">
        <v>187</v>
      </c>
      <c r="B189" s="680">
        <v>0.63</v>
      </c>
    </row>
    <row r="190" spans="1:2" x14ac:dyDescent="0.2">
      <c r="A190" s="50">
        <v>188</v>
      </c>
      <c r="B190" s="680">
        <v>0.63</v>
      </c>
    </row>
    <row r="191" spans="1:2" x14ac:dyDescent="0.2">
      <c r="A191" s="50">
        <v>189</v>
      </c>
      <c r="B191" s="680">
        <v>0.63</v>
      </c>
    </row>
    <row r="192" spans="1:2" x14ac:dyDescent="0.2">
      <c r="A192" s="50">
        <v>190</v>
      </c>
      <c r="B192" s="680">
        <v>0.62</v>
      </c>
    </row>
    <row r="193" spans="1:2" x14ac:dyDescent="0.2">
      <c r="A193" s="50">
        <v>191</v>
      </c>
      <c r="B193" s="680">
        <v>0.62</v>
      </c>
    </row>
    <row r="194" spans="1:2" x14ac:dyDescent="0.2">
      <c r="A194" s="50">
        <v>192</v>
      </c>
      <c r="B194" s="680">
        <v>0.62</v>
      </c>
    </row>
    <row r="195" spans="1:2" x14ac:dyDescent="0.2">
      <c r="A195" s="50">
        <v>193</v>
      </c>
      <c r="B195" s="680">
        <v>0.62</v>
      </c>
    </row>
    <row r="196" spans="1:2" x14ac:dyDescent="0.2">
      <c r="A196" s="50">
        <v>194</v>
      </c>
      <c r="B196" s="680">
        <v>0.62</v>
      </c>
    </row>
    <row r="197" spans="1:2" x14ac:dyDescent="0.2">
      <c r="A197" s="50">
        <v>195</v>
      </c>
      <c r="B197" s="680">
        <v>0.61</v>
      </c>
    </row>
    <row r="198" spans="1:2" x14ac:dyDescent="0.2">
      <c r="A198" s="50">
        <v>196</v>
      </c>
      <c r="B198" s="680">
        <v>0.61</v>
      </c>
    </row>
    <row r="199" spans="1:2" x14ac:dyDescent="0.2">
      <c r="A199" s="50">
        <v>197</v>
      </c>
      <c r="B199" s="680">
        <v>0.61</v>
      </c>
    </row>
    <row r="200" spans="1:2" x14ac:dyDescent="0.2">
      <c r="A200" s="50">
        <v>198</v>
      </c>
      <c r="B200" s="680">
        <v>0.61</v>
      </c>
    </row>
    <row r="201" spans="1:2" x14ac:dyDescent="0.2">
      <c r="A201" s="50">
        <v>199</v>
      </c>
      <c r="B201" s="680">
        <v>0.61</v>
      </c>
    </row>
    <row r="202" spans="1:2" x14ac:dyDescent="0.2">
      <c r="A202" s="50">
        <v>200</v>
      </c>
      <c r="B202" s="680">
        <v>0.6</v>
      </c>
    </row>
    <row r="203" spans="1:2" x14ac:dyDescent="0.2">
      <c r="A203" s="50">
        <v>201</v>
      </c>
      <c r="B203" s="680">
        <v>0.6</v>
      </c>
    </row>
    <row r="204" spans="1:2" x14ac:dyDescent="0.2">
      <c r="A204" s="50">
        <v>202</v>
      </c>
      <c r="B204" s="680">
        <v>0.6</v>
      </c>
    </row>
    <row r="205" spans="1:2" x14ac:dyDescent="0.2">
      <c r="A205" s="50">
        <v>203</v>
      </c>
      <c r="B205" s="680">
        <v>0.6</v>
      </c>
    </row>
    <row r="206" spans="1:2" x14ac:dyDescent="0.2">
      <c r="A206" s="50">
        <v>204</v>
      </c>
      <c r="B206" s="680">
        <v>0.6</v>
      </c>
    </row>
    <row r="207" spans="1:2" x14ac:dyDescent="0.2">
      <c r="A207" s="50">
        <v>205</v>
      </c>
      <c r="B207" s="680">
        <v>0.59</v>
      </c>
    </row>
    <row r="208" spans="1:2" x14ac:dyDescent="0.2">
      <c r="A208" s="50">
        <v>206</v>
      </c>
      <c r="B208" s="680">
        <v>0.59</v>
      </c>
    </row>
    <row r="209" spans="1:2" x14ac:dyDescent="0.2">
      <c r="A209" s="50">
        <v>207</v>
      </c>
      <c r="B209" s="680">
        <v>0.59</v>
      </c>
    </row>
    <row r="210" spans="1:2" x14ac:dyDescent="0.2">
      <c r="A210" s="50">
        <v>208</v>
      </c>
      <c r="B210" s="680">
        <v>0.59</v>
      </c>
    </row>
    <row r="211" spans="1:2" x14ac:dyDescent="0.2">
      <c r="A211" s="50">
        <v>209</v>
      </c>
      <c r="B211" s="680">
        <v>0.59</v>
      </c>
    </row>
    <row r="212" spans="1:2" x14ac:dyDescent="0.2">
      <c r="A212" s="50">
        <v>210</v>
      </c>
      <c r="B212" s="680">
        <v>0.57999999999999996</v>
      </c>
    </row>
    <row r="213" spans="1:2" x14ac:dyDescent="0.2">
      <c r="A213" s="50">
        <v>211</v>
      </c>
      <c r="B213" s="680">
        <v>0.57999999999999996</v>
      </c>
    </row>
    <row r="214" spans="1:2" x14ac:dyDescent="0.2">
      <c r="A214" s="50">
        <v>212</v>
      </c>
      <c r="B214" s="680">
        <v>0.57999999999999996</v>
      </c>
    </row>
    <row r="215" spans="1:2" x14ac:dyDescent="0.2">
      <c r="A215" s="50">
        <v>213</v>
      </c>
      <c r="B215" s="680">
        <v>0.57999999999999996</v>
      </c>
    </row>
    <row r="216" spans="1:2" x14ac:dyDescent="0.2">
      <c r="A216" s="50">
        <v>214</v>
      </c>
      <c r="B216" s="680">
        <v>0.57999999999999996</v>
      </c>
    </row>
    <row r="217" spans="1:2" x14ac:dyDescent="0.2">
      <c r="A217" s="50">
        <v>215</v>
      </c>
      <c r="B217" s="680">
        <v>0.56999999999999995</v>
      </c>
    </row>
    <row r="218" spans="1:2" x14ac:dyDescent="0.2">
      <c r="A218" s="50">
        <v>216</v>
      </c>
      <c r="B218" s="680">
        <v>0.56999999999999995</v>
      </c>
    </row>
    <row r="219" spans="1:2" x14ac:dyDescent="0.2">
      <c r="A219" s="50">
        <v>217</v>
      </c>
      <c r="B219" s="680">
        <v>0.56999999999999995</v>
      </c>
    </row>
    <row r="220" spans="1:2" x14ac:dyDescent="0.2">
      <c r="A220" s="50">
        <v>218</v>
      </c>
      <c r="B220" s="680">
        <v>0.56999999999999995</v>
      </c>
    </row>
    <row r="221" spans="1:2" x14ac:dyDescent="0.2">
      <c r="A221" s="50">
        <v>219</v>
      </c>
      <c r="B221" s="680">
        <v>0.56999999999999995</v>
      </c>
    </row>
    <row r="222" spans="1:2" x14ac:dyDescent="0.2">
      <c r="A222" s="50">
        <v>220</v>
      </c>
      <c r="B222" s="680">
        <v>0.56000000000000005</v>
      </c>
    </row>
    <row r="223" spans="1:2" x14ac:dyDescent="0.2">
      <c r="A223" s="50">
        <v>221</v>
      </c>
      <c r="B223" s="680">
        <v>0.56000000000000005</v>
      </c>
    </row>
    <row r="224" spans="1:2" x14ac:dyDescent="0.2">
      <c r="A224" s="50">
        <v>222</v>
      </c>
      <c r="B224" s="680">
        <v>0.56000000000000005</v>
      </c>
    </row>
    <row r="225" spans="1:2" x14ac:dyDescent="0.2">
      <c r="A225" s="50">
        <v>223</v>
      </c>
      <c r="B225" s="680">
        <v>0.56000000000000005</v>
      </c>
    </row>
    <row r="226" spans="1:2" x14ac:dyDescent="0.2">
      <c r="A226" s="50">
        <v>224</v>
      </c>
      <c r="B226" s="680">
        <v>0.56000000000000005</v>
      </c>
    </row>
    <row r="227" spans="1:2" x14ac:dyDescent="0.2">
      <c r="A227" s="50">
        <v>225</v>
      </c>
      <c r="B227" s="680">
        <v>0.55000000000000004</v>
      </c>
    </row>
    <row r="228" spans="1:2" x14ac:dyDescent="0.2">
      <c r="A228" s="50">
        <v>226</v>
      </c>
      <c r="B228" s="680">
        <v>0.55000000000000004</v>
      </c>
    </row>
    <row r="229" spans="1:2" x14ac:dyDescent="0.2">
      <c r="A229" s="50">
        <v>227</v>
      </c>
      <c r="B229" s="680">
        <v>0.55000000000000004</v>
      </c>
    </row>
    <row r="230" spans="1:2" x14ac:dyDescent="0.2">
      <c r="A230" s="50">
        <v>228</v>
      </c>
      <c r="B230" s="680">
        <v>0.55000000000000004</v>
      </c>
    </row>
    <row r="231" spans="1:2" x14ac:dyDescent="0.2">
      <c r="A231" s="50">
        <v>229</v>
      </c>
      <c r="B231" s="680">
        <v>0.55000000000000004</v>
      </c>
    </row>
    <row r="232" spans="1:2" x14ac:dyDescent="0.2">
      <c r="A232" s="50">
        <v>230</v>
      </c>
      <c r="B232" s="680">
        <v>0.54</v>
      </c>
    </row>
    <row r="233" spans="1:2" x14ac:dyDescent="0.2">
      <c r="A233" s="50">
        <v>231</v>
      </c>
      <c r="B233" s="680">
        <v>0.54</v>
      </c>
    </row>
    <row r="234" spans="1:2" x14ac:dyDescent="0.2">
      <c r="A234" s="50">
        <v>232</v>
      </c>
      <c r="B234" s="680">
        <v>0.54</v>
      </c>
    </row>
    <row r="235" spans="1:2" x14ac:dyDescent="0.2">
      <c r="A235" s="50">
        <v>233</v>
      </c>
      <c r="B235" s="680">
        <v>0.54</v>
      </c>
    </row>
    <row r="236" spans="1:2" x14ac:dyDescent="0.2">
      <c r="A236" s="50">
        <v>234</v>
      </c>
      <c r="B236" s="680">
        <v>0.54</v>
      </c>
    </row>
    <row r="237" spans="1:2" x14ac:dyDescent="0.2">
      <c r="A237" s="50">
        <v>235</v>
      </c>
      <c r="B237" s="680">
        <v>0.53</v>
      </c>
    </row>
    <row r="238" spans="1:2" x14ac:dyDescent="0.2">
      <c r="A238" s="50">
        <v>236</v>
      </c>
      <c r="B238" s="680">
        <v>0.53</v>
      </c>
    </row>
    <row r="239" spans="1:2" x14ac:dyDescent="0.2">
      <c r="A239" s="50">
        <v>237</v>
      </c>
      <c r="B239" s="680">
        <v>0.53</v>
      </c>
    </row>
    <row r="240" spans="1:2" x14ac:dyDescent="0.2">
      <c r="A240" s="50">
        <v>238</v>
      </c>
      <c r="B240" s="680">
        <v>0.53</v>
      </c>
    </row>
    <row r="241" spans="1:2" x14ac:dyDescent="0.2">
      <c r="A241" s="50">
        <v>239</v>
      </c>
      <c r="B241" s="680">
        <v>0.53</v>
      </c>
    </row>
    <row r="242" spans="1:2" x14ac:dyDescent="0.2">
      <c r="A242" s="50">
        <v>240</v>
      </c>
      <c r="B242" s="680">
        <v>0.52</v>
      </c>
    </row>
    <row r="243" spans="1:2" x14ac:dyDescent="0.2">
      <c r="A243" s="50">
        <v>241</v>
      </c>
      <c r="B243" s="680">
        <v>0.52</v>
      </c>
    </row>
    <row r="244" spans="1:2" x14ac:dyDescent="0.2">
      <c r="A244" s="50">
        <v>242</v>
      </c>
      <c r="B244" s="680">
        <v>0.52</v>
      </c>
    </row>
    <row r="245" spans="1:2" x14ac:dyDescent="0.2">
      <c r="A245" s="50">
        <v>243</v>
      </c>
      <c r="B245" s="680">
        <v>0.52</v>
      </c>
    </row>
    <row r="246" spans="1:2" x14ac:dyDescent="0.2">
      <c r="A246" s="50">
        <v>244</v>
      </c>
      <c r="B246" s="680">
        <v>0.52</v>
      </c>
    </row>
    <row r="247" spans="1:2" x14ac:dyDescent="0.2">
      <c r="A247" s="50">
        <v>245</v>
      </c>
      <c r="B247" s="680">
        <v>0.51</v>
      </c>
    </row>
    <row r="248" spans="1:2" x14ac:dyDescent="0.2">
      <c r="A248" s="50">
        <v>246</v>
      </c>
      <c r="B248" s="680">
        <v>0.51</v>
      </c>
    </row>
    <row r="249" spans="1:2" x14ac:dyDescent="0.2">
      <c r="A249" s="50">
        <v>247</v>
      </c>
      <c r="B249" s="680">
        <v>0.51</v>
      </c>
    </row>
    <row r="250" spans="1:2" x14ac:dyDescent="0.2">
      <c r="A250" s="50">
        <v>248</v>
      </c>
      <c r="B250" s="680">
        <v>0.51</v>
      </c>
    </row>
    <row r="251" spans="1:2" x14ac:dyDescent="0.2">
      <c r="A251" s="50">
        <v>249</v>
      </c>
      <c r="B251" s="680">
        <v>0.51</v>
      </c>
    </row>
    <row r="252" spans="1:2" x14ac:dyDescent="0.2">
      <c r="A252" s="50">
        <v>250</v>
      </c>
      <c r="B252" s="680">
        <v>0.5</v>
      </c>
    </row>
    <row r="253" spans="1:2" x14ac:dyDescent="0.2">
      <c r="A253" s="50">
        <v>251</v>
      </c>
      <c r="B253" s="680">
        <v>0.5</v>
      </c>
    </row>
    <row r="254" spans="1:2" x14ac:dyDescent="0.2">
      <c r="A254" s="50">
        <v>252</v>
      </c>
      <c r="B254" s="680">
        <v>0.5</v>
      </c>
    </row>
    <row r="255" spans="1:2" x14ac:dyDescent="0.2">
      <c r="A255" s="50">
        <v>253</v>
      </c>
      <c r="B255" s="680">
        <v>0.5</v>
      </c>
    </row>
    <row r="256" spans="1:2" x14ac:dyDescent="0.2">
      <c r="A256" s="50">
        <v>254</v>
      </c>
      <c r="B256" s="680">
        <v>0.5</v>
      </c>
    </row>
    <row r="257" spans="1:2" x14ac:dyDescent="0.2">
      <c r="A257" s="50">
        <v>255</v>
      </c>
      <c r="B257" s="680">
        <v>0.49</v>
      </c>
    </row>
    <row r="258" spans="1:2" x14ac:dyDescent="0.2">
      <c r="A258" s="50">
        <v>256</v>
      </c>
      <c r="B258" s="680">
        <v>0.49</v>
      </c>
    </row>
    <row r="259" spans="1:2" x14ac:dyDescent="0.2">
      <c r="A259" s="50">
        <v>257</v>
      </c>
      <c r="B259" s="680">
        <v>0.49</v>
      </c>
    </row>
    <row r="260" spans="1:2" x14ac:dyDescent="0.2">
      <c r="A260" s="50">
        <v>258</v>
      </c>
      <c r="B260" s="680">
        <v>0.49</v>
      </c>
    </row>
    <row r="261" spans="1:2" x14ac:dyDescent="0.2">
      <c r="A261" s="50">
        <v>259</v>
      </c>
      <c r="B261" s="680">
        <v>0.49</v>
      </c>
    </row>
    <row r="262" spans="1:2" x14ac:dyDescent="0.2">
      <c r="A262" s="50">
        <v>260</v>
      </c>
      <c r="B262" s="680">
        <v>0.48</v>
      </c>
    </row>
    <row r="263" spans="1:2" x14ac:dyDescent="0.2">
      <c r="A263" s="50">
        <v>261</v>
      </c>
      <c r="B263" s="680">
        <v>0.48</v>
      </c>
    </row>
    <row r="264" spans="1:2" x14ac:dyDescent="0.2">
      <c r="A264" s="50">
        <v>262</v>
      </c>
      <c r="B264" s="680">
        <v>0.48</v>
      </c>
    </row>
    <row r="265" spans="1:2" x14ac:dyDescent="0.2">
      <c r="A265" s="50">
        <v>263</v>
      </c>
      <c r="B265" s="680">
        <v>0.48</v>
      </c>
    </row>
    <row r="266" spans="1:2" x14ac:dyDescent="0.2">
      <c r="A266" s="50">
        <v>264</v>
      </c>
      <c r="B266" s="680">
        <v>0.48</v>
      </c>
    </row>
    <row r="267" spans="1:2" x14ac:dyDescent="0.2">
      <c r="A267" s="50">
        <v>265</v>
      </c>
      <c r="B267" s="680">
        <v>0.47</v>
      </c>
    </row>
    <row r="268" spans="1:2" x14ac:dyDescent="0.2">
      <c r="A268" s="50">
        <v>266</v>
      </c>
      <c r="B268" s="680">
        <v>0.47</v>
      </c>
    </row>
    <row r="269" spans="1:2" x14ac:dyDescent="0.2">
      <c r="A269" s="50">
        <v>267</v>
      </c>
      <c r="B269" s="680">
        <v>0.47</v>
      </c>
    </row>
    <row r="270" spans="1:2" x14ac:dyDescent="0.2">
      <c r="A270" s="50">
        <v>268</v>
      </c>
      <c r="B270" s="680">
        <v>0.47</v>
      </c>
    </row>
    <row r="271" spans="1:2" x14ac:dyDescent="0.2">
      <c r="A271" s="50">
        <v>269</v>
      </c>
      <c r="B271" s="680">
        <v>0.47</v>
      </c>
    </row>
    <row r="272" spans="1:2" x14ac:dyDescent="0.2">
      <c r="A272" s="50">
        <v>270</v>
      </c>
      <c r="B272" s="680">
        <v>0.46</v>
      </c>
    </row>
    <row r="273" spans="1:2" x14ac:dyDescent="0.2">
      <c r="A273" s="50">
        <v>271</v>
      </c>
      <c r="B273" s="680">
        <v>0.46</v>
      </c>
    </row>
    <row r="274" spans="1:2" x14ac:dyDescent="0.2">
      <c r="A274" s="50">
        <v>272</v>
      </c>
      <c r="B274" s="680">
        <v>0.46</v>
      </c>
    </row>
    <row r="275" spans="1:2" x14ac:dyDescent="0.2">
      <c r="A275" s="50">
        <v>273</v>
      </c>
      <c r="B275" s="680">
        <v>0.46</v>
      </c>
    </row>
    <row r="276" spans="1:2" x14ac:dyDescent="0.2">
      <c r="A276" s="50">
        <v>274</v>
      </c>
      <c r="B276" s="680">
        <v>0.46</v>
      </c>
    </row>
    <row r="277" spans="1:2" x14ac:dyDescent="0.2">
      <c r="A277" s="50">
        <v>275</v>
      </c>
      <c r="B277" s="680">
        <v>0.45</v>
      </c>
    </row>
    <row r="278" spans="1:2" x14ac:dyDescent="0.2">
      <c r="A278" s="50">
        <v>276</v>
      </c>
      <c r="B278" s="680">
        <v>0.45</v>
      </c>
    </row>
    <row r="279" spans="1:2" x14ac:dyDescent="0.2">
      <c r="A279" s="50">
        <v>277</v>
      </c>
      <c r="B279" s="680">
        <v>0.45</v>
      </c>
    </row>
    <row r="280" spans="1:2" x14ac:dyDescent="0.2">
      <c r="A280" s="50">
        <v>278</v>
      </c>
      <c r="B280" s="680">
        <v>0.45</v>
      </c>
    </row>
    <row r="281" spans="1:2" x14ac:dyDescent="0.2">
      <c r="A281" s="50">
        <v>279</v>
      </c>
      <c r="B281" s="680">
        <v>0.45</v>
      </c>
    </row>
    <row r="282" spans="1:2" x14ac:dyDescent="0.2">
      <c r="A282" s="50">
        <v>280</v>
      </c>
      <c r="B282" s="680">
        <v>0.44</v>
      </c>
    </row>
    <row r="283" spans="1:2" x14ac:dyDescent="0.2">
      <c r="A283" s="50">
        <v>281</v>
      </c>
      <c r="B283" s="680">
        <v>0.44</v>
      </c>
    </row>
    <row r="284" spans="1:2" x14ac:dyDescent="0.2">
      <c r="A284" s="50">
        <v>282</v>
      </c>
      <c r="B284" s="680">
        <v>0.44</v>
      </c>
    </row>
    <row r="285" spans="1:2" x14ac:dyDescent="0.2">
      <c r="A285" s="50">
        <v>283</v>
      </c>
      <c r="B285" s="680">
        <v>0.44</v>
      </c>
    </row>
    <row r="286" spans="1:2" x14ac:dyDescent="0.2">
      <c r="A286" s="50">
        <v>284</v>
      </c>
      <c r="B286" s="680">
        <v>0.44</v>
      </c>
    </row>
    <row r="287" spans="1:2" x14ac:dyDescent="0.2">
      <c r="A287" s="50">
        <v>285</v>
      </c>
      <c r="B287" s="680">
        <v>0.43</v>
      </c>
    </row>
    <row r="288" spans="1:2" x14ac:dyDescent="0.2">
      <c r="A288" s="50">
        <v>286</v>
      </c>
      <c r="B288" s="680">
        <v>0.43</v>
      </c>
    </row>
    <row r="289" spans="1:2" x14ac:dyDescent="0.2">
      <c r="A289" s="50">
        <v>287</v>
      </c>
      <c r="B289" s="680">
        <v>0.43</v>
      </c>
    </row>
    <row r="290" spans="1:2" x14ac:dyDescent="0.2">
      <c r="A290" s="50">
        <v>288</v>
      </c>
      <c r="B290" s="680">
        <v>0.43</v>
      </c>
    </row>
    <row r="291" spans="1:2" x14ac:dyDescent="0.2">
      <c r="A291" s="50">
        <v>289</v>
      </c>
      <c r="B291" s="680">
        <v>0.43</v>
      </c>
    </row>
    <row r="292" spans="1:2" x14ac:dyDescent="0.2">
      <c r="A292" s="50">
        <v>290</v>
      </c>
      <c r="B292" s="680">
        <v>0.42</v>
      </c>
    </row>
    <row r="293" spans="1:2" x14ac:dyDescent="0.2">
      <c r="A293" s="50">
        <v>291</v>
      </c>
      <c r="B293" s="680">
        <v>0.42</v>
      </c>
    </row>
    <row r="294" spans="1:2" x14ac:dyDescent="0.2">
      <c r="A294" s="50">
        <v>292</v>
      </c>
      <c r="B294" s="680">
        <v>0.42</v>
      </c>
    </row>
    <row r="295" spans="1:2" x14ac:dyDescent="0.2">
      <c r="A295" s="50">
        <v>293</v>
      </c>
      <c r="B295" s="680">
        <v>0.42</v>
      </c>
    </row>
    <row r="296" spans="1:2" x14ac:dyDescent="0.2">
      <c r="A296" s="50">
        <v>294</v>
      </c>
      <c r="B296" s="680">
        <v>0.42</v>
      </c>
    </row>
    <row r="297" spans="1:2" x14ac:dyDescent="0.2">
      <c r="A297" s="50">
        <v>295</v>
      </c>
      <c r="B297" s="680">
        <v>0.41</v>
      </c>
    </row>
    <row r="298" spans="1:2" x14ac:dyDescent="0.2">
      <c r="A298" s="50">
        <v>296</v>
      </c>
      <c r="B298" s="680">
        <v>0.41</v>
      </c>
    </row>
    <row r="299" spans="1:2" x14ac:dyDescent="0.2">
      <c r="A299" s="50">
        <v>297</v>
      </c>
      <c r="B299" s="680">
        <v>0.41</v>
      </c>
    </row>
    <row r="300" spans="1:2" x14ac:dyDescent="0.2">
      <c r="A300" s="50">
        <v>298</v>
      </c>
      <c r="B300" s="680">
        <v>0.41</v>
      </c>
    </row>
    <row r="301" spans="1:2" x14ac:dyDescent="0.2">
      <c r="A301" s="50">
        <v>299</v>
      </c>
      <c r="B301" s="680">
        <v>0.41</v>
      </c>
    </row>
    <row r="302" spans="1:2" x14ac:dyDescent="0.2">
      <c r="A302" s="50">
        <v>300</v>
      </c>
      <c r="B302" s="680">
        <v>0.4</v>
      </c>
    </row>
    <row r="303" spans="1:2" x14ac:dyDescent="0.2">
      <c r="A303" s="50">
        <v>301</v>
      </c>
      <c r="B303" s="680">
        <v>0.4</v>
      </c>
    </row>
    <row r="304" spans="1:2" x14ac:dyDescent="0.2">
      <c r="A304" s="50">
        <v>302</v>
      </c>
      <c r="B304" s="680">
        <v>0.4</v>
      </c>
    </row>
    <row r="305" spans="1:2" x14ac:dyDescent="0.2">
      <c r="A305" s="50">
        <v>303</v>
      </c>
      <c r="B305" s="680">
        <v>0.4</v>
      </c>
    </row>
    <row r="306" spans="1:2" x14ac:dyDescent="0.2">
      <c r="A306" s="50">
        <v>304</v>
      </c>
      <c r="B306" s="680">
        <v>0.4</v>
      </c>
    </row>
    <row r="307" spans="1:2" x14ac:dyDescent="0.2">
      <c r="A307" s="50">
        <v>305</v>
      </c>
      <c r="B307" s="680">
        <v>0.39</v>
      </c>
    </row>
    <row r="308" spans="1:2" x14ac:dyDescent="0.2">
      <c r="A308" s="50">
        <v>306</v>
      </c>
      <c r="B308" s="680">
        <v>0.39</v>
      </c>
    </row>
    <row r="309" spans="1:2" x14ac:dyDescent="0.2">
      <c r="A309" s="50">
        <v>307</v>
      </c>
      <c r="B309" s="680">
        <v>0.39</v>
      </c>
    </row>
    <row r="310" spans="1:2" x14ac:dyDescent="0.2">
      <c r="A310" s="50">
        <v>308</v>
      </c>
      <c r="B310" s="680">
        <v>0.39</v>
      </c>
    </row>
    <row r="311" spans="1:2" x14ac:dyDescent="0.2">
      <c r="A311" s="50">
        <v>309</v>
      </c>
      <c r="B311" s="680">
        <v>0.39</v>
      </c>
    </row>
    <row r="312" spans="1:2" x14ac:dyDescent="0.2">
      <c r="A312" s="50">
        <v>310</v>
      </c>
      <c r="B312" s="680">
        <v>0.38</v>
      </c>
    </row>
    <row r="313" spans="1:2" x14ac:dyDescent="0.2">
      <c r="A313" s="50">
        <v>311</v>
      </c>
      <c r="B313" s="680">
        <v>0.38</v>
      </c>
    </row>
    <row r="314" spans="1:2" x14ac:dyDescent="0.2">
      <c r="A314" s="50">
        <v>312</v>
      </c>
      <c r="B314" s="680">
        <v>0.38</v>
      </c>
    </row>
    <row r="315" spans="1:2" x14ac:dyDescent="0.2">
      <c r="A315" s="50">
        <v>313</v>
      </c>
      <c r="B315" s="680">
        <v>0.38</v>
      </c>
    </row>
    <row r="316" spans="1:2" x14ac:dyDescent="0.2">
      <c r="A316" s="50">
        <v>314</v>
      </c>
      <c r="B316" s="680">
        <v>0.38</v>
      </c>
    </row>
    <row r="317" spans="1:2" x14ac:dyDescent="0.2">
      <c r="A317" s="50">
        <v>315</v>
      </c>
      <c r="B317" s="680">
        <v>0.37</v>
      </c>
    </row>
    <row r="318" spans="1:2" x14ac:dyDescent="0.2">
      <c r="A318" s="50">
        <v>316</v>
      </c>
      <c r="B318" s="680">
        <v>0.37</v>
      </c>
    </row>
    <row r="319" spans="1:2" x14ac:dyDescent="0.2">
      <c r="A319" s="50">
        <v>317</v>
      </c>
      <c r="B319" s="680">
        <v>0.37</v>
      </c>
    </row>
    <row r="320" spans="1:2" x14ac:dyDescent="0.2">
      <c r="A320" s="50">
        <v>318</v>
      </c>
      <c r="B320" s="680">
        <v>0.37</v>
      </c>
    </row>
    <row r="321" spans="1:2" x14ac:dyDescent="0.2">
      <c r="A321" s="50">
        <v>319</v>
      </c>
      <c r="B321" s="680">
        <v>0.37</v>
      </c>
    </row>
    <row r="322" spans="1:2" x14ac:dyDescent="0.2">
      <c r="A322" s="50">
        <v>320</v>
      </c>
      <c r="B322" s="680">
        <v>0.36</v>
      </c>
    </row>
    <row r="323" spans="1:2" x14ac:dyDescent="0.2">
      <c r="A323" s="50">
        <v>321</v>
      </c>
      <c r="B323" s="680">
        <v>0.36</v>
      </c>
    </row>
    <row r="324" spans="1:2" x14ac:dyDescent="0.2">
      <c r="A324" s="50">
        <v>322</v>
      </c>
      <c r="B324" s="680">
        <v>0.36</v>
      </c>
    </row>
    <row r="325" spans="1:2" x14ac:dyDescent="0.2">
      <c r="A325" s="50">
        <v>323</v>
      </c>
      <c r="B325" s="680">
        <v>0.36</v>
      </c>
    </row>
    <row r="326" spans="1:2" x14ac:dyDescent="0.2">
      <c r="A326" s="50">
        <v>324</v>
      </c>
      <c r="B326" s="680">
        <v>0.36</v>
      </c>
    </row>
    <row r="327" spans="1:2" x14ac:dyDescent="0.2">
      <c r="A327" s="50">
        <v>325</v>
      </c>
      <c r="B327" s="680">
        <v>0.35</v>
      </c>
    </row>
    <row r="328" spans="1:2" x14ac:dyDescent="0.2">
      <c r="A328" s="50">
        <v>326</v>
      </c>
      <c r="B328" s="680">
        <v>0.35</v>
      </c>
    </row>
    <row r="329" spans="1:2" x14ac:dyDescent="0.2">
      <c r="A329" s="50">
        <v>327</v>
      </c>
      <c r="B329" s="680">
        <v>0.35</v>
      </c>
    </row>
    <row r="330" spans="1:2" x14ac:dyDescent="0.2">
      <c r="A330" s="50">
        <v>328</v>
      </c>
      <c r="B330" s="680">
        <v>0.35</v>
      </c>
    </row>
    <row r="331" spans="1:2" x14ac:dyDescent="0.2">
      <c r="A331" s="50">
        <v>329</v>
      </c>
      <c r="B331" s="680">
        <v>0.35</v>
      </c>
    </row>
    <row r="332" spans="1:2" x14ac:dyDescent="0.2">
      <c r="A332" s="50">
        <v>330</v>
      </c>
      <c r="B332" s="680">
        <v>0.34</v>
      </c>
    </row>
    <row r="333" spans="1:2" x14ac:dyDescent="0.2">
      <c r="A333" s="50">
        <v>331</v>
      </c>
      <c r="B333" s="680">
        <v>0.34</v>
      </c>
    </row>
    <row r="334" spans="1:2" x14ac:dyDescent="0.2">
      <c r="A334" s="50">
        <v>332</v>
      </c>
      <c r="B334" s="680">
        <v>0.34</v>
      </c>
    </row>
    <row r="335" spans="1:2" x14ac:dyDescent="0.2">
      <c r="A335" s="50">
        <v>333</v>
      </c>
      <c r="B335" s="680">
        <v>0.34</v>
      </c>
    </row>
    <row r="336" spans="1:2" x14ac:dyDescent="0.2">
      <c r="A336" s="50">
        <v>334</v>
      </c>
      <c r="B336" s="680">
        <v>0.34</v>
      </c>
    </row>
    <row r="337" spans="1:2" x14ac:dyDescent="0.2">
      <c r="A337" s="50">
        <v>335</v>
      </c>
      <c r="B337" s="680">
        <v>0.33</v>
      </c>
    </row>
    <row r="338" spans="1:2" x14ac:dyDescent="0.2">
      <c r="A338" s="50">
        <v>336</v>
      </c>
      <c r="B338" s="680">
        <v>0.33</v>
      </c>
    </row>
    <row r="339" spans="1:2" x14ac:dyDescent="0.2">
      <c r="A339" s="50">
        <v>337</v>
      </c>
      <c r="B339" s="680">
        <v>0.33</v>
      </c>
    </row>
    <row r="340" spans="1:2" x14ac:dyDescent="0.2">
      <c r="A340" s="50">
        <v>338</v>
      </c>
      <c r="B340" s="680">
        <v>0.33</v>
      </c>
    </row>
    <row r="341" spans="1:2" x14ac:dyDescent="0.2">
      <c r="A341" s="50">
        <v>339</v>
      </c>
      <c r="B341" s="680">
        <v>0.33</v>
      </c>
    </row>
    <row r="342" spans="1:2" x14ac:dyDescent="0.2">
      <c r="A342" s="50">
        <v>340</v>
      </c>
      <c r="B342" s="680">
        <v>0.32</v>
      </c>
    </row>
    <row r="343" spans="1:2" x14ac:dyDescent="0.2">
      <c r="A343" s="50">
        <v>341</v>
      </c>
      <c r="B343" s="680">
        <v>0.32</v>
      </c>
    </row>
    <row r="344" spans="1:2" x14ac:dyDescent="0.2">
      <c r="A344" s="50">
        <v>342</v>
      </c>
      <c r="B344" s="680">
        <v>0.32</v>
      </c>
    </row>
    <row r="345" spans="1:2" x14ac:dyDescent="0.2">
      <c r="A345" s="50">
        <v>343</v>
      </c>
      <c r="B345" s="680">
        <v>0.32</v>
      </c>
    </row>
    <row r="346" spans="1:2" x14ac:dyDescent="0.2">
      <c r="A346" s="50">
        <v>344</v>
      </c>
      <c r="B346" s="680">
        <v>0.32</v>
      </c>
    </row>
    <row r="347" spans="1:2" x14ac:dyDescent="0.2">
      <c r="A347" s="50">
        <v>345</v>
      </c>
      <c r="B347" s="680">
        <v>0.31</v>
      </c>
    </row>
    <row r="348" spans="1:2" x14ac:dyDescent="0.2">
      <c r="A348" s="50">
        <v>346</v>
      </c>
      <c r="B348" s="680">
        <v>0.31</v>
      </c>
    </row>
    <row r="349" spans="1:2" x14ac:dyDescent="0.2">
      <c r="A349" s="50">
        <v>347</v>
      </c>
      <c r="B349" s="680">
        <v>0.31</v>
      </c>
    </row>
    <row r="350" spans="1:2" x14ac:dyDescent="0.2">
      <c r="A350" s="50">
        <v>348</v>
      </c>
      <c r="B350" s="680">
        <v>0.31</v>
      </c>
    </row>
    <row r="351" spans="1:2" x14ac:dyDescent="0.2">
      <c r="A351" s="50">
        <v>349</v>
      </c>
      <c r="B351" s="680">
        <v>0.31</v>
      </c>
    </row>
    <row r="352" spans="1:2" x14ac:dyDescent="0.2">
      <c r="A352" s="50">
        <v>350</v>
      </c>
      <c r="B352" s="680">
        <v>0.3</v>
      </c>
    </row>
    <row r="353" spans="1:2" x14ac:dyDescent="0.2">
      <c r="A353" s="50">
        <v>351</v>
      </c>
      <c r="B353" s="680">
        <v>0.3</v>
      </c>
    </row>
    <row r="354" spans="1:2" x14ac:dyDescent="0.2">
      <c r="A354" s="50">
        <v>352</v>
      </c>
      <c r="B354" s="680">
        <v>0.3</v>
      </c>
    </row>
    <row r="355" spans="1:2" x14ac:dyDescent="0.2">
      <c r="A355" s="50">
        <v>353</v>
      </c>
      <c r="B355" s="680">
        <v>0.3</v>
      </c>
    </row>
    <row r="356" spans="1:2" x14ac:dyDescent="0.2">
      <c r="A356" s="50">
        <v>354</v>
      </c>
      <c r="B356" s="680">
        <v>0.3</v>
      </c>
    </row>
    <row r="357" spans="1:2" x14ac:dyDescent="0.2">
      <c r="A357" s="50">
        <v>355</v>
      </c>
      <c r="B357" s="680">
        <v>0.28999999999999998</v>
      </c>
    </row>
    <row r="358" spans="1:2" x14ac:dyDescent="0.2">
      <c r="A358" s="50">
        <v>356</v>
      </c>
      <c r="B358" s="680">
        <v>0.28999999999999998</v>
      </c>
    </row>
    <row r="359" spans="1:2" x14ac:dyDescent="0.2">
      <c r="A359" s="50">
        <v>357</v>
      </c>
      <c r="B359" s="680">
        <v>0.28999999999999998</v>
      </c>
    </row>
    <row r="360" spans="1:2" x14ac:dyDescent="0.2">
      <c r="A360" s="50">
        <v>358</v>
      </c>
      <c r="B360" s="680">
        <v>0.28999999999999998</v>
      </c>
    </row>
    <row r="361" spans="1:2" x14ac:dyDescent="0.2">
      <c r="A361" s="50">
        <v>359</v>
      </c>
      <c r="B361" s="680">
        <v>0.28999999999999998</v>
      </c>
    </row>
    <row r="362" spans="1:2" x14ac:dyDescent="0.2">
      <c r="A362" s="50">
        <v>360</v>
      </c>
      <c r="B362" s="680">
        <v>0.28000000000000003</v>
      </c>
    </row>
    <row r="363" spans="1:2" x14ac:dyDescent="0.2">
      <c r="A363" s="50">
        <v>361</v>
      </c>
      <c r="B363" s="680">
        <v>0.28000000000000003</v>
      </c>
    </row>
    <row r="364" spans="1:2" x14ac:dyDescent="0.2">
      <c r="A364" s="50">
        <v>362</v>
      </c>
      <c r="B364" s="680">
        <v>0.28000000000000003</v>
      </c>
    </row>
    <row r="365" spans="1:2" x14ac:dyDescent="0.2">
      <c r="A365" s="50">
        <v>363</v>
      </c>
      <c r="B365" s="680">
        <v>0.28000000000000003</v>
      </c>
    </row>
    <row r="366" spans="1:2" x14ac:dyDescent="0.2">
      <c r="A366" s="50">
        <v>364</v>
      </c>
      <c r="B366" s="680">
        <v>0.28000000000000003</v>
      </c>
    </row>
    <row r="367" spans="1:2" x14ac:dyDescent="0.2">
      <c r="A367" s="50">
        <v>365</v>
      </c>
      <c r="B367" s="680">
        <v>0.27</v>
      </c>
    </row>
    <row r="368" spans="1:2" x14ac:dyDescent="0.2">
      <c r="A368" s="50">
        <v>366</v>
      </c>
      <c r="B368" s="680">
        <v>0.27</v>
      </c>
    </row>
    <row r="369" spans="1:2" x14ac:dyDescent="0.2">
      <c r="A369" s="50">
        <v>367</v>
      </c>
      <c r="B369" s="680">
        <v>0.27</v>
      </c>
    </row>
    <row r="370" spans="1:2" x14ac:dyDescent="0.2">
      <c r="A370" s="50">
        <v>368</v>
      </c>
      <c r="B370" s="680">
        <v>0.27</v>
      </c>
    </row>
    <row r="371" spans="1:2" x14ac:dyDescent="0.2">
      <c r="A371" s="50">
        <v>369</v>
      </c>
      <c r="B371" s="680">
        <v>0.27</v>
      </c>
    </row>
    <row r="372" spans="1:2" x14ac:dyDescent="0.2">
      <c r="A372" s="50">
        <v>370</v>
      </c>
      <c r="B372" s="680">
        <v>0.26</v>
      </c>
    </row>
    <row r="373" spans="1:2" x14ac:dyDescent="0.2">
      <c r="A373" s="50">
        <v>371</v>
      </c>
      <c r="B373" s="680">
        <v>0.26</v>
      </c>
    </row>
    <row r="374" spans="1:2" x14ac:dyDescent="0.2">
      <c r="A374" s="50">
        <v>372</v>
      </c>
      <c r="B374" s="680">
        <v>0.26</v>
      </c>
    </row>
    <row r="375" spans="1:2" x14ac:dyDescent="0.2">
      <c r="A375" s="50">
        <v>373</v>
      </c>
      <c r="B375" s="680">
        <v>0.26</v>
      </c>
    </row>
    <row r="376" spans="1:2" x14ac:dyDescent="0.2">
      <c r="A376" s="50">
        <v>374</v>
      </c>
      <c r="B376" s="680">
        <v>0.26</v>
      </c>
    </row>
    <row r="377" spans="1:2" x14ac:dyDescent="0.2">
      <c r="A377" s="50">
        <v>375</v>
      </c>
      <c r="B377" s="680">
        <v>0.25</v>
      </c>
    </row>
    <row r="378" spans="1:2" x14ac:dyDescent="0.2">
      <c r="A378" s="50">
        <v>376</v>
      </c>
      <c r="B378" s="680">
        <v>0.25</v>
      </c>
    </row>
    <row r="379" spans="1:2" x14ac:dyDescent="0.2">
      <c r="A379" s="50">
        <v>377</v>
      </c>
      <c r="B379" s="680">
        <v>0.25</v>
      </c>
    </row>
    <row r="380" spans="1:2" x14ac:dyDescent="0.2">
      <c r="A380" s="50">
        <v>378</v>
      </c>
      <c r="B380" s="680">
        <v>0.25</v>
      </c>
    </row>
    <row r="381" spans="1:2" x14ac:dyDescent="0.2">
      <c r="A381" s="50">
        <v>379</v>
      </c>
      <c r="B381" s="680">
        <v>0.25</v>
      </c>
    </row>
    <row r="382" spans="1:2" x14ac:dyDescent="0.2">
      <c r="A382" s="50">
        <v>380</v>
      </c>
      <c r="B382" s="680">
        <v>0.24</v>
      </c>
    </row>
    <row r="383" spans="1:2" x14ac:dyDescent="0.2">
      <c r="A383" s="50">
        <v>381</v>
      </c>
      <c r="B383" s="680">
        <v>0.24</v>
      </c>
    </row>
    <row r="384" spans="1:2" x14ac:dyDescent="0.2">
      <c r="A384" s="50">
        <v>382</v>
      </c>
      <c r="B384" s="680">
        <v>0.24</v>
      </c>
    </row>
    <row r="385" spans="1:2" x14ac:dyDescent="0.2">
      <c r="A385" s="50">
        <v>383</v>
      </c>
      <c r="B385" s="680">
        <v>0.24</v>
      </c>
    </row>
    <row r="386" spans="1:2" x14ac:dyDescent="0.2">
      <c r="A386" s="50">
        <v>384</v>
      </c>
      <c r="B386" s="680">
        <v>0.24</v>
      </c>
    </row>
    <row r="387" spans="1:2" x14ac:dyDescent="0.2">
      <c r="A387" s="50">
        <v>385</v>
      </c>
      <c r="B387" s="680">
        <v>0.23</v>
      </c>
    </row>
    <row r="388" spans="1:2" x14ac:dyDescent="0.2">
      <c r="A388" s="50">
        <v>386</v>
      </c>
      <c r="B388" s="680">
        <v>0.23</v>
      </c>
    </row>
    <row r="389" spans="1:2" x14ac:dyDescent="0.2">
      <c r="A389" s="50">
        <v>387</v>
      </c>
      <c r="B389" s="680">
        <v>0.23</v>
      </c>
    </row>
    <row r="390" spans="1:2" x14ac:dyDescent="0.2">
      <c r="A390" s="50">
        <v>388</v>
      </c>
      <c r="B390" s="680">
        <v>0.23</v>
      </c>
    </row>
    <row r="391" spans="1:2" x14ac:dyDescent="0.2">
      <c r="A391" s="50">
        <v>389</v>
      </c>
      <c r="B391" s="680">
        <v>0.23</v>
      </c>
    </row>
    <row r="392" spans="1:2" x14ac:dyDescent="0.2">
      <c r="A392" s="50">
        <v>390</v>
      </c>
      <c r="B392" s="680">
        <v>0.22</v>
      </c>
    </row>
    <row r="393" spans="1:2" x14ac:dyDescent="0.2">
      <c r="A393" s="50">
        <v>391</v>
      </c>
      <c r="B393" s="680">
        <v>0.22</v>
      </c>
    </row>
    <row r="394" spans="1:2" x14ac:dyDescent="0.2">
      <c r="A394" s="50">
        <v>392</v>
      </c>
      <c r="B394" s="680">
        <v>0.22</v>
      </c>
    </row>
    <row r="395" spans="1:2" x14ac:dyDescent="0.2">
      <c r="A395" s="50">
        <v>393</v>
      </c>
      <c r="B395" s="680">
        <v>0.22</v>
      </c>
    </row>
    <row r="396" spans="1:2" x14ac:dyDescent="0.2">
      <c r="A396" s="50">
        <v>394</v>
      </c>
      <c r="B396" s="680">
        <v>0.22</v>
      </c>
    </row>
    <row r="397" spans="1:2" x14ac:dyDescent="0.2">
      <c r="A397" s="50">
        <v>395</v>
      </c>
      <c r="B397" s="680">
        <v>0.21</v>
      </c>
    </row>
    <row r="398" spans="1:2" x14ac:dyDescent="0.2">
      <c r="A398" s="50">
        <v>396</v>
      </c>
      <c r="B398" s="680">
        <v>0.21</v>
      </c>
    </row>
    <row r="399" spans="1:2" x14ac:dyDescent="0.2">
      <c r="A399" s="50">
        <v>397</v>
      </c>
      <c r="B399" s="680">
        <v>0.21</v>
      </c>
    </row>
    <row r="400" spans="1:2" x14ac:dyDescent="0.2">
      <c r="A400" s="50">
        <v>398</v>
      </c>
      <c r="B400" s="680">
        <v>0.21</v>
      </c>
    </row>
    <row r="401" spans="1:2" x14ac:dyDescent="0.2">
      <c r="A401" s="50">
        <v>399</v>
      </c>
      <c r="B401" s="680">
        <v>0.21</v>
      </c>
    </row>
    <row r="402" spans="1:2" x14ac:dyDescent="0.2">
      <c r="A402" s="50">
        <v>400</v>
      </c>
      <c r="B402" s="680">
        <v>0.2</v>
      </c>
    </row>
    <row r="403" spans="1:2" x14ac:dyDescent="0.2">
      <c r="A403" s="50">
        <v>401</v>
      </c>
      <c r="B403" s="680">
        <v>0.2</v>
      </c>
    </row>
    <row r="404" spans="1:2" x14ac:dyDescent="0.2">
      <c r="A404" s="50">
        <v>402</v>
      </c>
      <c r="B404" s="680">
        <v>0.2</v>
      </c>
    </row>
    <row r="405" spans="1:2" x14ac:dyDescent="0.2">
      <c r="A405" s="50">
        <v>403</v>
      </c>
      <c r="B405" s="680">
        <v>0.2</v>
      </c>
    </row>
    <row r="406" spans="1:2" x14ac:dyDescent="0.2">
      <c r="A406" s="50">
        <v>404</v>
      </c>
      <c r="B406" s="680">
        <v>0.2</v>
      </c>
    </row>
    <row r="407" spans="1:2" x14ac:dyDescent="0.2">
      <c r="A407" s="50">
        <v>405</v>
      </c>
      <c r="B407" s="680">
        <v>0.19</v>
      </c>
    </row>
    <row r="408" spans="1:2" x14ac:dyDescent="0.2">
      <c r="A408" s="50">
        <v>406</v>
      </c>
      <c r="B408" s="680">
        <v>0.19</v>
      </c>
    </row>
    <row r="409" spans="1:2" x14ac:dyDescent="0.2">
      <c r="A409" s="50">
        <v>407</v>
      </c>
      <c r="B409" s="680">
        <v>0.19</v>
      </c>
    </row>
    <row r="410" spans="1:2" x14ac:dyDescent="0.2">
      <c r="A410" s="50">
        <v>408</v>
      </c>
      <c r="B410" s="680">
        <v>0.19</v>
      </c>
    </row>
    <row r="411" spans="1:2" x14ac:dyDescent="0.2">
      <c r="A411" s="50">
        <v>409</v>
      </c>
      <c r="B411" s="680">
        <v>0.19</v>
      </c>
    </row>
    <row r="412" spans="1:2" x14ac:dyDescent="0.2">
      <c r="A412" s="50">
        <v>410</v>
      </c>
      <c r="B412" s="680">
        <v>0.18</v>
      </c>
    </row>
    <row r="413" spans="1:2" x14ac:dyDescent="0.2">
      <c r="A413" s="50">
        <v>411</v>
      </c>
      <c r="B413" s="680">
        <v>0.18</v>
      </c>
    </row>
    <row r="414" spans="1:2" x14ac:dyDescent="0.2">
      <c r="A414" s="50">
        <v>412</v>
      </c>
      <c r="B414" s="680">
        <v>0.18</v>
      </c>
    </row>
    <row r="415" spans="1:2" x14ac:dyDescent="0.2">
      <c r="A415" s="50">
        <v>413</v>
      </c>
      <c r="B415" s="680">
        <v>0.18</v>
      </c>
    </row>
    <row r="416" spans="1:2" x14ac:dyDescent="0.2">
      <c r="A416" s="50">
        <v>414</v>
      </c>
      <c r="B416" s="680">
        <v>0.18</v>
      </c>
    </row>
    <row r="417" spans="1:2" x14ac:dyDescent="0.2">
      <c r="A417" s="50">
        <v>415</v>
      </c>
      <c r="B417" s="680">
        <v>0.17</v>
      </c>
    </row>
    <row r="418" spans="1:2" x14ac:dyDescent="0.2">
      <c r="A418" s="50">
        <v>416</v>
      </c>
      <c r="B418" s="680">
        <v>0.17</v>
      </c>
    </row>
    <row r="419" spans="1:2" x14ac:dyDescent="0.2">
      <c r="A419" s="50">
        <v>417</v>
      </c>
      <c r="B419" s="680">
        <v>0.17</v>
      </c>
    </row>
    <row r="420" spans="1:2" x14ac:dyDescent="0.2">
      <c r="A420" s="50">
        <v>418</v>
      </c>
      <c r="B420" s="680">
        <v>0.17</v>
      </c>
    </row>
    <row r="421" spans="1:2" x14ac:dyDescent="0.2">
      <c r="A421" s="50">
        <v>419</v>
      </c>
      <c r="B421" s="680">
        <v>0.17</v>
      </c>
    </row>
    <row r="422" spans="1:2" x14ac:dyDescent="0.2">
      <c r="A422" s="50">
        <v>420</v>
      </c>
      <c r="B422" s="680">
        <v>0.16</v>
      </c>
    </row>
    <row r="423" spans="1:2" x14ac:dyDescent="0.2">
      <c r="A423" s="50">
        <v>421</v>
      </c>
      <c r="B423" s="680">
        <v>0.16</v>
      </c>
    </row>
    <row r="424" spans="1:2" x14ac:dyDescent="0.2">
      <c r="A424" s="50">
        <v>422</v>
      </c>
      <c r="B424" s="680">
        <v>0.16</v>
      </c>
    </row>
    <row r="425" spans="1:2" x14ac:dyDescent="0.2">
      <c r="A425" s="50">
        <v>423</v>
      </c>
      <c r="B425" s="680">
        <v>0.16</v>
      </c>
    </row>
    <row r="426" spans="1:2" x14ac:dyDescent="0.2">
      <c r="A426" s="50">
        <v>424</v>
      </c>
      <c r="B426" s="680">
        <v>0.16</v>
      </c>
    </row>
    <row r="427" spans="1:2" x14ac:dyDescent="0.2">
      <c r="A427" s="50">
        <v>425</v>
      </c>
      <c r="B427" s="680">
        <v>0.15</v>
      </c>
    </row>
    <row r="428" spans="1:2" x14ac:dyDescent="0.2">
      <c r="A428" s="50">
        <v>426</v>
      </c>
      <c r="B428" s="680">
        <v>0.15</v>
      </c>
    </row>
    <row r="429" spans="1:2" x14ac:dyDescent="0.2">
      <c r="A429" s="50">
        <v>427</v>
      </c>
      <c r="B429" s="680">
        <v>0.15</v>
      </c>
    </row>
    <row r="430" spans="1:2" x14ac:dyDescent="0.2">
      <c r="A430" s="50">
        <v>428</v>
      </c>
      <c r="B430" s="680">
        <v>0.15</v>
      </c>
    </row>
    <row r="431" spans="1:2" x14ac:dyDescent="0.2">
      <c r="A431" s="50">
        <v>429</v>
      </c>
      <c r="B431" s="680">
        <v>0.15</v>
      </c>
    </row>
    <row r="432" spans="1:2" x14ac:dyDescent="0.2">
      <c r="A432" s="50">
        <v>430</v>
      </c>
      <c r="B432" s="680">
        <v>0.14000000000000001</v>
      </c>
    </row>
    <row r="433" spans="1:2" x14ac:dyDescent="0.2">
      <c r="A433" s="50">
        <v>431</v>
      </c>
      <c r="B433" s="680">
        <v>0.14000000000000001</v>
      </c>
    </row>
    <row r="434" spans="1:2" x14ac:dyDescent="0.2">
      <c r="A434" s="50">
        <v>432</v>
      </c>
      <c r="B434" s="680">
        <v>0.14000000000000001</v>
      </c>
    </row>
    <row r="435" spans="1:2" x14ac:dyDescent="0.2">
      <c r="A435" s="50">
        <v>433</v>
      </c>
      <c r="B435" s="680">
        <v>0.14000000000000001</v>
      </c>
    </row>
    <row r="436" spans="1:2" x14ac:dyDescent="0.2">
      <c r="A436" s="50">
        <v>434</v>
      </c>
      <c r="B436" s="680">
        <v>0.14000000000000001</v>
      </c>
    </row>
    <row r="437" spans="1:2" x14ac:dyDescent="0.2">
      <c r="A437" s="50">
        <v>435</v>
      </c>
      <c r="B437" s="680">
        <v>0.13</v>
      </c>
    </row>
    <row r="438" spans="1:2" x14ac:dyDescent="0.2">
      <c r="A438" s="50">
        <v>436</v>
      </c>
      <c r="B438" s="680">
        <v>0.13</v>
      </c>
    </row>
    <row r="439" spans="1:2" x14ac:dyDescent="0.2">
      <c r="A439" s="50">
        <v>437</v>
      </c>
      <c r="B439" s="680">
        <v>0.13</v>
      </c>
    </row>
    <row r="440" spans="1:2" x14ac:dyDescent="0.2">
      <c r="A440" s="50">
        <v>438</v>
      </c>
      <c r="B440" s="680">
        <v>0.13</v>
      </c>
    </row>
    <row r="441" spans="1:2" x14ac:dyDescent="0.2">
      <c r="A441" s="50">
        <v>439</v>
      </c>
      <c r="B441" s="680">
        <v>0.13</v>
      </c>
    </row>
    <row r="442" spans="1:2" x14ac:dyDescent="0.2">
      <c r="A442" s="50">
        <v>440</v>
      </c>
      <c r="B442" s="680">
        <v>0.12</v>
      </c>
    </row>
    <row r="443" spans="1:2" x14ac:dyDescent="0.2">
      <c r="A443" s="50">
        <v>441</v>
      </c>
      <c r="B443" s="680">
        <v>0.12</v>
      </c>
    </row>
    <row r="444" spans="1:2" x14ac:dyDescent="0.2">
      <c r="A444" s="50">
        <v>442</v>
      </c>
      <c r="B444" s="680">
        <v>0.12</v>
      </c>
    </row>
    <row r="445" spans="1:2" x14ac:dyDescent="0.2">
      <c r="A445" s="50">
        <v>443</v>
      </c>
      <c r="B445" s="680">
        <v>0.12</v>
      </c>
    </row>
    <row r="446" spans="1:2" x14ac:dyDescent="0.2">
      <c r="A446" s="50">
        <v>444</v>
      </c>
      <c r="B446" s="680">
        <v>0.12</v>
      </c>
    </row>
    <row r="447" spans="1:2" x14ac:dyDescent="0.2">
      <c r="A447" s="50">
        <v>445</v>
      </c>
      <c r="B447" s="680">
        <v>0.11</v>
      </c>
    </row>
    <row r="448" spans="1:2" x14ac:dyDescent="0.2">
      <c r="A448" s="50">
        <v>446</v>
      </c>
      <c r="B448" s="680">
        <v>0.11</v>
      </c>
    </row>
    <row r="449" spans="1:2" x14ac:dyDescent="0.2">
      <c r="A449" s="50">
        <v>447</v>
      </c>
      <c r="B449" s="680">
        <v>0.11</v>
      </c>
    </row>
    <row r="450" spans="1:2" x14ac:dyDescent="0.2">
      <c r="A450" s="50">
        <v>448</v>
      </c>
      <c r="B450" s="680">
        <v>0.11</v>
      </c>
    </row>
    <row r="451" spans="1:2" x14ac:dyDescent="0.2">
      <c r="A451" s="50">
        <v>449</v>
      </c>
      <c r="B451" s="680">
        <v>0.11</v>
      </c>
    </row>
    <row r="452" spans="1:2" x14ac:dyDescent="0.2">
      <c r="A452" s="50">
        <v>450</v>
      </c>
      <c r="B452" s="680">
        <v>0.1</v>
      </c>
    </row>
    <row r="453" spans="1:2" x14ac:dyDescent="0.2">
      <c r="A453" s="50">
        <v>451</v>
      </c>
      <c r="B453" s="680">
        <v>0.1</v>
      </c>
    </row>
    <row r="454" spans="1:2" x14ac:dyDescent="0.2">
      <c r="A454" s="50">
        <v>452</v>
      </c>
      <c r="B454" s="680">
        <v>0.1</v>
      </c>
    </row>
    <row r="455" spans="1:2" x14ac:dyDescent="0.2">
      <c r="A455" s="50">
        <v>453</v>
      </c>
      <c r="B455" s="680">
        <v>0.1</v>
      </c>
    </row>
    <row r="456" spans="1:2" x14ac:dyDescent="0.2">
      <c r="A456" s="50">
        <v>454</v>
      </c>
      <c r="B456" s="680">
        <v>0.1</v>
      </c>
    </row>
    <row r="457" spans="1:2" x14ac:dyDescent="0.2">
      <c r="A457" s="50">
        <v>455</v>
      </c>
      <c r="B457" s="680">
        <v>0.09</v>
      </c>
    </row>
    <row r="458" spans="1:2" x14ac:dyDescent="0.2">
      <c r="A458" s="50">
        <v>456</v>
      </c>
      <c r="B458" s="680">
        <v>0.09</v>
      </c>
    </row>
    <row r="459" spans="1:2" x14ac:dyDescent="0.2">
      <c r="A459" s="50">
        <v>457</v>
      </c>
      <c r="B459" s="680">
        <v>0.09</v>
      </c>
    </row>
    <row r="460" spans="1:2" x14ac:dyDescent="0.2">
      <c r="A460" s="50">
        <v>458</v>
      </c>
      <c r="B460" s="680">
        <v>0.09</v>
      </c>
    </row>
    <row r="461" spans="1:2" x14ac:dyDescent="0.2">
      <c r="A461" s="50">
        <v>459</v>
      </c>
      <c r="B461" s="680">
        <v>0.09</v>
      </c>
    </row>
    <row r="462" spans="1:2" x14ac:dyDescent="0.2">
      <c r="A462" s="50">
        <v>460</v>
      </c>
      <c r="B462" s="680">
        <v>0.08</v>
      </c>
    </row>
    <row r="463" spans="1:2" x14ac:dyDescent="0.2">
      <c r="A463" s="50">
        <v>461</v>
      </c>
      <c r="B463" s="680">
        <v>0.08</v>
      </c>
    </row>
    <row r="464" spans="1:2" x14ac:dyDescent="0.2">
      <c r="A464" s="50">
        <v>462</v>
      </c>
      <c r="B464" s="680">
        <v>0.08</v>
      </c>
    </row>
    <row r="465" spans="1:2" x14ac:dyDescent="0.2">
      <c r="A465" s="50">
        <v>463</v>
      </c>
      <c r="B465" s="680">
        <v>0.08</v>
      </c>
    </row>
    <row r="466" spans="1:2" x14ac:dyDescent="0.2">
      <c r="A466" s="50">
        <v>464</v>
      </c>
      <c r="B466" s="680">
        <v>0.08</v>
      </c>
    </row>
    <row r="467" spans="1:2" x14ac:dyDescent="0.2">
      <c r="A467" s="50">
        <v>465</v>
      </c>
      <c r="B467" s="680">
        <v>7.0000000000000007E-2</v>
      </c>
    </row>
    <row r="468" spans="1:2" x14ac:dyDescent="0.2">
      <c r="A468" s="50">
        <v>466</v>
      </c>
      <c r="B468" s="680">
        <v>7.0000000000000007E-2</v>
      </c>
    </row>
    <row r="469" spans="1:2" x14ac:dyDescent="0.2">
      <c r="A469" s="50">
        <v>467</v>
      </c>
      <c r="B469" s="680">
        <v>7.0000000000000007E-2</v>
      </c>
    </row>
    <row r="470" spans="1:2" x14ac:dyDescent="0.2">
      <c r="A470" s="50">
        <v>468</v>
      </c>
      <c r="B470" s="680">
        <v>7.0000000000000007E-2</v>
      </c>
    </row>
    <row r="471" spans="1:2" x14ac:dyDescent="0.2">
      <c r="A471" s="50">
        <v>469</v>
      </c>
      <c r="B471" s="680">
        <v>7.0000000000000007E-2</v>
      </c>
    </row>
    <row r="472" spans="1:2" x14ac:dyDescent="0.2">
      <c r="A472" s="50">
        <v>470</v>
      </c>
      <c r="B472" s="680">
        <v>0.06</v>
      </c>
    </row>
    <row r="473" spans="1:2" x14ac:dyDescent="0.2">
      <c r="A473" s="50">
        <v>471</v>
      </c>
      <c r="B473" s="680">
        <v>0.06</v>
      </c>
    </row>
    <row r="474" spans="1:2" x14ac:dyDescent="0.2">
      <c r="A474" s="50">
        <v>472</v>
      </c>
      <c r="B474" s="680">
        <v>0.06</v>
      </c>
    </row>
    <row r="475" spans="1:2" x14ac:dyDescent="0.2">
      <c r="A475" s="50">
        <v>473</v>
      </c>
      <c r="B475" s="680">
        <v>0.06</v>
      </c>
    </row>
    <row r="476" spans="1:2" x14ac:dyDescent="0.2">
      <c r="A476" s="50">
        <v>474</v>
      </c>
      <c r="B476" s="680">
        <v>0.06</v>
      </c>
    </row>
    <row r="477" spans="1:2" x14ac:dyDescent="0.2">
      <c r="A477" s="50">
        <v>475</v>
      </c>
      <c r="B477" s="680">
        <v>0.05</v>
      </c>
    </row>
    <row r="478" spans="1:2" x14ac:dyDescent="0.2">
      <c r="A478" s="50">
        <v>476</v>
      </c>
      <c r="B478" s="680">
        <v>0.05</v>
      </c>
    </row>
    <row r="479" spans="1:2" x14ac:dyDescent="0.2">
      <c r="A479" s="50">
        <v>477</v>
      </c>
      <c r="B479" s="680">
        <v>0.05</v>
      </c>
    </row>
    <row r="480" spans="1:2" x14ac:dyDescent="0.2">
      <c r="A480" s="50">
        <v>478</v>
      </c>
      <c r="B480" s="680">
        <v>0.05</v>
      </c>
    </row>
    <row r="481" spans="1:2" x14ac:dyDescent="0.2">
      <c r="A481" s="50">
        <v>479</v>
      </c>
      <c r="B481" s="680">
        <v>0.05</v>
      </c>
    </row>
    <row r="482" spans="1:2" x14ac:dyDescent="0.2">
      <c r="A482" s="50">
        <v>480</v>
      </c>
      <c r="B482" s="680">
        <v>0.04</v>
      </c>
    </row>
    <row r="483" spans="1:2" x14ac:dyDescent="0.2">
      <c r="A483" s="50">
        <v>481</v>
      </c>
      <c r="B483" s="680">
        <v>0.04</v>
      </c>
    </row>
    <row r="484" spans="1:2" x14ac:dyDescent="0.2">
      <c r="A484" s="50">
        <v>482</v>
      </c>
      <c r="B484" s="680">
        <v>0.04</v>
      </c>
    </row>
    <row r="485" spans="1:2" x14ac:dyDescent="0.2">
      <c r="A485" s="50">
        <v>483</v>
      </c>
      <c r="B485" s="680">
        <v>0.04</v>
      </c>
    </row>
    <row r="486" spans="1:2" x14ac:dyDescent="0.2">
      <c r="A486" s="50">
        <v>484</v>
      </c>
      <c r="B486" s="680">
        <v>0.04</v>
      </c>
    </row>
    <row r="487" spans="1:2" x14ac:dyDescent="0.2">
      <c r="A487" s="50">
        <v>485</v>
      </c>
      <c r="B487" s="680">
        <v>0.03</v>
      </c>
    </row>
    <row r="488" spans="1:2" x14ac:dyDescent="0.2">
      <c r="A488" s="50">
        <v>486</v>
      </c>
      <c r="B488" s="680">
        <v>0.03</v>
      </c>
    </row>
    <row r="489" spans="1:2" x14ac:dyDescent="0.2">
      <c r="A489" s="50">
        <v>487</v>
      </c>
      <c r="B489" s="680">
        <v>0.03</v>
      </c>
    </row>
    <row r="490" spans="1:2" x14ac:dyDescent="0.2">
      <c r="A490" s="50">
        <v>488</v>
      </c>
      <c r="B490" s="680">
        <v>0.03</v>
      </c>
    </row>
    <row r="491" spans="1:2" x14ac:dyDescent="0.2">
      <c r="A491" s="50">
        <v>489</v>
      </c>
      <c r="B491" s="680">
        <v>0.03</v>
      </c>
    </row>
    <row r="492" spans="1:2" x14ac:dyDescent="0.2">
      <c r="A492" s="50">
        <v>490</v>
      </c>
      <c r="B492" s="680">
        <v>0.02</v>
      </c>
    </row>
    <row r="493" spans="1:2" x14ac:dyDescent="0.2">
      <c r="A493" s="50">
        <v>491</v>
      </c>
      <c r="B493" s="680">
        <v>0.02</v>
      </c>
    </row>
    <row r="494" spans="1:2" x14ac:dyDescent="0.2">
      <c r="A494" s="50">
        <v>492</v>
      </c>
      <c r="B494" s="680">
        <v>0.02</v>
      </c>
    </row>
    <row r="495" spans="1:2" x14ac:dyDescent="0.2">
      <c r="A495" s="50">
        <v>493</v>
      </c>
      <c r="B495" s="680">
        <v>0.02</v>
      </c>
    </row>
    <row r="496" spans="1:2" x14ac:dyDescent="0.2">
      <c r="A496" s="50">
        <v>494</v>
      </c>
      <c r="B496" s="680">
        <v>0.02</v>
      </c>
    </row>
    <row r="497" spans="1:2" x14ac:dyDescent="0.2">
      <c r="A497" s="50">
        <v>495</v>
      </c>
      <c r="B497" s="680">
        <v>0.01</v>
      </c>
    </row>
    <row r="498" spans="1:2" x14ac:dyDescent="0.2">
      <c r="A498" s="50">
        <v>496</v>
      </c>
      <c r="B498" s="680">
        <v>0.01</v>
      </c>
    </row>
    <row r="499" spans="1:2" x14ac:dyDescent="0.2">
      <c r="A499" s="50">
        <v>497</v>
      </c>
      <c r="B499" s="680">
        <v>0.01</v>
      </c>
    </row>
    <row r="500" spans="1:2" x14ac:dyDescent="0.2">
      <c r="A500" s="50">
        <v>498</v>
      </c>
      <c r="B500" s="680">
        <v>0.01</v>
      </c>
    </row>
    <row r="501" spans="1:2" x14ac:dyDescent="0.2">
      <c r="A501" s="50">
        <v>499</v>
      </c>
      <c r="B501" s="680">
        <v>0.01</v>
      </c>
    </row>
    <row r="502" spans="1:2" x14ac:dyDescent="0.2">
      <c r="A502" s="50">
        <v>500</v>
      </c>
      <c r="B502" s="680">
        <v>0</v>
      </c>
    </row>
  </sheetData>
  <sheetProtection sheet="1" objects="1" scenarios="1"/>
  <mergeCells count="2">
    <mergeCell ref="D2:D5"/>
    <mergeCell ref="E2:E5"/>
  </mergeCells>
  <phoneticPr fontId="0" type="noConversion"/>
  <pageMargins left="0.75" right="0.75" top="1" bottom="1" header="0.5" footer="0.5"/>
  <pageSetup orientation="portrait" horizontalDpi="300" verticalDpi="300"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O555"/>
  <sheetViews>
    <sheetView zoomScaleNormal="100" zoomScaleSheetLayoutView="50" workbookViewId="0">
      <pane ySplit="2" topLeftCell="A3" activePane="bottomLeft" state="frozen"/>
      <selection pane="bottomLeft"/>
    </sheetView>
  </sheetViews>
  <sheetFormatPr defaultColWidth="9.140625" defaultRowHeight="12.75" x14ac:dyDescent="0.2"/>
  <cols>
    <col min="1" max="1" width="12.5703125" style="10" customWidth="1"/>
    <col min="2" max="2" width="11.140625" style="10" bestFit="1" customWidth="1"/>
    <col min="3" max="3" width="11.140625" style="10" customWidth="1"/>
    <col min="4" max="4" width="11.140625" style="10" bestFit="1" customWidth="1"/>
    <col min="5" max="5" width="14.140625" style="10" customWidth="1"/>
    <col min="6" max="10" width="11.140625" style="10" bestFit="1" customWidth="1"/>
    <col min="11" max="12" width="11.140625" style="94" bestFit="1" customWidth="1"/>
    <col min="13" max="13" width="14" style="94" customWidth="1"/>
    <col min="14" max="14" width="8" style="10" bestFit="1" customWidth="1"/>
    <col min="15" max="15" width="34.85546875" style="14" customWidth="1"/>
    <col min="16" max="17" width="8" style="62" customWidth="1"/>
    <col min="18" max="18" width="8.5703125" style="14" customWidth="1"/>
    <col min="19" max="19" width="5.7109375" style="62" customWidth="1"/>
    <col min="20" max="20" width="16.140625" style="14" bestFit="1" customWidth="1"/>
    <col min="21" max="22" width="9.140625" style="14"/>
    <col min="23" max="23" width="8.7109375" style="14" customWidth="1"/>
    <col min="24" max="24" width="5.7109375" style="14" customWidth="1"/>
    <col min="25" max="25" width="34.85546875" style="14" customWidth="1"/>
    <col min="26" max="28" width="8.7109375" style="14" customWidth="1"/>
    <col min="29" max="29" width="5.7109375" style="98" customWidth="1"/>
    <col min="30" max="30" width="16.140625" style="14" customWidth="1"/>
    <col min="31" max="33" width="8.7109375" style="14" customWidth="1"/>
    <col min="34" max="65" width="9.140625" style="14"/>
    <col min="66" max="16384" width="9.140625" style="10"/>
  </cols>
  <sheetData>
    <row r="1" spans="1:93" ht="37.5" customHeight="1" x14ac:dyDescent="0.2">
      <c r="A1" s="267" t="s">
        <v>2243</v>
      </c>
      <c r="B1" s="50" t="s">
        <v>1608</v>
      </c>
      <c r="C1" s="50" t="s">
        <v>1608</v>
      </c>
      <c r="D1" s="50" t="s">
        <v>1608</v>
      </c>
      <c r="E1" s="50" t="s">
        <v>1608</v>
      </c>
      <c r="F1" s="50" t="s">
        <v>1608</v>
      </c>
      <c r="G1" s="50" t="s">
        <v>1608</v>
      </c>
      <c r="H1" s="50" t="s">
        <v>1608</v>
      </c>
      <c r="I1" s="50" t="s">
        <v>1608</v>
      </c>
      <c r="J1" s="50" t="s">
        <v>1608</v>
      </c>
      <c r="K1" s="50" t="s">
        <v>1608</v>
      </c>
      <c r="L1" s="50" t="s">
        <v>1608</v>
      </c>
      <c r="M1" s="50" t="s">
        <v>1608</v>
      </c>
      <c r="N1" s="39"/>
    </row>
    <row r="2" spans="1:93" ht="100.5" customHeight="1" x14ac:dyDescent="0.2">
      <c r="A2" s="676" t="s">
        <v>1923</v>
      </c>
      <c r="B2" s="676" t="s">
        <v>1609</v>
      </c>
      <c r="C2" s="676" t="s">
        <v>1610</v>
      </c>
      <c r="D2" s="676" t="s">
        <v>1611</v>
      </c>
      <c r="E2" s="676" t="s">
        <v>1612</v>
      </c>
      <c r="F2" s="676" t="s">
        <v>677</v>
      </c>
      <c r="G2" s="676" t="s">
        <v>680</v>
      </c>
      <c r="H2" s="676" t="s">
        <v>681</v>
      </c>
      <c r="I2" s="676" t="s">
        <v>683</v>
      </c>
      <c r="J2" s="676" t="s">
        <v>685</v>
      </c>
      <c r="K2" s="676" t="s">
        <v>1924</v>
      </c>
      <c r="L2" s="676" t="s">
        <v>579</v>
      </c>
      <c r="M2" s="676" t="s">
        <v>1586</v>
      </c>
      <c r="N2" s="324"/>
      <c r="O2" s="272" t="s">
        <v>27</v>
      </c>
      <c r="P2" s="667" t="s">
        <v>2252</v>
      </c>
      <c r="Q2" s="667" t="s">
        <v>1287</v>
      </c>
      <c r="R2" s="667" t="s">
        <v>2253</v>
      </c>
      <c r="S2" s="323"/>
      <c r="T2" s="322"/>
      <c r="U2" s="678" t="s">
        <v>2252</v>
      </c>
      <c r="V2" s="678" t="s">
        <v>1287</v>
      </c>
      <c r="W2" s="678" t="s">
        <v>2253</v>
      </c>
      <c r="X2" s="322"/>
      <c r="Y2" s="14" t="s">
        <v>1442</v>
      </c>
      <c r="Z2" s="678" t="s">
        <v>2254</v>
      </c>
      <c r="AA2" s="678" t="s">
        <v>1287</v>
      </c>
      <c r="AB2" s="678" t="s">
        <v>2255</v>
      </c>
      <c r="AC2" s="323"/>
      <c r="AD2" s="322"/>
      <c r="AE2" s="678" t="s">
        <v>2254</v>
      </c>
      <c r="AF2" s="678" t="s">
        <v>1287</v>
      </c>
      <c r="AG2" s="678" t="s">
        <v>2255</v>
      </c>
      <c r="AH2" s="322"/>
      <c r="AI2" s="322"/>
      <c r="AJ2" s="322"/>
      <c r="AK2" s="322"/>
      <c r="AL2" s="322"/>
      <c r="AM2" s="322"/>
      <c r="AN2" s="322"/>
      <c r="AO2" s="322"/>
      <c r="AP2" s="322"/>
      <c r="AQ2" s="322"/>
      <c r="AR2" s="322"/>
      <c r="AS2" s="322"/>
      <c r="AT2" s="322"/>
      <c r="AU2" s="322"/>
      <c r="AV2" s="322"/>
      <c r="AW2" s="322"/>
      <c r="AX2" s="322"/>
      <c r="AY2" s="322"/>
      <c r="AZ2" s="322"/>
      <c r="BA2" s="322"/>
      <c r="BB2" s="322"/>
      <c r="BC2" s="322"/>
      <c r="BD2" s="322"/>
      <c r="BE2" s="322"/>
      <c r="BF2" s="322"/>
      <c r="BG2" s="322"/>
      <c r="BH2" s="322"/>
      <c r="BI2" s="322"/>
      <c r="BJ2" s="322"/>
      <c r="BK2" s="322"/>
      <c r="BL2" s="322"/>
      <c r="BM2" s="322"/>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row>
    <row r="3" spans="1:93" ht="15" customHeight="1" x14ac:dyDescent="0.2">
      <c r="A3" s="50">
        <v>0</v>
      </c>
      <c r="B3" s="544">
        <v>0.13</v>
      </c>
      <c r="C3" s="544">
        <v>0.15</v>
      </c>
      <c r="D3" s="544">
        <v>0.02</v>
      </c>
      <c r="E3" s="544">
        <v>0.15</v>
      </c>
      <c r="F3" s="544">
        <v>7.0000000000000007E-2</v>
      </c>
      <c r="G3" s="544">
        <v>0.08</v>
      </c>
      <c r="H3" s="544">
        <v>0.01</v>
      </c>
      <c r="I3" s="544">
        <v>0.08</v>
      </c>
      <c r="J3" s="581">
        <v>0.03</v>
      </c>
      <c r="K3" s="581">
        <v>0.04</v>
      </c>
      <c r="L3" s="581">
        <v>0.01</v>
      </c>
      <c r="M3" s="544">
        <v>0.04</v>
      </c>
      <c r="O3" s="147" t="s">
        <v>402</v>
      </c>
      <c r="P3" s="578" t="str">
        <f>IF('Shoulder-Right'!T7="","",'Shoulder-Right'!T7)</f>
        <v/>
      </c>
      <c r="Q3" s="578" t="str">
        <f>IF(P3="","",ROUND(P3,0))</f>
        <v/>
      </c>
      <c r="R3" s="193">
        <f>IF(Q3="",0,VLOOKUP(Q3,$A$3:$N$183,2))</f>
        <v>0</v>
      </c>
      <c r="T3" s="147" t="s">
        <v>1565</v>
      </c>
      <c r="U3" s="578" t="str">
        <f>IF('Shoulder-Right'!V7="","",'Shoulder-Right'!V7)</f>
        <v/>
      </c>
      <c r="V3" s="578" t="str">
        <f>IF(U3="","",ROUND(U3,0))</f>
        <v/>
      </c>
      <c r="W3" s="193">
        <f>IF(V3="",0,VLOOKUP(V3,$A$3:$N$183,2))</f>
        <v>0</v>
      </c>
      <c r="Y3" s="147" t="s">
        <v>402</v>
      </c>
      <c r="Z3" s="578" t="str">
        <f>IF('Shoulder-Left'!T7="","",'Shoulder-Left'!T7)</f>
        <v/>
      </c>
      <c r="AA3" s="578" t="str">
        <f t="shared" ref="AA3:AA14" si="0">IF(Z3="","",ROUND(Z3,0))</f>
        <v/>
      </c>
      <c r="AB3" s="193">
        <f>IF(AA3="",0,VLOOKUP(AA3,$A$3:$N$183,2))</f>
        <v>0</v>
      </c>
      <c r="AC3" s="62"/>
      <c r="AD3" s="147" t="s">
        <v>1565</v>
      </c>
      <c r="AE3" s="578" t="str">
        <f>IF('Shoulder-Left'!V7="","",'Shoulder-Left'!V7)</f>
        <v/>
      </c>
      <c r="AF3" s="578" t="str">
        <f>IF(AE3="","",ROUND(AE3,0))</f>
        <v/>
      </c>
      <c r="AG3" s="193">
        <f>IF(AF3="",0,VLOOKUP(AF3,$A$3:$N$183,2))</f>
        <v>0</v>
      </c>
    </row>
    <row r="4" spans="1:93" ht="15" customHeight="1" x14ac:dyDescent="0.2">
      <c r="A4" s="50">
        <v>1</v>
      </c>
      <c r="B4" s="544">
        <v>0.127</v>
      </c>
      <c r="C4" s="544">
        <v>0.14699999999999999</v>
      </c>
      <c r="D4" s="544">
        <v>1.9E-2</v>
      </c>
      <c r="E4" s="544">
        <v>0.15</v>
      </c>
      <c r="F4" s="544">
        <v>6.9000000000000006E-2</v>
      </c>
      <c r="G4" s="544">
        <v>7.9000000000000001E-2</v>
      </c>
      <c r="H4" s="544">
        <v>0.01</v>
      </c>
      <c r="I4" s="544">
        <v>8.1000000000000003E-2</v>
      </c>
      <c r="J4" s="581">
        <v>0.03</v>
      </c>
      <c r="K4" s="581">
        <v>0.04</v>
      </c>
      <c r="L4" s="581">
        <v>0.01</v>
      </c>
      <c r="M4" s="544">
        <v>4.1000000000000002E-2</v>
      </c>
      <c r="O4" s="147" t="s">
        <v>403</v>
      </c>
      <c r="P4" s="578" t="str">
        <f>IF('Shoulder-Right'!T8="","",'Shoulder-Right'!T8)</f>
        <v/>
      </c>
      <c r="Q4" s="578" t="str">
        <f t="shared" ref="Q4:Q14" si="1">IF(P4="","",ROUND(P4,0))</f>
        <v/>
      </c>
      <c r="R4" s="193">
        <f>IF(Q4="",0,VLOOKUP(Q4,$A$3:$N$183,3))</f>
        <v>0</v>
      </c>
      <c r="T4" s="147"/>
      <c r="U4" s="578"/>
      <c r="V4" s="578"/>
      <c r="W4" s="193"/>
      <c r="Y4" s="147" t="s">
        <v>403</v>
      </c>
      <c r="Z4" s="578" t="str">
        <f>IF('Shoulder-Left'!T8="","",'Shoulder-Left'!T8)</f>
        <v/>
      </c>
      <c r="AA4" s="578" t="str">
        <f t="shared" si="0"/>
        <v/>
      </c>
      <c r="AB4" s="193">
        <f>IF(AA4="",0,VLOOKUP(AA4,$A$3:$N$183,3))</f>
        <v>0</v>
      </c>
      <c r="AC4" s="62"/>
      <c r="AD4" s="147"/>
      <c r="AE4" s="578"/>
      <c r="AF4" s="578"/>
      <c r="AG4" s="193"/>
    </row>
    <row r="5" spans="1:93" ht="15" customHeight="1" x14ac:dyDescent="0.2">
      <c r="A5" s="50">
        <v>2</v>
      </c>
      <c r="B5" s="544">
        <v>0.124</v>
      </c>
      <c r="C5" s="544">
        <v>0.14399999999999999</v>
      </c>
      <c r="D5" s="544">
        <v>1.7999999999999999E-2</v>
      </c>
      <c r="E5" s="544">
        <v>0.15</v>
      </c>
      <c r="F5" s="544">
        <v>6.8000000000000005E-2</v>
      </c>
      <c r="G5" s="544">
        <v>7.8E-2</v>
      </c>
      <c r="H5" s="544">
        <v>0.01</v>
      </c>
      <c r="I5" s="544">
        <v>8.2000000000000003E-2</v>
      </c>
      <c r="J5" s="581">
        <v>0.03</v>
      </c>
      <c r="K5" s="581">
        <v>0.04</v>
      </c>
      <c r="L5" s="581">
        <v>0.01</v>
      </c>
      <c r="M5" s="544">
        <v>4.2000000000000003E-2</v>
      </c>
      <c r="O5" s="147" t="s">
        <v>404</v>
      </c>
      <c r="P5" s="578" t="str">
        <f>IF('Shoulder-Right'!T9="","",'Shoulder-Right'!T9)</f>
        <v/>
      </c>
      <c r="Q5" s="578" t="str">
        <f t="shared" si="1"/>
        <v/>
      </c>
      <c r="R5" s="193">
        <f>IF(Q5="",0,VLOOKUP(Q5,$A$3:$N$183,4))</f>
        <v>0</v>
      </c>
      <c r="T5" s="147" t="s">
        <v>1565</v>
      </c>
      <c r="U5" s="578" t="str">
        <f>IF('Shoulder-Right'!V9="","",'Shoulder-Right'!V9)</f>
        <v/>
      </c>
      <c r="V5" s="578" t="str">
        <f>IF(U5="","",ROUND(U5,0))</f>
        <v/>
      </c>
      <c r="W5" s="193">
        <f>IF(V5="",0,VLOOKUP(V5,$A$3:$N$183,4))</f>
        <v>0</v>
      </c>
      <c r="Y5" s="147" t="s">
        <v>404</v>
      </c>
      <c r="Z5" s="578" t="str">
        <f>IF('Shoulder-Left'!T9="","",'Shoulder-Left'!T9)</f>
        <v/>
      </c>
      <c r="AA5" s="578" t="str">
        <f t="shared" si="0"/>
        <v/>
      </c>
      <c r="AB5" s="193">
        <f>IF(AA5="",0,VLOOKUP(AA5,$A$3:$N$183,4))</f>
        <v>0</v>
      </c>
      <c r="AC5" s="62"/>
      <c r="AD5" s="147" t="s">
        <v>1565</v>
      </c>
      <c r="AE5" s="578" t="str">
        <f>IF('Shoulder-Left'!V9="","",'Shoulder-Left'!V9)</f>
        <v/>
      </c>
      <c r="AF5" s="578" t="str">
        <f>IF(AE5="","",ROUND(AE5,0))</f>
        <v/>
      </c>
      <c r="AG5" s="193">
        <f>IF(AF5="",0,VLOOKUP(AF5,$A$3:$N$183,4))</f>
        <v>0</v>
      </c>
    </row>
    <row r="6" spans="1:93" ht="15" customHeight="1" x14ac:dyDescent="0.2">
      <c r="A6" s="50">
        <v>3</v>
      </c>
      <c r="B6" s="544">
        <v>0.121</v>
      </c>
      <c r="C6" s="544">
        <v>0.14099999999999999</v>
      </c>
      <c r="D6" s="544">
        <v>1.7000000000000001E-2</v>
      </c>
      <c r="E6" s="544">
        <v>0.15</v>
      </c>
      <c r="F6" s="544">
        <v>6.7000000000000004E-2</v>
      </c>
      <c r="G6" s="544">
        <v>7.6999999999999999E-2</v>
      </c>
      <c r="H6" s="544">
        <v>0.01</v>
      </c>
      <c r="I6" s="544">
        <v>8.3000000000000004E-2</v>
      </c>
      <c r="J6" s="581">
        <v>0.03</v>
      </c>
      <c r="K6" s="581">
        <v>0.04</v>
      </c>
      <c r="L6" s="581">
        <v>0.01</v>
      </c>
      <c r="M6" s="544">
        <v>4.2999999999999997E-2</v>
      </c>
      <c r="O6" s="147" t="s">
        <v>405</v>
      </c>
      <c r="P6" s="578" t="str">
        <f>IF('Shoulder-Right'!T10="","",'Shoulder-Right'!T10)</f>
        <v/>
      </c>
      <c r="Q6" s="578" t="str">
        <f t="shared" si="1"/>
        <v/>
      </c>
      <c r="R6" s="193">
        <f>IF(Q6="",0,VLOOKUP(Q6,$A$3:$N$183,5))</f>
        <v>0</v>
      </c>
      <c r="T6" s="147"/>
      <c r="U6" s="147"/>
      <c r="V6" s="147"/>
      <c r="W6" s="147"/>
      <c r="Y6" s="147" t="s">
        <v>405</v>
      </c>
      <c r="Z6" s="578" t="str">
        <f>IF('Shoulder-Left'!T10="","",'Shoulder-Left'!T10)</f>
        <v/>
      </c>
      <c r="AA6" s="578" t="str">
        <f t="shared" si="0"/>
        <v/>
      </c>
      <c r="AB6" s="193">
        <f>IF(AA6="",0,VLOOKUP(AA6,$A$3:$N$183,5))</f>
        <v>0</v>
      </c>
      <c r="AC6" s="62"/>
      <c r="AD6" s="147"/>
      <c r="AE6" s="147"/>
      <c r="AF6" s="147"/>
      <c r="AG6" s="147"/>
    </row>
    <row r="7" spans="1:93" ht="15" customHeight="1" x14ac:dyDescent="0.2">
      <c r="A7" s="50">
        <v>4</v>
      </c>
      <c r="B7" s="544">
        <v>0.11799999999999999</v>
      </c>
      <c r="C7" s="544">
        <v>0.13800000000000001</v>
      </c>
      <c r="D7" s="604">
        <v>1.6E-2</v>
      </c>
      <c r="E7" s="544">
        <v>0.15</v>
      </c>
      <c r="F7" s="544">
        <v>6.6000000000000003E-2</v>
      </c>
      <c r="G7" s="544">
        <v>7.5999999999999998E-2</v>
      </c>
      <c r="H7" s="544">
        <v>0.01</v>
      </c>
      <c r="I7" s="544">
        <v>8.4000000000000005E-2</v>
      </c>
      <c r="J7" s="581">
        <v>0.03</v>
      </c>
      <c r="K7" s="581">
        <v>0.04</v>
      </c>
      <c r="L7" s="581">
        <v>0.01</v>
      </c>
      <c r="M7" s="544">
        <v>4.3999999999999997E-2</v>
      </c>
      <c r="O7" s="147" t="s">
        <v>677</v>
      </c>
      <c r="P7" s="578" t="str">
        <f>IF('Shoulder-Right'!T11="","",'Shoulder-Right'!T11)</f>
        <v/>
      </c>
      <c r="Q7" s="578" t="str">
        <f t="shared" si="1"/>
        <v/>
      </c>
      <c r="R7" s="193">
        <f>IF(Q7="",0,VLOOKUP(Q7,$A$3:$N$183,6))</f>
        <v>0</v>
      </c>
      <c r="T7" s="147" t="s">
        <v>1587</v>
      </c>
      <c r="U7" s="578" t="str">
        <f>IF('Shoulder-Right'!V11="","",'Shoulder-Right'!V11)</f>
        <v/>
      </c>
      <c r="V7" s="578" t="str">
        <f>IF(U7="","",ROUND(U7,0))</f>
        <v/>
      </c>
      <c r="W7" s="193">
        <f>IF(V7="",0,VLOOKUP(V7,$A$3:$N$183,6))</f>
        <v>0</v>
      </c>
      <c r="Y7" s="147" t="s">
        <v>677</v>
      </c>
      <c r="Z7" s="578" t="str">
        <f>IF('Shoulder-Left'!T11="","",'Shoulder-Left'!T11)</f>
        <v/>
      </c>
      <c r="AA7" s="578" t="str">
        <f t="shared" si="0"/>
        <v/>
      </c>
      <c r="AB7" s="193">
        <f>IF(AA7="",0,VLOOKUP(AA7,$A$3:$N$183,6))</f>
        <v>0</v>
      </c>
      <c r="AC7" s="62"/>
      <c r="AD7" s="147" t="s">
        <v>1587</v>
      </c>
      <c r="AE7" s="578" t="str">
        <f>IF('Shoulder-Left'!V11="","",'Shoulder-Left'!V11)</f>
        <v/>
      </c>
      <c r="AF7" s="578" t="str">
        <f>IF(AE7="","",ROUND(AE7,0))</f>
        <v/>
      </c>
      <c r="AG7" s="193">
        <f>IF(AF7="",0,VLOOKUP(AF7,$A$3:$N$183,6))</f>
        <v>0</v>
      </c>
    </row>
    <row r="8" spans="1:93" ht="15" customHeight="1" x14ac:dyDescent="0.2">
      <c r="A8" s="50">
        <v>5</v>
      </c>
      <c r="B8" s="544">
        <v>0.115</v>
      </c>
      <c r="C8" s="544">
        <v>0.13500000000000001</v>
      </c>
      <c r="D8" s="544">
        <v>1.4999999999999999E-2</v>
      </c>
      <c r="E8" s="544">
        <v>0.15</v>
      </c>
      <c r="F8" s="544">
        <v>6.5000000000000002E-2</v>
      </c>
      <c r="G8" s="544">
        <v>7.4999999999999997E-2</v>
      </c>
      <c r="H8" s="544">
        <v>0.01</v>
      </c>
      <c r="I8" s="544">
        <v>8.5000000000000006E-2</v>
      </c>
      <c r="J8" s="581">
        <v>0.03</v>
      </c>
      <c r="K8" s="581">
        <v>0.04</v>
      </c>
      <c r="L8" s="581">
        <v>0.01</v>
      </c>
      <c r="M8" s="544">
        <v>4.4999999999999998E-2</v>
      </c>
      <c r="O8" s="147" t="s">
        <v>680</v>
      </c>
      <c r="P8" s="578" t="str">
        <f>IF('Shoulder-Right'!T12="","",'Shoulder-Right'!T12)</f>
        <v/>
      </c>
      <c r="Q8" s="578" t="str">
        <f t="shared" si="1"/>
        <v/>
      </c>
      <c r="R8" s="193">
        <f>IF(Q8="",0,VLOOKUP(Q8,$A$3:$N$183,7))</f>
        <v>0</v>
      </c>
      <c r="T8" s="147"/>
      <c r="U8" s="147"/>
      <c r="V8" s="147"/>
      <c r="W8" s="147"/>
      <c r="Y8" s="147" t="s">
        <v>680</v>
      </c>
      <c r="Z8" s="578" t="str">
        <f>IF('Shoulder-Left'!T12="","",'Shoulder-Left'!T12)</f>
        <v/>
      </c>
      <c r="AA8" s="578" t="str">
        <f t="shared" si="0"/>
        <v/>
      </c>
      <c r="AB8" s="193">
        <f>IF(AA8="",0,VLOOKUP(AA8,$A$3:$N$183,7))</f>
        <v>0</v>
      </c>
      <c r="AC8" s="62"/>
      <c r="AD8" s="147"/>
      <c r="AE8" s="147"/>
      <c r="AF8" s="147"/>
      <c r="AG8" s="147"/>
    </row>
    <row r="9" spans="1:93" ht="15" customHeight="1" x14ac:dyDescent="0.2">
      <c r="A9" s="50">
        <v>6</v>
      </c>
      <c r="B9" s="544">
        <v>0.112</v>
      </c>
      <c r="C9" s="544">
        <v>0.13200000000000001</v>
      </c>
      <c r="D9" s="544">
        <v>1.4E-2</v>
      </c>
      <c r="E9" s="544">
        <v>0.15</v>
      </c>
      <c r="F9" s="544">
        <v>6.4000000000000001E-2</v>
      </c>
      <c r="G9" s="544">
        <v>7.3999999999999996E-2</v>
      </c>
      <c r="H9" s="544">
        <v>0.01</v>
      </c>
      <c r="I9" s="604">
        <v>8.5999999999999993E-2</v>
      </c>
      <c r="J9" s="581">
        <v>0.03</v>
      </c>
      <c r="K9" s="581">
        <v>0.04</v>
      </c>
      <c r="L9" s="581">
        <v>0.01</v>
      </c>
      <c r="M9" s="604">
        <v>4.5999999999999999E-2</v>
      </c>
      <c r="O9" s="147" t="s">
        <v>681</v>
      </c>
      <c r="P9" s="578" t="str">
        <f>IF('Shoulder-Right'!T13="","",'Shoulder-Right'!T13)</f>
        <v/>
      </c>
      <c r="Q9" s="578" t="str">
        <f t="shared" si="1"/>
        <v/>
      </c>
      <c r="R9" s="193">
        <f>IF(Q9="",0,VLOOKUP(Q9,$A$3:$N$183,8))</f>
        <v>0</v>
      </c>
      <c r="T9" s="147" t="s">
        <v>1565</v>
      </c>
      <c r="U9" s="578" t="str">
        <f>IF('Shoulder-Right'!V13="","",'Shoulder-Right'!V13)</f>
        <v/>
      </c>
      <c r="V9" s="578" t="str">
        <f>IF(U9="","",ROUND(U9,0))</f>
        <v/>
      </c>
      <c r="W9" s="193">
        <f>IF(V9="",0,VLOOKUP(V9,$A$3:$N$183,8))</f>
        <v>0</v>
      </c>
      <c r="Y9" s="147" t="s">
        <v>681</v>
      </c>
      <c r="Z9" s="578" t="str">
        <f>IF('Shoulder-Left'!T13="","",'Shoulder-Left'!T13)</f>
        <v/>
      </c>
      <c r="AA9" s="578" t="str">
        <f t="shared" si="0"/>
        <v/>
      </c>
      <c r="AB9" s="193">
        <f>IF(AA9="",0,VLOOKUP(AA9,$A$3:$N$183,8))</f>
        <v>0</v>
      </c>
      <c r="AC9" s="62"/>
      <c r="AD9" s="147" t="s">
        <v>1565</v>
      </c>
      <c r="AE9" s="578" t="str">
        <f>IF('Shoulder-Left'!V13="","",'Shoulder-Left'!V13)</f>
        <v/>
      </c>
      <c r="AF9" s="578" t="str">
        <f>IF(AE9="","",ROUND(AE9,0))</f>
        <v/>
      </c>
      <c r="AG9" s="193">
        <f>IF(AF9="",0,VLOOKUP(AF9,$A$3:$N$183,8))</f>
        <v>0</v>
      </c>
    </row>
    <row r="10" spans="1:93" ht="15" customHeight="1" x14ac:dyDescent="0.2">
      <c r="A10" s="50">
        <v>7</v>
      </c>
      <c r="B10" s="544">
        <v>0.109</v>
      </c>
      <c r="C10" s="544">
        <v>0.129</v>
      </c>
      <c r="D10" s="544">
        <v>1.2999999999999999E-2</v>
      </c>
      <c r="E10" s="544">
        <v>0.15</v>
      </c>
      <c r="F10" s="544">
        <v>6.3E-2</v>
      </c>
      <c r="G10" s="544">
        <v>7.2999999999999995E-2</v>
      </c>
      <c r="H10" s="544">
        <v>0.01</v>
      </c>
      <c r="I10" s="544">
        <v>8.6999999999999994E-2</v>
      </c>
      <c r="J10" s="581">
        <v>0.03</v>
      </c>
      <c r="K10" s="581">
        <v>0.04</v>
      </c>
      <c r="L10" s="581">
        <v>0.01</v>
      </c>
      <c r="M10" s="544">
        <v>4.7E-2</v>
      </c>
      <c r="O10" s="147" t="s">
        <v>683</v>
      </c>
      <c r="P10" s="578" t="str">
        <f>IF('Shoulder-Right'!T14="","",'Shoulder-Right'!T14)</f>
        <v/>
      </c>
      <c r="Q10" s="578" t="str">
        <f t="shared" si="1"/>
        <v/>
      </c>
      <c r="R10" s="193">
        <f>IF(Q10="",0,VLOOKUP(Q10,$A$3:$N$183,9))</f>
        <v>0</v>
      </c>
      <c r="T10" s="147"/>
      <c r="U10" s="147"/>
      <c r="V10" s="147"/>
      <c r="W10" s="147"/>
      <c r="Y10" s="147" t="s">
        <v>683</v>
      </c>
      <c r="Z10" s="578" t="str">
        <f>IF('Shoulder-Left'!T14="","",'Shoulder-Left'!T14)</f>
        <v/>
      </c>
      <c r="AA10" s="578" t="str">
        <f t="shared" si="0"/>
        <v/>
      </c>
      <c r="AB10" s="193">
        <f>IF(AA10="",0,VLOOKUP(AA10,$A$3:$N$183,9))</f>
        <v>0</v>
      </c>
      <c r="AC10" s="62"/>
      <c r="AD10" s="147"/>
      <c r="AE10" s="147"/>
      <c r="AF10" s="147"/>
      <c r="AG10" s="147"/>
    </row>
    <row r="11" spans="1:93" ht="15" customHeight="1" x14ac:dyDescent="0.2">
      <c r="A11" s="50">
        <v>8</v>
      </c>
      <c r="B11" s="544">
        <v>0.106</v>
      </c>
      <c r="C11" s="544">
        <v>0.126</v>
      </c>
      <c r="D11" s="544">
        <v>1.2E-2</v>
      </c>
      <c r="E11" s="544">
        <v>0.15</v>
      </c>
      <c r="F11" s="544">
        <v>6.2E-2</v>
      </c>
      <c r="G11" s="544">
        <v>7.1999999999999995E-2</v>
      </c>
      <c r="H11" s="544">
        <v>0.01</v>
      </c>
      <c r="I11" s="544">
        <v>8.7999999999999995E-2</v>
      </c>
      <c r="J11" s="581">
        <v>0.03</v>
      </c>
      <c r="K11" s="581">
        <v>0.04</v>
      </c>
      <c r="L11" s="581">
        <v>0.01</v>
      </c>
      <c r="M11" s="544">
        <v>4.8000000000000001E-2</v>
      </c>
      <c r="O11" s="147" t="s">
        <v>685</v>
      </c>
      <c r="P11" s="578" t="str">
        <f>IF('Shoulder-Right'!T15="","",'Shoulder-Right'!T15)</f>
        <v/>
      </c>
      <c r="Q11" s="578" t="str">
        <f t="shared" si="1"/>
        <v/>
      </c>
      <c r="R11" s="193">
        <f>IF(Q11="",0,VLOOKUP(Q11,$A$3:$N$183,10))</f>
        <v>0</v>
      </c>
      <c r="T11" s="147" t="s">
        <v>1565</v>
      </c>
      <c r="U11" s="578" t="str">
        <f>IF('Shoulder-Right'!V15="","",'Shoulder-Right'!V15)</f>
        <v/>
      </c>
      <c r="V11" s="578" t="str">
        <f>IF(U11="","",ROUND(U11,0))</f>
        <v/>
      </c>
      <c r="W11" s="193">
        <f>IF(V11="",0,VLOOKUP(V11,$A$3:$N$183,10))</f>
        <v>0</v>
      </c>
      <c r="Y11" s="147" t="s">
        <v>685</v>
      </c>
      <c r="Z11" s="578" t="str">
        <f>IF('Shoulder-Left'!T15="","",'Shoulder-Left'!T15)</f>
        <v/>
      </c>
      <c r="AA11" s="578" t="str">
        <f t="shared" si="0"/>
        <v/>
      </c>
      <c r="AB11" s="193">
        <f>IF(AA11="",0,VLOOKUP(AA11,$A$3:$N$183,10))</f>
        <v>0</v>
      </c>
      <c r="AC11" s="62"/>
      <c r="AD11" s="147" t="s">
        <v>1565</v>
      </c>
      <c r="AE11" s="578" t="str">
        <f>IF('Shoulder-Left'!V15="","",'Shoulder-Left'!V15)</f>
        <v/>
      </c>
      <c r="AF11" s="578" t="str">
        <f>IF(AE11="","",ROUND(AE11,0))</f>
        <v/>
      </c>
      <c r="AG11" s="193">
        <f>IF(AF11="",0,VLOOKUP(AF11,$A$3:$N$183,10))</f>
        <v>0</v>
      </c>
    </row>
    <row r="12" spans="1:93" ht="15" customHeight="1" x14ac:dyDescent="0.2">
      <c r="A12" s="50">
        <v>9</v>
      </c>
      <c r="B12" s="544">
        <v>0.10299999999999999</v>
      </c>
      <c r="C12" s="544">
        <v>0.123</v>
      </c>
      <c r="D12" s="544">
        <v>1.0999999999999999E-2</v>
      </c>
      <c r="E12" s="544">
        <v>0.15</v>
      </c>
      <c r="F12" s="544">
        <v>6.0999999999999999E-2</v>
      </c>
      <c r="G12" s="544">
        <v>7.0999999999999994E-2</v>
      </c>
      <c r="H12" s="544">
        <v>0.01</v>
      </c>
      <c r="I12" s="544">
        <v>8.8999999999999996E-2</v>
      </c>
      <c r="J12" s="581">
        <v>0.03</v>
      </c>
      <c r="K12" s="581">
        <v>0.04</v>
      </c>
      <c r="L12" s="581">
        <v>0.01</v>
      </c>
      <c r="M12" s="544">
        <v>4.9000000000000002E-2</v>
      </c>
      <c r="O12" s="147" t="s">
        <v>1924</v>
      </c>
      <c r="P12" s="578" t="str">
        <f>IF('Shoulder-Right'!T16="","",'Shoulder-Right'!T16)</f>
        <v/>
      </c>
      <c r="Q12" s="578" t="str">
        <f t="shared" si="1"/>
        <v/>
      </c>
      <c r="R12" s="193">
        <f>IF(Q12="",0,VLOOKUP(Q12,$A$3:$N$183,11))</f>
        <v>0</v>
      </c>
      <c r="T12" s="147"/>
      <c r="U12" s="147"/>
      <c r="V12" s="147"/>
      <c r="W12" s="147"/>
      <c r="Y12" s="147" t="s">
        <v>1924</v>
      </c>
      <c r="Z12" s="578" t="str">
        <f>IF('Shoulder-Left'!T16="","",'Shoulder-Left'!T16)</f>
        <v/>
      </c>
      <c r="AA12" s="578" t="str">
        <f t="shared" si="0"/>
        <v/>
      </c>
      <c r="AB12" s="193">
        <f>IF(AA12="",0,VLOOKUP(AA12,$A$3:$N$183,11))</f>
        <v>0</v>
      </c>
      <c r="AC12" s="62"/>
      <c r="AD12" s="147"/>
      <c r="AE12" s="147"/>
      <c r="AF12" s="147"/>
      <c r="AG12" s="147"/>
    </row>
    <row r="13" spans="1:93" ht="15" customHeight="1" x14ac:dyDescent="0.2">
      <c r="A13" s="50">
        <v>10</v>
      </c>
      <c r="B13" s="544">
        <v>0.1</v>
      </c>
      <c r="C13" s="544">
        <v>0.12</v>
      </c>
      <c r="D13" s="544">
        <v>0.01</v>
      </c>
      <c r="E13" s="544">
        <v>0.15</v>
      </c>
      <c r="F13" s="544">
        <v>0.06</v>
      </c>
      <c r="G13" s="544">
        <v>7.0000000000000007E-2</v>
      </c>
      <c r="H13" s="544">
        <v>0.01</v>
      </c>
      <c r="I13" s="544">
        <v>0.09</v>
      </c>
      <c r="J13" s="581">
        <v>0.03</v>
      </c>
      <c r="K13" s="581">
        <v>0.04</v>
      </c>
      <c r="L13" s="581">
        <v>0.01</v>
      </c>
      <c r="M13" s="544">
        <v>0.05</v>
      </c>
      <c r="O13" s="147" t="s">
        <v>579</v>
      </c>
      <c r="P13" s="578" t="str">
        <f>IF('Shoulder-Right'!T17="","",'Shoulder-Right'!T17)</f>
        <v/>
      </c>
      <c r="Q13" s="578" t="str">
        <f t="shared" si="1"/>
        <v/>
      </c>
      <c r="R13" s="193">
        <f>IF(Q13="",0,VLOOKUP(Q13,$A$3:$N$183,12))</f>
        <v>0</v>
      </c>
      <c r="T13" s="147" t="s">
        <v>1565</v>
      </c>
      <c r="U13" s="578" t="str">
        <f>IF('Shoulder-Right'!V17="","",'Shoulder-Right'!V17)</f>
        <v/>
      </c>
      <c r="V13" s="578" t="str">
        <f>IF(U13="","",ROUND(U13,0))</f>
        <v/>
      </c>
      <c r="W13" s="193">
        <f>IF(V13="",0,VLOOKUP(V13,$A$3:$N$183,12))</f>
        <v>0</v>
      </c>
      <c r="Y13" s="147" t="s">
        <v>579</v>
      </c>
      <c r="Z13" s="578" t="str">
        <f>IF('Shoulder-Left'!T17="","",'Shoulder-Left'!T17)</f>
        <v/>
      </c>
      <c r="AA13" s="578" t="str">
        <f t="shared" si="0"/>
        <v/>
      </c>
      <c r="AB13" s="193">
        <f>IF(AA13="",0,VLOOKUP(AA13,$A$3:$N$183,12))</f>
        <v>0</v>
      </c>
      <c r="AC13" s="62"/>
      <c r="AD13" s="147" t="s">
        <v>1565</v>
      </c>
      <c r="AE13" s="578" t="str">
        <f>IF('Shoulder-Left'!V17="","",'Shoulder-Left'!V17)</f>
        <v/>
      </c>
      <c r="AF13" s="578" t="str">
        <f>IF(AE13="","",ROUND(AE13,0))</f>
        <v/>
      </c>
      <c r="AG13" s="193">
        <f>IF(AF13="",0,VLOOKUP(AF13,$A$3:$N$183,12))</f>
        <v>0</v>
      </c>
    </row>
    <row r="14" spans="1:93" ht="15" customHeight="1" x14ac:dyDescent="0.2">
      <c r="A14" s="50">
        <v>11</v>
      </c>
      <c r="B14" s="544">
        <v>9.7000000000000003E-2</v>
      </c>
      <c r="C14" s="544">
        <v>0.11700000000000001</v>
      </c>
      <c r="D14" s="544">
        <v>0.01</v>
      </c>
      <c r="E14" s="544">
        <v>0.151</v>
      </c>
      <c r="F14" s="544">
        <v>5.8000000000000003E-2</v>
      </c>
      <c r="G14" s="544">
        <v>6.8000000000000005E-2</v>
      </c>
      <c r="H14" s="544">
        <v>0.01</v>
      </c>
      <c r="I14" s="544">
        <v>9.0999999999999998E-2</v>
      </c>
      <c r="J14" s="581">
        <v>0.03</v>
      </c>
      <c r="K14" s="581">
        <v>0.04</v>
      </c>
      <c r="L14" s="581">
        <v>0.01</v>
      </c>
      <c r="M14" s="544">
        <v>0.05</v>
      </c>
      <c r="O14" s="147" t="s">
        <v>1586</v>
      </c>
      <c r="P14" s="578" t="str">
        <f>IF('Shoulder-Right'!T18="","",'Shoulder-Right'!T18)</f>
        <v/>
      </c>
      <c r="Q14" s="578" t="str">
        <f t="shared" si="1"/>
        <v/>
      </c>
      <c r="R14" s="193">
        <f>IF(Q14="",0,VLOOKUP(Q14,$A$3:$N$183,13))</f>
        <v>0</v>
      </c>
      <c r="T14" s="147"/>
      <c r="U14" s="147"/>
      <c r="V14" s="147"/>
      <c r="W14" s="147"/>
      <c r="Y14" s="147" t="s">
        <v>1586</v>
      </c>
      <c r="Z14" s="578" t="str">
        <f>IF('Shoulder-Left'!T18="","",'Shoulder-Left'!T18)</f>
        <v/>
      </c>
      <c r="AA14" s="578" t="str">
        <f t="shared" si="0"/>
        <v/>
      </c>
      <c r="AB14" s="193">
        <f>IF(AA14="",0,VLOOKUP(AA14,$A$3:$N$183,13))</f>
        <v>0</v>
      </c>
      <c r="AC14" s="62"/>
      <c r="AD14" s="147"/>
      <c r="AE14" s="147"/>
      <c r="AF14" s="147"/>
      <c r="AG14" s="147"/>
    </row>
    <row r="15" spans="1:93" ht="15" customHeight="1" x14ac:dyDescent="0.2">
      <c r="A15" s="50">
        <v>12</v>
      </c>
      <c r="B15" s="544">
        <v>9.4E-2</v>
      </c>
      <c r="C15" s="544">
        <v>0.114</v>
      </c>
      <c r="D15" s="544">
        <v>0.01</v>
      </c>
      <c r="E15" s="544">
        <v>0.152</v>
      </c>
      <c r="F15" s="604">
        <v>5.6000000000000001E-2</v>
      </c>
      <c r="G15" s="544">
        <v>6.6000000000000003E-2</v>
      </c>
      <c r="H15" s="544">
        <v>0.01</v>
      </c>
      <c r="I15" s="544">
        <v>9.1999999999999998E-2</v>
      </c>
      <c r="J15" s="581">
        <v>0.03</v>
      </c>
      <c r="K15" s="581">
        <v>0.04</v>
      </c>
      <c r="L15" s="581">
        <v>0.01</v>
      </c>
      <c r="M15" s="544">
        <v>0.05</v>
      </c>
    </row>
    <row r="16" spans="1:93" ht="15" customHeight="1" x14ac:dyDescent="0.2">
      <c r="A16" s="50">
        <v>13</v>
      </c>
      <c r="B16" s="544">
        <v>9.0999999999999998E-2</v>
      </c>
      <c r="C16" s="544">
        <v>0.111</v>
      </c>
      <c r="D16" s="544">
        <v>0.01</v>
      </c>
      <c r="E16" s="544">
        <v>0.153</v>
      </c>
      <c r="F16" s="544">
        <v>5.3999999999999999E-2</v>
      </c>
      <c r="G16" s="544">
        <v>6.4000000000000001E-2</v>
      </c>
      <c r="H16" s="544">
        <v>0.01</v>
      </c>
      <c r="I16" s="544">
        <v>9.2999999999999999E-2</v>
      </c>
      <c r="J16" s="581">
        <v>0.03</v>
      </c>
      <c r="K16" s="581">
        <v>0.04</v>
      </c>
      <c r="L16" s="581">
        <v>0.01</v>
      </c>
      <c r="M16" s="544">
        <v>0.05</v>
      </c>
    </row>
    <row r="17" spans="1:23" ht="15" customHeight="1" x14ac:dyDescent="0.2">
      <c r="A17" s="50">
        <v>14</v>
      </c>
      <c r="B17" s="544">
        <v>8.7999999999999995E-2</v>
      </c>
      <c r="C17" s="544">
        <v>0.108</v>
      </c>
      <c r="D17" s="544">
        <v>0.01</v>
      </c>
      <c r="E17" s="544">
        <v>0.154</v>
      </c>
      <c r="F17" s="544">
        <v>5.1999999999999998E-2</v>
      </c>
      <c r="G17" s="544">
        <v>6.2E-2</v>
      </c>
      <c r="H17" s="544">
        <v>0.01</v>
      </c>
      <c r="I17" s="544">
        <v>9.4E-2</v>
      </c>
      <c r="J17" s="581">
        <v>0.03</v>
      </c>
      <c r="K17" s="581">
        <v>0.04</v>
      </c>
      <c r="L17" s="581">
        <v>0.01</v>
      </c>
      <c r="M17" s="544">
        <v>0.05</v>
      </c>
    </row>
    <row r="18" spans="1:23" ht="15" customHeight="1" x14ac:dyDescent="0.2">
      <c r="A18" s="50">
        <v>15</v>
      </c>
      <c r="B18" s="544">
        <v>8.5000000000000006E-2</v>
      </c>
      <c r="C18" s="544">
        <v>0.105</v>
      </c>
      <c r="D18" s="544">
        <v>0.01</v>
      </c>
      <c r="E18" s="544">
        <v>0.155</v>
      </c>
      <c r="F18" s="544">
        <v>0.05</v>
      </c>
      <c r="G18" s="544">
        <v>0.06</v>
      </c>
      <c r="H18" s="544">
        <v>0.01</v>
      </c>
      <c r="I18" s="544">
        <v>9.5000000000000001E-2</v>
      </c>
      <c r="J18" s="581">
        <v>0.03</v>
      </c>
      <c r="K18" s="581">
        <v>0.04</v>
      </c>
      <c r="L18" s="581">
        <v>0.01</v>
      </c>
      <c r="M18" s="544">
        <v>0.05</v>
      </c>
    </row>
    <row r="19" spans="1:23" ht="15" customHeight="1" x14ac:dyDescent="0.2">
      <c r="A19" s="50">
        <v>16</v>
      </c>
      <c r="B19" s="544">
        <v>8.2000000000000003E-2</v>
      </c>
      <c r="C19" s="544">
        <v>0.10199999999999999</v>
      </c>
      <c r="D19" s="544">
        <v>0.01</v>
      </c>
      <c r="E19" s="544">
        <v>0.156</v>
      </c>
      <c r="F19" s="544">
        <v>4.8000000000000001E-2</v>
      </c>
      <c r="G19" s="604">
        <v>5.8000000000000003E-2</v>
      </c>
      <c r="H19" s="544">
        <v>0.01</v>
      </c>
      <c r="I19" s="604">
        <v>9.6000000000000002E-2</v>
      </c>
      <c r="J19" s="581">
        <v>0.03</v>
      </c>
      <c r="K19" s="581">
        <v>0.04</v>
      </c>
      <c r="L19" s="581">
        <v>0.01</v>
      </c>
      <c r="M19" s="544">
        <v>0.05</v>
      </c>
    </row>
    <row r="20" spans="1:23" ht="15" customHeight="1" x14ac:dyDescent="0.2">
      <c r="A20" s="50">
        <v>17</v>
      </c>
      <c r="B20" s="544">
        <v>7.9000000000000001E-2</v>
      </c>
      <c r="C20" s="544">
        <v>9.9000000000000005E-2</v>
      </c>
      <c r="D20" s="544">
        <v>0.01</v>
      </c>
      <c r="E20" s="544">
        <v>0.157</v>
      </c>
      <c r="F20" s="544">
        <v>4.5999999999999999E-2</v>
      </c>
      <c r="G20" s="544">
        <v>5.6000000000000001E-2</v>
      </c>
      <c r="H20" s="544">
        <v>0.01</v>
      </c>
      <c r="I20" s="670">
        <v>9.7000000000000003E-2</v>
      </c>
      <c r="J20" s="581">
        <v>0.03</v>
      </c>
      <c r="K20" s="581">
        <v>0.04</v>
      </c>
      <c r="L20" s="581">
        <v>0.01</v>
      </c>
      <c r="M20" s="544">
        <v>0.05</v>
      </c>
    </row>
    <row r="21" spans="1:23" ht="15.75" customHeight="1" x14ac:dyDescent="0.2">
      <c r="A21" s="50">
        <v>18</v>
      </c>
      <c r="B21" s="544">
        <v>7.5999999999999998E-2</v>
      </c>
      <c r="C21" s="604">
        <v>9.6000000000000002E-2</v>
      </c>
      <c r="D21" s="544">
        <v>0.01</v>
      </c>
      <c r="E21" s="544">
        <v>0.158</v>
      </c>
      <c r="F21" s="544">
        <v>4.3999999999999997E-2</v>
      </c>
      <c r="G21" s="544">
        <v>5.3999999999999999E-2</v>
      </c>
      <c r="H21" s="544">
        <v>0.01</v>
      </c>
      <c r="I21" s="544">
        <v>9.8000000000000004E-2</v>
      </c>
      <c r="J21" s="581">
        <v>0.03</v>
      </c>
      <c r="K21" s="581">
        <v>0.04</v>
      </c>
      <c r="L21" s="581">
        <v>0.01</v>
      </c>
      <c r="M21" s="544">
        <v>0.05</v>
      </c>
    </row>
    <row r="22" spans="1:23" ht="15" customHeight="1" x14ac:dyDescent="0.2">
      <c r="A22" s="50">
        <v>19</v>
      </c>
      <c r="B22" s="544">
        <v>7.2999999999999995E-2</v>
      </c>
      <c r="C22" s="544">
        <v>9.2999999999999999E-2</v>
      </c>
      <c r="D22" s="544">
        <v>0.01</v>
      </c>
      <c r="E22" s="544">
        <v>0.159</v>
      </c>
      <c r="F22" s="544">
        <v>4.2000000000000003E-2</v>
      </c>
      <c r="G22" s="544">
        <v>5.1999999999999998E-2</v>
      </c>
      <c r="H22" s="544">
        <v>0.01</v>
      </c>
      <c r="I22" s="544">
        <v>9.9000000000000005E-2</v>
      </c>
      <c r="J22" s="581">
        <v>0.03</v>
      </c>
      <c r="K22" s="581">
        <v>0.04</v>
      </c>
      <c r="L22" s="581">
        <v>0.01</v>
      </c>
      <c r="M22" s="544">
        <v>0.05</v>
      </c>
    </row>
    <row r="23" spans="1:23" ht="15" customHeight="1" x14ac:dyDescent="0.2">
      <c r="A23" s="50">
        <v>20</v>
      </c>
      <c r="B23" s="544">
        <v>7.0000000000000007E-2</v>
      </c>
      <c r="C23" s="544">
        <v>0.09</v>
      </c>
      <c r="D23" s="544">
        <v>0.01</v>
      </c>
      <c r="E23" s="544">
        <v>0.16</v>
      </c>
      <c r="F23" s="544">
        <v>0.04</v>
      </c>
      <c r="G23" s="544">
        <v>0.05</v>
      </c>
      <c r="H23" s="544">
        <v>0.01</v>
      </c>
      <c r="I23" s="544">
        <v>0.1</v>
      </c>
      <c r="J23" s="581">
        <v>0.03</v>
      </c>
      <c r="K23" s="581">
        <v>0.04</v>
      </c>
      <c r="L23" s="581">
        <v>0.01</v>
      </c>
      <c r="M23" s="544">
        <v>0.05</v>
      </c>
    </row>
    <row r="24" spans="1:23" ht="15" customHeight="1" x14ac:dyDescent="0.2">
      <c r="A24" s="50">
        <v>21</v>
      </c>
      <c r="B24" s="544">
        <v>6.9000000000000006E-2</v>
      </c>
      <c r="C24" s="544">
        <v>0.09</v>
      </c>
      <c r="D24" s="544">
        <v>0.01</v>
      </c>
      <c r="E24" s="544">
        <v>0.16</v>
      </c>
      <c r="F24" s="544">
        <v>0.04</v>
      </c>
      <c r="G24" s="544">
        <v>0.05</v>
      </c>
      <c r="H24" s="544">
        <v>0.01</v>
      </c>
      <c r="I24" s="544">
        <v>0.1</v>
      </c>
      <c r="J24" s="581">
        <v>2.9000000000000001E-2</v>
      </c>
      <c r="K24" s="581">
        <v>0.04</v>
      </c>
      <c r="L24" s="581">
        <v>0.01</v>
      </c>
      <c r="M24" s="544">
        <v>0.05</v>
      </c>
    </row>
    <row r="25" spans="1:23" ht="15" customHeight="1" x14ac:dyDescent="0.2">
      <c r="A25" s="50">
        <v>22</v>
      </c>
      <c r="B25" s="544">
        <v>6.8000000000000005E-2</v>
      </c>
      <c r="C25" s="544">
        <v>0.09</v>
      </c>
      <c r="D25" s="544">
        <v>0.01</v>
      </c>
      <c r="E25" s="544">
        <v>0.16</v>
      </c>
      <c r="F25" s="544">
        <v>0.04</v>
      </c>
      <c r="G25" s="544">
        <v>0.05</v>
      </c>
      <c r="H25" s="544">
        <v>0.01</v>
      </c>
      <c r="I25" s="544">
        <v>0.1</v>
      </c>
      <c r="J25" s="581">
        <v>2.8000000000000001E-2</v>
      </c>
      <c r="K25" s="581">
        <v>0.04</v>
      </c>
      <c r="L25" s="581">
        <v>0.01</v>
      </c>
      <c r="M25" s="544">
        <v>0.05</v>
      </c>
    </row>
    <row r="26" spans="1:23" ht="15" customHeight="1" x14ac:dyDescent="0.2">
      <c r="A26" s="50">
        <v>23</v>
      </c>
      <c r="B26" s="604">
        <v>6.7000000000000004E-2</v>
      </c>
      <c r="C26" s="544">
        <v>0.09</v>
      </c>
      <c r="D26" s="544">
        <v>0.01</v>
      </c>
      <c r="E26" s="544">
        <v>0.16</v>
      </c>
      <c r="F26" s="544">
        <v>0.04</v>
      </c>
      <c r="G26" s="544">
        <v>0.05</v>
      </c>
      <c r="H26" s="544">
        <v>0.01</v>
      </c>
      <c r="I26" s="544">
        <v>0.1</v>
      </c>
      <c r="J26" s="581">
        <v>2.7E-2</v>
      </c>
      <c r="K26" s="581">
        <v>0.04</v>
      </c>
      <c r="L26" s="581">
        <v>0.01</v>
      </c>
      <c r="M26" s="544">
        <v>0.05</v>
      </c>
    </row>
    <row r="27" spans="1:23" ht="15" customHeight="1" x14ac:dyDescent="0.2">
      <c r="A27" s="50">
        <v>24</v>
      </c>
      <c r="B27" s="544">
        <v>6.6000000000000003E-2</v>
      </c>
      <c r="C27" s="544">
        <v>0.09</v>
      </c>
      <c r="D27" s="544">
        <v>0.01</v>
      </c>
      <c r="E27" s="544">
        <v>0.16</v>
      </c>
      <c r="F27" s="544">
        <v>0.04</v>
      </c>
      <c r="G27" s="544">
        <v>0.05</v>
      </c>
      <c r="H27" s="544">
        <v>0.01</v>
      </c>
      <c r="I27" s="544">
        <v>0.1</v>
      </c>
      <c r="J27" s="581">
        <v>2.5999999999999999E-2</v>
      </c>
      <c r="K27" s="581">
        <v>0.04</v>
      </c>
      <c r="L27" s="581">
        <v>0.01</v>
      </c>
      <c r="M27" s="544">
        <v>0.05</v>
      </c>
    </row>
    <row r="28" spans="1:23" ht="15" customHeight="1" x14ac:dyDescent="0.2">
      <c r="A28" s="50">
        <v>25</v>
      </c>
      <c r="B28" s="544">
        <v>6.5000000000000002E-2</v>
      </c>
      <c r="C28" s="544">
        <v>0.09</v>
      </c>
      <c r="D28" s="544">
        <v>0.01</v>
      </c>
      <c r="E28" s="544">
        <v>0.16</v>
      </c>
      <c r="F28" s="544">
        <v>0.04</v>
      </c>
      <c r="G28" s="544">
        <v>0.05</v>
      </c>
      <c r="H28" s="544">
        <v>0.01</v>
      </c>
      <c r="I28" s="544">
        <v>0.1</v>
      </c>
      <c r="J28" s="581">
        <v>2.5000000000000001E-2</v>
      </c>
      <c r="K28" s="581">
        <v>0.04</v>
      </c>
      <c r="L28" s="581">
        <v>0.01</v>
      </c>
      <c r="M28" s="544">
        <v>0.05</v>
      </c>
    </row>
    <row r="29" spans="1:23" ht="15" customHeight="1" x14ac:dyDescent="0.2">
      <c r="A29" s="50">
        <v>26</v>
      </c>
      <c r="B29" s="544">
        <v>6.4000000000000001E-2</v>
      </c>
      <c r="C29" s="544">
        <v>0.09</v>
      </c>
      <c r="D29" s="544">
        <v>0.01</v>
      </c>
      <c r="E29" s="544">
        <v>0.16</v>
      </c>
      <c r="F29" s="544">
        <v>0.04</v>
      </c>
      <c r="G29" s="544">
        <v>0.05</v>
      </c>
      <c r="H29" s="544">
        <v>0.01</v>
      </c>
      <c r="I29" s="544">
        <v>0.1</v>
      </c>
      <c r="J29" s="581">
        <v>2.4E-2</v>
      </c>
      <c r="K29" s="581">
        <v>0.04</v>
      </c>
      <c r="L29" s="581">
        <v>0.01</v>
      </c>
      <c r="M29" s="544">
        <v>0.05</v>
      </c>
      <c r="R29" s="95"/>
      <c r="U29" s="62"/>
      <c r="V29" s="62"/>
      <c r="W29" s="95"/>
    </row>
    <row r="30" spans="1:23" ht="15" customHeight="1" x14ac:dyDescent="0.2">
      <c r="A30" s="50">
        <v>27</v>
      </c>
      <c r="B30" s="544">
        <v>6.3E-2</v>
      </c>
      <c r="C30" s="544">
        <v>0.09</v>
      </c>
      <c r="D30" s="544">
        <v>0.01</v>
      </c>
      <c r="E30" s="544">
        <v>0.16</v>
      </c>
      <c r="F30" s="544">
        <v>0.04</v>
      </c>
      <c r="G30" s="544">
        <v>0.05</v>
      </c>
      <c r="H30" s="544">
        <v>0.01</v>
      </c>
      <c r="I30" s="544">
        <v>0.1</v>
      </c>
      <c r="J30" s="581">
        <v>2.3E-2</v>
      </c>
      <c r="K30" s="581">
        <v>0.04</v>
      </c>
      <c r="L30" s="581">
        <v>0.01</v>
      </c>
      <c r="M30" s="544">
        <v>0.05</v>
      </c>
      <c r="R30" s="95"/>
      <c r="U30" s="62"/>
      <c r="V30" s="62"/>
      <c r="W30" s="95"/>
    </row>
    <row r="31" spans="1:23" ht="15" customHeight="1" x14ac:dyDescent="0.2">
      <c r="A31" s="50">
        <v>28</v>
      </c>
      <c r="B31" s="544">
        <v>6.2E-2</v>
      </c>
      <c r="C31" s="544">
        <v>0.09</v>
      </c>
      <c r="D31" s="544">
        <v>0.01</v>
      </c>
      <c r="E31" s="544">
        <v>0.16</v>
      </c>
      <c r="F31" s="544">
        <v>0.04</v>
      </c>
      <c r="G31" s="544">
        <v>0.05</v>
      </c>
      <c r="H31" s="544">
        <v>0.01</v>
      </c>
      <c r="I31" s="544">
        <v>0.1</v>
      </c>
      <c r="J31" s="581">
        <v>2.1999999999999999E-2</v>
      </c>
      <c r="K31" s="581">
        <v>0.04</v>
      </c>
      <c r="L31" s="581">
        <v>0.01</v>
      </c>
      <c r="M31" s="544">
        <v>0.05</v>
      </c>
      <c r="R31" s="95"/>
    </row>
    <row r="32" spans="1:23" ht="15" customHeight="1" x14ac:dyDescent="0.2">
      <c r="A32" s="50">
        <v>29</v>
      </c>
      <c r="B32" s="544">
        <v>6.0999999999999999E-2</v>
      </c>
      <c r="C32" s="544">
        <v>0.09</v>
      </c>
      <c r="D32" s="544">
        <v>0.01</v>
      </c>
      <c r="E32" s="544">
        <v>0.16</v>
      </c>
      <c r="F32" s="544">
        <v>0.04</v>
      </c>
      <c r="G32" s="544">
        <v>0.05</v>
      </c>
      <c r="H32" s="544">
        <v>0.01</v>
      </c>
      <c r="I32" s="544">
        <v>0.1</v>
      </c>
      <c r="J32" s="581">
        <v>2.1000000000000001E-2</v>
      </c>
      <c r="K32" s="581">
        <v>0.04</v>
      </c>
      <c r="L32" s="581">
        <v>0.01</v>
      </c>
      <c r="M32" s="544">
        <v>0.05</v>
      </c>
    </row>
    <row r="33" spans="1:23" ht="15" customHeight="1" x14ac:dyDescent="0.2">
      <c r="A33" s="50">
        <v>30</v>
      </c>
      <c r="B33" s="544">
        <v>0.06</v>
      </c>
      <c r="C33" s="544">
        <v>0.09</v>
      </c>
      <c r="D33" s="544">
        <v>0.01</v>
      </c>
      <c r="E33" s="544">
        <v>0.16</v>
      </c>
      <c r="F33" s="544">
        <v>0.04</v>
      </c>
      <c r="G33" s="544">
        <v>0.05</v>
      </c>
      <c r="H33" s="544">
        <v>0.01</v>
      </c>
      <c r="I33" s="544">
        <v>0.1</v>
      </c>
      <c r="J33" s="581">
        <v>0.02</v>
      </c>
      <c r="K33" s="581">
        <v>0.04</v>
      </c>
      <c r="L33" s="581">
        <v>0.01</v>
      </c>
      <c r="M33" s="544">
        <v>0.05</v>
      </c>
      <c r="R33" s="95"/>
      <c r="U33" s="62"/>
      <c r="V33" s="62"/>
      <c r="W33" s="95"/>
    </row>
    <row r="34" spans="1:23" ht="15" customHeight="1" x14ac:dyDescent="0.2">
      <c r="A34" s="50">
        <v>31</v>
      </c>
      <c r="B34" s="544">
        <v>0.06</v>
      </c>
      <c r="C34" s="544">
        <v>0.09</v>
      </c>
      <c r="D34" s="544">
        <v>0.01</v>
      </c>
      <c r="E34" s="544">
        <v>0.161</v>
      </c>
      <c r="F34" s="544">
        <v>0.04</v>
      </c>
      <c r="G34" s="544">
        <v>5.0999999999999997E-2</v>
      </c>
      <c r="H34" s="544">
        <v>8.9999999999999993E-3</v>
      </c>
      <c r="I34" s="544">
        <v>0.1</v>
      </c>
      <c r="J34" s="581">
        <v>0.02</v>
      </c>
      <c r="K34" s="581">
        <v>0.04</v>
      </c>
      <c r="L34" s="581">
        <v>0.01</v>
      </c>
      <c r="M34" s="544">
        <v>5.0999999999999997E-2</v>
      </c>
      <c r="R34" s="95"/>
      <c r="U34" s="62"/>
      <c r="V34" s="62"/>
      <c r="W34" s="95"/>
    </row>
    <row r="35" spans="1:23" ht="15" customHeight="1" x14ac:dyDescent="0.2">
      <c r="A35" s="50">
        <v>32</v>
      </c>
      <c r="B35" s="544">
        <v>0.06</v>
      </c>
      <c r="C35" s="544">
        <v>0.09</v>
      </c>
      <c r="D35" s="544">
        <v>0.01</v>
      </c>
      <c r="E35" s="544">
        <v>0.16200000000000001</v>
      </c>
      <c r="F35" s="544">
        <v>0.04</v>
      </c>
      <c r="G35" s="544">
        <v>5.1999999999999998E-2</v>
      </c>
      <c r="H35" s="544">
        <v>8.0000000000000002E-3</v>
      </c>
      <c r="I35" s="544">
        <v>0.1</v>
      </c>
      <c r="J35" s="581">
        <v>0.02</v>
      </c>
      <c r="K35" s="581">
        <v>0.04</v>
      </c>
      <c r="L35" s="581">
        <v>0.01</v>
      </c>
      <c r="M35" s="544">
        <v>5.1999999999999998E-2</v>
      </c>
      <c r="R35" s="95"/>
    </row>
    <row r="36" spans="1:23" ht="15" customHeight="1" x14ac:dyDescent="0.2">
      <c r="A36" s="50">
        <v>33</v>
      </c>
      <c r="B36" s="544">
        <v>0.06</v>
      </c>
      <c r="C36" s="544">
        <v>0.09</v>
      </c>
      <c r="D36" s="544">
        <v>0.01</v>
      </c>
      <c r="E36" s="544">
        <v>0.16300000000000001</v>
      </c>
      <c r="F36" s="544">
        <v>0.04</v>
      </c>
      <c r="G36" s="544">
        <v>5.2999999999999999E-2</v>
      </c>
      <c r="H36" s="544">
        <v>7.0000000000000001E-3</v>
      </c>
      <c r="I36" s="544">
        <v>0.1</v>
      </c>
      <c r="J36" s="581">
        <v>0.02</v>
      </c>
      <c r="K36" s="581">
        <v>0.04</v>
      </c>
      <c r="L36" s="581">
        <v>0.01</v>
      </c>
      <c r="M36" s="544">
        <v>5.2999999999999999E-2</v>
      </c>
    </row>
    <row r="37" spans="1:23" ht="15" customHeight="1" x14ac:dyDescent="0.2">
      <c r="A37" s="50">
        <v>34</v>
      </c>
      <c r="B37" s="544">
        <v>0.06</v>
      </c>
      <c r="C37" s="544">
        <v>0.09</v>
      </c>
      <c r="D37" s="544">
        <v>0.01</v>
      </c>
      <c r="E37" s="544">
        <v>0.16400000000000001</v>
      </c>
      <c r="F37" s="544">
        <v>0.04</v>
      </c>
      <c r="G37" s="544">
        <v>5.3999999999999999E-2</v>
      </c>
      <c r="H37" s="604">
        <v>6.0000000000000001E-3</v>
      </c>
      <c r="I37" s="544">
        <v>0.1</v>
      </c>
      <c r="J37" s="581">
        <v>0.02</v>
      </c>
      <c r="K37" s="581">
        <v>0.04</v>
      </c>
      <c r="L37" s="581">
        <v>0.01</v>
      </c>
      <c r="M37" s="544">
        <v>5.3999999999999999E-2</v>
      </c>
    </row>
    <row r="38" spans="1:23" ht="15" customHeight="1" x14ac:dyDescent="0.2">
      <c r="A38" s="50">
        <v>35</v>
      </c>
      <c r="B38" s="544">
        <v>0.06</v>
      </c>
      <c r="C38" s="544">
        <v>0.09</v>
      </c>
      <c r="D38" s="544">
        <v>0.01</v>
      </c>
      <c r="E38" s="544">
        <v>0.16500000000000001</v>
      </c>
      <c r="F38" s="544">
        <v>0.04</v>
      </c>
      <c r="G38" s="544">
        <v>5.5E-2</v>
      </c>
      <c r="H38" s="544">
        <v>5.0000000000000001E-3</v>
      </c>
      <c r="I38" s="544">
        <v>0.1</v>
      </c>
      <c r="J38" s="581">
        <v>0.02</v>
      </c>
      <c r="K38" s="581">
        <v>0.04</v>
      </c>
      <c r="L38" s="581">
        <v>0.01</v>
      </c>
      <c r="M38" s="544">
        <v>5.5E-2</v>
      </c>
      <c r="R38" s="95"/>
      <c r="U38" s="62"/>
      <c r="V38" s="62"/>
      <c r="W38" s="95"/>
    </row>
    <row r="39" spans="1:23" ht="15" customHeight="1" x14ac:dyDescent="0.2">
      <c r="A39" s="50">
        <v>36</v>
      </c>
      <c r="B39" s="544">
        <v>0.06</v>
      </c>
      <c r="C39" s="544">
        <v>0.09</v>
      </c>
      <c r="D39" s="544">
        <v>0.01</v>
      </c>
      <c r="E39" s="544">
        <v>0.16600000000000001</v>
      </c>
      <c r="F39" s="544">
        <v>0.04</v>
      </c>
      <c r="G39" s="544">
        <v>5.6000000000000001E-2</v>
      </c>
      <c r="H39" s="544">
        <v>4.0000000000000001E-3</v>
      </c>
      <c r="I39" s="544">
        <v>0.1</v>
      </c>
      <c r="J39" s="581">
        <v>0.02</v>
      </c>
      <c r="K39" s="581">
        <v>0.04</v>
      </c>
      <c r="L39" s="581">
        <v>0.01</v>
      </c>
      <c r="M39" s="544">
        <v>5.6000000000000001E-2</v>
      </c>
      <c r="R39" s="95"/>
      <c r="U39" s="62"/>
      <c r="V39" s="62"/>
      <c r="W39" s="95"/>
    </row>
    <row r="40" spans="1:23" ht="15" customHeight="1" x14ac:dyDescent="0.2">
      <c r="A40" s="50">
        <v>37</v>
      </c>
      <c r="B40" s="544">
        <v>0.06</v>
      </c>
      <c r="C40" s="544">
        <v>0.09</v>
      </c>
      <c r="D40" s="544">
        <v>0.01</v>
      </c>
      <c r="E40" s="544">
        <v>0.16700000000000001</v>
      </c>
      <c r="F40" s="544">
        <v>0.04</v>
      </c>
      <c r="G40" s="544">
        <v>5.7000000000000002E-2</v>
      </c>
      <c r="H40" s="544">
        <v>3.0000000000000001E-3</v>
      </c>
      <c r="I40" s="544">
        <v>0.1</v>
      </c>
      <c r="J40" s="581">
        <v>0.02</v>
      </c>
      <c r="K40" s="581">
        <v>0.04</v>
      </c>
      <c r="L40" s="581">
        <v>0.01</v>
      </c>
      <c r="M40" s="544">
        <v>5.7000000000000002E-2</v>
      </c>
      <c r="R40" s="95"/>
    </row>
    <row r="41" spans="1:23" ht="15" customHeight="1" x14ac:dyDescent="0.2">
      <c r="A41" s="50">
        <v>38</v>
      </c>
      <c r="B41" s="544">
        <v>0.06</v>
      </c>
      <c r="C41" s="544">
        <v>0.09</v>
      </c>
      <c r="D41" s="544">
        <v>0.01</v>
      </c>
      <c r="E41" s="604">
        <v>0.16800000000000001</v>
      </c>
      <c r="F41" s="544">
        <v>0.04</v>
      </c>
      <c r="G41" s="544">
        <v>5.8000000000000003E-2</v>
      </c>
      <c r="H41" s="544">
        <v>2E-3</v>
      </c>
      <c r="I41" s="544">
        <v>0.1</v>
      </c>
      <c r="J41" s="581">
        <v>0.02</v>
      </c>
      <c r="K41" s="581">
        <v>0.04</v>
      </c>
      <c r="L41" s="581">
        <v>0.01</v>
      </c>
      <c r="M41" s="604">
        <v>5.8000000000000003E-2</v>
      </c>
    </row>
    <row r="42" spans="1:23" ht="15" customHeight="1" x14ac:dyDescent="0.2">
      <c r="A42" s="50">
        <v>39</v>
      </c>
      <c r="B42" s="544">
        <v>0.06</v>
      </c>
      <c r="C42" s="544">
        <v>0.09</v>
      </c>
      <c r="D42" s="544">
        <v>0.01</v>
      </c>
      <c r="E42" s="544">
        <v>0.16900000000000001</v>
      </c>
      <c r="F42" s="544">
        <v>0.04</v>
      </c>
      <c r="G42" s="544">
        <v>5.8999999999999997E-2</v>
      </c>
      <c r="H42" s="544">
        <v>1E-3</v>
      </c>
      <c r="I42" s="544">
        <v>0.1</v>
      </c>
      <c r="J42" s="581">
        <v>0.02</v>
      </c>
      <c r="K42" s="581">
        <v>0.04</v>
      </c>
      <c r="L42" s="581">
        <v>0.01</v>
      </c>
      <c r="M42" s="544">
        <v>5.8999999999999997E-2</v>
      </c>
      <c r="R42" s="95"/>
      <c r="U42" s="62"/>
      <c r="V42" s="62"/>
      <c r="W42" s="95"/>
    </row>
    <row r="43" spans="1:23" ht="15" customHeight="1" x14ac:dyDescent="0.2">
      <c r="A43" s="50">
        <v>40</v>
      </c>
      <c r="B43" s="544">
        <v>0.06</v>
      </c>
      <c r="C43" s="544">
        <v>0.09</v>
      </c>
      <c r="D43" s="544">
        <v>0.01</v>
      </c>
      <c r="E43" s="544">
        <v>0.17</v>
      </c>
      <c r="F43" s="544">
        <v>0.04</v>
      </c>
      <c r="G43" s="544">
        <v>0.06</v>
      </c>
      <c r="H43" s="544">
        <v>0</v>
      </c>
      <c r="I43" s="544">
        <v>0.1</v>
      </c>
      <c r="J43" s="581">
        <v>0.02</v>
      </c>
      <c r="K43" s="581">
        <v>0.04</v>
      </c>
      <c r="L43" s="581">
        <v>0.01</v>
      </c>
      <c r="M43" s="544">
        <v>0.06</v>
      </c>
      <c r="R43" s="95"/>
      <c r="U43" s="62"/>
      <c r="V43" s="62"/>
      <c r="W43" s="95"/>
    </row>
    <row r="44" spans="1:23" ht="15" customHeight="1" x14ac:dyDescent="0.2">
      <c r="A44" s="50">
        <v>41</v>
      </c>
      <c r="B44" s="544">
        <v>5.8999999999999997E-2</v>
      </c>
      <c r="C44" s="544">
        <v>9.0999999999999998E-2</v>
      </c>
      <c r="D44" s="544">
        <v>8.9999999999999993E-3</v>
      </c>
      <c r="E44" s="544">
        <v>0.17100000000000001</v>
      </c>
      <c r="F44" s="544">
        <v>0.04</v>
      </c>
      <c r="G44" s="544">
        <v>0.06</v>
      </c>
      <c r="H44" s="544">
        <v>0</v>
      </c>
      <c r="I44" s="544">
        <v>0.10100000000000001</v>
      </c>
      <c r="J44" s="581">
        <v>0.02</v>
      </c>
      <c r="K44" s="581">
        <v>0.04</v>
      </c>
      <c r="L44" s="581">
        <v>0.01</v>
      </c>
      <c r="M44" s="544">
        <v>0.06</v>
      </c>
      <c r="R44" s="95"/>
    </row>
    <row r="45" spans="1:23" ht="15" customHeight="1" x14ac:dyDescent="0.2">
      <c r="A45" s="50">
        <v>42</v>
      </c>
      <c r="B45" s="544">
        <v>5.8000000000000003E-2</v>
      </c>
      <c r="C45" s="544">
        <v>9.1999999999999998E-2</v>
      </c>
      <c r="D45" s="544">
        <v>8.0000000000000002E-3</v>
      </c>
      <c r="E45" s="544">
        <v>0.17199999999999999</v>
      </c>
      <c r="F45" s="544">
        <v>0.04</v>
      </c>
      <c r="G45" s="544">
        <v>0.06</v>
      </c>
      <c r="H45" s="544">
        <v>0</v>
      </c>
      <c r="I45" s="544">
        <v>0.10199999999999999</v>
      </c>
      <c r="J45" s="581">
        <v>0.02</v>
      </c>
      <c r="K45" s="581">
        <v>0.04</v>
      </c>
      <c r="L45" s="581">
        <v>0.01</v>
      </c>
      <c r="M45" s="544">
        <v>0.06</v>
      </c>
    </row>
    <row r="46" spans="1:23" ht="15" customHeight="1" x14ac:dyDescent="0.2">
      <c r="A46" s="50">
        <v>43</v>
      </c>
      <c r="B46" s="544">
        <v>5.7000000000000002E-2</v>
      </c>
      <c r="C46" s="544">
        <v>9.2999999999999999E-2</v>
      </c>
      <c r="D46" s="544">
        <v>7.0000000000000001E-3</v>
      </c>
      <c r="E46" s="544">
        <v>0.17299999999999999</v>
      </c>
      <c r="F46" s="544">
        <v>0.04</v>
      </c>
      <c r="G46" s="544">
        <v>0.06</v>
      </c>
      <c r="H46" s="544">
        <v>0</v>
      </c>
      <c r="I46" s="544">
        <v>0.10299999999999999</v>
      </c>
      <c r="J46" s="581">
        <v>0.02</v>
      </c>
      <c r="K46" s="581">
        <v>0.04</v>
      </c>
      <c r="L46" s="581">
        <v>0.01</v>
      </c>
      <c r="M46" s="544">
        <v>0.06</v>
      </c>
      <c r="R46" s="95"/>
      <c r="U46" s="62"/>
      <c r="V46" s="62"/>
      <c r="W46" s="95"/>
    </row>
    <row r="47" spans="1:23" ht="15" customHeight="1" x14ac:dyDescent="0.2">
      <c r="A47" s="50">
        <v>44</v>
      </c>
      <c r="B47" s="544">
        <v>5.6000000000000001E-2</v>
      </c>
      <c r="C47" s="544">
        <v>9.4E-2</v>
      </c>
      <c r="D47" s="544">
        <v>6.0000000000000001E-3</v>
      </c>
      <c r="E47" s="544">
        <v>0.17399999999999999</v>
      </c>
      <c r="F47" s="544">
        <v>0.04</v>
      </c>
      <c r="G47" s="544">
        <v>0.06</v>
      </c>
      <c r="H47" s="544">
        <v>0</v>
      </c>
      <c r="I47" s="544">
        <v>0.104</v>
      </c>
      <c r="J47" s="581">
        <v>0.02</v>
      </c>
      <c r="K47" s="581">
        <v>0.04</v>
      </c>
      <c r="L47" s="581">
        <v>0.01</v>
      </c>
      <c r="M47" s="544">
        <v>0.06</v>
      </c>
      <c r="R47" s="95"/>
      <c r="U47" s="62"/>
      <c r="V47" s="62"/>
      <c r="W47" s="95"/>
    </row>
    <row r="48" spans="1:23" ht="15" customHeight="1" x14ac:dyDescent="0.2">
      <c r="A48" s="50">
        <v>45</v>
      </c>
      <c r="B48" s="544">
        <v>5.5E-2</v>
      </c>
      <c r="C48" s="544">
        <v>9.5000000000000001E-2</v>
      </c>
      <c r="D48" s="544">
        <v>5.0000000000000001E-3</v>
      </c>
      <c r="E48" s="544">
        <v>0.17499999999999999</v>
      </c>
      <c r="F48" s="544">
        <v>0.04</v>
      </c>
      <c r="G48" s="544">
        <v>0.06</v>
      </c>
      <c r="H48" s="544">
        <v>0</v>
      </c>
      <c r="I48" s="544">
        <v>0.105</v>
      </c>
      <c r="J48" s="581">
        <v>0.02</v>
      </c>
      <c r="K48" s="581">
        <v>0.04</v>
      </c>
      <c r="L48" s="581">
        <v>0.01</v>
      </c>
      <c r="M48" s="544">
        <v>0.06</v>
      </c>
      <c r="R48" s="95"/>
    </row>
    <row r="49" spans="1:23" ht="15" customHeight="1" x14ac:dyDescent="0.2">
      <c r="A49" s="50">
        <v>46</v>
      </c>
      <c r="B49" s="544">
        <v>5.3999999999999999E-2</v>
      </c>
      <c r="C49" s="544">
        <v>9.6000000000000002E-2</v>
      </c>
      <c r="D49" s="544">
        <v>4.0000000000000001E-3</v>
      </c>
      <c r="E49" s="544">
        <v>0.17599999999999999</v>
      </c>
      <c r="F49" s="544">
        <v>0.04</v>
      </c>
      <c r="G49" s="544">
        <v>0.06</v>
      </c>
      <c r="H49" s="544">
        <v>0</v>
      </c>
      <c r="I49" s="544">
        <v>0.106</v>
      </c>
      <c r="J49" s="581">
        <v>0.02</v>
      </c>
      <c r="K49" s="581">
        <v>0.04</v>
      </c>
      <c r="L49" s="581">
        <v>0.01</v>
      </c>
      <c r="M49" s="544">
        <v>0.06</v>
      </c>
    </row>
    <row r="50" spans="1:23" ht="15" customHeight="1" x14ac:dyDescent="0.2">
      <c r="A50" s="50">
        <v>47</v>
      </c>
      <c r="B50" s="544">
        <v>5.2999999999999999E-2</v>
      </c>
      <c r="C50" s="544">
        <v>9.7000000000000003E-2</v>
      </c>
      <c r="D50" s="544">
        <v>3.0000000000000001E-3</v>
      </c>
      <c r="E50" s="544">
        <v>0.17699999999999999</v>
      </c>
      <c r="F50" s="544">
        <v>0.04</v>
      </c>
      <c r="G50" s="544">
        <v>0.06</v>
      </c>
      <c r="H50" s="544">
        <v>0</v>
      </c>
      <c r="I50" s="544">
        <v>0.107</v>
      </c>
      <c r="J50" s="581">
        <v>0.02</v>
      </c>
      <c r="K50" s="581">
        <v>0.04</v>
      </c>
      <c r="L50" s="581">
        <v>0.01</v>
      </c>
      <c r="M50" s="544">
        <v>0.06</v>
      </c>
    </row>
    <row r="51" spans="1:23" ht="15" customHeight="1" x14ac:dyDescent="0.2">
      <c r="A51" s="50">
        <v>48</v>
      </c>
      <c r="B51" s="544">
        <v>5.1999999999999998E-2</v>
      </c>
      <c r="C51" s="544">
        <v>9.8000000000000004E-2</v>
      </c>
      <c r="D51" s="544">
        <v>2E-3</v>
      </c>
      <c r="E51" s="544">
        <v>0.17799999999999999</v>
      </c>
      <c r="F51" s="544">
        <v>0.04</v>
      </c>
      <c r="G51" s="544">
        <v>0.06</v>
      </c>
      <c r="H51" s="544">
        <v>0</v>
      </c>
      <c r="I51" s="544">
        <v>0.108</v>
      </c>
      <c r="J51" s="581">
        <v>0.02</v>
      </c>
      <c r="K51" s="581">
        <v>0.04</v>
      </c>
      <c r="L51" s="581">
        <v>0.01</v>
      </c>
      <c r="M51" s="544">
        <v>0.06</v>
      </c>
      <c r="R51" s="95"/>
      <c r="U51" s="62"/>
      <c r="V51" s="62"/>
      <c r="W51" s="95"/>
    </row>
    <row r="52" spans="1:23" ht="15" customHeight="1" x14ac:dyDescent="0.2">
      <c r="A52" s="50">
        <v>49</v>
      </c>
      <c r="B52" s="544">
        <v>5.0999999999999997E-2</v>
      </c>
      <c r="C52" s="544">
        <v>9.9000000000000005E-2</v>
      </c>
      <c r="D52" s="544">
        <v>1E-3</v>
      </c>
      <c r="E52" s="544">
        <v>0.17899999999999999</v>
      </c>
      <c r="F52" s="544">
        <v>0.04</v>
      </c>
      <c r="G52" s="544">
        <v>0.06</v>
      </c>
      <c r="H52" s="544">
        <v>0</v>
      </c>
      <c r="I52" s="544">
        <v>0.109</v>
      </c>
      <c r="J52" s="581">
        <v>0.02</v>
      </c>
      <c r="K52" s="581">
        <v>0.04</v>
      </c>
      <c r="L52" s="581">
        <v>0.01</v>
      </c>
      <c r="M52" s="544">
        <v>0.06</v>
      </c>
      <c r="R52" s="95"/>
      <c r="U52" s="62"/>
      <c r="V52" s="62"/>
      <c r="W52" s="95"/>
    </row>
    <row r="53" spans="1:23" ht="15" customHeight="1" x14ac:dyDescent="0.2">
      <c r="A53" s="50">
        <v>50</v>
      </c>
      <c r="B53" s="544">
        <v>0.05</v>
      </c>
      <c r="C53" s="544">
        <v>0.1</v>
      </c>
      <c r="D53" s="544">
        <v>0</v>
      </c>
      <c r="E53" s="544">
        <v>0.18</v>
      </c>
      <c r="F53" s="544">
        <v>0.04</v>
      </c>
      <c r="G53" s="544">
        <v>0.06</v>
      </c>
      <c r="H53" s="544">
        <v>0</v>
      </c>
      <c r="I53" s="544">
        <v>0.11</v>
      </c>
      <c r="J53" s="581">
        <v>0.02</v>
      </c>
      <c r="K53" s="581">
        <v>0.04</v>
      </c>
      <c r="L53" s="581">
        <v>0.01</v>
      </c>
      <c r="M53" s="544">
        <v>0.06</v>
      </c>
      <c r="R53" s="95"/>
    </row>
    <row r="54" spans="1:23" ht="15" customHeight="1" x14ac:dyDescent="0.2">
      <c r="A54" s="50">
        <v>51</v>
      </c>
      <c r="B54" s="544">
        <v>0.05</v>
      </c>
      <c r="C54" s="544">
        <v>0.10199999999999999</v>
      </c>
      <c r="D54" s="681"/>
      <c r="E54" s="50"/>
      <c r="F54" s="544">
        <v>0.04</v>
      </c>
      <c r="G54" s="544">
        <v>6.0999999999999999E-2</v>
      </c>
      <c r="H54" s="681"/>
      <c r="I54" s="50"/>
      <c r="J54" s="581">
        <v>1.9E-2</v>
      </c>
      <c r="K54" s="581">
        <v>0.04</v>
      </c>
      <c r="L54" s="581">
        <v>8.9999999999999993E-3</v>
      </c>
      <c r="M54" s="544">
        <v>0.06</v>
      </c>
    </row>
    <row r="55" spans="1:23" ht="15" customHeight="1" x14ac:dyDescent="0.2">
      <c r="A55" s="50">
        <v>52</v>
      </c>
      <c r="B55" s="544">
        <v>0.05</v>
      </c>
      <c r="C55" s="544">
        <v>0.104</v>
      </c>
      <c r="D55" s="681"/>
      <c r="E55" s="50"/>
      <c r="F55" s="544">
        <v>0.04</v>
      </c>
      <c r="G55" s="544">
        <v>6.2E-2</v>
      </c>
      <c r="H55" s="681"/>
      <c r="I55" s="50"/>
      <c r="J55" s="581">
        <v>1.7999999999999999E-2</v>
      </c>
      <c r="K55" s="581">
        <v>0.04</v>
      </c>
      <c r="L55" s="581">
        <v>8.0000000000000002E-3</v>
      </c>
      <c r="M55" s="544">
        <v>0.06</v>
      </c>
      <c r="R55" s="95"/>
      <c r="U55" s="62"/>
      <c r="V55" s="62"/>
      <c r="W55" s="95"/>
    </row>
    <row r="56" spans="1:23" ht="15" customHeight="1" x14ac:dyDescent="0.2">
      <c r="A56" s="50">
        <v>53</v>
      </c>
      <c r="B56" s="544">
        <v>0.05</v>
      </c>
      <c r="C56" s="544">
        <v>0.106</v>
      </c>
      <c r="D56" s="681"/>
      <c r="E56" s="50"/>
      <c r="F56" s="544">
        <v>0.04</v>
      </c>
      <c r="G56" s="544">
        <v>6.3E-2</v>
      </c>
      <c r="H56" s="681"/>
      <c r="I56" s="50"/>
      <c r="J56" s="581">
        <v>1.7000000000000001E-2</v>
      </c>
      <c r="K56" s="581">
        <v>0.04</v>
      </c>
      <c r="L56" s="581">
        <v>7.0000000000000001E-3</v>
      </c>
      <c r="M56" s="544">
        <v>0.06</v>
      </c>
      <c r="R56" s="95"/>
      <c r="U56" s="62"/>
      <c r="V56" s="62"/>
      <c r="W56" s="95"/>
    </row>
    <row r="57" spans="1:23" ht="15" customHeight="1" x14ac:dyDescent="0.2">
      <c r="A57" s="50">
        <v>54</v>
      </c>
      <c r="B57" s="544">
        <v>0.05</v>
      </c>
      <c r="C57" s="544">
        <v>0.108</v>
      </c>
      <c r="D57" s="681"/>
      <c r="E57" s="50"/>
      <c r="F57" s="544">
        <v>0.04</v>
      </c>
      <c r="G57" s="544">
        <v>6.4000000000000001E-2</v>
      </c>
      <c r="H57" s="681"/>
      <c r="I57" s="50"/>
      <c r="J57" s="581">
        <v>1.6E-2</v>
      </c>
      <c r="K57" s="581">
        <v>0.04</v>
      </c>
      <c r="L57" s="581">
        <v>6.0000000000000001E-3</v>
      </c>
      <c r="M57" s="544">
        <v>0.06</v>
      </c>
      <c r="R57" s="95"/>
    </row>
    <row r="58" spans="1:23" ht="15" customHeight="1" x14ac:dyDescent="0.2">
      <c r="A58" s="50">
        <v>55</v>
      </c>
      <c r="B58" s="544">
        <v>0.05</v>
      </c>
      <c r="C58" s="544">
        <v>0.11</v>
      </c>
      <c r="D58" s="681"/>
      <c r="E58" s="50"/>
      <c r="F58" s="544">
        <v>0.04</v>
      </c>
      <c r="G58" s="544">
        <v>6.5000000000000002E-2</v>
      </c>
      <c r="H58" s="681"/>
      <c r="I58" s="50"/>
      <c r="J58" s="581">
        <v>1.4999999999999999E-2</v>
      </c>
      <c r="K58" s="581">
        <v>0.04</v>
      </c>
      <c r="L58" s="581">
        <v>5.0000000000000001E-3</v>
      </c>
      <c r="M58" s="544">
        <v>0.06</v>
      </c>
    </row>
    <row r="59" spans="1:23" ht="15" customHeight="1" x14ac:dyDescent="0.2">
      <c r="A59" s="50">
        <v>56</v>
      </c>
      <c r="B59" s="544">
        <v>0.05</v>
      </c>
      <c r="C59" s="544">
        <v>0.112</v>
      </c>
      <c r="D59" s="681"/>
      <c r="E59" s="50"/>
      <c r="F59" s="544">
        <v>0.04</v>
      </c>
      <c r="G59" s="544">
        <v>6.6000000000000003E-2</v>
      </c>
      <c r="H59" s="681"/>
      <c r="I59" s="50"/>
      <c r="J59" s="581">
        <v>1.4E-2</v>
      </c>
      <c r="K59" s="581">
        <v>0.04</v>
      </c>
      <c r="L59" s="581">
        <v>4.0000000000000001E-3</v>
      </c>
      <c r="M59" s="544">
        <v>0.06</v>
      </c>
      <c r="R59" s="95"/>
      <c r="U59" s="62"/>
      <c r="V59" s="62"/>
      <c r="W59" s="95"/>
    </row>
    <row r="60" spans="1:23" ht="15" customHeight="1" x14ac:dyDescent="0.2">
      <c r="A60" s="50">
        <v>57</v>
      </c>
      <c r="B60" s="544">
        <v>0.05</v>
      </c>
      <c r="C60" s="544">
        <v>0.114</v>
      </c>
      <c r="D60" s="681"/>
      <c r="E60" s="50"/>
      <c r="F60" s="544">
        <v>0.04</v>
      </c>
      <c r="G60" s="544">
        <v>6.7000000000000004E-2</v>
      </c>
      <c r="H60" s="681"/>
      <c r="I60" s="50"/>
      <c r="J60" s="581">
        <v>1.2999999999999999E-2</v>
      </c>
      <c r="K60" s="581">
        <v>0.04</v>
      </c>
      <c r="L60" s="581">
        <v>3.0000000000000001E-3</v>
      </c>
      <c r="M60" s="544">
        <v>0.06</v>
      </c>
      <c r="R60" s="95"/>
      <c r="U60" s="62"/>
      <c r="V60" s="62"/>
      <c r="W60" s="95"/>
    </row>
    <row r="61" spans="1:23" ht="15" customHeight="1" x14ac:dyDescent="0.2">
      <c r="A61" s="50">
        <v>58</v>
      </c>
      <c r="B61" s="544">
        <v>0.05</v>
      </c>
      <c r="C61" s="544">
        <v>0.11600000000000001</v>
      </c>
      <c r="D61" s="681"/>
      <c r="E61" s="50"/>
      <c r="F61" s="544">
        <v>0.04</v>
      </c>
      <c r="G61" s="544">
        <v>6.8000000000000005E-2</v>
      </c>
      <c r="H61" s="681"/>
      <c r="I61" s="50"/>
      <c r="J61" s="581">
        <v>1.2E-2</v>
      </c>
      <c r="K61" s="581">
        <v>0.04</v>
      </c>
      <c r="L61" s="581">
        <v>2E-3</v>
      </c>
      <c r="M61" s="544">
        <v>0.06</v>
      </c>
      <c r="R61" s="95"/>
    </row>
    <row r="62" spans="1:23" ht="15" customHeight="1" x14ac:dyDescent="0.2">
      <c r="A62" s="50">
        <v>59</v>
      </c>
      <c r="B62" s="544">
        <v>0.05</v>
      </c>
      <c r="C62" s="544">
        <v>0.11799999999999999</v>
      </c>
      <c r="D62" s="681"/>
      <c r="E62" s="50"/>
      <c r="F62" s="544">
        <v>0.04</v>
      </c>
      <c r="G62" s="544">
        <v>6.9000000000000006E-2</v>
      </c>
      <c r="H62" s="681"/>
      <c r="I62" s="50"/>
      <c r="J62" s="581">
        <v>1.0999999999999999E-2</v>
      </c>
      <c r="K62" s="581">
        <v>0.04</v>
      </c>
      <c r="L62" s="581">
        <v>1E-3</v>
      </c>
      <c r="M62" s="544">
        <v>0.06</v>
      </c>
    </row>
    <row r="63" spans="1:23" ht="15" customHeight="1" x14ac:dyDescent="0.2">
      <c r="A63" s="50">
        <v>60</v>
      </c>
      <c r="B63" s="544">
        <v>0.05</v>
      </c>
      <c r="C63" s="544">
        <v>0.12</v>
      </c>
      <c r="D63" s="681"/>
      <c r="E63" s="50"/>
      <c r="F63" s="544">
        <v>0.04</v>
      </c>
      <c r="G63" s="544">
        <v>7.0000000000000007E-2</v>
      </c>
      <c r="H63" s="681"/>
      <c r="I63" s="50"/>
      <c r="J63" s="581">
        <v>0.01</v>
      </c>
      <c r="K63" s="581">
        <v>0.04</v>
      </c>
      <c r="L63" s="581">
        <v>0</v>
      </c>
      <c r="M63" s="544">
        <v>0.06</v>
      </c>
    </row>
    <row r="64" spans="1:23" ht="15" customHeight="1" x14ac:dyDescent="0.2">
      <c r="A64" s="50">
        <v>61</v>
      </c>
      <c r="B64" s="544">
        <v>4.9000000000000002E-2</v>
      </c>
      <c r="C64" s="544">
        <v>0.121</v>
      </c>
      <c r="D64" s="681"/>
      <c r="E64" s="50"/>
      <c r="F64" s="544">
        <v>3.9E-2</v>
      </c>
      <c r="G64" s="544">
        <v>7.0000000000000007E-2</v>
      </c>
      <c r="H64" s="50"/>
      <c r="I64" s="50"/>
      <c r="J64" s="581">
        <v>0.01</v>
      </c>
      <c r="K64" s="581">
        <v>4.1000000000000002E-2</v>
      </c>
      <c r="L64" s="581">
        <v>0</v>
      </c>
      <c r="M64" s="544">
        <v>6.0999999999999999E-2</v>
      </c>
      <c r="R64" s="95"/>
      <c r="U64" s="62"/>
      <c r="V64" s="62"/>
      <c r="W64" s="95"/>
    </row>
    <row r="65" spans="1:23" ht="15" customHeight="1" x14ac:dyDescent="0.2">
      <c r="A65" s="50">
        <v>62</v>
      </c>
      <c r="B65" s="544">
        <v>4.8000000000000001E-2</v>
      </c>
      <c r="C65" s="544">
        <v>0.122</v>
      </c>
      <c r="D65" s="681"/>
      <c r="E65" s="50"/>
      <c r="F65" s="544">
        <v>3.7999999999999999E-2</v>
      </c>
      <c r="G65" s="544">
        <v>7.0000000000000007E-2</v>
      </c>
      <c r="H65" s="50"/>
      <c r="I65" s="50"/>
      <c r="J65" s="581">
        <v>0.01</v>
      </c>
      <c r="K65" s="581">
        <v>4.2000000000000003E-2</v>
      </c>
      <c r="L65" s="581">
        <v>0</v>
      </c>
      <c r="M65" s="544">
        <v>6.2E-2</v>
      </c>
      <c r="R65" s="95"/>
      <c r="U65" s="62"/>
      <c r="V65" s="62"/>
      <c r="W65" s="95"/>
    </row>
    <row r="66" spans="1:23" ht="15" customHeight="1" x14ac:dyDescent="0.2">
      <c r="A66" s="50">
        <v>63</v>
      </c>
      <c r="B66" s="544">
        <v>4.7E-2</v>
      </c>
      <c r="C66" s="544">
        <v>0.123</v>
      </c>
      <c r="D66" s="681"/>
      <c r="E66" s="50"/>
      <c r="F66" s="544">
        <v>3.6999999999999998E-2</v>
      </c>
      <c r="G66" s="544">
        <v>7.0000000000000007E-2</v>
      </c>
      <c r="H66" s="50"/>
      <c r="I66" s="50"/>
      <c r="J66" s="581">
        <v>0.01</v>
      </c>
      <c r="K66" s="581">
        <v>4.2999999999999997E-2</v>
      </c>
      <c r="L66" s="581">
        <v>0</v>
      </c>
      <c r="M66" s="544">
        <v>6.3E-2</v>
      </c>
      <c r="R66" s="95"/>
    </row>
    <row r="67" spans="1:23" ht="15" customHeight="1" x14ac:dyDescent="0.2">
      <c r="A67" s="50">
        <v>64</v>
      </c>
      <c r="B67" s="544">
        <v>4.5999999999999999E-2</v>
      </c>
      <c r="C67" s="544">
        <v>0.124</v>
      </c>
      <c r="D67" s="681"/>
      <c r="E67" s="50"/>
      <c r="F67" s="544">
        <v>3.5999999999999997E-2</v>
      </c>
      <c r="G67" s="544">
        <v>7.0000000000000007E-2</v>
      </c>
      <c r="H67" s="50"/>
      <c r="I67" s="50"/>
      <c r="J67" s="581">
        <v>0.01</v>
      </c>
      <c r="K67" s="581">
        <v>4.3999999999999997E-2</v>
      </c>
      <c r="L67" s="581">
        <v>0</v>
      </c>
      <c r="M67" s="544">
        <v>6.4000000000000001E-2</v>
      </c>
      <c r="R67" s="95"/>
    </row>
    <row r="68" spans="1:23" ht="15" customHeight="1" x14ac:dyDescent="0.2">
      <c r="A68" s="50">
        <v>65</v>
      </c>
      <c r="B68" s="544">
        <v>4.4999999999999998E-2</v>
      </c>
      <c r="C68" s="544">
        <v>0.125</v>
      </c>
      <c r="D68" s="681"/>
      <c r="E68" s="50"/>
      <c r="F68" s="544">
        <v>3.5000000000000003E-2</v>
      </c>
      <c r="G68" s="544">
        <v>7.0000000000000007E-2</v>
      </c>
      <c r="H68" s="50"/>
      <c r="I68" s="50"/>
      <c r="J68" s="581">
        <v>0.01</v>
      </c>
      <c r="K68" s="581">
        <v>4.4999999999999998E-2</v>
      </c>
      <c r="L68" s="581">
        <v>0</v>
      </c>
      <c r="M68" s="544">
        <v>6.5000000000000002E-2</v>
      </c>
    </row>
    <row r="69" spans="1:23" ht="15" customHeight="1" x14ac:dyDescent="0.2">
      <c r="A69" s="50">
        <v>66</v>
      </c>
      <c r="B69" s="544">
        <v>4.3999999999999997E-2</v>
      </c>
      <c r="C69" s="544">
        <v>0.126</v>
      </c>
      <c r="D69" s="681"/>
      <c r="E69" s="50"/>
      <c r="F69" s="544">
        <v>3.4000000000000002E-2</v>
      </c>
      <c r="G69" s="544">
        <v>7.0000000000000007E-2</v>
      </c>
      <c r="H69" s="50"/>
      <c r="I69" s="50"/>
      <c r="J69" s="581">
        <v>0.01</v>
      </c>
      <c r="K69" s="581">
        <v>4.5999999999999999E-2</v>
      </c>
      <c r="L69" s="581">
        <v>0</v>
      </c>
      <c r="M69" s="544">
        <v>6.6000000000000003E-2</v>
      </c>
    </row>
    <row r="70" spans="1:23" ht="15" customHeight="1" x14ac:dyDescent="0.2">
      <c r="A70" s="50">
        <v>67</v>
      </c>
      <c r="B70" s="544">
        <v>4.2999999999999997E-2</v>
      </c>
      <c r="C70" s="544">
        <v>0.127</v>
      </c>
      <c r="D70" s="681"/>
      <c r="E70" s="50"/>
      <c r="F70" s="544">
        <v>3.3000000000000002E-2</v>
      </c>
      <c r="G70" s="544">
        <v>7.0000000000000007E-2</v>
      </c>
      <c r="H70" s="50"/>
      <c r="I70" s="50"/>
      <c r="J70" s="581">
        <v>0.01</v>
      </c>
      <c r="K70" s="581">
        <v>4.7E-2</v>
      </c>
      <c r="L70" s="581">
        <v>0</v>
      </c>
      <c r="M70" s="544">
        <v>6.7000000000000004E-2</v>
      </c>
      <c r="R70" s="95"/>
      <c r="U70" s="62"/>
      <c r="V70" s="62"/>
      <c r="W70" s="95"/>
    </row>
    <row r="71" spans="1:23" ht="15" customHeight="1" x14ac:dyDescent="0.2">
      <c r="A71" s="50">
        <v>68</v>
      </c>
      <c r="B71" s="544">
        <v>4.2000000000000003E-2</v>
      </c>
      <c r="C71" s="544">
        <v>0.128</v>
      </c>
      <c r="D71" s="681"/>
      <c r="E71" s="50"/>
      <c r="F71" s="544">
        <v>3.2000000000000001E-2</v>
      </c>
      <c r="G71" s="544">
        <v>7.0000000000000007E-2</v>
      </c>
      <c r="H71" s="50"/>
      <c r="I71" s="50"/>
      <c r="J71" s="581">
        <v>0.01</v>
      </c>
      <c r="K71" s="581">
        <v>4.8000000000000001E-2</v>
      </c>
      <c r="L71" s="581">
        <v>0</v>
      </c>
      <c r="M71" s="544">
        <v>6.8000000000000005E-2</v>
      </c>
      <c r="R71" s="95"/>
    </row>
    <row r="72" spans="1:23" ht="15" customHeight="1" x14ac:dyDescent="0.2">
      <c r="A72" s="50">
        <v>69</v>
      </c>
      <c r="B72" s="544">
        <v>4.1000000000000002E-2</v>
      </c>
      <c r="C72" s="544">
        <v>0.129</v>
      </c>
      <c r="D72" s="681"/>
      <c r="E72" s="50"/>
      <c r="F72" s="544">
        <v>3.1E-2</v>
      </c>
      <c r="G72" s="544">
        <v>7.0000000000000007E-2</v>
      </c>
      <c r="H72" s="50"/>
      <c r="I72" s="50"/>
      <c r="J72" s="581">
        <v>0.01</v>
      </c>
      <c r="K72" s="581">
        <v>4.9000000000000002E-2</v>
      </c>
      <c r="L72" s="581">
        <v>0</v>
      </c>
      <c r="M72" s="544">
        <v>6.9000000000000006E-2</v>
      </c>
      <c r="R72" s="95"/>
      <c r="U72" s="62"/>
      <c r="V72" s="62"/>
      <c r="W72" s="95"/>
    </row>
    <row r="73" spans="1:23" ht="15" customHeight="1" x14ac:dyDescent="0.2">
      <c r="A73" s="50">
        <v>70</v>
      </c>
      <c r="B73" s="544">
        <v>0.04</v>
      </c>
      <c r="C73" s="544">
        <v>0.13</v>
      </c>
      <c r="D73" s="681"/>
      <c r="E73" s="50"/>
      <c r="F73" s="544">
        <v>0.03</v>
      </c>
      <c r="G73" s="544">
        <v>7.0000000000000007E-2</v>
      </c>
      <c r="H73" s="50"/>
      <c r="I73" s="50"/>
      <c r="J73" s="581">
        <v>0.01</v>
      </c>
      <c r="K73" s="581">
        <v>0.05</v>
      </c>
      <c r="L73" s="581">
        <v>0</v>
      </c>
      <c r="M73" s="544">
        <v>7.0000000000000007E-2</v>
      </c>
      <c r="R73" s="95"/>
    </row>
    <row r="74" spans="1:23" ht="15" customHeight="1" x14ac:dyDescent="0.2">
      <c r="A74" s="50">
        <v>71</v>
      </c>
      <c r="B74" s="544">
        <v>0.04</v>
      </c>
      <c r="C74" s="544">
        <v>0.13200000000000001</v>
      </c>
      <c r="D74" s="681"/>
      <c r="E74" s="50"/>
      <c r="F74" s="544">
        <v>0.03</v>
      </c>
      <c r="G74" s="544">
        <v>7.0999999999999994E-2</v>
      </c>
      <c r="H74" s="681"/>
      <c r="I74" s="50"/>
      <c r="J74" s="581">
        <v>8.9999999999999993E-3</v>
      </c>
      <c r="K74" s="581">
        <v>5.0999999999999997E-2</v>
      </c>
      <c r="L74" s="581">
        <v>0</v>
      </c>
      <c r="M74" s="544">
        <v>7.0000000000000007E-2</v>
      </c>
      <c r="R74" s="95"/>
      <c r="U74" s="62"/>
      <c r="V74" s="62"/>
      <c r="W74" s="95"/>
    </row>
    <row r="75" spans="1:23" ht="15" customHeight="1" x14ac:dyDescent="0.2">
      <c r="A75" s="50">
        <v>72</v>
      </c>
      <c r="B75" s="544">
        <v>0.04</v>
      </c>
      <c r="C75" s="544">
        <v>0.13400000000000001</v>
      </c>
      <c r="D75" s="681"/>
      <c r="E75" s="50"/>
      <c r="F75" s="544">
        <v>0.03</v>
      </c>
      <c r="G75" s="544">
        <v>7.1999999999999995E-2</v>
      </c>
      <c r="H75" s="681"/>
      <c r="I75" s="50"/>
      <c r="J75" s="581">
        <v>8.0000000000000002E-3</v>
      </c>
      <c r="K75" s="581">
        <v>5.1999999999999998E-2</v>
      </c>
      <c r="L75" s="581">
        <v>0</v>
      </c>
      <c r="M75" s="544">
        <v>7.0000000000000007E-2</v>
      </c>
      <c r="R75" s="95"/>
    </row>
    <row r="76" spans="1:23" ht="15" customHeight="1" x14ac:dyDescent="0.2">
      <c r="A76" s="50">
        <v>73</v>
      </c>
      <c r="B76" s="544">
        <v>0.04</v>
      </c>
      <c r="C76" s="544">
        <v>0.13600000000000001</v>
      </c>
      <c r="D76" s="681"/>
      <c r="E76" s="50"/>
      <c r="F76" s="544">
        <v>0.03</v>
      </c>
      <c r="G76" s="544">
        <v>7.2999999999999995E-2</v>
      </c>
      <c r="H76" s="681"/>
      <c r="I76" s="50"/>
      <c r="J76" s="581">
        <v>7.0000000000000001E-3</v>
      </c>
      <c r="K76" s="581">
        <v>5.2999999999999999E-2</v>
      </c>
      <c r="L76" s="581">
        <v>0</v>
      </c>
      <c r="M76" s="544">
        <v>7.0000000000000007E-2</v>
      </c>
      <c r="R76" s="95"/>
      <c r="U76" s="62"/>
      <c r="V76" s="62"/>
      <c r="W76" s="95"/>
    </row>
    <row r="77" spans="1:23" ht="15" customHeight="1" x14ac:dyDescent="0.2">
      <c r="A77" s="50">
        <v>74</v>
      </c>
      <c r="B77" s="544">
        <v>0.04</v>
      </c>
      <c r="C77" s="544">
        <v>0.13800000000000001</v>
      </c>
      <c r="D77" s="681"/>
      <c r="E77" s="50"/>
      <c r="F77" s="544">
        <v>0.03</v>
      </c>
      <c r="G77" s="544">
        <v>7.3999999999999996E-2</v>
      </c>
      <c r="H77" s="681"/>
      <c r="I77" s="50"/>
      <c r="J77" s="581">
        <v>6.0000000000000001E-3</v>
      </c>
      <c r="K77" s="581">
        <v>5.3999999999999999E-2</v>
      </c>
      <c r="L77" s="581">
        <v>0</v>
      </c>
      <c r="M77" s="544">
        <v>7.0000000000000007E-2</v>
      </c>
      <c r="R77" s="95"/>
    </row>
    <row r="78" spans="1:23" ht="15" customHeight="1" x14ac:dyDescent="0.2">
      <c r="A78" s="50">
        <v>75</v>
      </c>
      <c r="B78" s="544">
        <v>0.04</v>
      </c>
      <c r="C78" s="544">
        <v>0.14000000000000001</v>
      </c>
      <c r="D78" s="681"/>
      <c r="E78" s="50"/>
      <c r="F78" s="544">
        <v>0.03</v>
      </c>
      <c r="G78" s="544">
        <v>7.4999999999999997E-2</v>
      </c>
      <c r="H78" s="681"/>
      <c r="I78" s="50"/>
      <c r="J78" s="581">
        <v>5.0000000000000001E-3</v>
      </c>
      <c r="K78" s="581">
        <v>5.5E-2</v>
      </c>
      <c r="L78" s="581">
        <v>0</v>
      </c>
      <c r="M78" s="544">
        <v>7.0000000000000007E-2</v>
      </c>
    </row>
    <row r="79" spans="1:23" ht="15" customHeight="1" x14ac:dyDescent="0.2">
      <c r="A79" s="50">
        <v>76</v>
      </c>
      <c r="B79" s="544">
        <v>0.04</v>
      </c>
      <c r="C79" s="544">
        <v>0.14199999999999999</v>
      </c>
      <c r="D79" s="681"/>
      <c r="E79" s="50"/>
      <c r="F79" s="544">
        <v>0.03</v>
      </c>
      <c r="G79" s="544">
        <v>7.5999999999999998E-2</v>
      </c>
      <c r="H79" s="681"/>
      <c r="I79" s="50"/>
      <c r="J79" s="581">
        <v>4.0000000000000001E-3</v>
      </c>
      <c r="K79" s="581">
        <v>5.6000000000000001E-2</v>
      </c>
      <c r="L79" s="581">
        <v>0</v>
      </c>
      <c r="M79" s="544">
        <v>7.0000000000000007E-2</v>
      </c>
    </row>
    <row r="80" spans="1:23" ht="15" customHeight="1" x14ac:dyDescent="0.2">
      <c r="A80" s="50">
        <v>77</v>
      </c>
      <c r="B80" s="544">
        <v>0.04</v>
      </c>
      <c r="C80" s="544">
        <v>0.14399999999999999</v>
      </c>
      <c r="D80" s="681"/>
      <c r="E80" s="50"/>
      <c r="F80" s="544">
        <v>0.03</v>
      </c>
      <c r="G80" s="544">
        <v>7.6999999999999999E-2</v>
      </c>
      <c r="H80" s="681"/>
      <c r="I80" s="50"/>
      <c r="J80" s="581">
        <v>3.0000000000000001E-3</v>
      </c>
      <c r="K80" s="581">
        <v>5.7000000000000002E-2</v>
      </c>
      <c r="L80" s="581">
        <v>0</v>
      </c>
      <c r="M80" s="544">
        <v>7.0000000000000007E-2</v>
      </c>
      <c r="O80" s="99"/>
      <c r="R80" s="95"/>
      <c r="U80" s="62"/>
      <c r="V80" s="62"/>
      <c r="W80" s="95"/>
    </row>
    <row r="81" spans="1:23" ht="15" customHeight="1" x14ac:dyDescent="0.2">
      <c r="A81" s="50">
        <v>78</v>
      </c>
      <c r="B81" s="544">
        <v>0.04</v>
      </c>
      <c r="C81" s="544">
        <v>0.14599999999999999</v>
      </c>
      <c r="D81" s="681"/>
      <c r="E81" s="50"/>
      <c r="F81" s="544">
        <v>0.03</v>
      </c>
      <c r="G81" s="544">
        <v>7.8E-2</v>
      </c>
      <c r="H81" s="681"/>
      <c r="I81" s="50"/>
      <c r="J81" s="581">
        <v>2E-3</v>
      </c>
      <c r="K81" s="604">
        <v>5.8000000000000003E-2</v>
      </c>
      <c r="L81" s="581">
        <v>0</v>
      </c>
      <c r="M81" s="544">
        <v>7.0000000000000007E-2</v>
      </c>
      <c r="O81" s="99"/>
      <c r="R81" s="95"/>
    </row>
    <row r="82" spans="1:23" ht="15" customHeight="1" x14ac:dyDescent="0.2">
      <c r="A82" s="50">
        <v>79</v>
      </c>
      <c r="B82" s="544">
        <v>0.04</v>
      </c>
      <c r="C82" s="544">
        <v>0.14799999999999999</v>
      </c>
      <c r="D82" s="681"/>
      <c r="E82" s="50"/>
      <c r="F82" s="544">
        <v>0.03</v>
      </c>
      <c r="G82" s="544">
        <v>7.9000000000000001E-2</v>
      </c>
      <c r="H82" s="681"/>
      <c r="I82" s="50"/>
      <c r="J82" s="581">
        <v>1E-3</v>
      </c>
      <c r="K82" s="581">
        <v>5.8999999999999997E-2</v>
      </c>
      <c r="L82" s="581">
        <v>0</v>
      </c>
      <c r="M82" s="544">
        <v>7.0000000000000007E-2</v>
      </c>
      <c r="O82" s="99"/>
      <c r="R82" s="95"/>
      <c r="U82" s="62"/>
      <c r="V82" s="62"/>
      <c r="W82" s="95"/>
    </row>
    <row r="83" spans="1:23" ht="15" customHeight="1" x14ac:dyDescent="0.2">
      <c r="A83" s="50">
        <v>80</v>
      </c>
      <c r="B83" s="544">
        <v>0.04</v>
      </c>
      <c r="C83" s="544">
        <v>0.15</v>
      </c>
      <c r="D83" s="681"/>
      <c r="E83" s="50"/>
      <c r="F83" s="544">
        <v>0.03</v>
      </c>
      <c r="G83" s="544">
        <v>0.08</v>
      </c>
      <c r="H83" s="681"/>
      <c r="I83" s="50"/>
      <c r="J83" s="581">
        <v>0</v>
      </c>
      <c r="K83" s="581">
        <v>0.06</v>
      </c>
      <c r="L83" s="581">
        <v>0</v>
      </c>
      <c r="M83" s="544">
        <v>7.0000000000000007E-2</v>
      </c>
      <c r="O83" s="99"/>
      <c r="R83" s="95"/>
    </row>
    <row r="84" spans="1:23" ht="15" customHeight="1" x14ac:dyDescent="0.2">
      <c r="A84" s="50">
        <v>81</v>
      </c>
      <c r="B84" s="544">
        <v>0.04</v>
      </c>
      <c r="C84" s="544">
        <v>0.151</v>
      </c>
      <c r="D84" s="681"/>
      <c r="E84" s="50"/>
      <c r="F84" s="544">
        <v>2.9000000000000001E-2</v>
      </c>
      <c r="G84" s="544">
        <v>8.1000000000000003E-2</v>
      </c>
      <c r="H84" s="681"/>
      <c r="I84" s="50"/>
      <c r="J84" s="581">
        <v>0</v>
      </c>
      <c r="K84" s="581">
        <v>6.0999999999999999E-2</v>
      </c>
      <c r="L84" s="581">
        <v>0</v>
      </c>
      <c r="M84" s="544">
        <v>7.0000000000000007E-2</v>
      </c>
      <c r="O84" s="99"/>
      <c r="R84" s="95"/>
      <c r="U84" s="62"/>
      <c r="V84" s="62"/>
      <c r="W84" s="95"/>
    </row>
    <row r="85" spans="1:23" ht="15" customHeight="1" x14ac:dyDescent="0.2">
      <c r="A85" s="50">
        <v>82</v>
      </c>
      <c r="B85" s="544">
        <v>0.04</v>
      </c>
      <c r="C85" s="544">
        <v>0.152</v>
      </c>
      <c r="D85" s="681"/>
      <c r="E85" s="50"/>
      <c r="F85" s="544">
        <v>2.8000000000000001E-2</v>
      </c>
      <c r="G85" s="544">
        <v>8.2000000000000003E-2</v>
      </c>
      <c r="H85" s="681"/>
      <c r="I85" s="50"/>
      <c r="J85" s="581">
        <v>0</v>
      </c>
      <c r="K85" s="581">
        <v>6.2E-2</v>
      </c>
      <c r="L85" s="581">
        <v>0</v>
      </c>
      <c r="M85" s="544">
        <v>7.0000000000000007E-2</v>
      </c>
      <c r="O85" s="99"/>
      <c r="R85" s="95"/>
    </row>
    <row r="86" spans="1:23" ht="15" customHeight="1" x14ac:dyDescent="0.2">
      <c r="A86" s="50">
        <v>83</v>
      </c>
      <c r="B86" s="544">
        <v>0.04</v>
      </c>
      <c r="C86" s="544">
        <v>0.153</v>
      </c>
      <c r="D86" s="681"/>
      <c r="E86" s="50"/>
      <c r="F86" s="544">
        <v>2.7E-2</v>
      </c>
      <c r="G86" s="544">
        <v>8.3000000000000004E-2</v>
      </c>
      <c r="H86" s="681"/>
      <c r="I86" s="50"/>
      <c r="J86" s="581">
        <v>0</v>
      </c>
      <c r="K86" s="581">
        <v>6.3E-2</v>
      </c>
      <c r="L86" s="581">
        <v>0</v>
      </c>
      <c r="M86" s="544">
        <v>7.0000000000000007E-2</v>
      </c>
      <c r="O86" s="99"/>
      <c r="R86" s="95"/>
      <c r="U86" s="62"/>
      <c r="V86" s="62"/>
      <c r="W86" s="95"/>
    </row>
    <row r="87" spans="1:23" ht="15" customHeight="1" x14ac:dyDescent="0.2">
      <c r="A87" s="50">
        <v>84</v>
      </c>
      <c r="B87" s="544">
        <v>0.04</v>
      </c>
      <c r="C87" s="544">
        <v>0.154</v>
      </c>
      <c r="D87" s="681"/>
      <c r="E87" s="50"/>
      <c r="F87" s="544">
        <v>2.5999999999999999E-2</v>
      </c>
      <c r="G87" s="544">
        <v>8.4000000000000005E-2</v>
      </c>
      <c r="H87" s="681"/>
      <c r="I87" s="50"/>
      <c r="J87" s="581">
        <v>0</v>
      </c>
      <c r="K87" s="581">
        <v>6.4000000000000001E-2</v>
      </c>
      <c r="L87" s="581">
        <v>0</v>
      </c>
      <c r="M87" s="544">
        <v>7.0000000000000007E-2</v>
      </c>
      <c r="O87" s="99"/>
      <c r="R87" s="95"/>
    </row>
    <row r="88" spans="1:23" ht="15" customHeight="1" x14ac:dyDescent="0.2">
      <c r="A88" s="50">
        <v>85</v>
      </c>
      <c r="B88" s="544">
        <v>0.04</v>
      </c>
      <c r="C88" s="544">
        <v>0.155</v>
      </c>
      <c r="D88" s="681"/>
      <c r="E88" s="50"/>
      <c r="F88" s="544">
        <v>2.5000000000000001E-2</v>
      </c>
      <c r="G88" s="544">
        <v>8.5000000000000006E-2</v>
      </c>
      <c r="H88" s="681"/>
      <c r="I88" s="50"/>
      <c r="J88" s="581">
        <v>0</v>
      </c>
      <c r="K88" s="581">
        <v>6.5000000000000002E-2</v>
      </c>
      <c r="L88" s="581">
        <v>0</v>
      </c>
      <c r="M88" s="544">
        <v>7.0000000000000007E-2</v>
      </c>
    </row>
    <row r="89" spans="1:23" ht="15" customHeight="1" x14ac:dyDescent="0.2">
      <c r="A89" s="50">
        <v>86</v>
      </c>
      <c r="B89" s="544">
        <v>0.04</v>
      </c>
      <c r="C89" s="544">
        <v>0.156</v>
      </c>
      <c r="D89" s="681"/>
      <c r="E89" s="50"/>
      <c r="F89" s="544">
        <v>2.4E-2</v>
      </c>
      <c r="G89" s="544">
        <v>8.5999999999999993E-2</v>
      </c>
      <c r="H89" s="681"/>
      <c r="I89" s="50"/>
      <c r="J89" s="581">
        <v>0</v>
      </c>
      <c r="K89" s="581">
        <v>6.6000000000000003E-2</v>
      </c>
      <c r="L89" s="581">
        <v>0</v>
      </c>
      <c r="M89" s="544">
        <v>7.0000000000000007E-2</v>
      </c>
    </row>
    <row r="90" spans="1:23" ht="15" customHeight="1" x14ac:dyDescent="0.2">
      <c r="A90" s="50">
        <v>87</v>
      </c>
      <c r="B90" s="544">
        <v>0.04</v>
      </c>
      <c r="C90" s="544">
        <v>0.157</v>
      </c>
      <c r="D90" s="681"/>
      <c r="E90" s="50"/>
      <c r="F90" s="544">
        <v>2.3E-2</v>
      </c>
      <c r="G90" s="544">
        <v>8.6999999999999994E-2</v>
      </c>
      <c r="H90" s="681"/>
      <c r="I90" s="50"/>
      <c r="J90" s="581">
        <v>0</v>
      </c>
      <c r="K90" s="581">
        <v>6.7000000000000004E-2</v>
      </c>
      <c r="L90" s="581">
        <v>0</v>
      </c>
      <c r="M90" s="544">
        <v>7.0000000000000007E-2</v>
      </c>
      <c r="R90" s="95"/>
    </row>
    <row r="91" spans="1:23" ht="15" customHeight="1" x14ac:dyDescent="0.2">
      <c r="A91" s="50">
        <v>88</v>
      </c>
      <c r="B91" s="544">
        <v>0.04</v>
      </c>
      <c r="C91" s="544">
        <v>0.158</v>
      </c>
      <c r="D91" s="681"/>
      <c r="E91" s="50"/>
      <c r="F91" s="544">
        <v>2.1999999999999999E-2</v>
      </c>
      <c r="G91" s="544">
        <v>8.7999999999999995E-2</v>
      </c>
      <c r="H91" s="681"/>
      <c r="I91" s="50"/>
      <c r="J91" s="581">
        <v>0</v>
      </c>
      <c r="K91" s="581">
        <v>6.8000000000000005E-2</v>
      </c>
      <c r="L91" s="581">
        <v>0</v>
      </c>
      <c r="M91" s="544">
        <v>7.0000000000000007E-2</v>
      </c>
      <c r="R91" s="95"/>
    </row>
    <row r="92" spans="1:23" ht="15" customHeight="1" x14ac:dyDescent="0.2">
      <c r="A92" s="50">
        <v>89</v>
      </c>
      <c r="B92" s="544">
        <v>0.04</v>
      </c>
      <c r="C92" s="544">
        <v>0.159</v>
      </c>
      <c r="D92" s="681"/>
      <c r="E92" s="50"/>
      <c r="F92" s="544">
        <v>2.1000000000000001E-2</v>
      </c>
      <c r="G92" s="544">
        <v>8.8999999999999996E-2</v>
      </c>
      <c r="H92" s="681"/>
      <c r="I92" s="50"/>
      <c r="J92" s="581">
        <v>0</v>
      </c>
      <c r="K92" s="581">
        <v>6.9000000000000006E-2</v>
      </c>
      <c r="L92" s="581">
        <v>0</v>
      </c>
      <c r="M92" s="544">
        <v>7.0000000000000007E-2</v>
      </c>
      <c r="R92" s="95"/>
    </row>
    <row r="93" spans="1:23" ht="15" customHeight="1" x14ac:dyDescent="0.2">
      <c r="A93" s="50">
        <v>90</v>
      </c>
      <c r="B93" s="544">
        <v>0.04</v>
      </c>
      <c r="C93" s="544">
        <v>0.16</v>
      </c>
      <c r="D93" s="681"/>
      <c r="E93" s="50"/>
      <c r="F93" s="544">
        <v>0.02</v>
      </c>
      <c r="G93" s="544">
        <v>0.09</v>
      </c>
      <c r="H93" s="681"/>
      <c r="I93" s="50"/>
      <c r="J93" s="581">
        <v>0</v>
      </c>
      <c r="K93" s="581">
        <v>7.0000000000000007E-2</v>
      </c>
      <c r="L93" s="581">
        <v>0</v>
      </c>
      <c r="M93" s="544">
        <v>7.0000000000000007E-2</v>
      </c>
    </row>
    <row r="94" spans="1:23" ht="15" customHeight="1" x14ac:dyDescent="0.2">
      <c r="A94" s="50">
        <v>91</v>
      </c>
      <c r="B94" s="544">
        <v>3.9E-2</v>
      </c>
      <c r="C94" s="544">
        <v>0.16</v>
      </c>
      <c r="D94" s="50"/>
      <c r="E94" s="50"/>
      <c r="F94" s="544">
        <v>0.02</v>
      </c>
      <c r="G94" s="544">
        <v>0.09</v>
      </c>
      <c r="H94" s="256"/>
      <c r="I94" s="50"/>
      <c r="J94" s="50"/>
      <c r="K94" s="581"/>
      <c r="L94" s="581"/>
      <c r="M94" s="581"/>
    </row>
    <row r="95" spans="1:23" ht="15" customHeight="1" x14ac:dyDescent="0.2">
      <c r="A95" s="50">
        <v>92</v>
      </c>
      <c r="B95" s="544">
        <v>3.7999999999999999E-2</v>
      </c>
      <c r="C95" s="544">
        <v>0.16</v>
      </c>
      <c r="D95" s="256"/>
      <c r="E95" s="50"/>
      <c r="F95" s="544">
        <v>0.02</v>
      </c>
      <c r="G95" s="544">
        <v>0.09</v>
      </c>
      <c r="H95" s="50"/>
      <c r="I95" s="50"/>
      <c r="J95" s="50"/>
      <c r="K95" s="581"/>
      <c r="L95" s="581"/>
      <c r="M95" s="581"/>
      <c r="R95" s="95"/>
    </row>
    <row r="96" spans="1:23" ht="15" customHeight="1" x14ac:dyDescent="0.2">
      <c r="A96" s="50">
        <v>93</v>
      </c>
      <c r="B96" s="544">
        <v>3.6999999999999998E-2</v>
      </c>
      <c r="C96" s="544">
        <v>0.16</v>
      </c>
      <c r="D96" s="681"/>
      <c r="E96" s="50"/>
      <c r="F96" s="544">
        <v>0.02</v>
      </c>
      <c r="G96" s="544">
        <v>0.09</v>
      </c>
      <c r="H96" s="50"/>
      <c r="I96" s="50"/>
      <c r="J96" s="50"/>
      <c r="K96" s="581"/>
      <c r="L96" s="581"/>
      <c r="M96" s="581"/>
      <c r="R96" s="95"/>
    </row>
    <row r="97" spans="1:18" ht="15" customHeight="1" x14ac:dyDescent="0.2">
      <c r="A97" s="50">
        <v>94</v>
      </c>
      <c r="B97" s="544">
        <v>3.5999999999999997E-2</v>
      </c>
      <c r="C97" s="544">
        <v>0.16</v>
      </c>
      <c r="D97" s="681"/>
      <c r="E97" s="50"/>
      <c r="F97" s="544">
        <v>0.02</v>
      </c>
      <c r="G97" s="544">
        <v>0.09</v>
      </c>
      <c r="H97" s="50"/>
      <c r="I97" s="50"/>
      <c r="J97" s="50"/>
      <c r="K97" s="581"/>
      <c r="L97" s="581"/>
      <c r="M97" s="581"/>
      <c r="R97" s="95"/>
    </row>
    <row r="98" spans="1:18" ht="15" customHeight="1" x14ac:dyDescent="0.2">
      <c r="A98" s="50">
        <v>95</v>
      </c>
      <c r="B98" s="544">
        <v>3.5000000000000003E-2</v>
      </c>
      <c r="C98" s="544">
        <v>0.16</v>
      </c>
      <c r="D98" s="681"/>
      <c r="E98" s="50"/>
      <c r="F98" s="544">
        <v>0.02</v>
      </c>
      <c r="G98" s="544">
        <v>0.09</v>
      </c>
      <c r="H98" s="50"/>
      <c r="I98" s="50"/>
      <c r="J98" s="50"/>
      <c r="K98" s="581"/>
      <c r="L98" s="581"/>
      <c r="M98" s="581"/>
    </row>
    <row r="99" spans="1:18" ht="15" customHeight="1" x14ac:dyDescent="0.2">
      <c r="A99" s="50">
        <v>96</v>
      </c>
      <c r="B99" s="544">
        <v>3.4000000000000002E-2</v>
      </c>
      <c r="C99" s="544">
        <v>0.16</v>
      </c>
      <c r="D99" s="681"/>
      <c r="E99" s="50"/>
      <c r="F99" s="544">
        <v>0.02</v>
      </c>
      <c r="G99" s="544">
        <v>0.09</v>
      </c>
      <c r="H99" s="50"/>
      <c r="I99" s="50"/>
      <c r="J99" s="50"/>
      <c r="K99" s="581"/>
      <c r="L99" s="581"/>
      <c r="M99" s="581"/>
    </row>
    <row r="100" spans="1:18" ht="15" customHeight="1" x14ac:dyDescent="0.2">
      <c r="A100" s="50">
        <v>97</v>
      </c>
      <c r="B100" s="544">
        <v>3.3000000000000002E-2</v>
      </c>
      <c r="C100" s="544">
        <v>0.16</v>
      </c>
      <c r="D100" s="681"/>
      <c r="E100" s="50"/>
      <c r="F100" s="544">
        <v>0.02</v>
      </c>
      <c r="G100" s="544">
        <v>0.09</v>
      </c>
      <c r="H100" s="50"/>
      <c r="I100" s="50"/>
      <c r="J100" s="50"/>
      <c r="K100" s="581"/>
      <c r="L100" s="581"/>
      <c r="M100" s="581"/>
      <c r="R100" s="95"/>
    </row>
    <row r="101" spans="1:18" ht="15" customHeight="1" x14ac:dyDescent="0.2">
      <c r="A101" s="50">
        <v>98</v>
      </c>
      <c r="B101" s="544">
        <v>3.2000000000000001E-2</v>
      </c>
      <c r="C101" s="544">
        <v>0.16</v>
      </c>
      <c r="D101" s="681"/>
      <c r="E101" s="50"/>
      <c r="F101" s="544">
        <v>0.02</v>
      </c>
      <c r="G101" s="544">
        <v>0.09</v>
      </c>
      <c r="H101" s="50"/>
      <c r="I101" s="50"/>
      <c r="J101" s="50"/>
      <c r="K101" s="581"/>
      <c r="L101" s="581"/>
      <c r="M101" s="581"/>
      <c r="R101" s="95"/>
    </row>
    <row r="102" spans="1:18" ht="15" customHeight="1" x14ac:dyDescent="0.2">
      <c r="A102" s="50">
        <v>99</v>
      </c>
      <c r="B102" s="544">
        <v>3.1E-2</v>
      </c>
      <c r="C102" s="544">
        <v>0.16</v>
      </c>
      <c r="D102" s="681"/>
      <c r="E102" s="50"/>
      <c r="F102" s="544">
        <v>0.02</v>
      </c>
      <c r="G102" s="544">
        <v>0.09</v>
      </c>
      <c r="H102" s="50"/>
      <c r="I102" s="50"/>
      <c r="J102" s="50"/>
      <c r="K102" s="581"/>
      <c r="L102" s="581"/>
      <c r="M102" s="581"/>
      <c r="R102" s="95"/>
    </row>
    <row r="103" spans="1:18" ht="15" customHeight="1" x14ac:dyDescent="0.2">
      <c r="A103" s="50">
        <v>100</v>
      </c>
      <c r="B103" s="544">
        <v>0.03</v>
      </c>
      <c r="C103" s="544">
        <v>0.16</v>
      </c>
      <c r="D103" s="681"/>
      <c r="E103" s="50"/>
      <c r="F103" s="544">
        <v>0.02</v>
      </c>
      <c r="G103" s="544">
        <v>0.09</v>
      </c>
      <c r="H103" s="50"/>
      <c r="I103" s="50"/>
      <c r="J103" s="50"/>
      <c r="K103" s="670"/>
      <c r="L103" s="581"/>
      <c r="M103" s="581"/>
    </row>
    <row r="104" spans="1:18" ht="15" customHeight="1" x14ac:dyDescent="0.2">
      <c r="A104" s="50">
        <v>101</v>
      </c>
      <c r="B104" s="544">
        <v>0.03</v>
      </c>
      <c r="C104" s="544">
        <v>0.161</v>
      </c>
      <c r="D104" s="681"/>
      <c r="E104" s="50"/>
      <c r="F104" s="544">
        <v>0.02</v>
      </c>
      <c r="G104" s="544">
        <v>9.0999999999999998E-2</v>
      </c>
      <c r="H104" s="681"/>
      <c r="I104" s="50"/>
      <c r="J104" s="50"/>
      <c r="K104" s="581"/>
      <c r="L104" s="581"/>
      <c r="M104" s="581"/>
    </row>
    <row r="105" spans="1:18" ht="15" customHeight="1" x14ac:dyDescent="0.2">
      <c r="A105" s="50">
        <v>102</v>
      </c>
      <c r="B105" s="544">
        <v>0.03</v>
      </c>
      <c r="C105" s="544">
        <v>0.16200000000000001</v>
      </c>
      <c r="D105" s="681"/>
      <c r="E105" s="50"/>
      <c r="F105" s="544">
        <v>0.02</v>
      </c>
      <c r="G105" s="544">
        <v>9.1999999999999998E-2</v>
      </c>
      <c r="H105" s="681"/>
      <c r="I105" s="50"/>
      <c r="J105" s="50"/>
      <c r="K105" s="581"/>
      <c r="L105" s="581"/>
      <c r="M105" s="581"/>
      <c r="R105" s="95"/>
    </row>
    <row r="106" spans="1:18" ht="15" customHeight="1" x14ac:dyDescent="0.2">
      <c r="A106" s="50">
        <v>103</v>
      </c>
      <c r="B106" s="544">
        <v>0.03</v>
      </c>
      <c r="C106" s="544">
        <v>0.16300000000000001</v>
      </c>
      <c r="D106" s="681"/>
      <c r="E106" s="50"/>
      <c r="F106" s="544">
        <v>0.02</v>
      </c>
      <c r="G106" s="544">
        <v>9.2999999999999999E-2</v>
      </c>
      <c r="H106" s="681"/>
      <c r="I106" s="50"/>
      <c r="J106" s="50"/>
      <c r="K106" s="581"/>
      <c r="L106" s="581"/>
      <c r="M106" s="581"/>
      <c r="R106" s="95"/>
    </row>
    <row r="107" spans="1:18" ht="15" customHeight="1" x14ac:dyDescent="0.2">
      <c r="A107" s="50">
        <v>104</v>
      </c>
      <c r="B107" s="544">
        <v>0.03</v>
      </c>
      <c r="C107" s="544">
        <v>0.16400000000000001</v>
      </c>
      <c r="D107" s="681"/>
      <c r="E107" s="50"/>
      <c r="F107" s="544">
        <v>0.02</v>
      </c>
      <c r="G107" s="544">
        <v>9.4E-2</v>
      </c>
      <c r="H107" s="681"/>
      <c r="I107" s="50"/>
      <c r="J107" s="50"/>
      <c r="K107" s="581"/>
      <c r="L107" s="581"/>
      <c r="M107" s="581"/>
      <c r="R107" s="95"/>
    </row>
    <row r="108" spans="1:18" ht="15" customHeight="1" x14ac:dyDescent="0.2">
      <c r="A108" s="50">
        <v>105</v>
      </c>
      <c r="B108" s="544">
        <v>0.03</v>
      </c>
      <c r="C108" s="544">
        <v>0.16500000000000001</v>
      </c>
      <c r="D108" s="681"/>
      <c r="E108" s="50"/>
      <c r="F108" s="544">
        <v>0.02</v>
      </c>
      <c r="G108" s="544">
        <v>9.5000000000000001E-2</v>
      </c>
      <c r="H108" s="681"/>
      <c r="I108" s="50"/>
      <c r="J108" s="50"/>
      <c r="K108" s="581"/>
      <c r="L108" s="581"/>
      <c r="M108" s="581"/>
    </row>
    <row r="109" spans="1:18" ht="15" customHeight="1" x14ac:dyDescent="0.2">
      <c r="A109" s="50">
        <v>106</v>
      </c>
      <c r="B109" s="544">
        <v>0.03</v>
      </c>
      <c r="C109" s="544">
        <v>0.16600000000000001</v>
      </c>
      <c r="D109" s="681"/>
      <c r="E109" s="50"/>
      <c r="F109" s="544">
        <v>0.02</v>
      </c>
      <c r="G109" s="544">
        <v>9.6000000000000002E-2</v>
      </c>
      <c r="H109" s="681"/>
      <c r="I109" s="50"/>
      <c r="J109" s="50"/>
      <c r="K109" s="581"/>
      <c r="L109" s="581"/>
      <c r="M109" s="581"/>
    </row>
    <row r="110" spans="1:18" ht="15" customHeight="1" x14ac:dyDescent="0.2">
      <c r="A110" s="50">
        <v>107</v>
      </c>
      <c r="B110" s="544">
        <v>0.03</v>
      </c>
      <c r="C110" s="544">
        <v>0.16700000000000001</v>
      </c>
      <c r="D110" s="681"/>
      <c r="E110" s="50"/>
      <c r="F110" s="544">
        <v>0.02</v>
      </c>
      <c r="G110" s="544">
        <v>9.7000000000000003E-2</v>
      </c>
      <c r="H110" s="681"/>
      <c r="I110" s="50"/>
      <c r="J110" s="50"/>
      <c r="K110" s="581"/>
      <c r="L110" s="581"/>
      <c r="M110" s="581"/>
      <c r="R110" s="95"/>
    </row>
    <row r="111" spans="1:18" ht="15" customHeight="1" x14ac:dyDescent="0.2">
      <c r="A111" s="50">
        <v>108</v>
      </c>
      <c r="B111" s="544">
        <v>0.03</v>
      </c>
      <c r="C111" s="544">
        <v>0.16800000000000001</v>
      </c>
      <c r="D111" s="681"/>
      <c r="E111" s="50"/>
      <c r="F111" s="544">
        <v>0.02</v>
      </c>
      <c r="G111" s="544">
        <v>9.8000000000000004E-2</v>
      </c>
      <c r="H111" s="681"/>
      <c r="I111" s="50"/>
      <c r="J111" s="50"/>
      <c r="K111" s="581"/>
      <c r="L111" s="581"/>
      <c r="M111" s="581"/>
      <c r="R111" s="95"/>
    </row>
    <row r="112" spans="1:18" ht="15" customHeight="1" x14ac:dyDescent="0.2">
      <c r="A112" s="50">
        <v>109</v>
      </c>
      <c r="B112" s="544">
        <v>0.03</v>
      </c>
      <c r="C112" s="544">
        <v>0.16900000000000001</v>
      </c>
      <c r="D112" s="681"/>
      <c r="E112" s="50"/>
      <c r="F112" s="544">
        <v>0.02</v>
      </c>
      <c r="G112" s="544">
        <v>9.9000000000000005E-2</v>
      </c>
      <c r="H112" s="681"/>
      <c r="I112" s="50"/>
      <c r="J112" s="50"/>
      <c r="K112" s="581"/>
      <c r="L112" s="581"/>
      <c r="M112" s="581"/>
      <c r="R112" s="95"/>
    </row>
    <row r="113" spans="1:18" ht="15" customHeight="1" x14ac:dyDescent="0.2">
      <c r="A113" s="50">
        <v>110</v>
      </c>
      <c r="B113" s="544">
        <v>0.03</v>
      </c>
      <c r="C113" s="581">
        <f t="shared" ref="C113:C153" si="2" xml:space="preserve"> 17%</f>
        <v>0.17</v>
      </c>
      <c r="D113" s="681"/>
      <c r="E113" s="50"/>
      <c r="F113" s="544">
        <v>0.02</v>
      </c>
      <c r="G113" s="544">
        <v>0.1</v>
      </c>
      <c r="H113" s="681"/>
      <c r="I113" s="50"/>
      <c r="J113" s="50"/>
      <c r="K113" s="581"/>
      <c r="L113" s="581"/>
      <c r="M113" s="581"/>
    </row>
    <row r="114" spans="1:18" ht="15" customHeight="1" x14ac:dyDescent="0.2">
      <c r="A114" s="50">
        <v>111</v>
      </c>
      <c r="B114" s="544">
        <v>0.03</v>
      </c>
      <c r="C114" s="581">
        <f t="shared" si="2"/>
        <v>0.17</v>
      </c>
      <c r="D114" s="50"/>
      <c r="E114" s="50"/>
      <c r="F114" s="544">
        <v>0.02</v>
      </c>
      <c r="G114" s="544">
        <v>0.1</v>
      </c>
      <c r="H114" s="50"/>
      <c r="I114" s="50"/>
      <c r="J114" s="50"/>
      <c r="K114" s="581"/>
      <c r="L114" s="581"/>
      <c r="M114" s="581"/>
    </row>
    <row r="115" spans="1:18" ht="15" customHeight="1" x14ac:dyDescent="0.2">
      <c r="A115" s="50">
        <v>112</v>
      </c>
      <c r="B115" s="544">
        <v>0.03</v>
      </c>
      <c r="C115" s="581">
        <f t="shared" si="2"/>
        <v>0.17</v>
      </c>
      <c r="D115" s="50"/>
      <c r="E115" s="50"/>
      <c r="F115" s="544">
        <v>0.02</v>
      </c>
      <c r="G115" s="544">
        <v>0.1</v>
      </c>
      <c r="H115" s="50"/>
      <c r="I115" s="50"/>
      <c r="J115" s="50"/>
      <c r="K115" s="581"/>
      <c r="L115" s="581"/>
      <c r="M115" s="581"/>
      <c r="R115" s="95"/>
    </row>
    <row r="116" spans="1:18" ht="15" customHeight="1" x14ac:dyDescent="0.2">
      <c r="A116" s="50">
        <v>113</v>
      </c>
      <c r="B116" s="544">
        <v>0.03</v>
      </c>
      <c r="C116" s="581">
        <f t="shared" si="2"/>
        <v>0.17</v>
      </c>
      <c r="D116" s="50"/>
      <c r="E116" s="50"/>
      <c r="F116" s="544">
        <v>0.02</v>
      </c>
      <c r="G116" s="544">
        <v>0.1</v>
      </c>
      <c r="H116" s="50"/>
      <c r="I116" s="50"/>
      <c r="J116" s="50"/>
      <c r="K116" s="581"/>
      <c r="L116" s="581"/>
      <c r="M116" s="581"/>
      <c r="R116" s="95"/>
    </row>
    <row r="117" spans="1:18" ht="15" customHeight="1" x14ac:dyDescent="0.2">
      <c r="A117" s="50">
        <v>114</v>
      </c>
      <c r="B117" s="544">
        <v>0.03</v>
      </c>
      <c r="C117" s="581">
        <f t="shared" si="2"/>
        <v>0.17</v>
      </c>
      <c r="D117" s="50"/>
      <c r="E117" s="50"/>
      <c r="F117" s="544">
        <v>0.02</v>
      </c>
      <c r="G117" s="544">
        <v>0.1</v>
      </c>
      <c r="H117" s="50"/>
      <c r="I117" s="50"/>
      <c r="J117" s="50"/>
      <c r="K117" s="581"/>
      <c r="L117" s="581"/>
      <c r="M117" s="581"/>
      <c r="R117" s="95"/>
    </row>
    <row r="118" spans="1:18" ht="15" customHeight="1" x14ac:dyDescent="0.2">
      <c r="A118" s="50">
        <v>115</v>
      </c>
      <c r="B118" s="544">
        <v>0.03</v>
      </c>
      <c r="C118" s="581">
        <f t="shared" si="2"/>
        <v>0.17</v>
      </c>
      <c r="D118" s="50"/>
      <c r="E118" s="50"/>
      <c r="F118" s="544">
        <v>0.02</v>
      </c>
      <c r="G118" s="544">
        <v>0.1</v>
      </c>
      <c r="H118" s="50"/>
      <c r="I118" s="50"/>
      <c r="J118" s="50"/>
      <c r="K118" s="581"/>
      <c r="L118" s="581"/>
      <c r="M118" s="581"/>
    </row>
    <row r="119" spans="1:18" ht="15" customHeight="1" x14ac:dyDescent="0.2">
      <c r="A119" s="50">
        <v>116</v>
      </c>
      <c r="B119" s="544">
        <v>0.03</v>
      </c>
      <c r="C119" s="581">
        <f t="shared" si="2"/>
        <v>0.17</v>
      </c>
      <c r="D119" s="50"/>
      <c r="E119" s="50"/>
      <c r="F119" s="544">
        <v>0.02</v>
      </c>
      <c r="G119" s="544">
        <v>0.1</v>
      </c>
      <c r="H119" s="50"/>
      <c r="I119" s="50"/>
      <c r="J119" s="50"/>
      <c r="K119" s="581"/>
      <c r="L119" s="581"/>
      <c r="M119" s="581"/>
    </row>
    <row r="120" spans="1:18" ht="15" customHeight="1" x14ac:dyDescent="0.2">
      <c r="A120" s="50">
        <v>117</v>
      </c>
      <c r="B120" s="544">
        <v>0.03</v>
      </c>
      <c r="C120" s="581">
        <f t="shared" si="2"/>
        <v>0.17</v>
      </c>
      <c r="D120" s="50"/>
      <c r="E120" s="50"/>
      <c r="F120" s="544">
        <v>0.02</v>
      </c>
      <c r="G120" s="544">
        <v>0.1</v>
      </c>
      <c r="H120" s="50"/>
      <c r="I120" s="50"/>
      <c r="J120" s="50"/>
      <c r="K120" s="581"/>
      <c r="L120" s="581"/>
      <c r="M120" s="581"/>
      <c r="R120" s="95"/>
    </row>
    <row r="121" spans="1:18" ht="15" customHeight="1" x14ac:dyDescent="0.2">
      <c r="A121" s="50">
        <v>118</v>
      </c>
      <c r="B121" s="544">
        <v>0.03</v>
      </c>
      <c r="C121" s="581">
        <f t="shared" si="2"/>
        <v>0.17</v>
      </c>
      <c r="D121" s="50"/>
      <c r="E121" s="50"/>
      <c r="F121" s="544">
        <v>0.02</v>
      </c>
      <c r="G121" s="544">
        <v>0.1</v>
      </c>
      <c r="H121" s="50"/>
      <c r="I121" s="50"/>
      <c r="J121" s="50"/>
      <c r="K121" s="581"/>
      <c r="L121" s="581"/>
      <c r="M121" s="581"/>
      <c r="R121" s="95"/>
    </row>
    <row r="122" spans="1:18" ht="15" customHeight="1" x14ac:dyDescent="0.2">
      <c r="A122" s="50">
        <v>119</v>
      </c>
      <c r="B122" s="544">
        <v>0.03</v>
      </c>
      <c r="C122" s="581">
        <f t="shared" si="2"/>
        <v>0.17</v>
      </c>
      <c r="D122" s="50"/>
      <c r="E122" s="50"/>
      <c r="F122" s="544">
        <v>0.02</v>
      </c>
      <c r="G122" s="544">
        <v>0.1</v>
      </c>
      <c r="H122" s="50"/>
      <c r="I122" s="50"/>
      <c r="J122" s="50"/>
      <c r="K122" s="581"/>
      <c r="L122" s="581"/>
      <c r="M122" s="581"/>
      <c r="R122" s="95"/>
    </row>
    <row r="123" spans="1:18" ht="15" customHeight="1" x14ac:dyDescent="0.2">
      <c r="A123" s="50">
        <v>120</v>
      </c>
      <c r="B123" s="544">
        <v>0.03</v>
      </c>
      <c r="C123" s="581">
        <f t="shared" si="2"/>
        <v>0.17</v>
      </c>
      <c r="D123" s="50"/>
      <c r="E123" s="50"/>
      <c r="F123" s="544">
        <v>0.02</v>
      </c>
      <c r="G123" s="544">
        <v>0.1</v>
      </c>
      <c r="H123" s="50"/>
      <c r="I123" s="50"/>
      <c r="J123" s="50"/>
      <c r="K123" s="581"/>
      <c r="L123" s="581"/>
      <c r="M123" s="581"/>
    </row>
    <row r="124" spans="1:18" ht="15" customHeight="1" x14ac:dyDescent="0.2">
      <c r="A124" s="50">
        <v>121</v>
      </c>
      <c r="B124" s="544">
        <v>2.9000000000000001E-2</v>
      </c>
      <c r="C124" s="581">
        <f t="shared" si="2"/>
        <v>0.17</v>
      </c>
      <c r="D124" s="681"/>
      <c r="E124" s="50"/>
      <c r="F124" s="544">
        <v>1.9E-2</v>
      </c>
      <c r="G124" s="544">
        <v>0.1</v>
      </c>
      <c r="H124" s="50"/>
      <c r="I124" s="50"/>
      <c r="J124" s="50"/>
      <c r="K124" s="581"/>
      <c r="L124" s="581"/>
      <c r="M124" s="581"/>
    </row>
    <row r="125" spans="1:18" ht="15" customHeight="1" x14ac:dyDescent="0.2">
      <c r="A125" s="50">
        <v>122</v>
      </c>
      <c r="B125" s="544">
        <v>2.8000000000000001E-2</v>
      </c>
      <c r="C125" s="581">
        <f t="shared" si="2"/>
        <v>0.17</v>
      </c>
      <c r="D125" s="681"/>
      <c r="E125" s="50"/>
      <c r="F125" s="544">
        <v>1.7999999999999999E-2</v>
      </c>
      <c r="G125" s="544">
        <v>0.1</v>
      </c>
      <c r="H125" s="50"/>
      <c r="I125" s="50"/>
      <c r="J125" s="50"/>
      <c r="K125" s="581"/>
      <c r="L125" s="581"/>
      <c r="M125" s="581"/>
      <c r="R125" s="95"/>
    </row>
    <row r="126" spans="1:18" ht="15" customHeight="1" x14ac:dyDescent="0.2">
      <c r="A126" s="50">
        <v>123</v>
      </c>
      <c r="B126" s="544">
        <v>2.7E-2</v>
      </c>
      <c r="C126" s="581">
        <f t="shared" si="2"/>
        <v>0.17</v>
      </c>
      <c r="D126" s="681"/>
      <c r="E126" s="50"/>
      <c r="F126" s="544">
        <v>1.7000000000000001E-2</v>
      </c>
      <c r="G126" s="544">
        <v>0.1</v>
      </c>
      <c r="H126" s="50"/>
      <c r="I126" s="50"/>
      <c r="J126" s="50"/>
      <c r="K126" s="581"/>
      <c r="L126" s="581"/>
      <c r="M126" s="581"/>
      <c r="R126" s="95"/>
    </row>
    <row r="127" spans="1:18" ht="15" customHeight="1" x14ac:dyDescent="0.2">
      <c r="A127" s="50">
        <v>124</v>
      </c>
      <c r="B127" s="544">
        <v>2.5999999999999999E-2</v>
      </c>
      <c r="C127" s="581">
        <f t="shared" si="2"/>
        <v>0.17</v>
      </c>
      <c r="D127" s="681"/>
      <c r="E127" s="50"/>
      <c r="F127" s="544">
        <v>1.6E-2</v>
      </c>
      <c r="G127" s="544">
        <v>0.1</v>
      </c>
      <c r="H127" s="50"/>
      <c r="I127" s="50"/>
      <c r="J127" s="50"/>
      <c r="K127" s="581"/>
      <c r="L127" s="581"/>
      <c r="M127" s="581"/>
      <c r="R127" s="95"/>
    </row>
    <row r="128" spans="1:18" ht="15" customHeight="1" x14ac:dyDescent="0.2">
      <c r="A128" s="50">
        <v>125</v>
      </c>
      <c r="B128" s="544">
        <v>2.5000000000000001E-2</v>
      </c>
      <c r="C128" s="581">
        <f t="shared" si="2"/>
        <v>0.17</v>
      </c>
      <c r="D128" s="681"/>
      <c r="E128" s="50"/>
      <c r="F128" s="544">
        <v>1.4999999999999999E-2</v>
      </c>
      <c r="G128" s="544">
        <v>0.1</v>
      </c>
      <c r="H128" s="50"/>
      <c r="I128" s="50"/>
      <c r="J128" s="50"/>
      <c r="K128" s="581"/>
      <c r="L128" s="581"/>
      <c r="M128" s="581"/>
    </row>
    <row r="129" spans="1:18" ht="15" customHeight="1" x14ac:dyDescent="0.2">
      <c r="A129" s="50">
        <v>126</v>
      </c>
      <c r="B129" s="544">
        <v>2.4E-2</v>
      </c>
      <c r="C129" s="581">
        <f t="shared" si="2"/>
        <v>0.17</v>
      </c>
      <c r="D129" s="681"/>
      <c r="E129" s="50"/>
      <c r="F129" s="544">
        <v>1.4E-2</v>
      </c>
      <c r="G129" s="544">
        <v>0.1</v>
      </c>
      <c r="H129" s="50"/>
      <c r="I129" s="50"/>
      <c r="J129" s="50"/>
      <c r="K129" s="581"/>
      <c r="L129" s="581"/>
      <c r="M129" s="581"/>
    </row>
    <row r="130" spans="1:18" ht="15" customHeight="1" x14ac:dyDescent="0.2">
      <c r="A130" s="50">
        <v>127</v>
      </c>
      <c r="B130" s="544">
        <v>2.3E-2</v>
      </c>
      <c r="C130" s="581">
        <f t="shared" si="2"/>
        <v>0.17</v>
      </c>
      <c r="D130" s="681"/>
      <c r="E130" s="50"/>
      <c r="F130" s="544">
        <v>1.2999999999999999E-2</v>
      </c>
      <c r="G130" s="544">
        <v>0.1</v>
      </c>
      <c r="H130" s="50"/>
      <c r="I130" s="50"/>
      <c r="J130" s="50"/>
      <c r="K130" s="581"/>
      <c r="L130" s="581"/>
      <c r="M130" s="581"/>
      <c r="R130" s="95"/>
    </row>
    <row r="131" spans="1:18" ht="15" customHeight="1" x14ac:dyDescent="0.2">
      <c r="A131" s="50">
        <v>128</v>
      </c>
      <c r="B131" s="544">
        <v>2.1999999999999999E-2</v>
      </c>
      <c r="C131" s="581">
        <f t="shared" si="2"/>
        <v>0.17</v>
      </c>
      <c r="D131" s="681"/>
      <c r="E131" s="50"/>
      <c r="F131" s="544">
        <v>1.2E-2</v>
      </c>
      <c r="G131" s="544">
        <v>0.1</v>
      </c>
      <c r="H131" s="50"/>
      <c r="I131" s="50"/>
      <c r="J131" s="50"/>
      <c r="K131" s="581"/>
      <c r="L131" s="581"/>
      <c r="M131" s="581"/>
      <c r="R131" s="95"/>
    </row>
    <row r="132" spans="1:18" ht="15" customHeight="1" x14ac:dyDescent="0.2">
      <c r="A132" s="50">
        <v>129</v>
      </c>
      <c r="B132" s="544">
        <v>2.1000000000000001E-2</v>
      </c>
      <c r="C132" s="581">
        <f t="shared" si="2"/>
        <v>0.17</v>
      </c>
      <c r="D132" s="681"/>
      <c r="E132" s="50"/>
      <c r="F132" s="544">
        <v>1.0999999999999999E-2</v>
      </c>
      <c r="G132" s="544">
        <v>0.1</v>
      </c>
      <c r="H132" s="50"/>
      <c r="I132" s="50"/>
      <c r="J132" s="50"/>
      <c r="K132" s="581"/>
      <c r="L132" s="581"/>
      <c r="M132" s="581"/>
      <c r="R132" s="95"/>
    </row>
    <row r="133" spans="1:18" ht="15" customHeight="1" x14ac:dyDescent="0.2">
      <c r="A133" s="50">
        <v>130</v>
      </c>
      <c r="B133" s="544">
        <v>0.02</v>
      </c>
      <c r="C133" s="581">
        <f t="shared" si="2"/>
        <v>0.17</v>
      </c>
      <c r="D133" s="681"/>
      <c r="E133" s="50"/>
      <c r="F133" s="544">
        <v>0.01</v>
      </c>
      <c r="G133" s="544">
        <v>0.1</v>
      </c>
      <c r="H133" s="50"/>
      <c r="I133" s="50"/>
      <c r="J133" s="50"/>
      <c r="K133" s="581"/>
      <c r="L133" s="581"/>
      <c r="M133" s="581"/>
    </row>
    <row r="134" spans="1:18" ht="15" customHeight="1" x14ac:dyDescent="0.2">
      <c r="A134" s="50">
        <v>131</v>
      </c>
      <c r="B134" s="544">
        <v>0.02</v>
      </c>
      <c r="C134" s="581">
        <f t="shared" si="2"/>
        <v>0.17</v>
      </c>
      <c r="D134" s="50"/>
      <c r="E134" s="50"/>
      <c r="F134" s="544">
        <v>0.01</v>
      </c>
      <c r="G134" s="544">
        <v>0.1</v>
      </c>
      <c r="H134" s="50"/>
      <c r="I134" s="50"/>
      <c r="J134" s="50"/>
      <c r="K134" s="581"/>
      <c r="L134" s="581"/>
      <c r="M134" s="581"/>
    </row>
    <row r="135" spans="1:18" ht="15" customHeight="1" x14ac:dyDescent="0.2">
      <c r="A135" s="50">
        <v>132</v>
      </c>
      <c r="B135" s="544">
        <v>0.02</v>
      </c>
      <c r="C135" s="581">
        <f t="shared" si="2"/>
        <v>0.17</v>
      </c>
      <c r="D135" s="50"/>
      <c r="E135" s="50"/>
      <c r="F135" s="544">
        <v>0.01</v>
      </c>
      <c r="G135" s="544">
        <v>0.1</v>
      </c>
      <c r="H135" s="50"/>
      <c r="I135" s="50"/>
      <c r="J135" s="50"/>
      <c r="K135" s="581"/>
      <c r="L135" s="581"/>
      <c r="M135" s="581"/>
      <c r="R135" s="95"/>
    </row>
    <row r="136" spans="1:18" ht="15" customHeight="1" x14ac:dyDescent="0.2">
      <c r="A136" s="50">
        <v>133</v>
      </c>
      <c r="B136" s="544">
        <v>0.02</v>
      </c>
      <c r="C136" s="581">
        <f t="shared" si="2"/>
        <v>0.17</v>
      </c>
      <c r="D136" s="50"/>
      <c r="E136" s="50"/>
      <c r="F136" s="544">
        <v>0.01</v>
      </c>
      <c r="G136" s="544">
        <v>0.1</v>
      </c>
      <c r="H136" s="50"/>
      <c r="I136" s="50"/>
      <c r="J136" s="50"/>
      <c r="K136" s="581"/>
      <c r="L136" s="581"/>
      <c r="M136" s="581"/>
      <c r="R136" s="95"/>
    </row>
    <row r="137" spans="1:18" ht="15" customHeight="1" x14ac:dyDescent="0.2">
      <c r="A137" s="50">
        <v>134</v>
      </c>
      <c r="B137" s="544">
        <v>0.02</v>
      </c>
      <c r="C137" s="581">
        <f t="shared" si="2"/>
        <v>0.17</v>
      </c>
      <c r="D137" s="50"/>
      <c r="E137" s="50"/>
      <c r="F137" s="544">
        <v>0.01</v>
      </c>
      <c r="G137" s="544">
        <v>0.1</v>
      </c>
      <c r="H137" s="50"/>
      <c r="I137" s="50"/>
      <c r="J137" s="50"/>
      <c r="K137" s="581"/>
      <c r="L137" s="581"/>
      <c r="M137" s="581"/>
      <c r="R137" s="95"/>
    </row>
    <row r="138" spans="1:18" ht="15" customHeight="1" x14ac:dyDescent="0.2">
      <c r="A138" s="50">
        <v>135</v>
      </c>
      <c r="B138" s="544">
        <v>0.02</v>
      </c>
      <c r="C138" s="581">
        <f t="shared" si="2"/>
        <v>0.17</v>
      </c>
      <c r="D138" s="50"/>
      <c r="E138" s="50"/>
      <c r="F138" s="544">
        <v>0.01</v>
      </c>
      <c r="G138" s="544">
        <v>0.1</v>
      </c>
      <c r="H138" s="50"/>
      <c r="I138" s="50"/>
      <c r="J138" s="50"/>
      <c r="K138" s="581"/>
      <c r="L138" s="581"/>
      <c r="M138" s="581"/>
    </row>
    <row r="139" spans="1:18" ht="15" customHeight="1" x14ac:dyDescent="0.2">
      <c r="A139" s="50">
        <v>136</v>
      </c>
      <c r="B139" s="544">
        <v>0.02</v>
      </c>
      <c r="C139" s="581">
        <f t="shared" si="2"/>
        <v>0.17</v>
      </c>
      <c r="D139" s="50"/>
      <c r="E139" s="50"/>
      <c r="F139" s="544">
        <v>0.01</v>
      </c>
      <c r="G139" s="544">
        <v>0.1</v>
      </c>
      <c r="H139" s="50"/>
      <c r="I139" s="50"/>
      <c r="J139" s="50"/>
      <c r="K139" s="581"/>
      <c r="L139" s="581"/>
      <c r="M139" s="581"/>
    </row>
    <row r="140" spans="1:18" ht="15" customHeight="1" x14ac:dyDescent="0.2">
      <c r="A140" s="50">
        <v>137</v>
      </c>
      <c r="B140" s="544">
        <v>0.02</v>
      </c>
      <c r="C140" s="581">
        <f t="shared" si="2"/>
        <v>0.17</v>
      </c>
      <c r="D140" s="50"/>
      <c r="E140" s="50"/>
      <c r="F140" s="544">
        <v>0.01</v>
      </c>
      <c r="G140" s="544">
        <v>0.1</v>
      </c>
      <c r="H140" s="50"/>
      <c r="I140" s="50"/>
      <c r="J140" s="50"/>
      <c r="K140" s="581"/>
      <c r="L140" s="581"/>
      <c r="M140" s="581"/>
      <c r="R140" s="95"/>
    </row>
    <row r="141" spans="1:18" ht="15" customHeight="1" x14ac:dyDescent="0.2">
      <c r="A141" s="50">
        <v>138</v>
      </c>
      <c r="B141" s="544">
        <v>0.02</v>
      </c>
      <c r="C141" s="581">
        <f t="shared" si="2"/>
        <v>0.17</v>
      </c>
      <c r="D141" s="50"/>
      <c r="E141" s="50"/>
      <c r="F141" s="544">
        <v>0.01</v>
      </c>
      <c r="G141" s="544">
        <v>0.1</v>
      </c>
      <c r="H141" s="50"/>
      <c r="I141" s="50"/>
      <c r="J141" s="50"/>
      <c r="K141" s="581"/>
      <c r="L141" s="581"/>
      <c r="M141" s="581"/>
      <c r="R141" s="95"/>
    </row>
    <row r="142" spans="1:18" ht="15" customHeight="1" x14ac:dyDescent="0.2">
      <c r="A142" s="50">
        <v>139</v>
      </c>
      <c r="B142" s="544">
        <v>0.02</v>
      </c>
      <c r="C142" s="581">
        <f t="shared" si="2"/>
        <v>0.17</v>
      </c>
      <c r="D142" s="50"/>
      <c r="E142" s="50"/>
      <c r="F142" s="544">
        <v>0.01</v>
      </c>
      <c r="G142" s="544">
        <v>0.1</v>
      </c>
      <c r="H142" s="50"/>
      <c r="I142" s="50"/>
      <c r="J142" s="50"/>
      <c r="K142" s="581"/>
      <c r="L142" s="581"/>
      <c r="M142" s="581"/>
      <c r="R142" s="95"/>
    </row>
    <row r="143" spans="1:18" ht="15" customHeight="1" x14ac:dyDescent="0.2">
      <c r="A143" s="50">
        <v>140</v>
      </c>
      <c r="B143" s="544">
        <v>0.02</v>
      </c>
      <c r="C143" s="581">
        <f t="shared" si="2"/>
        <v>0.17</v>
      </c>
      <c r="D143" s="50"/>
      <c r="E143" s="50"/>
      <c r="F143" s="544">
        <v>0.01</v>
      </c>
      <c r="G143" s="544">
        <v>0.1</v>
      </c>
      <c r="H143" s="50"/>
      <c r="I143" s="50"/>
      <c r="J143" s="50"/>
      <c r="K143" s="581"/>
      <c r="L143" s="581"/>
      <c r="M143" s="581"/>
      <c r="R143" s="95"/>
    </row>
    <row r="144" spans="1:18" ht="15" customHeight="1" x14ac:dyDescent="0.2">
      <c r="A144" s="50">
        <v>141</v>
      </c>
      <c r="B144" s="544">
        <v>1.9E-2</v>
      </c>
      <c r="C144" s="581">
        <f t="shared" si="2"/>
        <v>0.17</v>
      </c>
      <c r="D144" s="681"/>
      <c r="E144" s="50"/>
      <c r="F144" s="544">
        <v>0.01</v>
      </c>
      <c r="G144" s="544">
        <v>0.10100000000000001</v>
      </c>
      <c r="H144" s="681"/>
      <c r="I144" s="50"/>
      <c r="J144" s="50"/>
      <c r="K144" s="581"/>
      <c r="L144" s="581"/>
      <c r="M144" s="581"/>
      <c r="R144" s="95"/>
    </row>
    <row r="145" spans="1:23" ht="15" customHeight="1" x14ac:dyDescent="0.2">
      <c r="A145" s="50">
        <v>142</v>
      </c>
      <c r="B145" s="544">
        <v>1.7999999999999999E-2</v>
      </c>
      <c r="C145" s="581">
        <f t="shared" si="2"/>
        <v>0.17</v>
      </c>
      <c r="D145" s="681"/>
      <c r="E145" s="50"/>
      <c r="F145" s="544">
        <v>0.01</v>
      </c>
      <c r="G145" s="544">
        <v>0.10199999999999999</v>
      </c>
      <c r="H145" s="681"/>
      <c r="I145" s="50"/>
      <c r="J145" s="50"/>
      <c r="K145" s="581"/>
      <c r="L145" s="581"/>
      <c r="M145" s="581"/>
    </row>
    <row r="146" spans="1:23" ht="15" customHeight="1" x14ac:dyDescent="0.2">
      <c r="A146" s="50">
        <v>143</v>
      </c>
      <c r="B146" s="544">
        <v>1.7000000000000001E-2</v>
      </c>
      <c r="C146" s="581">
        <f t="shared" si="2"/>
        <v>0.17</v>
      </c>
      <c r="D146" s="681"/>
      <c r="E146" s="50"/>
      <c r="F146" s="544">
        <v>0.01</v>
      </c>
      <c r="G146" s="544">
        <v>0.10299999999999999</v>
      </c>
      <c r="H146" s="681"/>
      <c r="I146" s="50"/>
      <c r="J146" s="50"/>
      <c r="K146" s="581"/>
      <c r="L146" s="581"/>
      <c r="M146" s="581"/>
      <c r="R146" s="62"/>
    </row>
    <row r="147" spans="1:23" ht="15" customHeight="1" x14ac:dyDescent="0.2">
      <c r="A147" s="50">
        <v>144</v>
      </c>
      <c r="B147" s="544">
        <v>1.6E-2</v>
      </c>
      <c r="C147" s="581">
        <f t="shared" si="2"/>
        <v>0.17</v>
      </c>
      <c r="D147" s="681"/>
      <c r="E147" s="50"/>
      <c r="F147" s="544">
        <v>0.01</v>
      </c>
      <c r="G147" s="544">
        <v>0.104</v>
      </c>
      <c r="H147" s="681"/>
      <c r="I147" s="50"/>
      <c r="J147" s="50"/>
      <c r="K147" s="581"/>
      <c r="L147" s="581"/>
      <c r="M147" s="581"/>
      <c r="R147" s="95"/>
    </row>
    <row r="148" spans="1:23" ht="15" customHeight="1" x14ac:dyDescent="0.2">
      <c r="A148" s="50">
        <v>145</v>
      </c>
      <c r="B148" s="544">
        <v>1.4999999999999999E-2</v>
      </c>
      <c r="C148" s="581">
        <f t="shared" si="2"/>
        <v>0.17</v>
      </c>
      <c r="D148" s="681"/>
      <c r="E148" s="50"/>
      <c r="F148" s="544">
        <v>0.01</v>
      </c>
      <c r="G148" s="544">
        <v>0.105</v>
      </c>
      <c r="H148" s="681"/>
      <c r="I148" s="50"/>
      <c r="J148" s="50"/>
      <c r="K148" s="581"/>
      <c r="L148" s="581"/>
      <c r="M148" s="581"/>
    </row>
    <row r="149" spans="1:23" ht="15" customHeight="1" x14ac:dyDescent="0.2">
      <c r="A149" s="50">
        <v>146</v>
      </c>
      <c r="B149" s="544">
        <v>1.4E-2</v>
      </c>
      <c r="C149" s="581">
        <f t="shared" si="2"/>
        <v>0.17</v>
      </c>
      <c r="D149" s="681"/>
      <c r="E149" s="50"/>
      <c r="F149" s="544">
        <v>0.01</v>
      </c>
      <c r="G149" s="544">
        <v>0.106</v>
      </c>
      <c r="H149" s="681"/>
      <c r="I149" s="50"/>
      <c r="J149" s="50"/>
      <c r="K149" s="581"/>
      <c r="L149" s="581"/>
      <c r="M149" s="581"/>
      <c r="R149" s="62"/>
      <c r="U149" s="62"/>
      <c r="V149" s="62"/>
      <c r="W149" s="62"/>
    </row>
    <row r="150" spans="1:23" ht="15" customHeight="1" x14ac:dyDescent="0.2">
      <c r="A150" s="50">
        <v>147</v>
      </c>
      <c r="B150" s="544">
        <v>1.2999999999999999E-2</v>
      </c>
      <c r="C150" s="581">
        <f t="shared" si="2"/>
        <v>0.17</v>
      </c>
      <c r="D150" s="681"/>
      <c r="E150" s="50"/>
      <c r="F150" s="544">
        <v>0.01</v>
      </c>
      <c r="G150" s="544">
        <v>0.107</v>
      </c>
      <c r="H150" s="681"/>
      <c r="I150" s="50"/>
      <c r="J150" s="50"/>
      <c r="K150" s="581"/>
      <c r="L150" s="581"/>
      <c r="M150" s="581"/>
      <c r="O150" s="99"/>
      <c r="R150" s="95"/>
      <c r="U150" s="62"/>
      <c r="V150" s="62"/>
      <c r="W150" s="95"/>
    </row>
    <row r="151" spans="1:23" ht="15" customHeight="1" x14ac:dyDescent="0.2">
      <c r="A151" s="50">
        <v>148</v>
      </c>
      <c r="B151" s="544">
        <v>1.2E-2</v>
      </c>
      <c r="C151" s="581">
        <f t="shared" si="2"/>
        <v>0.17</v>
      </c>
      <c r="D151" s="681"/>
      <c r="E151" s="50"/>
      <c r="F151" s="544">
        <v>0.01</v>
      </c>
      <c r="G151" s="544">
        <v>0.108</v>
      </c>
      <c r="H151" s="681"/>
      <c r="I151" s="50"/>
      <c r="J151" s="50"/>
      <c r="K151" s="581"/>
      <c r="L151" s="581"/>
      <c r="M151" s="581"/>
      <c r="O151" s="99"/>
      <c r="R151" s="95"/>
      <c r="U151" s="62"/>
      <c r="V151" s="62"/>
      <c r="W151" s="95"/>
    </row>
    <row r="152" spans="1:23" ht="15" customHeight="1" x14ac:dyDescent="0.2">
      <c r="A152" s="50">
        <v>149</v>
      </c>
      <c r="B152" s="544">
        <v>1.0999999999999999E-2</v>
      </c>
      <c r="C152" s="581">
        <f t="shared" si="2"/>
        <v>0.17</v>
      </c>
      <c r="D152" s="681"/>
      <c r="E152" s="50"/>
      <c r="F152" s="544">
        <v>0.01</v>
      </c>
      <c r="G152" s="544">
        <v>0.109</v>
      </c>
      <c r="H152" s="681"/>
      <c r="I152" s="50"/>
      <c r="J152" s="50"/>
      <c r="K152" s="581"/>
      <c r="L152" s="581"/>
      <c r="M152" s="581"/>
    </row>
    <row r="153" spans="1:23" ht="15" customHeight="1" x14ac:dyDescent="0.2">
      <c r="A153" s="50">
        <v>150</v>
      </c>
      <c r="B153" s="544">
        <v>0.01</v>
      </c>
      <c r="C153" s="581">
        <f t="shared" si="2"/>
        <v>0.17</v>
      </c>
      <c r="D153" s="681"/>
      <c r="E153" s="50"/>
      <c r="F153" s="544">
        <v>0.01</v>
      </c>
      <c r="G153" s="544">
        <v>0.11</v>
      </c>
      <c r="H153" s="681"/>
      <c r="I153" s="50"/>
      <c r="J153" s="50"/>
      <c r="K153" s="581"/>
      <c r="L153" s="581"/>
      <c r="M153" s="581"/>
    </row>
    <row r="154" spans="1:23" x14ac:dyDescent="0.2">
      <c r="A154" s="50">
        <v>151</v>
      </c>
      <c r="B154" s="544">
        <v>0.01</v>
      </c>
      <c r="C154" s="544">
        <v>0.17100000000000001</v>
      </c>
      <c r="D154" s="681"/>
      <c r="E154" s="50"/>
      <c r="F154" s="544">
        <v>0.01</v>
      </c>
      <c r="G154" s="544">
        <v>0.11</v>
      </c>
      <c r="H154" s="50"/>
      <c r="I154" s="50"/>
      <c r="J154" s="50"/>
      <c r="K154" s="581"/>
      <c r="L154" s="581"/>
      <c r="M154" s="581"/>
    </row>
    <row r="155" spans="1:23" x14ac:dyDescent="0.2">
      <c r="A155" s="50">
        <v>152</v>
      </c>
      <c r="B155" s="544">
        <v>0.01</v>
      </c>
      <c r="C155" s="544">
        <v>0.17199999999999999</v>
      </c>
      <c r="D155" s="681"/>
      <c r="E155" s="50"/>
      <c r="F155" s="544">
        <v>0.01</v>
      </c>
      <c r="G155" s="544">
        <v>0.11</v>
      </c>
      <c r="H155" s="50"/>
      <c r="I155" s="50"/>
      <c r="J155" s="50"/>
      <c r="K155" s="581"/>
      <c r="L155" s="581"/>
      <c r="M155" s="581"/>
    </row>
    <row r="156" spans="1:23" x14ac:dyDescent="0.2">
      <c r="A156" s="50">
        <v>153</v>
      </c>
      <c r="B156" s="544">
        <v>0.01</v>
      </c>
      <c r="C156" s="544">
        <v>0.17299999999999999</v>
      </c>
      <c r="D156" s="681"/>
      <c r="E156" s="50"/>
      <c r="F156" s="544">
        <v>0.01</v>
      </c>
      <c r="G156" s="544">
        <v>0.11</v>
      </c>
      <c r="H156" s="50"/>
      <c r="I156" s="50"/>
      <c r="J156" s="50"/>
      <c r="K156" s="581"/>
      <c r="L156" s="581"/>
      <c r="M156" s="581"/>
    </row>
    <row r="157" spans="1:23" x14ac:dyDescent="0.2">
      <c r="A157" s="50">
        <v>154</v>
      </c>
      <c r="B157" s="544">
        <v>0.01</v>
      </c>
      <c r="C157" s="544">
        <v>0.17399999999999999</v>
      </c>
      <c r="D157" s="681"/>
      <c r="E157" s="50"/>
      <c r="F157" s="544">
        <v>0.01</v>
      </c>
      <c r="G157" s="544">
        <v>0.11</v>
      </c>
      <c r="H157" s="50"/>
      <c r="I157" s="50"/>
      <c r="J157" s="50"/>
      <c r="K157" s="581"/>
      <c r="L157" s="581"/>
      <c r="M157" s="581"/>
    </row>
    <row r="158" spans="1:23" x14ac:dyDescent="0.2">
      <c r="A158" s="50">
        <v>155</v>
      </c>
      <c r="B158" s="544">
        <v>0.01</v>
      </c>
      <c r="C158" s="544">
        <v>0.17499999999999999</v>
      </c>
      <c r="D158" s="681"/>
      <c r="E158" s="50"/>
      <c r="F158" s="544">
        <v>0.01</v>
      </c>
      <c r="G158" s="544">
        <v>0.11</v>
      </c>
      <c r="H158" s="50"/>
      <c r="I158" s="50"/>
      <c r="J158" s="50"/>
      <c r="K158" s="581"/>
      <c r="L158" s="581"/>
      <c r="M158" s="581"/>
    </row>
    <row r="159" spans="1:23" x14ac:dyDescent="0.2">
      <c r="A159" s="50">
        <v>156</v>
      </c>
      <c r="B159" s="544">
        <v>0.01</v>
      </c>
      <c r="C159" s="544">
        <v>0.17599999999999999</v>
      </c>
      <c r="D159" s="681"/>
      <c r="E159" s="50"/>
      <c r="F159" s="544">
        <v>0.01</v>
      </c>
      <c r="G159" s="544">
        <v>0.11</v>
      </c>
      <c r="H159" s="50"/>
      <c r="I159" s="50"/>
      <c r="J159" s="50"/>
      <c r="K159" s="581"/>
      <c r="L159" s="581"/>
      <c r="M159" s="581"/>
    </row>
    <row r="160" spans="1:23" x14ac:dyDescent="0.2">
      <c r="A160" s="50">
        <v>157</v>
      </c>
      <c r="B160" s="544">
        <v>0.01</v>
      </c>
      <c r="C160" s="544">
        <v>0.17699999999999999</v>
      </c>
      <c r="D160" s="681"/>
      <c r="E160" s="50"/>
      <c r="F160" s="544">
        <v>0.01</v>
      </c>
      <c r="G160" s="544">
        <v>0.11</v>
      </c>
      <c r="H160" s="50"/>
      <c r="I160" s="50"/>
      <c r="J160" s="50"/>
      <c r="K160" s="581"/>
      <c r="L160" s="581"/>
      <c r="M160" s="581"/>
    </row>
    <row r="161" spans="1:13" x14ac:dyDescent="0.2">
      <c r="A161" s="50">
        <v>158</v>
      </c>
      <c r="B161" s="544">
        <v>0.01</v>
      </c>
      <c r="C161" s="544">
        <v>0.17799999999999999</v>
      </c>
      <c r="D161" s="681"/>
      <c r="E161" s="50"/>
      <c r="F161" s="544">
        <v>0.01</v>
      </c>
      <c r="G161" s="544">
        <v>0.11</v>
      </c>
      <c r="H161" s="50"/>
      <c r="I161" s="50"/>
      <c r="J161" s="50"/>
      <c r="K161" s="581"/>
      <c r="L161" s="581"/>
      <c r="M161" s="581"/>
    </row>
    <row r="162" spans="1:13" x14ac:dyDescent="0.2">
      <c r="A162" s="50">
        <v>159</v>
      </c>
      <c r="B162" s="544">
        <v>0.01</v>
      </c>
      <c r="C162" s="544">
        <v>0.17899999999999999</v>
      </c>
      <c r="D162" s="681"/>
      <c r="E162" s="50"/>
      <c r="F162" s="544">
        <v>0.01</v>
      </c>
      <c r="G162" s="544">
        <v>0.11</v>
      </c>
      <c r="H162" s="50"/>
      <c r="I162" s="50"/>
      <c r="J162" s="50"/>
      <c r="K162" s="581"/>
      <c r="L162" s="581"/>
      <c r="M162" s="581"/>
    </row>
    <row r="163" spans="1:13" x14ac:dyDescent="0.2">
      <c r="A163" s="50">
        <v>160</v>
      </c>
      <c r="B163" s="544">
        <v>0.01</v>
      </c>
      <c r="C163" s="544">
        <v>0.18</v>
      </c>
      <c r="D163" s="681"/>
      <c r="E163" s="50"/>
      <c r="F163" s="544">
        <v>0.01</v>
      </c>
      <c r="G163" s="544">
        <v>0.11</v>
      </c>
      <c r="H163" s="50"/>
      <c r="I163" s="50"/>
      <c r="J163" s="50"/>
      <c r="K163" s="581"/>
      <c r="L163" s="581"/>
      <c r="M163" s="581"/>
    </row>
    <row r="164" spans="1:13" x14ac:dyDescent="0.2">
      <c r="A164" s="50">
        <v>161</v>
      </c>
      <c r="B164" s="544">
        <v>0.01</v>
      </c>
      <c r="C164" s="544">
        <v>0.18</v>
      </c>
      <c r="D164" s="50"/>
      <c r="E164" s="50"/>
      <c r="F164" s="544">
        <v>8.9999999999999993E-3</v>
      </c>
      <c r="G164" s="544">
        <v>0.11</v>
      </c>
      <c r="H164" s="50"/>
      <c r="I164" s="50"/>
      <c r="J164" s="50"/>
      <c r="K164" s="581"/>
      <c r="L164" s="581"/>
      <c r="M164" s="581"/>
    </row>
    <row r="165" spans="1:13" x14ac:dyDescent="0.2">
      <c r="A165" s="50">
        <v>162</v>
      </c>
      <c r="B165" s="544">
        <v>0.01</v>
      </c>
      <c r="C165" s="544">
        <v>0.18</v>
      </c>
      <c r="D165" s="50"/>
      <c r="E165" s="50"/>
      <c r="F165" s="544">
        <v>8.0000000000000002E-3</v>
      </c>
      <c r="G165" s="544">
        <v>0.11</v>
      </c>
      <c r="H165" s="50"/>
      <c r="I165" s="50"/>
      <c r="J165" s="50"/>
      <c r="K165" s="581"/>
      <c r="L165" s="581"/>
      <c r="M165" s="581"/>
    </row>
    <row r="166" spans="1:13" x14ac:dyDescent="0.2">
      <c r="A166" s="50">
        <v>163</v>
      </c>
      <c r="B166" s="544">
        <v>0.01</v>
      </c>
      <c r="C166" s="544">
        <v>0.18</v>
      </c>
      <c r="D166" s="50"/>
      <c r="E166" s="50"/>
      <c r="F166" s="544">
        <v>7.0000000000000001E-3</v>
      </c>
      <c r="G166" s="544">
        <v>0.11</v>
      </c>
      <c r="H166" s="50"/>
      <c r="I166" s="50"/>
      <c r="J166" s="50"/>
      <c r="K166" s="581"/>
      <c r="L166" s="581"/>
      <c r="M166" s="581"/>
    </row>
    <row r="167" spans="1:13" x14ac:dyDescent="0.2">
      <c r="A167" s="50">
        <v>164</v>
      </c>
      <c r="B167" s="544">
        <v>0.01</v>
      </c>
      <c r="C167" s="544">
        <v>0.18</v>
      </c>
      <c r="D167" s="50"/>
      <c r="E167" s="50"/>
      <c r="F167" s="544">
        <v>6.0000000000000001E-3</v>
      </c>
      <c r="G167" s="544">
        <v>0.11</v>
      </c>
      <c r="H167" s="50"/>
      <c r="I167" s="50"/>
      <c r="J167" s="50"/>
      <c r="K167" s="581"/>
      <c r="L167" s="581"/>
      <c r="M167" s="581"/>
    </row>
    <row r="168" spans="1:13" x14ac:dyDescent="0.2">
      <c r="A168" s="50">
        <v>165</v>
      </c>
      <c r="B168" s="544">
        <v>0.01</v>
      </c>
      <c r="C168" s="544">
        <v>0.18</v>
      </c>
      <c r="D168" s="50"/>
      <c r="E168" s="50"/>
      <c r="F168" s="544">
        <v>5.0000000000000001E-3</v>
      </c>
      <c r="G168" s="544">
        <v>0.11</v>
      </c>
      <c r="H168" s="50"/>
      <c r="I168" s="50"/>
      <c r="J168" s="50"/>
      <c r="K168" s="581"/>
      <c r="L168" s="581"/>
      <c r="M168" s="581"/>
    </row>
    <row r="169" spans="1:13" x14ac:dyDescent="0.2">
      <c r="A169" s="50">
        <v>166</v>
      </c>
      <c r="B169" s="544">
        <v>0.01</v>
      </c>
      <c r="C169" s="544">
        <v>0.18</v>
      </c>
      <c r="D169" s="50"/>
      <c r="E169" s="50"/>
      <c r="F169" s="544">
        <v>4.0000000000000001E-3</v>
      </c>
      <c r="G169" s="544">
        <v>0.11</v>
      </c>
      <c r="H169" s="50"/>
      <c r="I169" s="50"/>
      <c r="J169" s="50"/>
      <c r="K169" s="581"/>
      <c r="L169" s="581"/>
      <c r="M169" s="581"/>
    </row>
    <row r="170" spans="1:13" x14ac:dyDescent="0.2">
      <c r="A170" s="50">
        <v>167</v>
      </c>
      <c r="B170" s="544">
        <v>0.01</v>
      </c>
      <c r="C170" s="544">
        <v>0.18</v>
      </c>
      <c r="D170" s="50"/>
      <c r="E170" s="50"/>
      <c r="F170" s="544">
        <v>3.0000000000000001E-3</v>
      </c>
      <c r="G170" s="544">
        <v>0.11</v>
      </c>
      <c r="H170" s="50"/>
      <c r="I170" s="50"/>
      <c r="J170" s="50"/>
      <c r="K170" s="581"/>
      <c r="L170" s="581"/>
      <c r="M170" s="581"/>
    </row>
    <row r="171" spans="1:13" x14ac:dyDescent="0.2">
      <c r="A171" s="50">
        <v>168</v>
      </c>
      <c r="B171" s="544">
        <v>0.01</v>
      </c>
      <c r="C171" s="544">
        <v>0.18</v>
      </c>
      <c r="D171" s="50"/>
      <c r="E171" s="50"/>
      <c r="F171" s="544">
        <v>2E-3</v>
      </c>
      <c r="G171" s="544">
        <v>0.11</v>
      </c>
      <c r="H171" s="50"/>
      <c r="I171" s="50"/>
      <c r="J171" s="50"/>
      <c r="K171" s="581"/>
      <c r="L171" s="581"/>
      <c r="M171" s="581"/>
    </row>
    <row r="172" spans="1:13" x14ac:dyDescent="0.2">
      <c r="A172" s="50">
        <v>169</v>
      </c>
      <c r="B172" s="544">
        <v>0.01</v>
      </c>
      <c r="C172" s="544">
        <v>0.18</v>
      </c>
      <c r="D172" s="50"/>
      <c r="E172" s="50"/>
      <c r="F172" s="544">
        <v>1E-3</v>
      </c>
      <c r="G172" s="544">
        <v>0.11</v>
      </c>
      <c r="H172" s="50"/>
      <c r="I172" s="50"/>
      <c r="J172" s="50"/>
      <c r="K172" s="581"/>
      <c r="L172" s="581"/>
      <c r="M172" s="581"/>
    </row>
    <row r="173" spans="1:13" x14ac:dyDescent="0.2">
      <c r="A173" s="50">
        <v>170</v>
      </c>
      <c r="B173" s="544">
        <v>0.01</v>
      </c>
      <c r="C173" s="544">
        <v>0.18</v>
      </c>
      <c r="D173" s="50"/>
      <c r="E173" s="50"/>
      <c r="F173" s="544">
        <v>0</v>
      </c>
      <c r="G173" s="544">
        <v>0.11</v>
      </c>
      <c r="H173" s="50"/>
      <c r="I173" s="50"/>
      <c r="J173" s="50"/>
      <c r="K173" s="581"/>
      <c r="L173" s="581"/>
      <c r="M173" s="581"/>
    </row>
    <row r="174" spans="1:13" x14ac:dyDescent="0.2">
      <c r="A174" s="50">
        <v>171</v>
      </c>
      <c r="B174" s="544">
        <v>8.9999999999999993E-3</v>
      </c>
      <c r="C174" s="544">
        <v>0.18</v>
      </c>
      <c r="D174" s="681"/>
      <c r="E174" s="50"/>
      <c r="F174" s="544">
        <v>0</v>
      </c>
      <c r="G174" s="544">
        <v>0.11</v>
      </c>
      <c r="H174" s="50"/>
      <c r="I174" s="50"/>
      <c r="J174" s="50"/>
      <c r="K174" s="581"/>
      <c r="L174" s="581"/>
      <c r="M174" s="581"/>
    </row>
    <row r="175" spans="1:13" x14ac:dyDescent="0.2">
      <c r="A175" s="50">
        <v>172</v>
      </c>
      <c r="B175" s="544">
        <v>8.0000000000000002E-3</v>
      </c>
      <c r="C175" s="544">
        <v>0.18</v>
      </c>
      <c r="D175" s="681"/>
      <c r="E175" s="50"/>
      <c r="F175" s="544">
        <v>0</v>
      </c>
      <c r="G175" s="544">
        <v>0.11</v>
      </c>
      <c r="H175" s="50"/>
      <c r="I175" s="50"/>
      <c r="J175" s="50"/>
      <c r="K175" s="581"/>
      <c r="L175" s="581"/>
      <c r="M175" s="581"/>
    </row>
    <row r="176" spans="1:13" x14ac:dyDescent="0.2">
      <c r="A176" s="50">
        <v>173</v>
      </c>
      <c r="B176" s="544">
        <v>7.0000000000000001E-3</v>
      </c>
      <c r="C176" s="544">
        <v>0.18</v>
      </c>
      <c r="D176" s="681"/>
      <c r="E176" s="50"/>
      <c r="F176" s="544">
        <v>0</v>
      </c>
      <c r="G176" s="544">
        <v>0.11</v>
      </c>
      <c r="H176" s="50"/>
      <c r="I176" s="50"/>
      <c r="J176" s="50"/>
      <c r="K176" s="581"/>
      <c r="L176" s="581"/>
      <c r="M176" s="581"/>
    </row>
    <row r="177" spans="1:13" x14ac:dyDescent="0.2">
      <c r="A177" s="50">
        <v>174</v>
      </c>
      <c r="B177" s="544">
        <v>6.0000000000000001E-3</v>
      </c>
      <c r="C177" s="544">
        <v>0.18</v>
      </c>
      <c r="D177" s="681"/>
      <c r="E177" s="50"/>
      <c r="F177" s="544">
        <v>0</v>
      </c>
      <c r="G177" s="544">
        <v>0.11</v>
      </c>
      <c r="H177" s="50"/>
      <c r="I177" s="50"/>
      <c r="J177" s="50"/>
      <c r="K177" s="581"/>
      <c r="L177" s="581"/>
      <c r="M177" s="581"/>
    </row>
    <row r="178" spans="1:13" x14ac:dyDescent="0.2">
      <c r="A178" s="50">
        <v>175</v>
      </c>
      <c r="B178" s="544">
        <v>5.0000000000000001E-3</v>
      </c>
      <c r="C178" s="544">
        <v>0.18</v>
      </c>
      <c r="D178" s="681"/>
      <c r="E178" s="50"/>
      <c r="F178" s="544">
        <v>0</v>
      </c>
      <c r="G178" s="544">
        <v>0.11</v>
      </c>
      <c r="H178" s="50"/>
      <c r="I178" s="50"/>
      <c r="J178" s="50"/>
      <c r="K178" s="581"/>
      <c r="L178" s="581"/>
      <c r="M178" s="581"/>
    </row>
    <row r="179" spans="1:13" x14ac:dyDescent="0.2">
      <c r="A179" s="50">
        <v>176</v>
      </c>
      <c r="B179" s="544">
        <v>4.0000000000000001E-3</v>
      </c>
      <c r="C179" s="544">
        <v>0.18</v>
      </c>
      <c r="D179" s="681"/>
      <c r="E179" s="50"/>
      <c r="F179" s="544">
        <v>0</v>
      </c>
      <c r="G179" s="544">
        <v>0.11</v>
      </c>
      <c r="H179" s="50"/>
      <c r="I179" s="50"/>
      <c r="J179" s="50"/>
      <c r="K179" s="581"/>
      <c r="L179" s="581"/>
      <c r="M179" s="581"/>
    </row>
    <row r="180" spans="1:13" x14ac:dyDescent="0.2">
      <c r="A180" s="50">
        <v>177</v>
      </c>
      <c r="B180" s="544">
        <v>3.0000000000000001E-3</v>
      </c>
      <c r="C180" s="544">
        <v>0.18</v>
      </c>
      <c r="D180" s="681"/>
      <c r="E180" s="50"/>
      <c r="F180" s="544">
        <v>0</v>
      </c>
      <c r="G180" s="544">
        <v>0.11</v>
      </c>
      <c r="H180" s="50"/>
      <c r="I180" s="50"/>
      <c r="J180" s="50"/>
      <c r="K180" s="581"/>
      <c r="L180" s="581"/>
      <c r="M180" s="581"/>
    </row>
    <row r="181" spans="1:13" x14ac:dyDescent="0.2">
      <c r="A181" s="50">
        <v>178</v>
      </c>
      <c r="B181" s="544">
        <v>2E-3</v>
      </c>
      <c r="C181" s="544">
        <v>0.18</v>
      </c>
      <c r="D181" s="681"/>
      <c r="E181" s="50"/>
      <c r="F181" s="544">
        <v>0</v>
      </c>
      <c r="G181" s="544">
        <v>0.11</v>
      </c>
      <c r="H181" s="50"/>
      <c r="I181" s="50"/>
      <c r="J181" s="50"/>
      <c r="K181" s="581"/>
      <c r="L181" s="581"/>
      <c r="M181" s="581"/>
    </row>
    <row r="182" spans="1:13" x14ac:dyDescent="0.2">
      <c r="A182" s="50">
        <v>179</v>
      </c>
      <c r="B182" s="544">
        <v>1E-3</v>
      </c>
      <c r="C182" s="544">
        <v>0.18</v>
      </c>
      <c r="D182" s="681"/>
      <c r="E182" s="50"/>
      <c r="F182" s="544">
        <v>0</v>
      </c>
      <c r="G182" s="544">
        <v>0.11</v>
      </c>
      <c r="H182" s="50"/>
      <c r="I182" s="50"/>
      <c r="J182" s="50"/>
      <c r="K182" s="581"/>
      <c r="L182" s="581"/>
      <c r="M182" s="581"/>
    </row>
    <row r="183" spans="1:13" x14ac:dyDescent="0.2">
      <c r="A183" s="50">
        <v>180</v>
      </c>
      <c r="B183" s="544">
        <v>0</v>
      </c>
      <c r="C183" s="544">
        <v>0.18</v>
      </c>
      <c r="D183" s="681"/>
      <c r="E183" s="50"/>
      <c r="F183" s="544">
        <v>0</v>
      </c>
      <c r="G183" s="544">
        <v>0.11</v>
      </c>
      <c r="H183" s="681"/>
      <c r="I183" s="50"/>
      <c r="J183" s="50"/>
      <c r="K183" s="581"/>
      <c r="L183" s="581"/>
      <c r="M183" s="581"/>
    </row>
    <row r="304" spans="3:3" x14ac:dyDescent="0.2">
      <c r="C304" s="14"/>
    </row>
    <row r="305" spans="1:3" x14ac:dyDescent="0.2">
      <c r="C305" s="14"/>
    </row>
    <row r="306" spans="1:3" x14ac:dyDescent="0.2">
      <c r="C306" s="14"/>
    </row>
    <row r="307" spans="1:3" x14ac:dyDescent="0.2">
      <c r="A307" s="14"/>
      <c r="C307" s="14"/>
    </row>
    <row r="308" spans="1:3" x14ac:dyDescent="0.2">
      <c r="A308" s="14"/>
      <c r="C308" s="14"/>
    </row>
    <row r="309" spans="1:3" x14ac:dyDescent="0.2">
      <c r="A309" s="14"/>
      <c r="C309" s="14"/>
    </row>
    <row r="310" spans="1:3" x14ac:dyDescent="0.2">
      <c r="A310" s="14"/>
      <c r="C310" s="14"/>
    </row>
    <row r="311" spans="1:3" x14ac:dyDescent="0.2">
      <c r="A311" s="14"/>
      <c r="C311" s="14"/>
    </row>
    <row r="312" spans="1:3" x14ac:dyDescent="0.2">
      <c r="A312" s="14"/>
    </row>
    <row r="313" spans="1:3" x14ac:dyDescent="0.2">
      <c r="A313" s="14"/>
    </row>
    <row r="314" spans="1:3" x14ac:dyDescent="0.2">
      <c r="A314" s="14"/>
    </row>
    <row r="315" spans="1:3" x14ac:dyDescent="0.2">
      <c r="A315" s="14"/>
    </row>
    <row r="316" spans="1:3" x14ac:dyDescent="0.2">
      <c r="A316" s="14"/>
    </row>
    <row r="317" spans="1:3" x14ac:dyDescent="0.2">
      <c r="A317" s="14"/>
    </row>
    <row r="318" spans="1:3" x14ac:dyDescent="0.2">
      <c r="A318" s="14"/>
    </row>
    <row r="319" spans="1:3" x14ac:dyDescent="0.2">
      <c r="A319" s="14"/>
    </row>
    <row r="320" spans="1:3" x14ac:dyDescent="0.2">
      <c r="A320" s="14"/>
    </row>
    <row r="321" spans="1:1" x14ac:dyDescent="0.2">
      <c r="A321" s="14"/>
    </row>
    <row r="322" spans="1:1" x14ac:dyDescent="0.2">
      <c r="A322" s="14"/>
    </row>
    <row r="323" spans="1:1" x14ac:dyDescent="0.2">
      <c r="A323" s="14"/>
    </row>
    <row r="324" spans="1:1" x14ac:dyDescent="0.2">
      <c r="A324" s="14"/>
    </row>
    <row r="325" spans="1:1" x14ac:dyDescent="0.2">
      <c r="A325" s="14"/>
    </row>
    <row r="326" spans="1:1" x14ac:dyDescent="0.2">
      <c r="A326" s="14"/>
    </row>
    <row r="327" spans="1:1" x14ac:dyDescent="0.2">
      <c r="A327" s="14"/>
    </row>
    <row r="328" spans="1:1" x14ac:dyDescent="0.2">
      <c r="A328" s="14"/>
    </row>
    <row r="329" spans="1:1" x14ac:dyDescent="0.2">
      <c r="A329" s="14"/>
    </row>
    <row r="330" spans="1:1" x14ac:dyDescent="0.2">
      <c r="A330" s="14"/>
    </row>
    <row r="331" spans="1:1" x14ac:dyDescent="0.2">
      <c r="A331" s="14"/>
    </row>
    <row r="332" spans="1:1" x14ac:dyDescent="0.2">
      <c r="A332" s="14"/>
    </row>
    <row r="333" spans="1:1" x14ac:dyDescent="0.2">
      <c r="A333" s="14"/>
    </row>
    <row r="334" spans="1:1" x14ac:dyDescent="0.2">
      <c r="A334" s="14"/>
    </row>
    <row r="335" spans="1:1" x14ac:dyDescent="0.2">
      <c r="A335" s="14"/>
    </row>
    <row r="336" spans="1:1" x14ac:dyDescent="0.2">
      <c r="A336" s="14"/>
    </row>
    <row r="337" spans="1:1" x14ac:dyDescent="0.2">
      <c r="A337" s="14"/>
    </row>
    <row r="338" spans="1:1" x14ac:dyDescent="0.2">
      <c r="A338" s="14"/>
    </row>
    <row r="339" spans="1:1" x14ac:dyDescent="0.2">
      <c r="A339" s="14"/>
    </row>
    <row r="340" spans="1:1" x14ac:dyDescent="0.2">
      <c r="A340" s="14"/>
    </row>
    <row r="341" spans="1:1" x14ac:dyDescent="0.2">
      <c r="A341" s="14"/>
    </row>
    <row r="342" spans="1:1" x14ac:dyDescent="0.2">
      <c r="A342" s="14"/>
    </row>
    <row r="343" spans="1:1" x14ac:dyDescent="0.2">
      <c r="A343" s="14"/>
    </row>
    <row r="344" spans="1:1" x14ac:dyDescent="0.2">
      <c r="A344" s="14"/>
    </row>
    <row r="345" spans="1:1" x14ac:dyDescent="0.2">
      <c r="A345" s="14"/>
    </row>
    <row r="346" spans="1:1" x14ac:dyDescent="0.2">
      <c r="A346" s="14"/>
    </row>
    <row r="347" spans="1:1" x14ac:dyDescent="0.2">
      <c r="A347" s="14"/>
    </row>
    <row r="348" spans="1:1" x14ac:dyDescent="0.2">
      <c r="A348" s="14"/>
    </row>
    <row r="349" spans="1:1" x14ac:dyDescent="0.2">
      <c r="A349" s="14"/>
    </row>
    <row r="350" spans="1:1" x14ac:dyDescent="0.2">
      <c r="A350" s="14"/>
    </row>
    <row r="351" spans="1:1" x14ac:dyDescent="0.2">
      <c r="A351" s="14"/>
    </row>
    <row r="352" spans="1:1" x14ac:dyDescent="0.2">
      <c r="A352" s="14"/>
    </row>
    <row r="353" spans="1:1" x14ac:dyDescent="0.2">
      <c r="A353" s="14"/>
    </row>
    <row r="354" spans="1:1" x14ac:dyDescent="0.2">
      <c r="A354" s="14"/>
    </row>
    <row r="355" spans="1:1" x14ac:dyDescent="0.2">
      <c r="A355" s="14"/>
    </row>
    <row r="356" spans="1:1" x14ac:dyDescent="0.2">
      <c r="A356" s="14"/>
    </row>
    <row r="357" spans="1:1" x14ac:dyDescent="0.2">
      <c r="A357" s="14"/>
    </row>
    <row r="358" spans="1:1" x14ac:dyDescent="0.2">
      <c r="A358" s="14"/>
    </row>
    <row r="359" spans="1:1" x14ac:dyDescent="0.2">
      <c r="A359" s="14"/>
    </row>
    <row r="360" spans="1:1" x14ac:dyDescent="0.2">
      <c r="A360" s="14"/>
    </row>
    <row r="361" spans="1:1" x14ac:dyDescent="0.2">
      <c r="A361" s="14"/>
    </row>
    <row r="362" spans="1:1" x14ac:dyDescent="0.2">
      <c r="A362" s="14"/>
    </row>
    <row r="363" spans="1:1" x14ac:dyDescent="0.2">
      <c r="A363" s="14"/>
    </row>
    <row r="364" spans="1:1" x14ac:dyDescent="0.2">
      <c r="A364" s="14"/>
    </row>
    <row r="365" spans="1:1" x14ac:dyDescent="0.2">
      <c r="A365" s="14"/>
    </row>
    <row r="366" spans="1:1" x14ac:dyDescent="0.2">
      <c r="A366" s="14"/>
    </row>
    <row r="367" spans="1:1" x14ac:dyDescent="0.2">
      <c r="A367" s="14"/>
    </row>
    <row r="368" spans="1:1" x14ac:dyDescent="0.2">
      <c r="A368" s="14"/>
    </row>
    <row r="369" spans="1:1" x14ac:dyDescent="0.2">
      <c r="A369" s="14"/>
    </row>
    <row r="370" spans="1:1" x14ac:dyDescent="0.2">
      <c r="A370" s="14"/>
    </row>
    <row r="371" spans="1:1" x14ac:dyDescent="0.2">
      <c r="A371" s="14"/>
    </row>
    <row r="372" spans="1:1" x14ac:dyDescent="0.2">
      <c r="A372" s="14"/>
    </row>
    <row r="373" spans="1:1" x14ac:dyDescent="0.2">
      <c r="A373" s="14"/>
    </row>
    <row r="374" spans="1:1" x14ac:dyDescent="0.2">
      <c r="A374" s="14"/>
    </row>
    <row r="375" spans="1:1" x14ac:dyDescent="0.2">
      <c r="A375" s="14"/>
    </row>
    <row r="376" spans="1:1" x14ac:dyDescent="0.2">
      <c r="A376" s="14"/>
    </row>
    <row r="377" spans="1:1" x14ac:dyDescent="0.2">
      <c r="A377" s="14"/>
    </row>
    <row r="378" spans="1:1" x14ac:dyDescent="0.2">
      <c r="A378" s="14"/>
    </row>
    <row r="379" spans="1:1" x14ac:dyDescent="0.2">
      <c r="A379" s="14"/>
    </row>
    <row r="380" spans="1:1" x14ac:dyDescent="0.2">
      <c r="A380" s="14"/>
    </row>
    <row r="381" spans="1:1" x14ac:dyDescent="0.2">
      <c r="A381" s="14"/>
    </row>
    <row r="382" spans="1:1" x14ac:dyDescent="0.2">
      <c r="A382" s="14"/>
    </row>
    <row r="383" spans="1:1" x14ac:dyDescent="0.2">
      <c r="A383" s="14"/>
    </row>
    <row r="384" spans="1:1" x14ac:dyDescent="0.2">
      <c r="A384" s="14"/>
    </row>
    <row r="385" spans="1:1" x14ac:dyDescent="0.2">
      <c r="A385" s="14"/>
    </row>
    <row r="386" spans="1:1" x14ac:dyDescent="0.2">
      <c r="A386" s="14"/>
    </row>
    <row r="387" spans="1:1" x14ac:dyDescent="0.2">
      <c r="A387" s="14"/>
    </row>
    <row r="388" spans="1:1" x14ac:dyDescent="0.2">
      <c r="A388" s="14"/>
    </row>
    <row r="389" spans="1:1" x14ac:dyDescent="0.2">
      <c r="A389" s="14"/>
    </row>
    <row r="390" spans="1:1" x14ac:dyDescent="0.2">
      <c r="A390" s="14"/>
    </row>
    <row r="391" spans="1:1" x14ac:dyDescent="0.2">
      <c r="A391" s="14"/>
    </row>
    <row r="392" spans="1:1" x14ac:dyDescent="0.2">
      <c r="A392" s="14"/>
    </row>
    <row r="393" spans="1:1" x14ac:dyDescent="0.2">
      <c r="A393" s="14"/>
    </row>
    <row r="394" spans="1:1" x14ac:dyDescent="0.2">
      <c r="A394" s="14"/>
    </row>
    <row r="395" spans="1:1" x14ac:dyDescent="0.2">
      <c r="A395" s="14"/>
    </row>
    <row r="396" spans="1:1" x14ac:dyDescent="0.2">
      <c r="A396" s="14"/>
    </row>
    <row r="397" spans="1:1" x14ac:dyDescent="0.2">
      <c r="A397" s="14"/>
    </row>
    <row r="398" spans="1:1" x14ac:dyDescent="0.2">
      <c r="A398" s="14"/>
    </row>
    <row r="399" spans="1:1" x14ac:dyDescent="0.2">
      <c r="A399" s="14"/>
    </row>
    <row r="400" spans="1:1" x14ac:dyDescent="0.2">
      <c r="A400" s="14"/>
    </row>
    <row r="401" spans="1:1" x14ac:dyDescent="0.2">
      <c r="A401" s="14"/>
    </row>
    <row r="402" spans="1:1" x14ac:dyDescent="0.2">
      <c r="A402" s="14"/>
    </row>
    <row r="403" spans="1:1" x14ac:dyDescent="0.2">
      <c r="A403" s="14"/>
    </row>
    <row r="404" spans="1:1" x14ac:dyDescent="0.2">
      <c r="A404" s="14"/>
    </row>
    <row r="405" spans="1:1" x14ac:dyDescent="0.2">
      <c r="A405" s="14"/>
    </row>
    <row r="406" spans="1:1" x14ac:dyDescent="0.2">
      <c r="A406" s="14"/>
    </row>
    <row r="407" spans="1:1" x14ac:dyDescent="0.2">
      <c r="A407" s="14"/>
    </row>
    <row r="408" spans="1:1" x14ac:dyDescent="0.2">
      <c r="A408" s="14"/>
    </row>
    <row r="409" spans="1:1" x14ac:dyDescent="0.2">
      <c r="A409" s="14"/>
    </row>
    <row r="410" spans="1:1" x14ac:dyDescent="0.2">
      <c r="A410" s="14"/>
    </row>
    <row r="411" spans="1:1" x14ac:dyDescent="0.2">
      <c r="A411" s="14"/>
    </row>
    <row r="412" spans="1:1" x14ac:dyDescent="0.2">
      <c r="A412" s="14"/>
    </row>
    <row r="413" spans="1:1" x14ac:dyDescent="0.2">
      <c r="A413" s="14"/>
    </row>
    <row r="414" spans="1:1" x14ac:dyDescent="0.2">
      <c r="A414" s="14"/>
    </row>
    <row r="415" spans="1:1" x14ac:dyDescent="0.2">
      <c r="A415" s="14"/>
    </row>
    <row r="416" spans="1:1" x14ac:dyDescent="0.2">
      <c r="A416" s="14"/>
    </row>
    <row r="417" spans="1:1" x14ac:dyDescent="0.2">
      <c r="A417" s="14"/>
    </row>
    <row r="418" spans="1:1" x14ac:dyDescent="0.2">
      <c r="A418" s="14"/>
    </row>
    <row r="419" spans="1:1" x14ac:dyDescent="0.2">
      <c r="A419" s="14"/>
    </row>
    <row r="420" spans="1:1" x14ac:dyDescent="0.2">
      <c r="A420" s="14"/>
    </row>
    <row r="421" spans="1:1" x14ac:dyDescent="0.2">
      <c r="A421" s="14"/>
    </row>
    <row r="422" spans="1:1" x14ac:dyDescent="0.2">
      <c r="A422" s="14"/>
    </row>
    <row r="423" spans="1:1" x14ac:dyDescent="0.2">
      <c r="A423" s="14"/>
    </row>
    <row r="424" spans="1:1" x14ac:dyDescent="0.2">
      <c r="A424" s="14"/>
    </row>
    <row r="425" spans="1:1" x14ac:dyDescent="0.2">
      <c r="A425" s="14"/>
    </row>
    <row r="426" spans="1:1" x14ac:dyDescent="0.2">
      <c r="A426" s="14"/>
    </row>
    <row r="427" spans="1:1" x14ac:dyDescent="0.2">
      <c r="A427" s="14"/>
    </row>
    <row r="428" spans="1:1" x14ac:dyDescent="0.2">
      <c r="A428" s="14"/>
    </row>
    <row r="429" spans="1:1" x14ac:dyDescent="0.2">
      <c r="A429" s="14"/>
    </row>
    <row r="430" spans="1:1" x14ac:dyDescent="0.2">
      <c r="A430" s="14"/>
    </row>
    <row r="431" spans="1:1" x14ac:dyDescent="0.2">
      <c r="A431" s="14"/>
    </row>
    <row r="432" spans="1:1" x14ac:dyDescent="0.2">
      <c r="A432" s="14"/>
    </row>
    <row r="433" spans="1:1" x14ac:dyDescent="0.2">
      <c r="A433" s="14"/>
    </row>
    <row r="434" spans="1:1" x14ac:dyDescent="0.2">
      <c r="A434" s="14"/>
    </row>
    <row r="435" spans="1:1" x14ac:dyDescent="0.2">
      <c r="A435" s="14"/>
    </row>
    <row r="436" spans="1:1" x14ac:dyDescent="0.2">
      <c r="A436" s="14"/>
    </row>
    <row r="437" spans="1:1" x14ac:dyDescent="0.2">
      <c r="A437" s="14"/>
    </row>
    <row r="438" spans="1:1" x14ac:dyDescent="0.2">
      <c r="A438" s="14"/>
    </row>
    <row r="439" spans="1:1" x14ac:dyDescent="0.2">
      <c r="A439" s="14"/>
    </row>
    <row r="440" spans="1:1" x14ac:dyDescent="0.2">
      <c r="A440" s="14"/>
    </row>
    <row r="441" spans="1:1" x14ac:dyDescent="0.2">
      <c r="A441" s="14"/>
    </row>
    <row r="442" spans="1:1" x14ac:dyDescent="0.2">
      <c r="A442" s="14"/>
    </row>
    <row r="443" spans="1:1" x14ac:dyDescent="0.2">
      <c r="A443" s="14"/>
    </row>
    <row r="444" spans="1:1" x14ac:dyDescent="0.2">
      <c r="A444" s="14"/>
    </row>
    <row r="445" spans="1:1" x14ac:dyDescent="0.2">
      <c r="A445" s="14"/>
    </row>
    <row r="446" spans="1:1" x14ac:dyDescent="0.2">
      <c r="A446" s="14"/>
    </row>
    <row r="447" spans="1:1" x14ac:dyDescent="0.2">
      <c r="A447" s="14"/>
    </row>
    <row r="448" spans="1:1" x14ac:dyDescent="0.2">
      <c r="A448" s="14"/>
    </row>
    <row r="449" spans="1:1" x14ac:dyDescent="0.2">
      <c r="A449" s="14"/>
    </row>
    <row r="450" spans="1:1" x14ac:dyDescent="0.2">
      <c r="A450" s="14"/>
    </row>
    <row r="451" spans="1:1" x14ac:dyDescent="0.2">
      <c r="A451" s="14"/>
    </row>
    <row r="452" spans="1:1" x14ac:dyDescent="0.2">
      <c r="A452" s="14"/>
    </row>
    <row r="453" spans="1:1" x14ac:dyDescent="0.2">
      <c r="A453" s="14"/>
    </row>
    <row r="454" spans="1:1" x14ac:dyDescent="0.2">
      <c r="A454" s="14"/>
    </row>
    <row r="455" spans="1:1" x14ac:dyDescent="0.2">
      <c r="A455" s="14"/>
    </row>
    <row r="456" spans="1:1" x14ac:dyDescent="0.2">
      <c r="A456" s="14"/>
    </row>
    <row r="457" spans="1:1" x14ac:dyDescent="0.2">
      <c r="A457" s="14"/>
    </row>
    <row r="458" spans="1:1" x14ac:dyDescent="0.2">
      <c r="A458" s="14"/>
    </row>
    <row r="459" spans="1:1" x14ac:dyDescent="0.2">
      <c r="A459" s="14"/>
    </row>
    <row r="460" spans="1:1" x14ac:dyDescent="0.2">
      <c r="A460" s="14"/>
    </row>
    <row r="461" spans="1:1" x14ac:dyDescent="0.2">
      <c r="A461" s="14"/>
    </row>
    <row r="462" spans="1:1" x14ac:dyDescent="0.2">
      <c r="A462" s="14"/>
    </row>
    <row r="463" spans="1:1" x14ac:dyDescent="0.2">
      <c r="A463" s="14"/>
    </row>
    <row r="464" spans="1:1" x14ac:dyDescent="0.2">
      <c r="A464" s="14"/>
    </row>
    <row r="465" spans="1:1" x14ac:dyDescent="0.2">
      <c r="A465" s="14"/>
    </row>
    <row r="466" spans="1:1" x14ac:dyDescent="0.2">
      <c r="A466" s="14"/>
    </row>
    <row r="467" spans="1:1" x14ac:dyDescent="0.2">
      <c r="A467" s="14"/>
    </row>
    <row r="468" spans="1:1" x14ac:dyDescent="0.2">
      <c r="A468" s="14"/>
    </row>
    <row r="469" spans="1:1" x14ac:dyDescent="0.2">
      <c r="A469" s="14"/>
    </row>
    <row r="470" spans="1:1" x14ac:dyDescent="0.2">
      <c r="A470" s="14"/>
    </row>
    <row r="471" spans="1:1" x14ac:dyDescent="0.2">
      <c r="A471" s="14"/>
    </row>
    <row r="472" spans="1:1" x14ac:dyDescent="0.2">
      <c r="A472" s="14"/>
    </row>
    <row r="473" spans="1:1" x14ac:dyDescent="0.2">
      <c r="A473" s="14"/>
    </row>
    <row r="474" spans="1:1" x14ac:dyDescent="0.2">
      <c r="A474" s="14"/>
    </row>
    <row r="475" spans="1:1" x14ac:dyDescent="0.2">
      <c r="A475" s="14"/>
    </row>
    <row r="476" spans="1:1" x14ac:dyDescent="0.2">
      <c r="A476" s="14"/>
    </row>
    <row r="477" spans="1:1" x14ac:dyDescent="0.2">
      <c r="A477" s="14"/>
    </row>
    <row r="478" spans="1:1" x14ac:dyDescent="0.2">
      <c r="A478" s="14"/>
    </row>
    <row r="479" spans="1:1" x14ac:dyDescent="0.2">
      <c r="A479" s="14"/>
    </row>
    <row r="480" spans="1:1" x14ac:dyDescent="0.2">
      <c r="A480" s="14"/>
    </row>
    <row r="481" spans="1:1" x14ac:dyDescent="0.2">
      <c r="A481" s="14"/>
    </row>
    <row r="482" spans="1:1" x14ac:dyDescent="0.2">
      <c r="A482" s="14"/>
    </row>
    <row r="483" spans="1:1" x14ac:dyDescent="0.2">
      <c r="A483" s="14"/>
    </row>
    <row r="484" spans="1:1" x14ac:dyDescent="0.2">
      <c r="A484" s="14"/>
    </row>
    <row r="485" spans="1:1" x14ac:dyDescent="0.2">
      <c r="A485" s="14"/>
    </row>
    <row r="486" spans="1:1" x14ac:dyDescent="0.2">
      <c r="A486" s="14"/>
    </row>
    <row r="487" spans="1:1" x14ac:dyDescent="0.2">
      <c r="A487" s="14"/>
    </row>
    <row r="488" spans="1:1" x14ac:dyDescent="0.2">
      <c r="A488" s="14"/>
    </row>
    <row r="489" spans="1:1" x14ac:dyDescent="0.2">
      <c r="A489" s="14"/>
    </row>
    <row r="490" spans="1:1" x14ac:dyDescent="0.2">
      <c r="A490" s="14" t="s">
        <v>1588</v>
      </c>
    </row>
    <row r="491" spans="1:1" x14ac:dyDescent="0.2">
      <c r="A491" s="14" t="s">
        <v>1589</v>
      </c>
    </row>
    <row r="492" spans="1:1" x14ac:dyDescent="0.2">
      <c r="A492" s="14" t="s">
        <v>823</v>
      </c>
    </row>
    <row r="493" spans="1:1" x14ac:dyDescent="0.2">
      <c r="A493" s="14" t="s">
        <v>824</v>
      </c>
    </row>
    <row r="494" spans="1:1" x14ac:dyDescent="0.2">
      <c r="A494" s="14" t="s">
        <v>825</v>
      </c>
    </row>
    <row r="495" spans="1:1" x14ac:dyDescent="0.2">
      <c r="A495" s="14" t="s">
        <v>826</v>
      </c>
    </row>
    <row r="496" spans="1:1" x14ac:dyDescent="0.2">
      <c r="A496" s="14" t="s">
        <v>827</v>
      </c>
    </row>
    <row r="497" spans="1:1" x14ac:dyDescent="0.2">
      <c r="A497" s="14" t="s">
        <v>47</v>
      </c>
    </row>
    <row r="498" spans="1:1" x14ac:dyDescent="0.2">
      <c r="A498" s="14" t="s">
        <v>1558</v>
      </c>
    </row>
    <row r="499" spans="1:1" x14ac:dyDescent="0.2">
      <c r="A499" s="14" t="s">
        <v>1559</v>
      </c>
    </row>
    <row r="500" spans="1:1" x14ac:dyDescent="0.2">
      <c r="A500" s="14" t="s">
        <v>334</v>
      </c>
    </row>
    <row r="501" spans="1:1" x14ac:dyDescent="0.2">
      <c r="A501" s="14" t="s">
        <v>1080</v>
      </c>
    </row>
    <row r="502" spans="1:1" x14ac:dyDescent="0.2">
      <c r="A502" s="14" t="s">
        <v>1081</v>
      </c>
    </row>
    <row r="503" spans="1:1" x14ac:dyDescent="0.2">
      <c r="A503" s="14" t="s">
        <v>1082</v>
      </c>
    </row>
    <row r="504" spans="1:1" x14ac:dyDescent="0.2">
      <c r="A504" s="14" t="s">
        <v>1083</v>
      </c>
    </row>
    <row r="505" spans="1:1" x14ac:dyDescent="0.2">
      <c r="A505" s="14" t="s">
        <v>1084</v>
      </c>
    </row>
    <row r="506" spans="1:1" x14ac:dyDescent="0.2">
      <c r="A506" s="14" t="s">
        <v>1085</v>
      </c>
    </row>
    <row r="507" spans="1:1" x14ac:dyDescent="0.2">
      <c r="A507" s="14" t="s">
        <v>359</v>
      </c>
    </row>
    <row r="508" spans="1:1" x14ac:dyDescent="0.2">
      <c r="A508" s="14" t="s">
        <v>360</v>
      </c>
    </row>
    <row r="509" spans="1:1" x14ac:dyDescent="0.2">
      <c r="A509" s="14" t="s">
        <v>361</v>
      </c>
    </row>
    <row r="510" spans="1:1" x14ac:dyDescent="0.2">
      <c r="A510" s="14" t="s">
        <v>362</v>
      </c>
    </row>
    <row r="511" spans="1:1" x14ac:dyDescent="0.2">
      <c r="A511" s="14" t="s">
        <v>363</v>
      </c>
    </row>
    <row r="512" spans="1:1" x14ac:dyDescent="0.2">
      <c r="A512" s="14" t="s">
        <v>364</v>
      </c>
    </row>
    <row r="513" spans="1:1" x14ac:dyDescent="0.2">
      <c r="A513" s="14" t="s">
        <v>365</v>
      </c>
    </row>
    <row r="514" spans="1:1" x14ac:dyDescent="0.2">
      <c r="A514" s="14" t="s">
        <v>366</v>
      </c>
    </row>
    <row r="515" spans="1:1" x14ac:dyDescent="0.2">
      <c r="A515" s="14" t="s">
        <v>1014</v>
      </c>
    </row>
    <row r="516" spans="1:1" x14ac:dyDescent="0.2">
      <c r="A516" s="14" t="s">
        <v>1015</v>
      </c>
    </row>
    <row r="517" spans="1:1" x14ac:dyDescent="0.2">
      <c r="A517" s="14" t="s">
        <v>1016</v>
      </c>
    </row>
    <row r="518" spans="1:1" x14ac:dyDescent="0.2">
      <c r="A518" s="14" t="s">
        <v>1017</v>
      </c>
    </row>
    <row r="519" spans="1:1" x14ac:dyDescent="0.2">
      <c r="A519" s="14" t="s">
        <v>1018</v>
      </c>
    </row>
    <row r="520" spans="1:1" x14ac:dyDescent="0.2">
      <c r="A520" s="14" t="s">
        <v>1019</v>
      </c>
    </row>
    <row r="521" spans="1:1" x14ac:dyDescent="0.2">
      <c r="A521" s="14" t="s">
        <v>1020</v>
      </c>
    </row>
    <row r="522" spans="1:1" x14ac:dyDescent="0.2">
      <c r="A522" s="14" t="s">
        <v>840</v>
      </c>
    </row>
    <row r="523" spans="1:1" x14ac:dyDescent="0.2">
      <c r="A523" s="14" t="s">
        <v>841</v>
      </c>
    </row>
    <row r="524" spans="1:1" x14ac:dyDescent="0.2">
      <c r="A524" s="14" t="s">
        <v>842</v>
      </c>
    </row>
    <row r="525" spans="1:1" x14ac:dyDescent="0.2">
      <c r="A525" s="14" t="s">
        <v>375</v>
      </c>
    </row>
    <row r="526" spans="1:1" x14ac:dyDescent="0.2">
      <c r="A526" s="14" t="s">
        <v>376</v>
      </c>
    </row>
    <row r="527" spans="1:1" x14ac:dyDescent="0.2">
      <c r="A527" s="14" t="s">
        <v>377</v>
      </c>
    </row>
    <row r="528" spans="1:1" x14ac:dyDescent="0.2">
      <c r="A528" s="14" t="s">
        <v>378</v>
      </c>
    </row>
    <row r="529" spans="1:1" x14ac:dyDescent="0.2">
      <c r="A529" s="14" t="s">
        <v>591</v>
      </c>
    </row>
    <row r="530" spans="1:1" x14ac:dyDescent="0.2">
      <c r="A530" s="14" t="s">
        <v>1878</v>
      </c>
    </row>
    <row r="531" spans="1:1" x14ac:dyDescent="0.2">
      <c r="A531" s="14" t="s">
        <v>1879</v>
      </c>
    </row>
    <row r="532" spans="1:1" x14ac:dyDescent="0.2">
      <c r="A532" s="14" t="s">
        <v>1880</v>
      </c>
    </row>
    <row r="533" spans="1:1" x14ac:dyDescent="0.2">
      <c r="A533" s="14" t="s">
        <v>569</v>
      </c>
    </row>
    <row r="534" spans="1:1" x14ac:dyDescent="0.2">
      <c r="A534" s="14" t="s">
        <v>1644</v>
      </c>
    </row>
    <row r="535" spans="1:1" x14ac:dyDescent="0.2">
      <c r="A535" s="14" t="s">
        <v>486</v>
      </c>
    </row>
    <row r="536" spans="1:1" x14ac:dyDescent="0.2">
      <c r="A536" s="14" t="s">
        <v>487</v>
      </c>
    </row>
    <row r="537" spans="1:1" x14ac:dyDescent="0.2">
      <c r="A537" s="14" t="s">
        <v>488</v>
      </c>
    </row>
    <row r="538" spans="1:1" x14ac:dyDescent="0.2">
      <c r="A538" s="14" t="s">
        <v>489</v>
      </c>
    </row>
    <row r="539" spans="1:1" x14ac:dyDescent="0.2">
      <c r="A539" s="14" t="s">
        <v>490</v>
      </c>
    </row>
    <row r="540" spans="1:1" x14ac:dyDescent="0.2">
      <c r="A540" s="14" t="s">
        <v>491</v>
      </c>
    </row>
    <row r="541" spans="1:1" x14ac:dyDescent="0.2">
      <c r="A541" s="14" t="s">
        <v>525</v>
      </c>
    </row>
    <row r="542" spans="1:1" x14ac:dyDescent="0.2">
      <c r="A542" s="14" t="s">
        <v>1672</v>
      </c>
    </row>
    <row r="543" spans="1:1" x14ac:dyDescent="0.2">
      <c r="A543" s="14" t="s">
        <v>917</v>
      </c>
    </row>
    <row r="544" spans="1:1" x14ac:dyDescent="0.2">
      <c r="A544" s="14" t="s">
        <v>918</v>
      </c>
    </row>
    <row r="545" spans="1:1" x14ac:dyDescent="0.2">
      <c r="A545" s="14" t="s">
        <v>919</v>
      </c>
    </row>
    <row r="546" spans="1:1" x14ac:dyDescent="0.2">
      <c r="A546" s="14" t="s">
        <v>920</v>
      </c>
    </row>
    <row r="547" spans="1:1" x14ac:dyDescent="0.2">
      <c r="A547" s="14" t="s">
        <v>921</v>
      </c>
    </row>
    <row r="548" spans="1:1" x14ac:dyDescent="0.2">
      <c r="A548" s="14" t="s">
        <v>922</v>
      </c>
    </row>
    <row r="549" spans="1:1" x14ac:dyDescent="0.2">
      <c r="A549" s="14" t="s">
        <v>923</v>
      </c>
    </row>
    <row r="550" spans="1:1" x14ac:dyDescent="0.2">
      <c r="A550" s="14" t="s">
        <v>924</v>
      </c>
    </row>
    <row r="551" spans="1:1" x14ac:dyDescent="0.2">
      <c r="A551" s="14" t="s">
        <v>92</v>
      </c>
    </row>
    <row r="552" spans="1:1" x14ac:dyDescent="0.2">
      <c r="A552" s="14" t="s">
        <v>93</v>
      </c>
    </row>
    <row r="553" spans="1:1" x14ac:dyDescent="0.2">
      <c r="A553" s="14" t="s">
        <v>94</v>
      </c>
    </row>
    <row r="554" spans="1:1" x14ac:dyDescent="0.2">
      <c r="A554" s="14" t="s">
        <v>95</v>
      </c>
    </row>
    <row r="555" spans="1:1" x14ac:dyDescent="0.2">
      <c r="A555" s="14" t="s">
        <v>96</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O555"/>
  <sheetViews>
    <sheetView zoomScale="96" zoomScaleNormal="96" zoomScaleSheetLayoutView="50" workbookViewId="0">
      <pane ySplit="2" topLeftCell="A3" activePane="bottomLeft" state="frozen"/>
      <selection pane="bottomLeft"/>
    </sheetView>
  </sheetViews>
  <sheetFormatPr defaultColWidth="9.140625" defaultRowHeight="12.75" x14ac:dyDescent="0.2"/>
  <cols>
    <col min="1" max="1" width="12.5703125" style="10" customWidth="1"/>
    <col min="2" max="2" width="11.140625" style="10" bestFit="1" customWidth="1"/>
    <col min="3" max="3" width="11.140625" style="10" customWidth="1"/>
    <col min="4" max="4" width="11.140625" style="10" bestFit="1" customWidth="1"/>
    <col min="5" max="5" width="14.140625" style="10" customWidth="1"/>
    <col min="6" max="10" width="11.140625" style="10" bestFit="1" customWidth="1"/>
    <col min="11" max="12" width="11.140625" style="94" bestFit="1" customWidth="1"/>
    <col min="13" max="13" width="14" style="94" customWidth="1"/>
    <col min="14" max="14" width="8" style="10" bestFit="1" customWidth="1"/>
    <col min="15" max="15" width="25.28515625" style="14" customWidth="1"/>
    <col min="16" max="17" width="8" style="62" customWidth="1"/>
    <col min="18" max="18" width="8.5703125" style="14" customWidth="1"/>
    <col min="19" max="19" width="5.7109375" style="62" customWidth="1"/>
    <col min="20" max="20" width="13.7109375" style="14" customWidth="1"/>
    <col min="21" max="22" width="9.140625" style="14"/>
    <col min="23" max="23" width="8.7109375" style="14" customWidth="1"/>
    <col min="24" max="24" width="9.140625" style="14"/>
    <col min="25" max="25" width="24.85546875" style="14" customWidth="1"/>
    <col min="26" max="26" width="8.7109375" style="14" customWidth="1"/>
    <col min="27" max="28" width="8.7109375" style="95" customWidth="1"/>
    <col min="29" max="29" width="8.7109375" style="98" customWidth="1"/>
    <col min="30" max="30" width="13.42578125" style="14" customWidth="1"/>
    <col min="31" max="33" width="8.7109375" style="14" customWidth="1"/>
    <col min="34" max="65" width="9.140625" style="14"/>
    <col min="66" max="16384" width="9.140625" style="10"/>
  </cols>
  <sheetData>
    <row r="1" spans="1:93" ht="39.75" customHeight="1" x14ac:dyDescent="0.2">
      <c r="A1" s="267" t="s">
        <v>2243</v>
      </c>
      <c r="B1" s="50" t="s">
        <v>1922</v>
      </c>
      <c r="C1" s="50" t="s">
        <v>1922</v>
      </c>
      <c r="D1" s="50" t="s">
        <v>1922</v>
      </c>
      <c r="E1" s="50" t="s">
        <v>1922</v>
      </c>
      <c r="F1" s="50" t="s">
        <v>1922</v>
      </c>
      <c r="G1" s="50" t="s">
        <v>1922</v>
      </c>
      <c r="H1" s="50" t="s">
        <v>1922</v>
      </c>
      <c r="I1" s="50" t="s">
        <v>1922</v>
      </c>
      <c r="J1" s="50" t="s">
        <v>1922</v>
      </c>
      <c r="K1" s="50" t="s">
        <v>1922</v>
      </c>
      <c r="L1" s="50" t="s">
        <v>1922</v>
      </c>
      <c r="M1" s="50" t="s">
        <v>1922</v>
      </c>
      <c r="N1" s="39"/>
    </row>
    <row r="2" spans="1:93" ht="100.5" customHeight="1" x14ac:dyDescent="0.2">
      <c r="A2" s="676" t="s">
        <v>1923</v>
      </c>
      <c r="B2" s="676" t="s">
        <v>188</v>
      </c>
      <c r="C2" s="676" t="s">
        <v>1899</v>
      </c>
      <c r="D2" s="676" t="s">
        <v>1900</v>
      </c>
      <c r="E2" s="676" t="s">
        <v>676</v>
      </c>
      <c r="F2" s="676" t="s">
        <v>677</v>
      </c>
      <c r="G2" s="676" t="s">
        <v>680</v>
      </c>
      <c r="H2" s="676" t="s">
        <v>681</v>
      </c>
      <c r="I2" s="676" t="s">
        <v>683</v>
      </c>
      <c r="J2" s="676" t="s">
        <v>685</v>
      </c>
      <c r="K2" s="676" t="s">
        <v>1924</v>
      </c>
      <c r="L2" s="676" t="s">
        <v>579</v>
      </c>
      <c r="M2" s="676" t="s">
        <v>1586</v>
      </c>
      <c r="N2" s="324"/>
      <c r="O2" s="272" t="s">
        <v>1443</v>
      </c>
      <c r="P2" s="667" t="s">
        <v>2256</v>
      </c>
      <c r="Q2" s="667" t="s">
        <v>1287</v>
      </c>
      <c r="R2" s="667" t="s">
        <v>2257</v>
      </c>
      <c r="S2" s="323"/>
      <c r="T2" s="322"/>
      <c r="U2" s="678" t="s">
        <v>2256</v>
      </c>
      <c r="V2" s="678" t="s">
        <v>1287</v>
      </c>
      <c r="W2" s="678" t="s">
        <v>2257</v>
      </c>
      <c r="X2" s="322"/>
      <c r="Y2" s="586" t="s">
        <v>1444</v>
      </c>
      <c r="Z2" s="678" t="s">
        <v>2258</v>
      </c>
      <c r="AA2" s="678" t="s">
        <v>1287</v>
      </c>
      <c r="AB2" s="678" t="s">
        <v>2259</v>
      </c>
      <c r="AC2" s="62"/>
      <c r="AE2" s="678" t="s">
        <v>2258</v>
      </c>
      <c r="AF2" s="678" t="s">
        <v>1287</v>
      </c>
      <c r="AG2" s="678" t="s">
        <v>2259</v>
      </c>
      <c r="AH2" s="322"/>
      <c r="AI2" s="322"/>
      <c r="AJ2" s="322"/>
      <c r="AK2" s="322"/>
      <c r="AL2" s="322"/>
      <c r="AM2" s="322"/>
      <c r="AN2" s="322"/>
      <c r="AO2" s="322"/>
      <c r="AP2" s="322"/>
      <c r="AQ2" s="322"/>
      <c r="AR2" s="322"/>
      <c r="AS2" s="322"/>
      <c r="AT2" s="322"/>
      <c r="AU2" s="322"/>
      <c r="AV2" s="322"/>
      <c r="AW2" s="322"/>
      <c r="AX2" s="322"/>
      <c r="AY2" s="322"/>
      <c r="AZ2" s="322"/>
      <c r="BA2" s="322"/>
      <c r="BB2" s="322"/>
      <c r="BC2" s="322"/>
      <c r="BD2" s="322"/>
      <c r="BE2" s="322"/>
      <c r="BF2" s="322"/>
      <c r="BG2" s="322"/>
      <c r="BH2" s="322"/>
      <c r="BI2" s="322"/>
      <c r="BJ2" s="322"/>
      <c r="BK2" s="322"/>
      <c r="BL2" s="322"/>
      <c r="BM2" s="322"/>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row>
    <row r="3" spans="1:93" ht="15" customHeight="1" x14ac:dyDescent="0.2">
      <c r="A3" s="50">
        <v>0</v>
      </c>
      <c r="B3" s="193">
        <v>0.09</v>
      </c>
      <c r="C3" s="193">
        <v>0.33</v>
      </c>
      <c r="D3" s="193">
        <v>0.03</v>
      </c>
      <c r="E3" s="193">
        <v>0.33</v>
      </c>
      <c r="F3" s="193">
        <v>0.08</v>
      </c>
      <c r="G3" s="193">
        <v>0.33</v>
      </c>
      <c r="H3" s="193">
        <v>0.04</v>
      </c>
      <c r="I3" s="193">
        <v>0.33</v>
      </c>
      <c r="J3" s="193">
        <v>0.05</v>
      </c>
      <c r="K3" s="193">
        <v>0.33</v>
      </c>
      <c r="L3" s="193">
        <v>7.0000000000000007E-2</v>
      </c>
      <c r="M3" s="193">
        <v>0.33</v>
      </c>
      <c r="O3" s="272" t="s">
        <v>188</v>
      </c>
      <c r="P3" s="578" t="str">
        <f>IF('Hip-Right'!T9="","",'Hip-Right'!T9)</f>
        <v/>
      </c>
      <c r="Q3" s="578" t="str">
        <f>IF(P3="","",ROUND(P3,0))</f>
        <v/>
      </c>
      <c r="R3" s="193">
        <f>IF(Q3="",0,VLOOKUP(Q3,$A$3:$N$103,2))</f>
        <v>0</v>
      </c>
      <c r="T3" s="147" t="s">
        <v>1565</v>
      </c>
      <c r="U3" s="578" t="str">
        <f>IF('Hip-Right'!V9="","",'Hip-Right'!V9)</f>
        <v/>
      </c>
      <c r="V3" s="578" t="str">
        <f>IF(U3="","",ROUND(U3,0))</f>
        <v/>
      </c>
      <c r="W3" s="193">
        <f>IF(V3="",0,VLOOKUP(V3,$A$3:$N$103,2))</f>
        <v>0</v>
      </c>
      <c r="Y3" s="272" t="s">
        <v>188</v>
      </c>
      <c r="Z3" s="578" t="str">
        <f>IF('Hip-Left'!T9="","",'Hip-Left'!T9)</f>
        <v/>
      </c>
      <c r="AA3" s="578" t="str">
        <f t="shared" ref="AA3:AA14" si="0">IF(Z3="","",ROUND(Z3,0))</f>
        <v/>
      </c>
      <c r="AB3" s="193">
        <f>IF(AA3="",0,VLOOKUP(AA3,$A$3:$N$103,2))</f>
        <v>0</v>
      </c>
      <c r="AC3" s="62"/>
      <c r="AD3" s="147" t="s">
        <v>1565</v>
      </c>
      <c r="AE3" s="578" t="str">
        <f>IF('Hip-Left'!V9="","",'Hip-Left'!V9)</f>
        <v/>
      </c>
      <c r="AF3" s="578" t="str">
        <f>IF(AE3="","",ROUND(AE3,0))</f>
        <v/>
      </c>
      <c r="AG3" s="193">
        <f>IF(AF3="",0,VLOOKUP(AF3,$A$3:$N$103,2))</f>
        <v>0</v>
      </c>
    </row>
    <row r="4" spans="1:93" ht="15" customHeight="1" x14ac:dyDescent="0.2">
      <c r="A4" s="50">
        <v>1</v>
      </c>
      <c r="B4" s="193">
        <v>8.8999999999999996E-2</v>
      </c>
      <c r="C4" s="193">
        <v>0.32700000000000001</v>
      </c>
      <c r="D4" s="193">
        <v>2.9000000000000001E-2</v>
      </c>
      <c r="E4" s="193">
        <v>0.33500000000000002</v>
      </c>
      <c r="F4" s="193">
        <v>7.8E-2</v>
      </c>
      <c r="G4" s="193">
        <v>0.33400000000000002</v>
      </c>
      <c r="H4" s="193">
        <v>3.7999999999999999E-2</v>
      </c>
      <c r="I4" s="193">
        <v>0.33700000000000002</v>
      </c>
      <c r="J4" s="193">
        <v>4.9000000000000002E-2</v>
      </c>
      <c r="K4" s="193">
        <v>0.33400000000000002</v>
      </c>
      <c r="L4" s="193">
        <v>6.8000000000000005E-2</v>
      </c>
      <c r="M4" s="193">
        <v>0.33300000000000002</v>
      </c>
      <c r="O4" s="272" t="s">
        <v>1899</v>
      </c>
      <c r="P4" s="578" t="str">
        <f>IF('Hip-Right'!T10="","",'Hip-Right'!T10)</f>
        <v/>
      </c>
      <c r="Q4" s="578" t="str">
        <f t="shared" ref="Q4:Q14" si="1">IF(P4="","",ROUND(P4,0))</f>
        <v/>
      </c>
      <c r="R4" s="193">
        <f>IF(Q4="",0,VLOOKUP(Q4,$A$3:$N$103,3))</f>
        <v>0</v>
      </c>
      <c r="T4" s="147"/>
      <c r="U4" s="578"/>
      <c r="V4" s="578"/>
      <c r="W4" s="193"/>
      <c r="Y4" s="272" t="s">
        <v>1899</v>
      </c>
      <c r="Z4" s="578" t="str">
        <f>IF('Hip-Left'!T10="","",'Hip-Left'!T10)</f>
        <v/>
      </c>
      <c r="AA4" s="578" t="str">
        <f t="shared" si="0"/>
        <v/>
      </c>
      <c r="AB4" s="193">
        <f>IF(AA4="",0,VLOOKUP(AA4,$A$3:$N$103,3))</f>
        <v>0</v>
      </c>
      <c r="AC4" s="62"/>
      <c r="AD4" s="147"/>
      <c r="AE4" s="578"/>
      <c r="AF4" s="578"/>
      <c r="AG4" s="193"/>
    </row>
    <row r="5" spans="1:93" ht="15" customHeight="1" x14ac:dyDescent="0.2">
      <c r="A5" s="50">
        <v>2</v>
      </c>
      <c r="B5" s="193">
        <v>8.7999999999999995E-2</v>
      </c>
      <c r="C5" s="193">
        <v>0.32400000000000001</v>
      </c>
      <c r="D5" s="193">
        <v>2.8000000000000001E-2</v>
      </c>
      <c r="E5" s="193">
        <v>0.34</v>
      </c>
      <c r="F5" s="193">
        <v>7.5999999999999998E-2</v>
      </c>
      <c r="G5" s="193">
        <v>0.33800000000000002</v>
      </c>
      <c r="H5" s="193">
        <v>3.5999999999999997E-2</v>
      </c>
      <c r="I5" s="193">
        <v>0.34399999999999997</v>
      </c>
      <c r="J5" s="193">
        <v>4.8000000000000001E-2</v>
      </c>
      <c r="K5" s="193">
        <v>0.33800000000000002</v>
      </c>
      <c r="L5" s="193">
        <v>6.6000000000000003E-2</v>
      </c>
      <c r="M5" s="193">
        <v>0.33600000000000002</v>
      </c>
      <c r="O5" s="272" t="s">
        <v>1900</v>
      </c>
      <c r="P5" s="578" t="str">
        <f>IF('Hip-Right'!T11="","",'Hip-Right'!T11)</f>
        <v/>
      </c>
      <c r="Q5" s="578" t="str">
        <f t="shared" si="1"/>
        <v/>
      </c>
      <c r="R5" s="193">
        <f>IF(Q5="",0,VLOOKUP(Q5,$A$3:$N$103,4))</f>
        <v>0</v>
      </c>
      <c r="T5" s="147" t="s">
        <v>1565</v>
      </c>
      <c r="U5" s="578" t="str">
        <f>IF('Hip-Right'!V11="","",'Hip-Right'!V11)</f>
        <v/>
      </c>
      <c r="V5" s="578" t="str">
        <f>IF(U5="","",ROUND(U5,0))</f>
        <v/>
      </c>
      <c r="W5" s="193">
        <f>IF(V5="",0,VLOOKUP(V5,$A$3:$N$103,4))</f>
        <v>0</v>
      </c>
      <c r="Y5" s="272" t="s">
        <v>1900</v>
      </c>
      <c r="Z5" s="578" t="str">
        <f>IF('Hip-Left'!T11="","",'Hip-Left'!T11)</f>
        <v/>
      </c>
      <c r="AA5" s="578" t="str">
        <f t="shared" si="0"/>
        <v/>
      </c>
      <c r="AB5" s="193">
        <f>IF(AA5="",0,VLOOKUP(AA5,$A$3:$N$103,4))</f>
        <v>0</v>
      </c>
      <c r="AC5" s="62"/>
      <c r="AD5" s="147" t="s">
        <v>1565</v>
      </c>
      <c r="AE5" s="578" t="str">
        <f>IF('Hip-Left'!V11="","",'Hip-Left'!V11)</f>
        <v/>
      </c>
      <c r="AF5" s="578" t="str">
        <f>IF(AE5="","",ROUND(AE5,0))</f>
        <v/>
      </c>
      <c r="AG5" s="193">
        <f>IF(AF5="",0,VLOOKUP(AF5,$A$3:$N$103,4))</f>
        <v>0</v>
      </c>
    </row>
    <row r="6" spans="1:93" ht="15" customHeight="1" x14ac:dyDescent="0.2">
      <c r="A6" s="50">
        <v>3</v>
      </c>
      <c r="B6" s="193">
        <v>8.6999999999999994E-2</v>
      </c>
      <c r="C6" s="193">
        <v>0.32100000000000001</v>
      </c>
      <c r="D6" s="193">
        <v>2.7E-2</v>
      </c>
      <c r="E6" s="193">
        <v>0.34499999999999997</v>
      </c>
      <c r="F6" s="193">
        <v>7.3999999999999996E-2</v>
      </c>
      <c r="G6" s="193">
        <v>0.34200000000000003</v>
      </c>
      <c r="H6" s="193">
        <v>3.4000000000000002E-2</v>
      </c>
      <c r="I6" s="193">
        <v>0.35099999999999998</v>
      </c>
      <c r="J6" s="193">
        <v>4.7E-2</v>
      </c>
      <c r="K6" s="193">
        <v>0.34200000000000003</v>
      </c>
      <c r="L6" s="193">
        <v>6.4000000000000001E-2</v>
      </c>
      <c r="M6" s="193">
        <v>0.33900000000000002</v>
      </c>
      <c r="O6" s="272" t="s">
        <v>676</v>
      </c>
      <c r="P6" s="578" t="str">
        <f>IF('Hip-Right'!T12="","",'Hip-Right'!T12)</f>
        <v/>
      </c>
      <c r="Q6" s="578" t="str">
        <f t="shared" si="1"/>
        <v/>
      </c>
      <c r="R6" s="193">
        <f>IF(Q6="",0,VLOOKUP(Q6,$A$3:$N$103,5))</f>
        <v>0</v>
      </c>
      <c r="T6" s="147"/>
      <c r="U6" s="147"/>
      <c r="V6" s="147"/>
      <c r="W6" s="147"/>
      <c r="Y6" s="272" t="s">
        <v>676</v>
      </c>
      <c r="Z6" s="578" t="str">
        <f>IF('Hip-Left'!T12="","",'Hip-Left'!T12)</f>
        <v/>
      </c>
      <c r="AA6" s="578" t="str">
        <f t="shared" si="0"/>
        <v/>
      </c>
      <c r="AB6" s="193">
        <f>IF(AA6="",0,VLOOKUP(AA6,$A$3:$N$103,5))</f>
        <v>0</v>
      </c>
      <c r="AC6" s="62"/>
      <c r="AD6" s="147"/>
      <c r="AE6" s="147"/>
      <c r="AF6" s="147"/>
      <c r="AG6" s="147"/>
    </row>
    <row r="7" spans="1:93" ht="15" customHeight="1" x14ac:dyDescent="0.2">
      <c r="A7" s="50">
        <v>4</v>
      </c>
      <c r="B7" s="193">
        <v>8.5999999999999993E-2</v>
      </c>
      <c r="C7" s="193">
        <v>0.318</v>
      </c>
      <c r="D7" s="193">
        <v>2.5999999999999999E-2</v>
      </c>
      <c r="E7" s="193">
        <v>0.35</v>
      </c>
      <c r="F7" s="193">
        <v>7.1999999999999995E-2</v>
      </c>
      <c r="G7" s="193">
        <v>0.34599999999999997</v>
      </c>
      <c r="H7" s="193">
        <v>3.2000000000000001E-2</v>
      </c>
      <c r="I7" s="193">
        <v>0.35799999999999998</v>
      </c>
      <c r="J7" s="193">
        <v>4.5999999999999999E-2</v>
      </c>
      <c r="K7" s="193">
        <v>0.34599999999999997</v>
      </c>
      <c r="L7" s="193">
        <v>6.2E-2</v>
      </c>
      <c r="M7" s="193">
        <v>0.34200000000000003</v>
      </c>
      <c r="O7" s="50" t="s">
        <v>677</v>
      </c>
      <c r="P7" s="578" t="str">
        <f>IF('Hip-Right'!T13="","",'Hip-Right'!T13)</f>
        <v/>
      </c>
      <c r="Q7" s="578" t="str">
        <f t="shared" si="1"/>
        <v/>
      </c>
      <c r="R7" s="193">
        <f>IF(Q7="",0,VLOOKUP(Q7,$A$3:$N$103,6))</f>
        <v>0</v>
      </c>
      <c r="T7" s="147" t="s">
        <v>1587</v>
      </c>
      <c r="U7" s="578" t="str">
        <f>IF('Hip-Right'!V13="","",'Hip-Right'!V13)</f>
        <v/>
      </c>
      <c r="V7" s="578" t="str">
        <f>IF(U7="","",ROUND(U7,0))</f>
        <v/>
      </c>
      <c r="W7" s="193">
        <f>IF(V7="",0,VLOOKUP(V7,$A$3:$N$103,6))</f>
        <v>0</v>
      </c>
      <c r="Y7" s="50" t="s">
        <v>677</v>
      </c>
      <c r="Z7" s="578" t="str">
        <f>IF('Hip-Left'!T13="","",'Hip-Left'!T13)</f>
        <v/>
      </c>
      <c r="AA7" s="578" t="str">
        <f t="shared" si="0"/>
        <v/>
      </c>
      <c r="AB7" s="193">
        <f>IF(AA7="",0,VLOOKUP(AA7,$A$3:$N$103,6))</f>
        <v>0</v>
      </c>
      <c r="AC7" s="62"/>
      <c r="AD7" s="147" t="s">
        <v>1587</v>
      </c>
      <c r="AE7" s="578" t="str">
        <f>IF('Hip-Left'!V13="","",'Hip-Left'!V13)</f>
        <v/>
      </c>
      <c r="AF7" s="578" t="str">
        <f>IF(AE7="","",ROUND(AE7,0))</f>
        <v/>
      </c>
      <c r="AG7" s="193">
        <f>IF(AF7="",0,VLOOKUP(AF7,$A$3:$N$103,6))</f>
        <v>0</v>
      </c>
    </row>
    <row r="8" spans="1:93" ht="15" customHeight="1" x14ac:dyDescent="0.2">
      <c r="A8" s="50">
        <v>5</v>
      </c>
      <c r="B8" s="193">
        <v>8.5000000000000006E-2</v>
      </c>
      <c r="C8" s="193">
        <v>0.315</v>
      </c>
      <c r="D8" s="193">
        <v>2.5000000000000001E-2</v>
      </c>
      <c r="E8" s="193">
        <v>0.35499999999999998</v>
      </c>
      <c r="F8" s="193">
        <v>7.0000000000000007E-2</v>
      </c>
      <c r="G8" s="193">
        <v>0.35</v>
      </c>
      <c r="H8" s="193">
        <v>0.03</v>
      </c>
      <c r="I8" s="193">
        <v>0.36499999999999999</v>
      </c>
      <c r="J8" s="193">
        <v>4.4999999999999998E-2</v>
      </c>
      <c r="K8" s="193">
        <v>0.35</v>
      </c>
      <c r="L8" s="193">
        <v>0.06</v>
      </c>
      <c r="M8" s="193">
        <v>0.34499999999999997</v>
      </c>
      <c r="O8" s="50" t="s">
        <v>680</v>
      </c>
      <c r="P8" s="578" t="str">
        <f>IF('Hip-Right'!T14="","",'Hip-Right'!T14)</f>
        <v/>
      </c>
      <c r="Q8" s="578" t="str">
        <f t="shared" si="1"/>
        <v/>
      </c>
      <c r="R8" s="193">
        <f>IF(Q8="",0,VLOOKUP(Q8,$A$3:$N$103,7))</f>
        <v>0</v>
      </c>
      <c r="T8" s="147"/>
      <c r="U8" s="147"/>
      <c r="V8" s="147"/>
      <c r="W8" s="147"/>
      <c r="Y8" s="50" t="s">
        <v>680</v>
      </c>
      <c r="Z8" s="578" t="str">
        <f>IF('Hip-Left'!T14="","",'Hip-Left'!T14)</f>
        <v/>
      </c>
      <c r="AA8" s="578" t="str">
        <f t="shared" si="0"/>
        <v/>
      </c>
      <c r="AB8" s="193">
        <f>IF(AA8="",0,VLOOKUP(AA8,$A$3:$N$103,7))</f>
        <v>0</v>
      </c>
      <c r="AC8" s="62"/>
      <c r="AD8" s="147"/>
      <c r="AE8" s="147"/>
      <c r="AF8" s="147"/>
      <c r="AG8" s="147"/>
    </row>
    <row r="9" spans="1:93" ht="15" customHeight="1" x14ac:dyDescent="0.2">
      <c r="A9" s="50">
        <v>6</v>
      </c>
      <c r="B9" s="193">
        <v>8.4000000000000005E-2</v>
      </c>
      <c r="C9" s="193">
        <v>0.312</v>
      </c>
      <c r="D9" s="193">
        <v>2.4E-2</v>
      </c>
      <c r="E9" s="193">
        <v>0.36</v>
      </c>
      <c r="F9" s="193">
        <v>6.8000000000000005E-2</v>
      </c>
      <c r="G9" s="193">
        <v>0.35399999999999998</v>
      </c>
      <c r="H9" s="193">
        <v>2.8000000000000001E-2</v>
      </c>
      <c r="I9" s="193">
        <v>0.372</v>
      </c>
      <c r="J9" s="193">
        <v>4.3999999999999997E-2</v>
      </c>
      <c r="K9" s="193">
        <v>0.35399999999999998</v>
      </c>
      <c r="L9" s="193">
        <v>5.8000000000000003E-2</v>
      </c>
      <c r="M9" s="193">
        <v>0.34799999999999998</v>
      </c>
      <c r="O9" s="50" t="s">
        <v>681</v>
      </c>
      <c r="P9" s="578" t="str">
        <f>IF('Hip-Right'!T15="","",'Hip-Right'!T15)</f>
        <v/>
      </c>
      <c r="Q9" s="578" t="str">
        <f t="shared" si="1"/>
        <v/>
      </c>
      <c r="R9" s="193">
        <f>IF(Q9="",0,VLOOKUP(Q9,$A$3:$N$103,8))</f>
        <v>0</v>
      </c>
      <c r="T9" s="147" t="s">
        <v>1565</v>
      </c>
      <c r="U9" s="578" t="str">
        <f>IF('Hip-Right'!V15="","",'Hip-Right'!V15)</f>
        <v/>
      </c>
      <c r="V9" s="578" t="str">
        <f>IF(U9="","",ROUND(U9,0))</f>
        <v/>
      </c>
      <c r="W9" s="193">
        <f>IF(V9="",0,VLOOKUP(V9,$A$3:$N$103,8))</f>
        <v>0</v>
      </c>
      <c r="Y9" s="50" t="s">
        <v>681</v>
      </c>
      <c r="Z9" s="578" t="str">
        <f>IF('Hip-Left'!T15="","",'Hip-Left'!T15)</f>
        <v/>
      </c>
      <c r="AA9" s="578" t="str">
        <f t="shared" si="0"/>
        <v/>
      </c>
      <c r="AB9" s="193">
        <f>IF(AA9="",0,VLOOKUP(AA9,$A$3:$N$103,8))</f>
        <v>0</v>
      </c>
      <c r="AC9" s="62"/>
      <c r="AD9" s="147" t="s">
        <v>1565</v>
      </c>
      <c r="AE9" s="578" t="str">
        <f>IF('Hip-Left'!V15="","",'Hip-Left'!V15)</f>
        <v/>
      </c>
      <c r="AF9" s="578" t="str">
        <f>IF(AE9="","",ROUND(AE9,0))</f>
        <v/>
      </c>
      <c r="AG9" s="193">
        <f>IF(AF9="",0,VLOOKUP(AF9,$A$3:$N$103,8))</f>
        <v>0</v>
      </c>
    </row>
    <row r="10" spans="1:93" ht="15" customHeight="1" x14ac:dyDescent="0.2">
      <c r="A10" s="50">
        <v>7</v>
      </c>
      <c r="B10" s="193">
        <v>8.3000000000000004E-2</v>
      </c>
      <c r="C10" s="193">
        <v>0.309</v>
      </c>
      <c r="D10" s="193">
        <v>2.3E-2</v>
      </c>
      <c r="E10" s="193">
        <v>0.36499999999999999</v>
      </c>
      <c r="F10" s="193">
        <v>6.6000000000000003E-2</v>
      </c>
      <c r="G10" s="193">
        <v>0.35799999999999998</v>
      </c>
      <c r="H10" s="193">
        <v>2.5999999999999999E-2</v>
      </c>
      <c r="I10" s="193">
        <v>0.379</v>
      </c>
      <c r="J10" s="193">
        <v>4.2999999999999997E-2</v>
      </c>
      <c r="K10" s="193">
        <v>0.35799999999999998</v>
      </c>
      <c r="L10" s="193">
        <v>5.6000000000000001E-2</v>
      </c>
      <c r="M10" s="193">
        <v>0.35099999999999998</v>
      </c>
      <c r="O10" s="50" t="s">
        <v>683</v>
      </c>
      <c r="P10" s="578" t="str">
        <f>IF('Hip-Right'!T16="","",'Hip-Right'!T16)</f>
        <v/>
      </c>
      <c r="Q10" s="578" t="str">
        <f t="shared" si="1"/>
        <v/>
      </c>
      <c r="R10" s="193">
        <f>IF(Q10="",0,VLOOKUP(Q10,$A$3:$N$103,9))</f>
        <v>0</v>
      </c>
      <c r="T10" s="147"/>
      <c r="U10" s="147"/>
      <c r="V10" s="147"/>
      <c r="W10" s="147"/>
      <c r="Y10" s="50" t="s">
        <v>683</v>
      </c>
      <c r="Z10" s="578" t="str">
        <f>IF('Hip-Left'!T16="","",'Hip-Left'!T16)</f>
        <v/>
      </c>
      <c r="AA10" s="578" t="str">
        <f t="shared" si="0"/>
        <v/>
      </c>
      <c r="AB10" s="193">
        <f>IF(AA10="",0,VLOOKUP(AA10,$A$3:$N$103,9))</f>
        <v>0</v>
      </c>
      <c r="AC10" s="62"/>
      <c r="AD10" s="147"/>
      <c r="AE10" s="147"/>
      <c r="AF10" s="147"/>
      <c r="AG10" s="147"/>
    </row>
    <row r="11" spans="1:93" ht="15" customHeight="1" x14ac:dyDescent="0.2">
      <c r="A11" s="50">
        <v>8</v>
      </c>
      <c r="B11" s="193">
        <v>8.2000000000000003E-2</v>
      </c>
      <c r="C11" s="193">
        <v>0.30599999999999999</v>
      </c>
      <c r="D11" s="193">
        <v>2.1999999999999999E-2</v>
      </c>
      <c r="E11" s="193">
        <v>0.37</v>
      </c>
      <c r="F11" s="193">
        <v>6.4000000000000001E-2</v>
      </c>
      <c r="G11" s="193">
        <v>0.36199999999999999</v>
      </c>
      <c r="H11" s="193">
        <v>2.4E-2</v>
      </c>
      <c r="I11" s="193">
        <v>0.38600000000000001</v>
      </c>
      <c r="J11" s="193">
        <v>4.2000000000000003E-2</v>
      </c>
      <c r="K11" s="193">
        <v>0.36199999999999999</v>
      </c>
      <c r="L11" s="193">
        <v>5.3999999999999999E-2</v>
      </c>
      <c r="M11" s="193">
        <v>0.35399999999999998</v>
      </c>
      <c r="O11" s="50" t="s">
        <v>685</v>
      </c>
      <c r="P11" s="578" t="str">
        <f>IF('Hip-Right'!T17="","",'Hip-Right'!T17)</f>
        <v/>
      </c>
      <c r="Q11" s="578" t="str">
        <f t="shared" si="1"/>
        <v/>
      </c>
      <c r="R11" s="193">
        <f>IF(Q11="",0,VLOOKUP(Q11,$A$3:$N$103,10))</f>
        <v>0</v>
      </c>
      <c r="T11" s="147" t="s">
        <v>1565</v>
      </c>
      <c r="U11" s="578" t="str">
        <f>IF('Hip-Right'!V17="","",'Hip-Right'!V17)</f>
        <v/>
      </c>
      <c r="V11" s="578" t="str">
        <f>IF(U11="","",ROUND(U11,0))</f>
        <v/>
      </c>
      <c r="W11" s="193">
        <f>IF(V11="",0,VLOOKUP(V11,$A$3:$N$103,10))</f>
        <v>0</v>
      </c>
      <c r="Y11" s="50" t="s">
        <v>685</v>
      </c>
      <c r="Z11" s="578" t="str">
        <f>IF('Hip-Left'!T17="","",'Hip-Left'!T17)</f>
        <v/>
      </c>
      <c r="AA11" s="578" t="str">
        <f t="shared" si="0"/>
        <v/>
      </c>
      <c r="AB11" s="193">
        <f>IF(AA11="",0,VLOOKUP(AA11,$A$3:$N$103,10))</f>
        <v>0</v>
      </c>
      <c r="AC11" s="62"/>
      <c r="AD11" s="147" t="s">
        <v>1565</v>
      </c>
      <c r="AE11" s="578" t="str">
        <f>IF('Hip-Left'!V17="","",'Hip-Left'!V17)</f>
        <v/>
      </c>
      <c r="AF11" s="578" t="str">
        <f>IF(AE11="","",ROUND(AE11,0))</f>
        <v/>
      </c>
      <c r="AG11" s="193">
        <f>IF(AF11="",0,VLOOKUP(AF11,$A$3:$N$103,10))</f>
        <v>0</v>
      </c>
    </row>
    <row r="12" spans="1:93" ht="15" customHeight="1" x14ac:dyDescent="0.2">
      <c r="A12" s="50">
        <v>9</v>
      </c>
      <c r="B12" s="193">
        <v>8.1000000000000003E-2</v>
      </c>
      <c r="C12" s="193">
        <v>0.30299999999999999</v>
      </c>
      <c r="D12" s="193">
        <v>2.1000000000000001E-2</v>
      </c>
      <c r="E12" s="193">
        <v>0.375</v>
      </c>
      <c r="F12" s="193">
        <v>6.2E-2</v>
      </c>
      <c r="G12" s="193">
        <v>0.36599999999999999</v>
      </c>
      <c r="H12" s="193">
        <v>2.1999999999999999E-2</v>
      </c>
      <c r="I12" s="193">
        <v>0.39300000000000002</v>
      </c>
      <c r="J12" s="193">
        <v>4.1000000000000002E-2</v>
      </c>
      <c r="K12" s="193">
        <v>0.36599999999999999</v>
      </c>
      <c r="L12" s="193">
        <v>5.1999999999999998E-2</v>
      </c>
      <c r="M12" s="193">
        <v>0.35699999999999998</v>
      </c>
      <c r="O12" s="256" t="s">
        <v>1924</v>
      </c>
      <c r="P12" s="578" t="str">
        <f>IF('Hip-Right'!T18="","",'Hip-Right'!T18)</f>
        <v/>
      </c>
      <c r="Q12" s="578" t="str">
        <f t="shared" si="1"/>
        <v/>
      </c>
      <c r="R12" s="193">
        <f>IF(Q12="",0,VLOOKUP(Q12,$A$3:$N$103,11))</f>
        <v>0</v>
      </c>
      <c r="T12" s="147"/>
      <c r="U12" s="147"/>
      <c r="V12" s="147"/>
      <c r="W12" s="147"/>
      <c r="Y12" s="256" t="s">
        <v>1924</v>
      </c>
      <c r="Z12" s="578" t="str">
        <f>IF('Hip-Left'!T18="","",'Hip-Left'!T18)</f>
        <v/>
      </c>
      <c r="AA12" s="578" t="str">
        <f t="shared" si="0"/>
        <v/>
      </c>
      <c r="AB12" s="193">
        <f>IF(AA12="",0,VLOOKUP(AA12,$A$3:$N$103,11))</f>
        <v>0</v>
      </c>
      <c r="AC12" s="62"/>
      <c r="AD12" s="147"/>
      <c r="AE12" s="147"/>
      <c r="AF12" s="147"/>
      <c r="AG12" s="147"/>
    </row>
    <row r="13" spans="1:93" ht="15" customHeight="1" x14ac:dyDescent="0.2">
      <c r="A13" s="50">
        <v>10</v>
      </c>
      <c r="B13" s="193">
        <v>0.08</v>
      </c>
      <c r="C13" s="193">
        <v>0.3</v>
      </c>
      <c r="D13" s="193">
        <v>0.02</v>
      </c>
      <c r="E13" s="193">
        <v>0.38</v>
      </c>
      <c r="F13" s="193">
        <v>0.06</v>
      </c>
      <c r="G13" s="193">
        <v>0.37</v>
      </c>
      <c r="H13" s="193">
        <v>0.02</v>
      </c>
      <c r="I13" s="193">
        <v>0.4</v>
      </c>
      <c r="J13" s="193">
        <v>0.04</v>
      </c>
      <c r="K13" s="193">
        <v>0.37</v>
      </c>
      <c r="L13" s="193">
        <v>0.05</v>
      </c>
      <c r="M13" s="193">
        <v>0.36</v>
      </c>
      <c r="O13" s="272" t="s">
        <v>579</v>
      </c>
      <c r="P13" s="578" t="str">
        <f>IF('Hip-Right'!T19="","",'Hip-Right'!T19)</f>
        <v/>
      </c>
      <c r="Q13" s="578" t="str">
        <f t="shared" si="1"/>
        <v/>
      </c>
      <c r="R13" s="193">
        <f>IF(Q13="",0,VLOOKUP(Q13,$A$3:$N$103,12))</f>
        <v>0</v>
      </c>
      <c r="T13" s="147" t="s">
        <v>1565</v>
      </c>
      <c r="U13" s="578" t="str">
        <f>IF('Hip-Right'!V19="","",'Hip-Right'!V19)</f>
        <v/>
      </c>
      <c r="V13" s="578" t="str">
        <f>IF(U13="","",ROUND(U13,0))</f>
        <v/>
      </c>
      <c r="W13" s="193">
        <f>IF(V13="",0,VLOOKUP(V13,$A$3:$N$103,12))</f>
        <v>0</v>
      </c>
      <c r="Y13" s="272" t="s">
        <v>579</v>
      </c>
      <c r="Z13" s="578" t="str">
        <f>IF('Hip-Left'!T19="","",'Hip-Left'!T19)</f>
        <v/>
      </c>
      <c r="AA13" s="578" t="str">
        <f t="shared" si="0"/>
        <v/>
      </c>
      <c r="AB13" s="193">
        <f>IF(AA13="",0,VLOOKUP(AA13,$A$3:$N$103,12))</f>
        <v>0</v>
      </c>
      <c r="AC13" s="62"/>
      <c r="AD13" s="147" t="s">
        <v>1565</v>
      </c>
      <c r="AE13" s="578" t="str">
        <f>IF('Hip-Left'!V19="","",'Hip-Left'!V19)</f>
        <v/>
      </c>
      <c r="AF13" s="578" t="str">
        <f>IF(AE13="","",ROUND(AE13,0))</f>
        <v/>
      </c>
      <c r="AG13" s="193">
        <f>IF(AF13="",0,VLOOKUP(AF13,$A$3:$N$103,12))</f>
        <v>0</v>
      </c>
    </row>
    <row r="14" spans="1:93" ht="15" customHeight="1" x14ac:dyDescent="0.2">
      <c r="A14" s="50">
        <v>11</v>
      </c>
      <c r="B14" s="193">
        <v>7.9000000000000001E-2</v>
      </c>
      <c r="C14" s="193">
        <v>0.29599999999999999</v>
      </c>
      <c r="D14" s="193">
        <v>1.9E-2</v>
      </c>
      <c r="E14" s="193">
        <v>0.38500000000000001</v>
      </c>
      <c r="F14" s="193">
        <v>5.8000000000000003E-2</v>
      </c>
      <c r="G14" s="193">
        <v>0.373</v>
      </c>
      <c r="H14" s="193">
        <v>1.7999999999999999E-2</v>
      </c>
      <c r="I14" s="193">
        <v>0.40699999999999997</v>
      </c>
      <c r="J14" s="193">
        <v>3.9E-2</v>
      </c>
      <c r="K14" s="193">
        <v>0.373</v>
      </c>
      <c r="L14" s="193">
        <v>4.9000000000000002E-2</v>
      </c>
      <c r="M14" s="193">
        <v>0.36299999999999999</v>
      </c>
      <c r="O14" s="272" t="s">
        <v>1586</v>
      </c>
      <c r="P14" s="578" t="str">
        <f>IF('Hip-Right'!T20="","",'Hip-Right'!T20)</f>
        <v/>
      </c>
      <c r="Q14" s="578" t="str">
        <f t="shared" si="1"/>
        <v/>
      </c>
      <c r="R14" s="193">
        <f>IF(Q14="",0,VLOOKUP(Q14,$A$3:$N$103,13))</f>
        <v>0</v>
      </c>
      <c r="T14" s="147"/>
      <c r="U14" s="147"/>
      <c r="V14" s="147"/>
      <c r="W14" s="147"/>
      <c r="Y14" s="272" t="s">
        <v>1586</v>
      </c>
      <c r="Z14" s="578" t="str">
        <f>IF('Hip-Left'!T20="","",'Hip-Left'!T20)</f>
        <v/>
      </c>
      <c r="AA14" s="578" t="str">
        <f t="shared" si="0"/>
        <v/>
      </c>
      <c r="AB14" s="193">
        <f>IF(AA14="",0,VLOOKUP(AA14,$A$3:$N$103,13))</f>
        <v>0</v>
      </c>
      <c r="AC14" s="62"/>
      <c r="AD14" s="147"/>
      <c r="AE14" s="147"/>
      <c r="AF14" s="147"/>
      <c r="AG14" s="147"/>
    </row>
    <row r="15" spans="1:93" ht="15" customHeight="1" x14ac:dyDescent="0.2">
      <c r="A15" s="50">
        <v>12</v>
      </c>
      <c r="B15" s="193">
        <v>7.8E-2</v>
      </c>
      <c r="C15" s="193">
        <v>0.29199999999999998</v>
      </c>
      <c r="D15" s="193">
        <v>1.7999999999999999E-2</v>
      </c>
      <c r="E15" s="193">
        <v>0.39</v>
      </c>
      <c r="F15" s="193">
        <v>5.6000000000000001E-2</v>
      </c>
      <c r="G15" s="193">
        <v>0.376</v>
      </c>
      <c r="H15" s="193">
        <v>1.6E-2</v>
      </c>
      <c r="I15" s="193">
        <v>0.41399999999999998</v>
      </c>
      <c r="J15" s="193">
        <v>3.7999999999999999E-2</v>
      </c>
      <c r="K15" s="193">
        <v>0.376</v>
      </c>
      <c r="L15" s="193">
        <v>4.8000000000000001E-2</v>
      </c>
      <c r="M15" s="193">
        <v>0.36599999999999999</v>
      </c>
      <c r="Z15" s="62"/>
      <c r="AA15" s="62"/>
      <c r="AC15" s="62"/>
      <c r="AE15" s="62"/>
      <c r="AF15" s="62"/>
      <c r="AG15" s="95"/>
    </row>
    <row r="16" spans="1:93" ht="15" customHeight="1" x14ac:dyDescent="0.2">
      <c r="A16" s="50">
        <v>13</v>
      </c>
      <c r="B16" s="193">
        <v>7.6999999999999999E-2</v>
      </c>
      <c r="C16" s="193">
        <v>0.28799999999999998</v>
      </c>
      <c r="D16" s="193">
        <v>1.7000000000000001E-2</v>
      </c>
      <c r="E16" s="193">
        <v>0.39500000000000002</v>
      </c>
      <c r="F16" s="193">
        <v>5.3999999999999999E-2</v>
      </c>
      <c r="G16" s="193">
        <v>0.379</v>
      </c>
      <c r="H16" s="193">
        <v>1.4E-2</v>
      </c>
      <c r="I16" s="193">
        <v>0.42099999999999999</v>
      </c>
      <c r="J16" s="193">
        <v>3.6999999999999998E-2</v>
      </c>
      <c r="K16" s="193">
        <v>0.379</v>
      </c>
      <c r="L16" s="193">
        <v>4.7E-2</v>
      </c>
      <c r="M16" s="193">
        <v>0.36899999999999999</v>
      </c>
      <c r="Z16" s="327"/>
    </row>
    <row r="17" spans="1:26" ht="15" customHeight="1" x14ac:dyDescent="0.2">
      <c r="A17" s="50">
        <v>14</v>
      </c>
      <c r="B17" s="193">
        <v>7.5999999999999998E-2</v>
      </c>
      <c r="C17" s="193">
        <v>0.28399999999999997</v>
      </c>
      <c r="D17" s="193">
        <v>1.6E-2</v>
      </c>
      <c r="E17" s="193">
        <v>0.4</v>
      </c>
      <c r="F17" s="193">
        <v>5.1999999999999998E-2</v>
      </c>
      <c r="G17" s="193">
        <v>0.38200000000000001</v>
      </c>
      <c r="H17" s="193">
        <v>1.2E-2</v>
      </c>
      <c r="I17" s="193">
        <v>0.42799999999999999</v>
      </c>
      <c r="J17" s="193">
        <v>3.5999999999999997E-2</v>
      </c>
      <c r="K17" s="193">
        <v>0.38200000000000001</v>
      </c>
      <c r="L17" s="193">
        <v>4.5999999999999999E-2</v>
      </c>
      <c r="M17" s="193">
        <v>0.372</v>
      </c>
      <c r="Z17" s="327"/>
    </row>
    <row r="18" spans="1:26" ht="15" customHeight="1" x14ac:dyDescent="0.2">
      <c r="A18" s="50">
        <v>15</v>
      </c>
      <c r="B18" s="193">
        <v>7.4999999999999997E-2</v>
      </c>
      <c r="C18" s="193">
        <v>0.28000000000000003</v>
      </c>
      <c r="D18" s="193">
        <v>1.4999999999999999E-2</v>
      </c>
      <c r="E18" s="193">
        <v>0.40500000000000003</v>
      </c>
      <c r="F18" s="193">
        <v>0.05</v>
      </c>
      <c r="G18" s="193">
        <v>0.38500000000000001</v>
      </c>
      <c r="H18" s="193">
        <v>0.01</v>
      </c>
      <c r="I18" s="193">
        <v>0.435</v>
      </c>
      <c r="J18" s="193">
        <v>3.5000000000000003E-2</v>
      </c>
      <c r="K18" s="193">
        <v>0.38500000000000001</v>
      </c>
      <c r="L18" s="193">
        <v>4.4999999999999998E-2</v>
      </c>
      <c r="M18" s="193">
        <v>0.375</v>
      </c>
      <c r="Z18" s="327"/>
    </row>
    <row r="19" spans="1:26" ht="15" customHeight="1" x14ac:dyDescent="0.2">
      <c r="A19" s="50">
        <v>16</v>
      </c>
      <c r="B19" s="193">
        <v>7.3999999999999996E-2</v>
      </c>
      <c r="C19" s="193">
        <v>0.27600000000000002</v>
      </c>
      <c r="D19" s="193">
        <v>1.4E-2</v>
      </c>
      <c r="E19" s="193">
        <v>0.41</v>
      </c>
      <c r="F19" s="193">
        <v>4.8000000000000001E-2</v>
      </c>
      <c r="G19" s="193">
        <v>0.38800000000000001</v>
      </c>
      <c r="H19" s="193">
        <v>8.0000000000000002E-3</v>
      </c>
      <c r="I19" s="193">
        <v>0.442</v>
      </c>
      <c r="J19" s="193">
        <v>3.4000000000000002E-2</v>
      </c>
      <c r="K19" s="193">
        <v>0.38800000000000001</v>
      </c>
      <c r="L19" s="193">
        <v>4.3999999999999997E-2</v>
      </c>
      <c r="M19" s="193">
        <v>0.378</v>
      </c>
      <c r="Z19" s="327"/>
    </row>
    <row r="20" spans="1:26" ht="15" customHeight="1" x14ac:dyDescent="0.2">
      <c r="A20" s="50">
        <v>17</v>
      </c>
      <c r="B20" s="193">
        <v>7.2999999999999995E-2</v>
      </c>
      <c r="C20" s="193">
        <v>0.27200000000000002</v>
      </c>
      <c r="D20" s="193">
        <v>1.2999999999999999E-2</v>
      </c>
      <c r="E20" s="193">
        <v>0.41499999999999998</v>
      </c>
      <c r="F20" s="193">
        <v>4.5999999999999999E-2</v>
      </c>
      <c r="G20" s="193">
        <v>0.39100000000000001</v>
      </c>
      <c r="H20" s="193">
        <v>6.0000000000000001E-3</v>
      </c>
      <c r="I20" s="193">
        <v>0.44900000000000001</v>
      </c>
      <c r="J20" s="193">
        <v>3.3000000000000002E-2</v>
      </c>
      <c r="K20" s="193">
        <v>0.39100000000000001</v>
      </c>
      <c r="L20" s="193">
        <v>4.2999999999999997E-2</v>
      </c>
      <c r="M20" s="193">
        <v>0.38100000000000001</v>
      </c>
      <c r="Z20" s="327"/>
    </row>
    <row r="21" spans="1:26" ht="15.75" customHeight="1" x14ac:dyDescent="0.2">
      <c r="A21" s="50">
        <v>18</v>
      </c>
      <c r="B21" s="682">
        <v>7.1999999999999995E-2</v>
      </c>
      <c r="C21" s="193">
        <v>0.26800000000000002</v>
      </c>
      <c r="D21" s="193">
        <v>1.2E-2</v>
      </c>
      <c r="E21" s="193">
        <v>0.42</v>
      </c>
      <c r="F21" s="193">
        <v>4.3999999999999997E-2</v>
      </c>
      <c r="G21" s="193">
        <v>0.39400000000000002</v>
      </c>
      <c r="H21" s="193">
        <v>4.0000000000000001E-3</v>
      </c>
      <c r="I21" s="193">
        <v>0.45600000000000002</v>
      </c>
      <c r="J21" s="193">
        <v>3.2000000000000001E-2</v>
      </c>
      <c r="K21" s="193">
        <v>0.39400000000000002</v>
      </c>
      <c r="L21" s="193">
        <v>4.2000000000000003E-2</v>
      </c>
      <c r="M21" s="193">
        <v>0.38400000000000001</v>
      </c>
      <c r="Z21" s="327"/>
    </row>
    <row r="22" spans="1:26" ht="15" customHeight="1" x14ac:dyDescent="0.2">
      <c r="A22" s="50">
        <v>19</v>
      </c>
      <c r="B22" s="193">
        <v>7.0999999999999994E-2</v>
      </c>
      <c r="C22" s="193">
        <v>0.26400000000000001</v>
      </c>
      <c r="D22" s="193">
        <v>1.0999999999999999E-2</v>
      </c>
      <c r="E22" s="193">
        <v>0.42499999999999999</v>
      </c>
      <c r="F22" s="193">
        <v>4.2000000000000003E-2</v>
      </c>
      <c r="G22" s="193">
        <v>0.39700000000000002</v>
      </c>
      <c r="H22" s="193">
        <v>2E-3</v>
      </c>
      <c r="I22" s="193">
        <v>0.46300000000000002</v>
      </c>
      <c r="J22" s="193">
        <v>3.1E-2</v>
      </c>
      <c r="K22" s="193">
        <v>0.39700000000000002</v>
      </c>
      <c r="L22" s="193">
        <v>4.1000000000000002E-2</v>
      </c>
      <c r="M22" s="193">
        <v>0.38700000000000001</v>
      </c>
      <c r="Z22" s="327"/>
    </row>
    <row r="23" spans="1:26" ht="15" customHeight="1" x14ac:dyDescent="0.2">
      <c r="A23" s="50">
        <v>20</v>
      </c>
      <c r="B23" s="193">
        <v>7.0000000000000007E-2</v>
      </c>
      <c r="C23" s="193">
        <v>0.26</v>
      </c>
      <c r="D23" s="193">
        <v>0.01</v>
      </c>
      <c r="E23" s="193">
        <v>0.43</v>
      </c>
      <c r="F23" s="193">
        <v>0.04</v>
      </c>
      <c r="G23" s="193">
        <v>0.4</v>
      </c>
      <c r="H23" s="193">
        <v>0</v>
      </c>
      <c r="I23" s="193">
        <v>0.47</v>
      </c>
      <c r="J23" s="193">
        <v>0.03</v>
      </c>
      <c r="K23" s="193">
        <v>0.4</v>
      </c>
      <c r="L23" s="193">
        <v>0.04</v>
      </c>
      <c r="M23" s="193">
        <v>0.39</v>
      </c>
      <c r="Z23" s="327"/>
    </row>
    <row r="24" spans="1:26" ht="15" customHeight="1" x14ac:dyDescent="0.2">
      <c r="A24" s="50">
        <v>21</v>
      </c>
      <c r="B24" s="193">
        <v>6.9000000000000006E-2</v>
      </c>
      <c r="C24" s="193">
        <v>0.25600000000000001</v>
      </c>
      <c r="D24" s="193">
        <v>8.9999999999999993E-3</v>
      </c>
      <c r="E24" s="193">
        <v>0.434</v>
      </c>
      <c r="F24" s="193">
        <v>3.7999999999999999E-2</v>
      </c>
      <c r="G24" s="193">
        <v>0.40400000000000003</v>
      </c>
      <c r="H24" s="544"/>
      <c r="I24" s="544"/>
      <c r="J24" s="193">
        <v>2.9000000000000001E-2</v>
      </c>
      <c r="K24" s="193">
        <v>0.40400000000000003</v>
      </c>
      <c r="L24" s="193">
        <v>3.9E-2</v>
      </c>
      <c r="M24" s="193">
        <v>0.39200000000000002</v>
      </c>
      <c r="Z24" s="327"/>
    </row>
    <row r="25" spans="1:26" ht="15" customHeight="1" x14ac:dyDescent="0.2">
      <c r="A25" s="50">
        <v>22</v>
      </c>
      <c r="B25" s="193">
        <v>6.8000000000000005E-2</v>
      </c>
      <c r="C25" s="193">
        <v>0.252</v>
      </c>
      <c r="D25" s="193">
        <v>8.0000000000000002E-3</v>
      </c>
      <c r="E25" s="193">
        <v>0.438</v>
      </c>
      <c r="F25" s="193">
        <v>3.5999999999999997E-2</v>
      </c>
      <c r="G25" s="193">
        <v>0.40799999999999997</v>
      </c>
      <c r="H25" s="544"/>
      <c r="I25" s="544"/>
      <c r="J25" s="193">
        <v>2.8000000000000001E-2</v>
      </c>
      <c r="K25" s="193">
        <v>0.40799999999999997</v>
      </c>
      <c r="L25" s="193">
        <v>3.7999999999999999E-2</v>
      </c>
      <c r="M25" s="193">
        <v>0.39400000000000002</v>
      </c>
      <c r="Z25" s="327"/>
    </row>
    <row r="26" spans="1:26" ht="15" customHeight="1" x14ac:dyDescent="0.2">
      <c r="A26" s="50">
        <v>23</v>
      </c>
      <c r="B26" s="193">
        <v>6.7000000000000004E-2</v>
      </c>
      <c r="C26" s="193">
        <v>0.248</v>
      </c>
      <c r="D26" s="193">
        <v>7.0000000000000001E-3</v>
      </c>
      <c r="E26" s="193">
        <v>0.442</v>
      </c>
      <c r="F26" s="193">
        <v>3.4000000000000002E-2</v>
      </c>
      <c r="G26" s="193">
        <v>0.41199999999999998</v>
      </c>
      <c r="H26" s="544"/>
      <c r="I26" s="544"/>
      <c r="J26" s="193">
        <v>2.7E-2</v>
      </c>
      <c r="K26" s="193">
        <v>0.41199999999999998</v>
      </c>
      <c r="L26" s="193">
        <v>3.6999999999999998E-2</v>
      </c>
      <c r="M26" s="193">
        <v>0.39600000000000002</v>
      </c>
      <c r="Z26" s="327"/>
    </row>
    <row r="27" spans="1:26" ht="15" customHeight="1" x14ac:dyDescent="0.2">
      <c r="A27" s="50">
        <v>24</v>
      </c>
      <c r="B27" s="193">
        <v>6.6000000000000003E-2</v>
      </c>
      <c r="C27" s="193">
        <v>0.24399999999999999</v>
      </c>
      <c r="D27" s="193">
        <v>6.0000000000000001E-3</v>
      </c>
      <c r="E27" s="193">
        <v>0.44600000000000001</v>
      </c>
      <c r="F27" s="193">
        <v>3.2000000000000001E-2</v>
      </c>
      <c r="G27" s="193">
        <v>0.41599999999999998</v>
      </c>
      <c r="H27" s="544"/>
      <c r="I27" s="544"/>
      <c r="J27" s="193">
        <v>2.5999999999999999E-2</v>
      </c>
      <c r="K27" s="193">
        <v>0.41599999999999998</v>
      </c>
      <c r="L27" s="193">
        <v>3.5999999999999997E-2</v>
      </c>
      <c r="M27" s="193">
        <v>0.39800000000000002</v>
      </c>
      <c r="Z27" s="327"/>
    </row>
    <row r="28" spans="1:26" ht="15" customHeight="1" x14ac:dyDescent="0.2">
      <c r="A28" s="50">
        <v>25</v>
      </c>
      <c r="B28" s="193">
        <v>6.5000000000000002E-2</v>
      </c>
      <c r="C28" s="193">
        <v>0.24</v>
      </c>
      <c r="D28" s="682">
        <v>5.0000000000000001E-3</v>
      </c>
      <c r="E28" s="193">
        <v>0.45</v>
      </c>
      <c r="F28" s="193">
        <v>0.03</v>
      </c>
      <c r="G28" s="193">
        <v>0.42</v>
      </c>
      <c r="H28" s="544"/>
      <c r="I28" s="544"/>
      <c r="J28" s="193">
        <v>2.5000000000000001E-2</v>
      </c>
      <c r="K28" s="193">
        <v>0.42</v>
      </c>
      <c r="L28" s="193">
        <v>3.5000000000000003E-2</v>
      </c>
      <c r="M28" s="193">
        <v>0.4</v>
      </c>
      <c r="Z28" s="327"/>
    </row>
    <row r="29" spans="1:26" ht="15" customHeight="1" x14ac:dyDescent="0.2">
      <c r="A29" s="50">
        <v>26</v>
      </c>
      <c r="B29" s="193">
        <v>6.4000000000000001E-2</v>
      </c>
      <c r="C29" s="193">
        <v>0.24399999999999999</v>
      </c>
      <c r="D29" s="682">
        <v>4.0000000000000001E-3</v>
      </c>
      <c r="E29" s="193">
        <v>0.45400000000000001</v>
      </c>
      <c r="F29" s="193">
        <v>2.8000000000000001E-2</v>
      </c>
      <c r="G29" s="193">
        <v>0.42399999999999999</v>
      </c>
      <c r="H29" s="544"/>
      <c r="I29" s="544"/>
      <c r="J29" s="193">
        <v>2.4E-2</v>
      </c>
      <c r="K29" s="193">
        <v>0.42399999999999999</v>
      </c>
      <c r="L29" s="193">
        <v>3.4000000000000002E-2</v>
      </c>
      <c r="M29" s="193">
        <v>0.40200000000000002</v>
      </c>
      <c r="Z29" s="327"/>
    </row>
    <row r="30" spans="1:26" ht="15" customHeight="1" x14ac:dyDescent="0.2">
      <c r="A30" s="50">
        <v>27</v>
      </c>
      <c r="B30" s="193">
        <v>6.3E-2</v>
      </c>
      <c r="C30" s="193">
        <v>0.248</v>
      </c>
      <c r="D30" s="682">
        <v>3.0000000000000001E-3</v>
      </c>
      <c r="E30" s="193">
        <v>0.45800000000000002</v>
      </c>
      <c r="F30" s="193">
        <v>2.5999999999999999E-2</v>
      </c>
      <c r="G30" s="193">
        <v>0.42799999999999999</v>
      </c>
      <c r="H30" s="544"/>
      <c r="I30" s="544"/>
      <c r="J30" s="193">
        <v>2.3E-2</v>
      </c>
      <c r="K30" s="193">
        <v>0.42799999999999999</v>
      </c>
      <c r="L30" s="193">
        <v>3.3000000000000002E-2</v>
      </c>
      <c r="M30" s="193">
        <v>0.40400000000000003</v>
      </c>
      <c r="R30" s="95"/>
      <c r="U30" s="62"/>
      <c r="V30" s="62"/>
      <c r="W30" s="95"/>
      <c r="Z30" s="327"/>
    </row>
    <row r="31" spans="1:26" ht="15" customHeight="1" x14ac:dyDescent="0.2">
      <c r="A31" s="50">
        <v>28</v>
      </c>
      <c r="B31" s="193">
        <v>6.2E-2</v>
      </c>
      <c r="C31" s="193">
        <v>0.252</v>
      </c>
      <c r="D31" s="682">
        <v>2E-3</v>
      </c>
      <c r="E31" s="193">
        <v>0.46200000000000002</v>
      </c>
      <c r="F31" s="193">
        <v>2.4E-2</v>
      </c>
      <c r="G31" s="193">
        <v>0.432</v>
      </c>
      <c r="H31" s="544"/>
      <c r="I31" s="544"/>
      <c r="J31" s="193">
        <v>2.1999999999999999E-2</v>
      </c>
      <c r="K31" s="193">
        <v>0.432</v>
      </c>
      <c r="L31" s="193">
        <v>3.2000000000000001E-2</v>
      </c>
      <c r="M31" s="193">
        <v>0.40600000000000003</v>
      </c>
      <c r="R31" s="95"/>
      <c r="Z31" s="327"/>
    </row>
    <row r="32" spans="1:26" ht="15" customHeight="1" x14ac:dyDescent="0.2">
      <c r="A32" s="50">
        <v>29</v>
      </c>
      <c r="B32" s="193">
        <v>6.0999999999999999E-2</v>
      </c>
      <c r="C32" s="193">
        <v>0.25600000000000001</v>
      </c>
      <c r="D32" s="682">
        <v>1E-3</v>
      </c>
      <c r="E32" s="193">
        <v>0.46600000000000003</v>
      </c>
      <c r="F32" s="193">
        <v>2.1999999999999999E-2</v>
      </c>
      <c r="G32" s="193">
        <v>0.436</v>
      </c>
      <c r="H32" s="544"/>
      <c r="I32" s="544"/>
      <c r="J32" s="193">
        <v>2.1000000000000001E-2</v>
      </c>
      <c r="K32" s="193">
        <v>0.436</v>
      </c>
      <c r="L32" s="193">
        <v>3.1E-2</v>
      </c>
      <c r="M32" s="193">
        <v>0.40799999999999997</v>
      </c>
      <c r="Z32" s="327"/>
    </row>
    <row r="33" spans="1:26" ht="15" customHeight="1" x14ac:dyDescent="0.2">
      <c r="A33" s="50">
        <v>30</v>
      </c>
      <c r="B33" s="193">
        <v>0.06</v>
      </c>
      <c r="C33" s="193">
        <v>0.26</v>
      </c>
      <c r="D33" s="682">
        <v>0</v>
      </c>
      <c r="E33" s="193">
        <v>0.47</v>
      </c>
      <c r="F33" s="193">
        <v>0.02</v>
      </c>
      <c r="G33" s="193">
        <v>0.44</v>
      </c>
      <c r="H33" s="544"/>
      <c r="I33" s="544"/>
      <c r="J33" s="193">
        <v>0.02</v>
      </c>
      <c r="K33" s="193">
        <v>0.44</v>
      </c>
      <c r="L33" s="193">
        <v>0.03</v>
      </c>
      <c r="M33" s="193">
        <v>0.41</v>
      </c>
      <c r="R33" s="95"/>
      <c r="U33" s="62"/>
      <c r="V33" s="62"/>
      <c r="W33" s="95"/>
      <c r="Z33" s="327"/>
    </row>
    <row r="34" spans="1:26" ht="15" customHeight="1" x14ac:dyDescent="0.2">
      <c r="A34" s="50">
        <v>31</v>
      </c>
      <c r="B34" s="193">
        <v>0.06</v>
      </c>
      <c r="C34" s="193">
        <v>0.26300000000000001</v>
      </c>
      <c r="D34" s="544"/>
      <c r="E34" s="544"/>
      <c r="F34" s="193">
        <v>1.7999999999999999E-2</v>
      </c>
      <c r="G34" s="193">
        <v>0.443</v>
      </c>
      <c r="H34" s="544"/>
      <c r="I34" s="544"/>
      <c r="J34" s="193">
        <v>1.7999999999999999E-2</v>
      </c>
      <c r="K34" s="193">
        <v>0.443</v>
      </c>
      <c r="L34" s="193">
        <v>2.9000000000000001E-2</v>
      </c>
      <c r="M34" s="193">
        <v>0.41299999999999998</v>
      </c>
      <c r="R34" s="95"/>
      <c r="U34" s="62"/>
      <c r="V34" s="62"/>
      <c r="W34" s="95"/>
      <c r="Z34" s="327"/>
    </row>
    <row r="35" spans="1:26" ht="15" customHeight="1" x14ac:dyDescent="0.2">
      <c r="A35" s="50">
        <v>32</v>
      </c>
      <c r="B35" s="193">
        <v>0.06</v>
      </c>
      <c r="C35" s="193">
        <v>0.26600000000000001</v>
      </c>
      <c r="D35" s="544"/>
      <c r="E35" s="544"/>
      <c r="F35" s="193">
        <v>1.6E-2</v>
      </c>
      <c r="G35" s="193">
        <v>0.44600000000000001</v>
      </c>
      <c r="H35" s="544"/>
      <c r="I35" s="544"/>
      <c r="J35" s="193">
        <v>1.6E-2</v>
      </c>
      <c r="K35" s="193">
        <v>0.44600000000000001</v>
      </c>
      <c r="L35" s="193">
        <v>2.8000000000000001E-2</v>
      </c>
      <c r="M35" s="193">
        <v>0.41599999999999998</v>
      </c>
      <c r="R35" s="95"/>
      <c r="Z35" s="327"/>
    </row>
    <row r="36" spans="1:26" ht="15" customHeight="1" x14ac:dyDescent="0.2">
      <c r="A36" s="50">
        <v>33</v>
      </c>
      <c r="B36" s="193">
        <v>0.06</v>
      </c>
      <c r="C36" s="193">
        <v>0.26900000000000002</v>
      </c>
      <c r="D36" s="544"/>
      <c r="E36" s="544"/>
      <c r="F36" s="682">
        <v>1.4E-2</v>
      </c>
      <c r="G36" s="193">
        <v>0.44900000000000001</v>
      </c>
      <c r="H36" s="544"/>
      <c r="I36" s="544"/>
      <c r="J36" s="193">
        <v>1.4E-2</v>
      </c>
      <c r="K36" s="193">
        <v>0.44900000000000001</v>
      </c>
      <c r="L36" s="193">
        <v>2.7E-2</v>
      </c>
      <c r="M36" s="193">
        <v>0.41899999999999998</v>
      </c>
      <c r="Z36" s="327"/>
    </row>
    <row r="37" spans="1:26" ht="15" customHeight="1" x14ac:dyDescent="0.2">
      <c r="A37" s="50">
        <v>34</v>
      </c>
      <c r="B37" s="193">
        <v>0.06</v>
      </c>
      <c r="C37" s="193">
        <v>0.27200000000000002</v>
      </c>
      <c r="D37" s="544"/>
      <c r="E37" s="544"/>
      <c r="F37" s="682">
        <v>1.2E-2</v>
      </c>
      <c r="G37" s="193">
        <v>0.45200000000000001</v>
      </c>
      <c r="H37" s="604"/>
      <c r="I37" s="544"/>
      <c r="J37" s="193">
        <v>1.2E-2</v>
      </c>
      <c r="K37" s="193">
        <v>0.45200000000000001</v>
      </c>
      <c r="L37" s="193">
        <v>2.5999999999999999E-2</v>
      </c>
      <c r="M37" s="193">
        <v>0.42199999999999999</v>
      </c>
      <c r="Z37" s="327"/>
    </row>
    <row r="38" spans="1:26" ht="15" customHeight="1" x14ac:dyDescent="0.2">
      <c r="A38" s="50">
        <v>35</v>
      </c>
      <c r="B38" s="193">
        <v>0.06</v>
      </c>
      <c r="C38" s="193">
        <v>0.27500000000000002</v>
      </c>
      <c r="D38" s="544"/>
      <c r="E38" s="544"/>
      <c r="F38" s="682">
        <v>0.01</v>
      </c>
      <c r="G38" s="193">
        <v>0.45500000000000002</v>
      </c>
      <c r="H38" s="544"/>
      <c r="I38" s="544"/>
      <c r="J38" s="193">
        <v>0.01</v>
      </c>
      <c r="K38" s="193">
        <v>0.45500000000000002</v>
      </c>
      <c r="L38" s="193">
        <v>2.5000000000000001E-2</v>
      </c>
      <c r="M38" s="193">
        <v>0.42499999999999999</v>
      </c>
      <c r="R38" s="95"/>
      <c r="U38" s="62"/>
      <c r="V38" s="62"/>
      <c r="W38" s="95"/>
      <c r="Z38" s="327"/>
    </row>
    <row r="39" spans="1:26" ht="15" customHeight="1" x14ac:dyDescent="0.2">
      <c r="A39" s="50">
        <v>36</v>
      </c>
      <c r="B39" s="193">
        <v>0.06</v>
      </c>
      <c r="C39" s="193">
        <v>0.27800000000000002</v>
      </c>
      <c r="D39" s="544"/>
      <c r="E39" s="544"/>
      <c r="F39" s="682">
        <v>8.0000000000000002E-3</v>
      </c>
      <c r="G39" s="193">
        <v>0.45800000000000002</v>
      </c>
      <c r="H39" s="544"/>
      <c r="I39" s="544"/>
      <c r="J39" s="193">
        <v>8.0000000000000002E-3</v>
      </c>
      <c r="K39" s="193">
        <v>0.45800000000000002</v>
      </c>
      <c r="L39" s="193">
        <v>2.4E-2</v>
      </c>
      <c r="M39" s="193">
        <v>0.42799999999999999</v>
      </c>
      <c r="R39" s="95"/>
      <c r="U39" s="62"/>
      <c r="V39" s="62"/>
      <c r="W39" s="95"/>
      <c r="Z39" s="327"/>
    </row>
    <row r="40" spans="1:26" ht="15" customHeight="1" x14ac:dyDescent="0.2">
      <c r="A40" s="50">
        <v>37</v>
      </c>
      <c r="B40" s="193">
        <v>0.06</v>
      </c>
      <c r="C40" s="193">
        <v>0.28100000000000003</v>
      </c>
      <c r="D40" s="544"/>
      <c r="E40" s="544"/>
      <c r="F40" s="682">
        <v>6.0000000000000001E-3</v>
      </c>
      <c r="G40" s="193">
        <v>0.46100000000000002</v>
      </c>
      <c r="H40" s="544"/>
      <c r="I40" s="544"/>
      <c r="J40" s="193">
        <v>6.0000000000000001E-3</v>
      </c>
      <c r="K40" s="193">
        <v>0.46100000000000002</v>
      </c>
      <c r="L40" s="193">
        <v>2.3E-2</v>
      </c>
      <c r="M40" s="193">
        <v>0.43099999999999999</v>
      </c>
      <c r="R40" s="95"/>
      <c r="Z40" s="327"/>
    </row>
    <row r="41" spans="1:26" ht="15" customHeight="1" x14ac:dyDescent="0.2">
      <c r="A41" s="50">
        <v>38</v>
      </c>
      <c r="B41" s="193">
        <v>0.06</v>
      </c>
      <c r="C41" s="193">
        <v>0.28399999999999997</v>
      </c>
      <c r="D41" s="544"/>
      <c r="E41" s="604"/>
      <c r="F41" s="682">
        <v>4.0000000000000001E-3</v>
      </c>
      <c r="G41" s="193">
        <v>0.46400000000000002</v>
      </c>
      <c r="H41" s="544"/>
      <c r="I41" s="544"/>
      <c r="J41" s="193">
        <v>4.0000000000000001E-3</v>
      </c>
      <c r="K41" s="193">
        <v>0.46400000000000002</v>
      </c>
      <c r="L41" s="193">
        <v>2.1999999999999999E-2</v>
      </c>
      <c r="M41" s="193">
        <v>0.434</v>
      </c>
      <c r="Z41" s="327"/>
    </row>
    <row r="42" spans="1:26" ht="15" customHeight="1" x14ac:dyDescent="0.2">
      <c r="A42" s="50">
        <v>39</v>
      </c>
      <c r="B42" s="193">
        <v>0.06</v>
      </c>
      <c r="C42" s="193">
        <v>0.28699999999999998</v>
      </c>
      <c r="D42" s="544"/>
      <c r="E42" s="544"/>
      <c r="F42" s="682">
        <v>2E-3</v>
      </c>
      <c r="G42" s="193">
        <v>0.46700000000000003</v>
      </c>
      <c r="H42" s="544"/>
      <c r="I42" s="544"/>
      <c r="J42" s="193">
        <v>2E-3</v>
      </c>
      <c r="K42" s="193">
        <v>0.46700000000000003</v>
      </c>
      <c r="L42" s="193">
        <v>2.1000000000000001E-2</v>
      </c>
      <c r="M42" s="193">
        <v>0.437</v>
      </c>
      <c r="R42" s="95"/>
      <c r="U42" s="62"/>
      <c r="V42" s="62"/>
      <c r="W42" s="95"/>
      <c r="Z42" s="327"/>
    </row>
    <row r="43" spans="1:26" ht="15" customHeight="1" x14ac:dyDescent="0.2">
      <c r="A43" s="50">
        <v>40</v>
      </c>
      <c r="B43" s="193">
        <v>0.06</v>
      </c>
      <c r="C43" s="193">
        <v>0.28999999999999998</v>
      </c>
      <c r="D43" s="544"/>
      <c r="E43" s="544"/>
      <c r="F43" s="682">
        <v>0</v>
      </c>
      <c r="G43" s="193">
        <v>0.47</v>
      </c>
      <c r="H43" s="544"/>
      <c r="I43" s="544"/>
      <c r="J43" s="193">
        <v>0</v>
      </c>
      <c r="K43" s="193">
        <v>0.47</v>
      </c>
      <c r="L43" s="193">
        <v>0.02</v>
      </c>
      <c r="M43" s="193">
        <v>0.44</v>
      </c>
      <c r="R43" s="95"/>
      <c r="U43" s="62"/>
      <c r="V43" s="62"/>
      <c r="W43" s="95"/>
      <c r="Z43" s="327"/>
    </row>
    <row r="44" spans="1:26" ht="15" customHeight="1" x14ac:dyDescent="0.2">
      <c r="A44" s="50">
        <v>41</v>
      </c>
      <c r="B44" s="193">
        <v>5.8999999999999997E-2</v>
      </c>
      <c r="C44" s="193">
        <v>0.29299999999999998</v>
      </c>
      <c r="D44" s="544"/>
      <c r="E44" s="544"/>
      <c r="F44" s="544"/>
      <c r="G44" s="544"/>
      <c r="H44" s="544"/>
      <c r="I44" s="544"/>
      <c r="J44" s="581"/>
      <c r="K44" s="581"/>
      <c r="L44" s="682">
        <v>1.7999999999999999E-2</v>
      </c>
      <c r="M44" s="193">
        <v>0.443</v>
      </c>
      <c r="R44" s="95"/>
      <c r="Z44" s="327"/>
    </row>
    <row r="45" spans="1:26" ht="15" customHeight="1" x14ac:dyDescent="0.2">
      <c r="A45" s="50">
        <v>42</v>
      </c>
      <c r="B45" s="193">
        <v>5.8000000000000003E-2</v>
      </c>
      <c r="C45" s="193">
        <v>0.29599999999999999</v>
      </c>
      <c r="D45" s="544"/>
      <c r="E45" s="544"/>
      <c r="F45" s="544"/>
      <c r="G45" s="544"/>
      <c r="H45" s="544"/>
      <c r="I45" s="544"/>
      <c r="J45" s="581"/>
      <c r="K45" s="581"/>
      <c r="L45" s="682">
        <v>1.6E-2</v>
      </c>
      <c r="M45" s="193">
        <v>0.44600000000000001</v>
      </c>
      <c r="Z45" s="327"/>
    </row>
    <row r="46" spans="1:26" ht="15" customHeight="1" x14ac:dyDescent="0.2">
      <c r="A46" s="50">
        <v>43</v>
      </c>
      <c r="B46" s="193">
        <v>5.7000000000000002E-2</v>
      </c>
      <c r="C46" s="193">
        <v>0.29899999999999999</v>
      </c>
      <c r="D46" s="544"/>
      <c r="E46" s="544"/>
      <c r="F46" s="544"/>
      <c r="G46" s="544"/>
      <c r="H46" s="544"/>
      <c r="I46" s="544"/>
      <c r="J46" s="581"/>
      <c r="K46" s="581"/>
      <c r="L46" s="682">
        <v>1.4E-2</v>
      </c>
      <c r="M46" s="193">
        <v>0.44900000000000001</v>
      </c>
      <c r="R46" s="95"/>
      <c r="U46" s="62"/>
      <c r="V46" s="62"/>
      <c r="W46" s="95"/>
      <c r="Z46" s="327"/>
    </row>
    <row r="47" spans="1:26" ht="15" customHeight="1" x14ac:dyDescent="0.2">
      <c r="A47" s="50">
        <v>44</v>
      </c>
      <c r="B47" s="193">
        <v>5.6000000000000001E-2</v>
      </c>
      <c r="C47" s="193">
        <v>0.30199999999999999</v>
      </c>
      <c r="D47" s="544"/>
      <c r="E47" s="544"/>
      <c r="F47" s="544"/>
      <c r="G47" s="544"/>
      <c r="H47" s="544"/>
      <c r="I47" s="544"/>
      <c r="J47" s="581"/>
      <c r="K47" s="581"/>
      <c r="L47" s="682">
        <v>1.2E-2</v>
      </c>
      <c r="M47" s="193">
        <v>0.45200000000000001</v>
      </c>
      <c r="R47" s="95"/>
      <c r="U47" s="62"/>
      <c r="V47" s="62"/>
      <c r="W47" s="95"/>
      <c r="Z47" s="327"/>
    </row>
    <row r="48" spans="1:26" ht="15" customHeight="1" x14ac:dyDescent="0.2">
      <c r="A48" s="50">
        <v>45</v>
      </c>
      <c r="B48" s="193">
        <v>5.5E-2</v>
      </c>
      <c r="C48" s="193">
        <v>0.30499999999999999</v>
      </c>
      <c r="D48" s="544"/>
      <c r="E48" s="544"/>
      <c r="F48" s="544"/>
      <c r="G48" s="544"/>
      <c r="H48" s="544"/>
      <c r="I48" s="544"/>
      <c r="J48" s="581"/>
      <c r="K48" s="581"/>
      <c r="L48" s="682">
        <v>0.01</v>
      </c>
      <c r="M48" s="193">
        <v>0.45500000000000002</v>
      </c>
      <c r="R48" s="95"/>
      <c r="Z48" s="327"/>
    </row>
    <row r="49" spans="1:27" ht="15" customHeight="1" x14ac:dyDescent="0.2">
      <c r="A49" s="50">
        <v>46</v>
      </c>
      <c r="B49" s="193">
        <v>5.3999999999999999E-2</v>
      </c>
      <c r="C49" s="193">
        <v>0.308</v>
      </c>
      <c r="D49" s="544"/>
      <c r="E49" s="544"/>
      <c r="F49" s="544"/>
      <c r="G49" s="544"/>
      <c r="H49" s="544"/>
      <c r="I49" s="544"/>
      <c r="J49" s="581"/>
      <c r="K49" s="581"/>
      <c r="L49" s="682">
        <v>8.0000000000000002E-3</v>
      </c>
      <c r="M49" s="193">
        <v>0.45800000000000002</v>
      </c>
      <c r="Z49" s="327"/>
    </row>
    <row r="50" spans="1:27" ht="15" customHeight="1" x14ac:dyDescent="0.2">
      <c r="A50" s="50">
        <v>47</v>
      </c>
      <c r="B50" s="193">
        <v>5.2999999999999999E-2</v>
      </c>
      <c r="C50" s="193">
        <v>0.311</v>
      </c>
      <c r="D50" s="544"/>
      <c r="E50" s="544"/>
      <c r="F50" s="544"/>
      <c r="G50" s="544"/>
      <c r="H50" s="544"/>
      <c r="I50" s="544"/>
      <c r="J50" s="581"/>
      <c r="K50" s="581"/>
      <c r="L50" s="682">
        <v>6.0000000000000001E-3</v>
      </c>
      <c r="M50" s="193">
        <v>0.46100000000000002</v>
      </c>
      <c r="Z50" s="327"/>
    </row>
    <row r="51" spans="1:27" ht="15" customHeight="1" x14ac:dyDescent="0.2">
      <c r="A51" s="50">
        <v>48</v>
      </c>
      <c r="B51" s="193">
        <v>5.1999999999999998E-2</v>
      </c>
      <c r="C51" s="193">
        <v>0.314</v>
      </c>
      <c r="D51" s="544"/>
      <c r="E51" s="544"/>
      <c r="F51" s="544"/>
      <c r="G51" s="544"/>
      <c r="H51" s="544"/>
      <c r="I51" s="544"/>
      <c r="J51" s="581"/>
      <c r="K51" s="581"/>
      <c r="L51" s="682">
        <v>4.0000000000000001E-3</v>
      </c>
      <c r="M51" s="193">
        <v>0.46400000000000002</v>
      </c>
      <c r="R51" s="95"/>
      <c r="U51" s="62"/>
      <c r="V51" s="62"/>
      <c r="W51" s="95"/>
      <c r="Z51" s="327"/>
    </row>
    <row r="52" spans="1:27" ht="15" customHeight="1" x14ac:dyDescent="0.2">
      <c r="A52" s="50">
        <v>49</v>
      </c>
      <c r="B52" s="193">
        <v>5.0999999999999997E-2</v>
      </c>
      <c r="C52" s="193">
        <v>0.317</v>
      </c>
      <c r="D52" s="544"/>
      <c r="E52" s="544"/>
      <c r="F52" s="544"/>
      <c r="G52" s="544"/>
      <c r="H52" s="544"/>
      <c r="I52" s="544"/>
      <c r="J52" s="581"/>
      <c r="K52" s="581"/>
      <c r="L52" s="682">
        <v>2E-3</v>
      </c>
      <c r="M52" s="193">
        <v>0.46700000000000003</v>
      </c>
      <c r="R52" s="95"/>
      <c r="U52" s="62"/>
      <c r="V52" s="62"/>
      <c r="W52" s="95"/>
      <c r="Z52" s="327"/>
    </row>
    <row r="53" spans="1:27" ht="15" customHeight="1" x14ac:dyDescent="0.2">
      <c r="A53" s="50">
        <v>50</v>
      </c>
      <c r="B53" s="193">
        <v>0.05</v>
      </c>
      <c r="C53" s="193">
        <v>0.32</v>
      </c>
      <c r="D53" s="544"/>
      <c r="E53" s="544"/>
      <c r="F53" s="544"/>
      <c r="G53" s="544"/>
      <c r="H53" s="544"/>
      <c r="I53" s="544"/>
      <c r="J53" s="581"/>
      <c r="K53" s="581"/>
      <c r="L53" s="682">
        <v>0</v>
      </c>
      <c r="M53" s="193">
        <v>0.47</v>
      </c>
      <c r="R53" s="95"/>
      <c r="Z53" s="327"/>
    </row>
    <row r="54" spans="1:27" ht="15" customHeight="1" x14ac:dyDescent="0.2">
      <c r="A54" s="50">
        <v>51</v>
      </c>
      <c r="B54" s="193">
        <v>4.9000000000000002E-2</v>
      </c>
      <c r="C54" s="193">
        <v>0.32300000000000001</v>
      </c>
      <c r="D54" s="681"/>
      <c r="E54" s="50"/>
      <c r="F54" s="544"/>
      <c r="G54" s="544"/>
      <c r="H54" s="681"/>
      <c r="I54" s="50"/>
      <c r="J54" s="581"/>
      <c r="K54" s="581"/>
      <c r="L54" s="581"/>
      <c r="M54" s="544"/>
      <c r="Z54" s="327"/>
      <c r="AA54" s="328"/>
    </row>
    <row r="55" spans="1:27" ht="15" customHeight="1" x14ac:dyDescent="0.2">
      <c r="A55" s="50">
        <v>52</v>
      </c>
      <c r="B55" s="193">
        <v>4.8000000000000001E-2</v>
      </c>
      <c r="C55" s="193">
        <v>0.32600000000000001</v>
      </c>
      <c r="D55" s="681"/>
      <c r="E55" s="50"/>
      <c r="F55" s="544"/>
      <c r="G55" s="544"/>
      <c r="H55" s="681"/>
      <c r="I55" s="50"/>
      <c r="J55" s="581"/>
      <c r="K55" s="581"/>
      <c r="L55" s="581"/>
      <c r="M55" s="544"/>
      <c r="R55" s="95"/>
      <c r="U55" s="62"/>
      <c r="V55" s="62"/>
      <c r="W55" s="95"/>
      <c r="Z55" s="327"/>
      <c r="AA55" s="328"/>
    </row>
    <row r="56" spans="1:27" ht="15" customHeight="1" x14ac:dyDescent="0.2">
      <c r="A56" s="50">
        <v>53</v>
      </c>
      <c r="B56" s="193">
        <v>4.7E-2</v>
      </c>
      <c r="C56" s="193">
        <v>0.32900000000000001</v>
      </c>
      <c r="D56" s="681"/>
      <c r="E56" s="50"/>
      <c r="F56" s="544"/>
      <c r="G56" s="544"/>
      <c r="H56" s="681"/>
      <c r="I56" s="50"/>
      <c r="J56" s="581"/>
      <c r="K56" s="581"/>
      <c r="L56" s="581"/>
      <c r="M56" s="544"/>
      <c r="R56" s="95"/>
      <c r="U56" s="62"/>
      <c r="V56" s="62"/>
      <c r="W56" s="95"/>
      <c r="Z56" s="327"/>
      <c r="AA56" s="328"/>
    </row>
    <row r="57" spans="1:27" ht="15" customHeight="1" x14ac:dyDescent="0.2">
      <c r="A57" s="50">
        <v>54</v>
      </c>
      <c r="B57" s="193">
        <v>4.5999999999999999E-2</v>
      </c>
      <c r="C57" s="193">
        <v>0.33200000000000002</v>
      </c>
      <c r="D57" s="681"/>
      <c r="E57" s="50"/>
      <c r="F57" s="544"/>
      <c r="G57" s="544"/>
      <c r="H57" s="681"/>
      <c r="I57" s="50"/>
      <c r="J57" s="581"/>
      <c r="K57" s="581"/>
      <c r="L57" s="581"/>
      <c r="M57" s="544"/>
      <c r="R57" s="95"/>
      <c r="Z57" s="327"/>
      <c r="AA57" s="328"/>
    </row>
    <row r="58" spans="1:27" ht="15" customHeight="1" x14ac:dyDescent="0.2">
      <c r="A58" s="50">
        <v>55</v>
      </c>
      <c r="B58" s="193">
        <v>4.4999999999999998E-2</v>
      </c>
      <c r="C58" s="193">
        <v>0.33500000000000002</v>
      </c>
      <c r="D58" s="681"/>
      <c r="E58" s="50"/>
      <c r="F58" s="544"/>
      <c r="G58" s="544"/>
      <c r="H58" s="681"/>
      <c r="I58" s="50"/>
      <c r="J58" s="581"/>
      <c r="K58" s="581"/>
      <c r="L58" s="581"/>
      <c r="M58" s="544"/>
      <c r="Z58" s="327"/>
      <c r="AA58" s="328"/>
    </row>
    <row r="59" spans="1:27" ht="15" customHeight="1" x14ac:dyDescent="0.2">
      <c r="A59" s="50">
        <v>56</v>
      </c>
      <c r="B59" s="193">
        <v>4.3999999999999997E-2</v>
      </c>
      <c r="C59" s="193">
        <v>0.33800000000000002</v>
      </c>
      <c r="D59" s="681"/>
      <c r="E59" s="50"/>
      <c r="F59" s="544"/>
      <c r="G59" s="544"/>
      <c r="H59" s="681"/>
      <c r="I59" s="50"/>
      <c r="J59" s="581"/>
      <c r="K59" s="581"/>
      <c r="L59" s="581"/>
      <c r="M59" s="544"/>
      <c r="R59" s="95"/>
      <c r="U59" s="62"/>
      <c r="V59" s="62"/>
      <c r="W59" s="95"/>
      <c r="Z59" s="327"/>
      <c r="AA59" s="328"/>
    </row>
    <row r="60" spans="1:27" ht="15" customHeight="1" x14ac:dyDescent="0.2">
      <c r="A60" s="50">
        <v>57</v>
      </c>
      <c r="B60" s="193">
        <v>4.2999999999999997E-2</v>
      </c>
      <c r="C60" s="193">
        <v>0.34100000000000003</v>
      </c>
      <c r="D60" s="681"/>
      <c r="E60" s="50"/>
      <c r="F60" s="544"/>
      <c r="G60" s="544"/>
      <c r="H60" s="681"/>
      <c r="I60" s="50"/>
      <c r="J60" s="581"/>
      <c r="K60" s="581"/>
      <c r="L60" s="581"/>
      <c r="M60" s="544"/>
      <c r="R60" s="95"/>
      <c r="U60" s="62"/>
      <c r="V60" s="62"/>
      <c r="W60" s="95"/>
      <c r="Z60" s="327"/>
      <c r="AA60" s="328"/>
    </row>
    <row r="61" spans="1:27" ht="15" customHeight="1" x14ac:dyDescent="0.2">
      <c r="A61" s="50">
        <v>58</v>
      </c>
      <c r="B61" s="193">
        <v>4.2000000000000003E-2</v>
      </c>
      <c r="C61" s="193">
        <v>0.34399999999999997</v>
      </c>
      <c r="D61" s="681"/>
      <c r="E61" s="50"/>
      <c r="F61" s="544"/>
      <c r="G61" s="544"/>
      <c r="H61" s="681"/>
      <c r="I61" s="50"/>
      <c r="J61" s="581"/>
      <c r="K61" s="581"/>
      <c r="L61" s="581"/>
      <c r="M61" s="544"/>
      <c r="R61" s="95"/>
      <c r="Z61" s="327"/>
      <c r="AA61" s="328"/>
    </row>
    <row r="62" spans="1:27" ht="15" customHeight="1" x14ac:dyDescent="0.2">
      <c r="A62" s="50">
        <v>59</v>
      </c>
      <c r="B62" s="193">
        <v>4.1000000000000002E-2</v>
      </c>
      <c r="C62" s="193">
        <v>0.34699999999999998</v>
      </c>
      <c r="D62" s="681"/>
      <c r="E62" s="50"/>
      <c r="F62" s="544"/>
      <c r="G62" s="544"/>
      <c r="H62" s="681"/>
      <c r="I62" s="50"/>
      <c r="J62" s="581"/>
      <c r="K62" s="581"/>
      <c r="L62" s="581"/>
      <c r="M62" s="544"/>
      <c r="Z62" s="327"/>
      <c r="AA62" s="328"/>
    </row>
    <row r="63" spans="1:27" ht="15" customHeight="1" x14ac:dyDescent="0.2">
      <c r="A63" s="50">
        <v>60</v>
      </c>
      <c r="B63" s="193">
        <v>0.04</v>
      </c>
      <c r="C63" s="193">
        <v>0.35</v>
      </c>
      <c r="D63" s="681"/>
      <c r="E63" s="50"/>
      <c r="F63" s="544"/>
      <c r="G63" s="544"/>
      <c r="H63" s="681"/>
      <c r="I63" s="50"/>
      <c r="J63" s="581"/>
      <c r="K63" s="581"/>
      <c r="L63" s="581"/>
      <c r="M63" s="544"/>
      <c r="Z63" s="327"/>
      <c r="AA63" s="328"/>
    </row>
    <row r="64" spans="1:27" ht="15" customHeight="1" x14ac:dyDescent="0.2">
      <c r="A64" s="50">
        <v>61</v>
      </c>
      <c r="B64" s="193">
        <v>3.9E-2</v>
      </c>
      <c r="C64" s="193">
        <v>0.35299999999999998</v>
      </c>
      <c r="D64" s="681"/>
      <c r="E64" s="50"/>
      <c r="F64" s="544"/>
      <c r="G64" s="544"/>
      <c r="H64" s="50"/>
      <c r="I64" s="50"/>
      <c r="J64" s="581"/>
      <c r="K64" s="581"/>
      <c r="L64" s="581"/>
      <c r="M64" s="544"/>
      <c r="R64" s="95"/>
      <c r="U64" s="62"/>
      <c r="V64" s="62"/>
      <c r="W64" s="95"/>
      <c r="Z64" s="327"/>
      <c r="AA64" s="328"/>
    </row>
    <row r="65" spans="1:27" ht="15" customHeight="1" x14ac:dyDescent="0.2">
      <c r="A65" s="50">
        <v>62</v>
      </c>
      <c r="B65" s="193">
        <v>3.7999999999999999E-2</v>
      </c>
      <c r="C65" s="193">
        <v>0.35599999999999998</v>
      </c>
      <c r="D65" s="681"/>
      <c r="E65" s="50"/>
      <c r="F65" s="544"/>
      <c r="G65" s="544"/>
      <c r="H65" s="50"/>
      <c r="I65" s="50"/>
      <c r="J65" s="581"/>
      <c r="K65" s="581"/>
      <c r="L65" s="581"/>
      <c r="M65" s="544"/>
      <c r="R65" s="95"/>
      <c r="U65" s="62"/>
      <c r="V65" s="62"/>
      <c r="W65" s="95"/>
      <c r="Z65" s="327"/>
      <c r="AA65" s="328"/>
    </row>
    <row r="66" spans="1:27" ht="15" customHeight="1" x14ac:dyDescent="0.2">
      <c r="A66" s="50">
        <v>63</v>
      </c>
      <c r="B66" s="193">
        <v>3.6999999999999998E-2</v>
      </c>
      <c r="C66" s="193">
        <v>0.35899999999999999</v>
      </c>
      <c r="D66" s="681"/>
      <c r="E66" s="50"/>
      <c r="F66" s="544"/>
      <c r="G66" s="544"/>
      <c r="H66" s="50"/>
      <c r="I66" s="50"/>
      <c r="J66" s="581"/>
      <c r="K66" s="581"/>
      <c r="L66" s="581"/>
      <c r="M66" s="544"/>
      <c r="R66" s="95"/>
      <c r="Z66" s="327"/>
      <c r="AA66" s="328"/>
    </row>
    <row r="67" spans="1:27" ht="15" customHeight="1" x14ac:dyDescent="0.2">
      <c r="A67" s="50">
        <v>64</v>
      </c>
      <c r="B67" s="193">
        <v>3.5999999999999997E-2</v>
      </c>
      <c r="C67" s="193">
        <v>0.36199999999999999</v>
      </c>
      <c r="D67" s="681"/>
      <c r="E67" s="50"/>
      <c r="F67" s="544"/>
      <c r="G67" s="544"/>
      <c r="H67" s="50"/>
      <c r="I67" s="50"/>
      <c r="J67" s="581"/>
      <c r="K67" s="581"/>
      <c r="L67" s="581"/>
      <c r="M67" s="544"/>
      <c r="R67" s="95"/>
      <c r="Z67" s="327"/>
      <c r="AA67" s="328"/>
    </row>
    <row r="68" spans="1:27" ht="15" customHeight="1" x14ac:dyDescent="0.2">
      <c r="A68" s="50">
        <v>65</v>
      </c>
      <c r="B68" s="193">
        <v>3.5000000000000003E-2</v>
      </c>
      <c r="C68" s="193">
        <v>0.36499999999999999</v>
      </c>
      <c r="D68" s="681"/>
      <c r="E68" s="50"/>
      <c r="F68" s="544"/>
      <c r="G68" s="544"/>
      <c r="H68" s="50"/>
      <c r="I68" s="50"/>
      <c r="J68" s="581"/>
      <c r="K68" s="581"/>
      <c r="L68" s="581"/>
      <c r="M68" s="544"/>
      <c r="Z68" s="327"/>
      <c r="AA68" s="328"/>
    </row>
    <row r="69" spans="1:27" ht="15" customHeight="1" x14ac:dyDescent="0.2">
      <c r="A69" s="50">
        <v>66</v>
      </c>
      <c r="B69" s="193">
        <v>3.4000000000000002E-2</v>
      </c>
      <c r="C69" s="193">
        <v>0.36799999999999999</v>
      </c>
      <c r="D69" s="681"/>
      <c r="E69" s="50"/>
      <c r="F69" s="544"/>
      <c r="G69" s="544"/>
      <c r="H69" s="50"/>
      <c r="I69" s="50"/>
      <c r="J69" s="581"/>
      <c r="K69" s="581"/>
      <c r="L69" s="581"/>
      <c r="M69" s="544"/>
      <c r="Z69" s="327"/>
      <c r="AA69" s="328"/>
    </row>
    <row r="70" spans="1:27" ht="15" customHeight="1" x14ac:dyDescent="0.2">
      <c r="A70" s="50">
        <v>67</v>
      </c>
      <c r="B70" s="193">
        <v>3.3000000000000002E-2</v>
      </c>
      <c r="C70" s="193">
        <v>0.371</v>
      </c>
      <c r="D70" s="681"/>
      <c r="E70" s="50"/>
      <c r="F70" s="544"/>
      <c r="G70" s="544"/>
      <c r="H70" s="50"/>
      <c r="I70" s="50"/>
      <c r="J70" s="581"/>
      <c r="K70" s="581"/>
      <c r="L70" s="581"/>
      <c r="M70" s="544"/>
      <c r="R70" s="95"/>
      <c r="U70" s="62"/>
      <c r="V70" s="62"/>
      <c r="W70" s="95"/>
      <c r="Z70" s="327"/>
      <c r="AA70" s="328"/>
    </row>
    <row r="71" spans="1:27" ht="15" customHeight="1" x14ac:dyDescent="0.2">
      <c r="A71" s="50">
        <v>68</v>
      </c>
      <c r="B71" s="193">
        <v>3.2000000000000001E-2</v>
      </c>
      <c r="C71" s="193">
        <v>0.374</v>
      </c>
      <c r="D71" s="681"/>
      <c r="E71" s="50"/>
      <c r="F71" s="544"/>
      <c r="G71" s="544"/>
      <c r="H71" s="50"/>
      <c r="I71" s="50"/>
      <c r="J71" s="581"/>
      <c r="K71" s="581"/>
      <c r="L71" s="581"/>
      <c r="M71" s="544"/>
      <c r="R71" s="95"/>
      <c r="Z71" s="327"/>
      <c r="AA71" s="328"/>
    </row>
    <row r="72" spans="1:27" ht="15" customHeight="1" x14ac:dyDescent="0.2">
      <c r="A72" s="50">
        <v>69</v>
      </c>
      <c r="B72" s="193">
        <v>3.1E-2</v>
      </c>
      <c r="C72" s="193">
        <v>0.377</v>
      </c>
      <c r="D72" s="681"/>
      <c r="E72" s="50"/>
      <c r="F72" s="544"/>
      <c r="G72" s="544"/>
      <c r="H72" s="50"/>
      <c r="I72" s="50"/>
      <c r="J72" s="581"/>
      <c r="K72" s="581"/>
      <c r="L72" s="581"/>
      <c r="M72" s="544"/>
      <c r="R72" s="95"/>
      <c r="U72" s="62"/>
      <c r="V72" s="62"/>
      <c r="W72" s="95"/>
      <c r="Z72" s="327"/>
      <c r="AA72" s="328"/>
    </row>
    <row r="73" spans="1:27" ht="15" customHeight="1" x14ac:dyDescent="0.2">
      <c r="A73" s="50">
        <v>70</v>
      </c>
      <c r="B73" s="193">
        <v>0.03</v>
      </c>
      <c r="C73" s="193">
        <v>0.38</v>
      </c>
      <c r="D73" s="681"/>
      <c r="E73" s="50"/>
      <c r="F73" s="544"/>
      <c r="G73" s="544"/>
      <c r="H73" s="50"/>
      <c r="I73" s="50"/>
      <c r="J73" s="581"/>
      <c r="K73" s="581"/>
      <c r="L73" s="581"/>
      <c r="M73" s="544"/>
      <c r="R73" s="95"/>
      <c r="Z73" s="327"/>
      <c r="AA73" s="328"/>
    </row>
    <row r="74" spans="1:27" ht="15" customHeight="1" x14ac:dyDescent="0.2">
      <c r="A74" s="50">
        <v>71</v>
      </c>
      <c r="B74" s="193">
        <v>2.9000000000000001E-2</v>
      </c>
      <c r="C74" s="193">
        <v>0.38300000000000001</v>
      </c>
      <c r="D74" s="681"/>
      <c r="E74" s="50"/>
      <c r="F74" s="544"/>
      <c r="G74" s="544"/>
      <c r="H74" s="681"/>
      <c r="I74" s="50"/>
      <c r="J74" s="581"/>
      <c r="K74" s="581"/>
      <c r="L74" s="581"/>
      <c r="M74" s="544"/>
      <c r="R74" s="95"/>
      <c r="U74" s="62"/>
      <c r="V74" s="62"/>
      <c r="W74" s="95"/>
      <c r="Z74" s="327"/>
      <c r="AA74" s="328"/>
    </row>
    <row r="75" spans="1:27" ht="15" customHeight="1" x14ac:dyDescent="0.2">
      <c r="A75" s="50">
        <v>72</v>
      </c>
      <c r="B75" s="193">
        <v>2.8000000000000001E-2</v>
      </c>
      <c r="C75" s="193">
        <v>0.38600000000000001</v>
      </c>
      <c r="D75" s="681"/>
      <c r="E75" s="50"/>
      <c r="F75" s="544"/>
      <c r="G75" s="544"/>
      <c r="H75" s="681"/>
      <c r="I75" s="50"/>
      <c r="J75" s="581"/>
      <c r="K75" s="581"/>
      <c r="L75" s="581"/>
      <c r="M75" s="544"/>
      <c r="R75" s="95"/>
      <c r="Z75" s="327"/>
      <c r="AA75" s="328"/>
    </row>
    <row r="76" spans="1:27" ht="15" customHeight="1" x14ac:dyDescent="0.2">
      <c r="A76" s="50">
        <v>73</v>
      </c>
      <c r="B76" s="193">
        <v>2.7E-2</v>
      </c>
      <c r="C76" s="193">
        <v>0.38900000000000001</v>
      </c>
      <c r="D76" s="681"/>
      <c r="E76" s="50"/>
      <c r="F76" s="544"/>
      <c r="G76" s="544"/>
      <c r="H76" s="681"/>
      <c r="I76" s="50"/>
      <c r="J76" s="581"/>
      <c r="K76" s="581"/>
      <c r="L76" s="581"/>
      <c r="M76" s="544"/>
      <c r="R76" s="95"/>
      <c r="U76" s="62"/>
      <c r="V76" s="62"/>
      <c r="W76" s="95"/>
      <c r="Z76" s="327"/>
      <c r="AA76" s="328"/>
    </row>
    <row r="77" spans="1:27" ht="15" customHeight="1" x14ac:dyDescent="0.2">
      <c r="A77" s="50">
        <v>74</v>
      </c>
      <c r="B77" s="193">
        <v>2.5999999999999999E-2</v>
      </c>
      <c r="C77" s="193">
        <v>0.39200000000000002</v>
      </c>
      <c r="D77" s="681"/>
      <c r="E77" s="50"/>
      <c r="F77" s="544"/>
      <c r="G77" s="544"/>
      <c r="H77" s="681"/>
      <c r="I77" s="50"/>
      <c r="J77" s="581"/>
      <c r="K77" s="581"/>
      <c r="L77" s="581"/>
      <c r="M77" s="544"/>
      <c r="R77" s="95"/>
      <c r="Z77" s="327"/>
      <c r="AA77" s="328"/>
    </row>
    <row r="78" spans="1:27" ht="15" customHeight="1" x14ac:dyDescent="0.2">
      <c r="A78" s="50">
        <v>75</v>
      </c>
      <c r="B78" s="193">
        <v>2.5000000000000001E-2</v>
      </c>
      <c r="C78" s="193">
        <v>0.39500000000000002</v>
      </c>
      <c r="D78" s="681"/>
      <c r="E78" s="50"/>
      <c r="F78" s="544"/>
      <c r="G78" s="544"/>
      <c r="H78" s="681"/>
      <c r="I78" s="50"/>
      <c r="J78" s="581"/>
      <c r="K78" s="581"/>
      <c r="L78" s="581"/>
      <c r="M78" s="544"/>
      <c r="Z78" s="327"/>
      <c r="AA78" s="328"/>
    </row>
    <row r="79" spans="1:27" ht="15" customHeight="1" x14ac:dyDescent="0.2">
      <c r="A79" s="50">
        <v>76</v>
      </c>
      <c r="B79" s="193">
        <v>2.4E-2</v>
      </c>
      <c r="C79" s="193">
        <v>0.39800000000000002</v>
      </c>
      <c r="D79" s="681"/>
      <c r="E79" s="50"/>
      <c r="F79" s="544"/>
      <c r="G79" s="544"/>
      <c r="H79" s="681"/>
      <c r="I79" s="50"/>
      <c r="J79" s="581"/>
      <c r="K79" s="581"/>
      <c r="L79" s="581"/>
      <c r="M79" s="544"/>
      <c r="Z79" s="327"/>
      <c r="AA79" s="328"/>
    </row>
    <row r="80" spans="1:27" ht="15" customHeight="1" x14ac:dyDescent="0.2">
      <c r="A80" s="50">
        <v>77</v>
      </c>
      <c r="B80" s="193">
        <v>2.3E-2</v>
      </c>
      <c r="C80" s="193">
        <v>0.40100000000000002</v>
      </c>
      <c r="D80" s="681"/>
      <c r="E80" s="50"/>
      <c r="F80" s="544"/>
      <c r="G80" s="544"/>
      <c r="H80" s="681"/>
      <c r="I80" s="50"/>
      <c r="J80" s="581"/>
      <c r="K80" s="581"/>
      <c r="L80" s="581"/>
      <c r="M80" s="544"/>
      <c r="O80" s="99"/>
      <c r="R80" s="95"/>
      <c r="U80" s="62"/>
      <c r="V80" s="62"/>
      <c r="W80" s="95"/>
      <c r="Z80" s="327"/>
      <c r="AA80" s="328"/>
    </row>
    <row r="81" spans="1:27" ht="15" customHeight="1" x14ac:dyDescent="0.2">
      <c r="A81" s="50">
        <v>78</v>
      </c>
      <c r="B81" s="193">
        <v>2.1999999999999999E-2</v>
      </c>
      <c r="C81" s="193">
        <v>0.40400000000000003</v>
      </c>
      <c r="D81" s="681"/>
      <c r="E81" s="50"/>
      <c r="F81" s="544"/>
      <c r="G81" s="544"/>
      <c r="H81" s="681"/>
      <c r="I81" s="50"/>
      <c r="J81" s="581"/>
      <c r="K81" s="604"/>
      <c r="L81" s="581"/>
      <c r="M81" s="544"/>
      <c r="O81" s="99"/>
      <c r="R81" s="95"/>
      <c r="Z81" s="327"/>
      <c r="AA81" s="328"/>
    </row>
    <row r="82" spans="1:27" ht="15" customHeight="1" x14ac:dyDescent="0.2">
      <c r="A82" s="50">
        <v>79</v>
      </c>
      <c r="B82" s="193">
        <v>2.1000000000000001E-2</v>
      </c>
      <c r="C82" s="193">
        <v>0.40699999999999997</v>
      </c>
      <c r="D82" s="681"/>
      <c r="E82" s="50"/>
      <c r="F82" s="544"/>
      <c r="G82" s="544"/>
      <c r="H82" s="681"/>
      <c r="I82" s="50"/>
      <c r="J82" s="581"/>
      <c r="K82" s="581"/>
      <c r="L82" s="581"/>
      <c r="M82" s="544"/>
      <c r="O82" s="99"/>
      <c r="R82" s="95"/>
      <c r="U82" s="62"/>
      <c r="V82" s="62"/>
      <c r="W82" s="95"/>
      <c r="Z82" s="327"/>
      <c r="AA82" s="328"/>
    </row>
    <row r="83" spans="1:27" ht="15" customHeight="1" x14ac:dyDescent="0.2">
      <c r="A83" s="50">
        <v>80</v>
      </c>
      <c r="B83" s="193">
        <v>0.02</v>
      </c>
      <c r="C83" s="193">
        <v>0.41</v>
      </c>
      <c r="D83" s="681"/>
      <c r="E83" s="50"/>
      <c r="F83" s="544"/>
      <c r="G83" s="544"/>
      <c r="H83" s="681"/>
      <c r="I83" s="50"/>
      <c r="J83" s="581"/>
      <c r="K83" s="581"/>
      <c r="L83" s="581"/>
      <c r="M83" s="544"/>
      <c r="O83" s="99"/>
      <c r="R83" s="95"/>
      <c r="Z83" s="327"/>
      <c r="AA83" s="328"/>
    </row>
    <row r="84" spans="1:27" ht="15" customHeight="1" x14ac:dyDescent="0.2">
      <c r="A84" s="50">
        <v>81</v>
      </c>
      <c r="B84" s="193">
        <v>1.9E-2</v>
      </c>
      <c r="C84" s="193">
        <v>0.41299999999999998</v>
      </c>
      <c r="D84" s="681"/>
      <c r="E84" s="50"/>
      <c r="F84" s="544"/>
      <c r="G84" s="544"/>
      <c r="H84" s="681"/>
      <c r="I84" s="50"/>
      <c r="J84" s="581"/>
      <c r="K84" s="581"/>
      <c r="L84" s="581"/>
      <c r="M84" s="544"/>
      <c r="O84" s="99"/>
      <c r="R84" s="95"/>
      <c r="U84" s="62"/>
      <c r="V84" s="62"/>
      <c r="W84" s="95"/>
      <c r="Z84" s="327"/>
      <c r="AA84" s="328"/>
    </row>
    <row r="85" spans="1:27" ht="15" customHeight="1" x14ac:dyDescent="0.2">
      <c r="A85" s="50">
        <v>82</v>
      </c>
      <c r="B85" s="193">
        <v>1.7999999999999999E-2</v>
      </c>
      <c r="C85" s="193">
        <v>0.41599999999999998</v>
      </c>
      <c r="D85" s="681"/>
      <c r="E85" s="50"/>
      <c r="F85" s="544"/>
      <c r="G85" s="544"/>
      <c r="H85" s="681"/>
      <c r="I85" s="50"/>
      <c r="J85" s="581"/>
      <c r="K85" s="581"/>
      <c r="L85" s="581"/>
      <c r="M85" s="544"/>
      <c r="O85" s="99"/>
      <c r="R85" s="95"/>
      <c r="Z85" s="327"/>
      <c r="AA85" s="328"/>
    </row>
    <row r="86" spans="1:27" ht="15" customHeight="1" x14ac:dyDescent="0.2">
      <c r="A86" s="50">
        <v>83</v>
      </c>
      <c r="B86" s="193">
        <v>1.7000000000000001E-2</v>
      </c>
      <c r="C86" s="193">
        <v>0.41899999999999998</v>
      </c>
      <c r="D86" s="681"/>
      <c r="E86" s="50"/>
      <c r="F86" s="544"/>
      <c r="G86" s="544"/>
      <c r="H86" s="681"/>
      <c r="I86" s="50"/>
      <c r="J86" s="581"/>
      <c r="K86" s="581"/>
      <c r="L86" s="581"/>
      <c r="M86" s="544"/>
      <c r="O86" s="99"/>
      <c r="R86" s="95"/>
      <c r="U86" s="62"/>
      <c r="V86" s="62"/>
      <c r="W86" s="95"/>
      <c r="Z86" s="327"/>
      <c r="AA86" s="328"/>
    </row>
    <row r="87" spans="1:27" ht="15" customHeight="1" x14ac:dyDescent="0.2">
      <c r="A87" s="50">
        <v>84</v>
      </c>
      <c r="B87" s="193">
        <v>1.6E-2</v>
      </c>
      <c r="C87" s="193">
        <v>0.42199999999999999</v>
      </c>
      <c r="D87" s="681"/>
      <c r="E87" s="50"/>
      <c r="F87" s="544"/>
      <c r="G87" s="544"/>
      <c r="H87" s="681"/>
      <c r="I87" s="50"/>
      <c r="J87" s="581"/>
      <c r="K87" s="581"/>
      <c r="L87" s="581"/>
      <c r="M87" s="544"/>
      <c r="O87" s="99"/>
      <c r="R87" s="95"/>
      <c r="Z87" s="327"/>
      <c r="AA87" s="328"/>
    </row>
    <row r="88" spans="1:27" ht="15" customHeight="1" x14ac:dyDescent="0.2">
      <c r="A88" s="50">
        <v>85</v>
      </c>
      <c r="B88" s="193">
        <v>1.4999999999999999E-2</v>
      </c>
      <c r="C88" s="193">
        <v>0.42499999999999999</v>
      </c>
      <c r="D88" s="681"/>
      <c r="E88" s="50"/>
      <c r="F88" s="544"/>
      <c r="G88" s="544"/>
      <c r="H88" s="681"/>
      <c r="I88" s="50"/>
      <c r="J88" s="581"/>
      <c r="K88" s="581"/>
      <c r="L88" s="581"/>
      <c r="M88" s="544"/>
      <c r="Z88" s="327"/>
      <c r="AA88" s="328"/>
    </row>
    <row r="89" spans="1:27" ht="15" customHeight="1" x14ac:dyDescent="0.2">
      <c r="A89" s="50">
        <v>86</v>
      </c>
      <c r="B89" s="193">
        <v>1.4E-2</v>
      </c>
      <c r="C89" s="193">
        <v>0.42799999999999999</v>
      </c>
      <c r="D89" s="681"/>
      <c r="E89" s="50"/>
      <c r="F89" s="544"/>
      <c r="G89" s="544"/>
      <c r="H89" s="681"/>
      <c r="I89" s="50"/>
      <c r="J89" s="581"/>
      <c r="K89" s="581"/>
      <c r="L89" s="581"/>
      <c r="M89" s="544"/>
      <c r="Z89" s="327"/>
      <c r="AA89" s="328"/>
    </row>
    <row r="90" spans="1:27" ht="15" customHeight="1" x14ac:dyDescent="0.2">
      <c r="A90" s="50">
        <v>87</v>
      </c>
      <c r="B90" s="193">
        <v>1.2999999999999999E-2</v>
      </c>
      <c r="C90" s="193">
        <v>0.43099999999999999</v>
      </c>
      <c r="D90" s="681"/>
      <c r="E90" s="50"/>
      <c r="F90" s="544"/>
      <c r="G90" s="544"/>
      <c r="H90" s="681"/>
      <c r="I90" s="50"/>
      <c r="J90" s="581"/>
      <c r="K90" s="581"/>
      <c r="L90" s="581"/>
      <c r="M90" s="544"/>
      <c r="R90" s="95"/>
      <c r="Z90" s="327"/>
      <c r="AA90" s="328"/>
    </row>
    <row r="91" spans="1:27" ht="15" customHeight="1" x14ac:dyDescent="0.2">
      <c r="A91" s="50">
        <v>88</v>
      </c>
      <c r="B91" s="193">
        <v>1.2E-2</v>
      </c>
      <c r="C91" s="193">
        <v>0.434</v>
      </c>
      <c r="D91" s="681"/>
      <c r="E91" s="50"/>
      <c r="F91" s="544"/>
      <c r="G91" s="544"/>
      <c r="H91" s="681"/>
      <c r="I91" s="50"/>
      <c r="J91" s="581"/>
      <c r="K91" s="581"/>
      <c r="L91" s="581"/>
      <c r="M91" s="544"/>
      <c r="R91" s="95"/>
      <c r="Z91" s="327"/>
      <c r="AA91" s="328"/>
    </row>
    <row r="92" spans="1:27" ht="15" customHeight="1" x14ac:dyDescent="0.2">
      <c r="A92" s="50">
        <v>89</v>
      </c>
      <c r="B92" s="193">
        <v>1.0999999999999999E-2</v>
      </c>
      <c r="C92" s="193">
        <v>0.437</v>
      </c>
      <c r="D92" s="681"/>
      <c r="E92" s="50"/>
      <c r="F92" s="544"/>
      <c r="G92" s="544"/>
      <c r="H92" s="681"/>
      <c r="I92" s="50"/>
      <c r="J92" s="581"/>
      <c r="K92" s="581"/>
      <c r="L92" s="581"/>
      <c r="M92" s="544"/>
      <c r="R92" s="95"/>
      <c r="Z92" s="327"/>
      <c r="AA92" s="328"/>
    </row>
    <row r="93" spans="1:27" ht="15" customHeight="1" x14ac:dyDescent="0.2">
      <c r="A93" s="50">
        <v>90</v>
      </c>
      <c r="B93" s="193">
        <v>0.01</v>
      </c>
      <c r="C93" s="193">
        <v>0.44</v>
      </c>
      <c r="D93" s="681"/>
      <c r="E93" s="50"/>
      <c r="F93" s="544"/>
      <c r="G93" s="544"/>
      <c r="H93" s="681"/>
      <c r="I93" s="50"/>
      <c r="J93" s="581"/>
      <c r="K93" s="581"/>
      <c r="L93" s="581"/>
      <c r="M93" s="544"/>
      <c r="Z93" s="327"/>
      <c r="AA93" s="328"/>
    </row>
    <row r="94" spans="1:27" ht="15" customHeight="1" x14ac:dyDescent="0.2">
      <c r="A94" s="50">
        <v>91</v>
      </c>
      <c r="B94" s="193">
        <v>8.9999999999999993E-3</v>
      </c>
      <c r="C94" s="193">
        <v>0.443</v>
      </c>
      <c r="D94" s="50"/>
      <c r="E94" s="50"/>
      <c r="F94" s="544"/>
      <c r="G94" s="544"/>
      <c r="H94" s="256"/>
      <c r="I94" s="50"/>
      <c r="J94" s="50"/>
      <c r="K94" s="581"/>
      <c r="L94" s="581"/>
      <c r="M94" s="581"/>
      <c r="Z94" s="327"/>
      <c r="AA94" s="328"/>
    </row>
    <row r="95" spans="1:27" ht="15" customHeight="1" x14ac:dyDescent="0.2">
      <c r="A95" s="50">
        <v>92</v>
      </c>
      <c r="B95" s="193">
        <v>8.0000000000000002E-3</v>
      </c>
      <c r="C95" s="193">
        <v>0.44600000000000001</v>
      </c>
      <c r="D95" s="256"/>
      <c r="E95" s="50"/>
      <c r="F95" s="544"/>
      <c r="G95" s="544"/>
      <c r="H95" s="50"/>
      <c r="I95" s="50"/>
      <c r="J95" s="50"/>
      <c r="K95" s="581"/>
      <c r="L95" s="581"/>
      <c r="M95" s="581"/>
      <c r="R95" s="95"/>
      <c r="Z95" s="327"/>
      <c r="AA95" s="328"/>
    </row>
    <row r="96" spans="1:27" ht="15" customHeight="1" x14ac:dyDescent="0.2">
      <c r="A96" s="50">
        <v>93</v>
      </c>
      <c r="B96" s="193">
        <v>7.0000000000000001E-3</v>
      </c>
      <c r="C96" s="193">
        <v>0.44900000000000001</v>
      </c>
      <c r="D96" s="681"/>
      <c r="E96" s="50"/>
      <c r="F96" s="544"/>
      <c r="G96" s="544"/>
      <c r="H96" s="50"/>
      <c r="I96" s="50"/>
      <c r="J96" s="50"/>
      <c r="K96" s="581"/>
      <c r="L96" s="581"/>
      <c r="M96" s="581"/>
      <c r="R96" s="95"/>
      <c r="Z96" s="327"/>
      <c r="AA96" s="328"/>
    </row>
    <row r="97" spans="1:27" ht="15" customHeight="1" x14ac:dyDescent="0.2">
      <c r="A97" s="50">
        <v>94</v>
      </c>
      <c r="B97" s="193">
        <v>6.0000000000000001E-3</v>
      </c>
      <c r="C97" s="193">
        <v>0.45200000000000001</v>
      </c>
      <c r="D97" s="681"/>
      <c r="E97" s="50"/>
      <c r="F97" s="544"/>
      <c r="G97" s="544"/>
      <c r="H97" s="50"/>
      <c r="I97" s="50"/>
      <c r="J97" s="50"/>
      <c r="K97" s="581"/>
      <c r="L97" s="581"/>
      <c r="M97" s="581"/>
      <c r="R97" s="95"/>
      <c r="Z97" s="327"/>
      <c r="AA97" s="328"/>
    </row>
    <row r="98" spans="1:27" ht="15" customHeight="1" x14ac:dyDescent="0.2">
      <c r="A98" s="50">
        <v>95</v>
      </c>
      <c r="B98" s="193">
        <v>5.0000000000000001E-3</v>
      </c>
      <c r="C98" s="193">
        <v>0.45500000000000002</v>
      </c>
      <c r="D98" s="681"/>
      <c r="E98" s="50"/>
      <c r="F98" s="544"/>
      <c r="G98" s="544"/>
      <c r="H98" s="50"/>
      <c r="I98" s="50"/>
      <c r="J98" s="50"/>
      <c r="K98" s="581"/>
      <c r="L98" s="581"/>
      <c r="M98" s="581"/>
      <c r="Z98" s="327"/>
      <c r="AA98" s="328"/>
    </row>
    <row r="99" spans="1:27" ht="15" customHeight="1" x14ac:dyDescent="0.2">
      <c r="A99" s="50">
        <v>96</v>
      </c>
      <c r="B99" s="193">
        <v>4.0000000000000001E-3</v>
      </c>
      <c r="C99" s="193">
        <v>0.45800000000000002</v>
      </c>
      <c r="D99" s="681"/>
      <c r="E99" s="50"/>
      <c r="F99" s="544"/>
      <c r="G99" s="544"/>
      <c r="H99" s="50"/>
      <c r="I99" s="50"/>
      <c r="J99" s="50"/>
      <c r="K99" s="581"/>
      <c r="L99" s="581"/>
      <c r="M99" s="581"/>
      <c r="Z99" s="327"/>
      <c r="AA99" s="328"/>
    </row>
    <row r="100" spans="1:27" ht="15" customHeight="1" x14ac:dyDescent="0.2">
      <c r="A100" s="50">
        <v>97</v>
      </c>
      <c r="B100" s="193">
        <v>3.0000000000000001E-3</v>
      </c>
      <c r="C100" s="193">
        <v>0.46100000000000002</v>
      </c>
      <c r="D100" s="681"/>
      <c r="E100" s="50"/>
      <c r="F100" s="544"/>
      <c r="G100" s="544"/>
      <c r="H100" s="50"/>
      <c r="I100" s="50"/>
      <c r="J100" s="50"/>
      <c r="K100" s="581"/>
      <c r="L100" s="581"/>
      <c r="M100" s="581"/>
      <c r="R100" s="95"/>
      <c r="Z100" s="327"/>
      <c r="AA100" s="328"/>
    </row>
    <row r="101" spans="1:27" ht="15" customHeight="1" x14ac:dyDescent="0.2">
      <c r="A101" s="50">
        <v>98</v>
      </c>
      <c r="B101" s="193">
        <v>2E-3</v>
      </c>
      <c r="C101" s="193">
        <v>0.46400000000000002</v>
      </c>
      <c r="D101" s="681"/>
      <c r="E101" s="50"/>
      <c r="F101" s="544"/>
      <c r="G101" s="544"/>
      <c r="H101" s="50"/>
      <c r="I101" s="50"/>
      <c r="J101" s="50"/>
      <c r="K101" s="581"/>
      <c r="L101" s="581"/>
      <c r="M101" s="581"/>
      <c r="R101" s="95"/>
      <c r="Z101" s="327"/>
      <c r="AA101" s="328"/>
    </row>
    <row r="102" spans="1:27" ht="15" customHeight="1" x14ac:dyDescent="0.2">
      <c r="A102" s="50">
        <v>99</v>
      </c>
      <c r="B102" s="193">
        <v>1E-3</v>
      </c>
      <c r="C102" s="193">
        <v>0.46700000000000003</v>
      </c>
      <c r="D102" s="681"/>
      <c r="E102" s="50"/>
      <c r="F102" s="544"/>
      <c r="G102" s="544"/>
      <c r="H102" s="50"/>
      <c r="I102" s="50"/>
      <c r="J102" s="50"/>
      <c r="K102" s="581"/>
      <c r="L102" s="581"/>
      <c r="M102" s="581"/>
      <c r="R102" s="95"/>
      <c r="Z102" s="327"/>
      <c r="AA102" s="328"/>
    </row>
    <row r="103" spans="1:27" ht="15" customHeight="1" x14ac:dyDescent="0.2">
      <c r="A103" s="50">
        <v>100</v>
      </c>
      <c r="B103" s="193">
        <v>0</v>
      </c>
      <c r="C103" s="193">
        <v>0.47</v>
      </c>
      <c r="D103" s="681"/>
      <c r="E103" s="50"/>
      <c r="F103" s="544"/>
      <c r="G103" s="544"/>
      <c r="H103" s="50"/>
      <c r="I103" s="50"/>
      <c r="J103" s="50"/>
      <c r="K103" s="670"/>
      <c r="L103" s="581"/>
      <c r="M103" s="581"/>
      <c r="Z103" s="327"/>
      <c r="AA103" s="328"/>
    </row>
    <row r="104" spans="1:27" ht="15" customHeight="1" x14ac:dyDescent="0.2">
      <c r="B104" s="96"/>
      <c r="C104" s="96"/>
      <c r="D104" s="327"/>
      <c r="F104" s="96"/>
      <c r="G104" s="96"/>
      <c r="H104" s="327"/>
    </row>
    <row r="105" spans="1:27" ht="15" customHeight="1" x14ac:dyDescent="0.2">
      <c r="B105" s="96"/>
      <c r="C105" s="96"/>
      <c r="D105" s="327"/>
      <c r="F105" s="96"/>
      <c r="G105" s="96"/>
      <c r="H105" s="327"/>
      <c r="R105" s="95"/>
    </row>
    <row r="106" spans="1:27" ht="15" customHeight="1" x14ac:dyDescent="0.2">
      <c r="B106" s="96"/>
      <c r="C106" s="96"/>
      <c r="D106" s="327"/>
      <c r="F106" s="96"/>
      <c r="G106" s="96"/>
      <c r="H106" s="327"/>
      <c r="R106" s="95"/>
    </row>
    <row r="107" spans="1:27" ht="15" customHeight="1" x14ac:dyDescent="0.2">
      <c r="B107" s="96"/>
      <c r="C107" s="96"/>
      <c r="D107" s="327"/>
      <c r="F107" s="96"/>
      <c r="G107" s="96"/>
      <c r="H107" s="327"/>
      <c r="R107" s="95"/>
    </row>
    <row r="108" spans="1:27" ht="15" customHeight="1" x14ac:dyDescent="0.2">
      <c r="B108" s="96"/>
      <c r="C108" s="96"/>
      <c r="D108" s="327"/>
      <c r="F108" s="96"/>
      <c r="G108" s="96"/>
      <c r="H108" s="327"/>
    </row>
    <row r="109" spans="1:27" ht="15" customHeight="1" x14ac:dyDescent="0.2">
      <c r="B109" s="96"/>
      <c r="C109" s="96"/>
      <c r="D109" s="327"/>
      <c r="F109" s="96"/>
      <c r="G109" s="96"/>
      <c r="H109" s="327"/>
    </row>
    <row r="110" spans="1:27" ht="15" customHeight="1" x14ac:dyDescent="0.2">
      <c r="B110" s="96"/>
      <c r="C110" s="96"/>
      <c r="D110" s="327"/>
      <c r="F110" s="96"/>
      <c r="G110" s="96"/>
      <c r="H110" s="327"/>
      <c r="R110" s="95"/>
    </row>
    <row r="111" spans="1:27" ht="15" customHeight="1" x14ac:dyDescent="0.2">
      <c r="B111" s="96"/>
      <c r="C111" s="96"/>
      <c r="D111" s="327"/>
      <c r="F111" s="96"/>
      <c r="G111" s="96"/>
      <c r="H111" s="327"/>
      <c r="R111" s="95"/>
    </row>
    <row r="112" spans="1:27" ht="15" customHeight="1" x14ac:dyDescent="0.2">
      <c r="B112" s="96"/>
      <c r="C112" s="96"/>
      <c r="D112" s="327"/>
      <c r="F112" s="96"/>
      <c r="G112" s="96"/>
      <c r="H112" s="327"/>
      <c r="R112" s="95"/>
    </row>
    <row r="113" spans="2:18" ht="15" customHeight="1" x14ac:dyDescent="0.2">
      <c r="B113" s="96"/>
      <c r="C113" s="94"/>
      <c r="D113" s="327"/>
      <c r="F113" s="96"/>
      <c r="G113" s="96"/>
      <c r="H113" s="327"/>
    </row>
    <row r="114" spans="2:18" ht="15" customHeight="1" x14ac:dyDescent="0.2">
      <c r="B114" s="96"/>
      <c r="C114" s="94"/>
      <c r="F114" s="96"/>
      <c r="G114" s="96"/>
    </row>
    <row r="115" spans="2:18" ht="15" customHeight="1" x14ac:dyDescent="0.2">
      <c r="B115" s="96"/>
      <c r="C115" s="94"/>
      <c r="F115" s="96"/>
      <c r="G115" s="96"/>
      <c r="R115" s="95"/>
    </row>
    <row r="116" spans="2:18" ht="15" customHeight="1" x14ac:dyDescent="0.2">
      <c r="B116" s="96"/>
      <c r="C116" s="94"/>
      <c r="F116" s="96"/>
      <c r="G116" s="96"/>
      <c r="R116" s="95"/>
    </row>
    <row r="117" spans="2:18" ht="15" customHeight="1" x14ac:dyDescent="0.2">
      <c r="B117" s="96"/>
      <c r="C117" s="94"/>
      <c r="F117" s="96"/>
      <c r="G117" s="96"/>
      <c r="R117" s="95"/>
    </row>
    <row r="118" spans="2:18" ht="15" customHeight="1" x14ac:dyDescent="0.2">
      <c r="B118" s="96"/>
      <c r="C118" s="94"/>
      <c r="F118" s="96"/>
      <c r="G118" s="96"/>
    </row>
    <row r="119" spans="2:18" ht="15" customHeight="1" x14ac:dyDescent="0.2">
      <c r="B119" s="96"/>
      <c r="C119" s="94"/>
      <c r="F119" s="96"/>
      <c r="G119" s="96"/>
    </row>
    <row r="120" spans="2:18" ht="15" customHeight="1" x14ac:dyDescent="0.2">
      <c r="B120" s="96"/>
      <c r="C120" s="94"/>
      <c r="F120" s="96"/>
      <c r="G120" s="96"/>
      <c r="R120" s="95"/>
    </row>
    <row r="121" spans="2:18" ht="15" customHeight="1" x14ac:dyDescent="0.2">
      <c r="B121" s="96"/>
      <c r="C121" s="94"/>
      <c r="F121" s="96"/>
      <c r="G121" s="96"/>
      <c r="R121" s="95"/>
    </row>
    <row r="122" spans="2:18" ht="15" customHeight="1" x14ac:dyDescent="0.2">
      <c r="B122" s="96"/>
      <c r="C122" s="94"/>
      <c r="F122" s="96"/>
      <c r="G122" s="96"/>
      <c r="R122" s="95"/>
    </row>
    <row r="123" spans="2:18" ht="15" customHeight="1" x14ac:dyDescent="0.2">
      <c r="B123" s="96"/>
      <c r="C123" s="94"/>
      <c r="F123" s="96"/>
      <c r="G123" s="96"/>
    </row>
    <row r="124" spans="2:18" ht="15" customHeight="1" x14ac:dyDescent="0.2">
      <c r="B124" s="96"/>
      <c r="C124" s="94"/>
      <c r="D124" s="327"/>
      <c r="F124" s="96"/>
      <c r="G124" s="96"/>
    </row>
    <row r="125" spans="2:18" ht="15" customHeight="1" x14ac:dyDescent="0.2">
      <c r="B125" s="96"/>
      <c r="C125" s="94"/>
      <c r="D125" s="327"/>
      <c r="F125" s="96"/>
      <c r="G125" s="96"/>
      <c r="R125" s="95"/>
    </row>
    <row r="126" spans="2:18" ht="15" customHeight="1" x14ac:dyDescent="0.2">
      <c r="B126" s="96"/>
      <c r="C126" s="94"/>
      <c r="D126" s="327"/>
      <c r="F126" s="96"/>
      <c r="G126" s="96"/>
      <c r="R126" s="95"/>
    </row>
    <row r="127" spans="2:18" ht="15" customHeight="1" x14ac:dyDescent="0.2">
      <c r="B127" s="96"/>
      <c r="C127" s="94"/>
      <c r="D127" s="327"/>
      <c r="F127" s="96"/>
      <c r="G127" s="96"/>
      <c r="R127" s="95"/>
    </row>
    <row r="128" spans="2:18" ht="15" customHeight="1" x14ac:dyDescent="0.2">
      <c r="B128" s="96"/>
      <c r="C128" s="94"/>
      <c r="D128" s="327"/>
      <c r="F128" s="96"/>
      <c r="G128" s="96"/>
    </row>
    <row r="129" spans="2:18" ht="15" customHeight="1" x14ac:dyDescent="0.2">
      <c r="B129" s="96"/>
      <c r="C129" s="94"/>
      <c r="D129" s="327"/>
      <c r="F129" s="96"/>
      <c r="G129" s="96"/>
    </row>
    <row r="130" spans="2:18" ht="15" customHeight="1" x14ac:dyDescent="0.2">
      <c r="B130" s="96"/>
      <c r="C130" s="94"/>
      <c r="D130" s="327"/>
      <c r="F130" s="96"/>
      <c r="G130" s="96"/>
      <c r="R130" s="95"/>
    </row>
    <row r="131" spans="2:18" ht="15" customHeight="1" x14ac:dyDescent="0.2">
      <c r="B131" s="96"/>
      <c r="C131" s="94"/>
      <c r="D131" s="327"/>
      <c r="F131" s="96"/>
      <c r="G131" s="96"/>
      <c r="R131" s="95"/>
    </row>
    <row r="132" spans="2:18" ht="15" customHeight="1" x14ac:dyDescent="0.2">
      <c r="B132" s="96"/>
      <c r="C132" s="94"/>
      <c r="D132" s="327"/>
      <c r="F132" s="96"/>
      <c r="G132" s="96"/>
      <c r="R132" s="95"/>
    </row>
    <row r="133" spans="2:18" ht="15" customHeight="1" x14ac:dyDescent="0.2">
      <c r="B133" s="96"/>
      <c r="C133" s="94"/>
      <c r="D133" s="327"/>
      <c r="F133" s="96"/>
      <c r="G133" s="96"/>
    </row>
    <row r="134" spans="2:18" ht="15" customHeight="1" x14ac:dyDescent="0.2">
      <c r="B134" s="96"/>
      <c r="C134" s="94"/>
      <c r="F134" s="96"/>
      <c r="G134" s="96"/>
    </row>
    <row r="135" spans="2:18" ht="15" customHeight="1" x14ac:dyDescent="0.2">
      <c r="B135" s="96"/>
      <c r="C135" s="94"/>
      <c r="F135" s="96"/>
      <c r="G135" s="96"/>
      <c r="R135" s="95"/>
    </row>
    <row r="136" spans="2:18" ht="15" customHeight="1" x14ac:dyDescent="0.2">
      <c r="B136" s="96"/>
      <c r="C136" s="94"/>
      <c r="F136" s="96"/>
      <c r="G136" s="96"/>
      <c r="R136" s="95"/>
    </row>
    <row r="137" spans="2:18" ht="15" customHeight="1" x14ac:dyDescent="0.2">
      <c r="B137" s="96"/>
      <c r="C137" s="94"/>
      <c r="F137" s="96"/>
      <c r="G137" s="96"/>
      <c r="R137" s="95"/>
    </row>
    <row r="138" spans="2:18" ht="15" customHeight="1" x14ac:dyDescent="0.2">
      <c r="B138" s="96"/>
      <c r="C138" s="94"/>
      <c r="F138" s="96"/>
      <c r="G138" s="96"/>
    </row>
    <row r="139" spans="2:18" ht="15" customHeight="1" x14ac:dyDescent="0.2">
      <c r="B139" s="96"/>
      <c r="C139" s="94"/>
      <c r="F139" s="96"/>
      <c r="G139" s="96"/>
    </row>
    <row r="140" spans="2:18" ht="15" customHeight="1" x14ac:dyDescent="0.2">
      <c r="B140" s="96"/>
      <c r="C140" s="94"/>
      <c r="F140" s="96"/>
      <c r="G140" s="96"/>
      <c r="R140" s="95"/>
    </row>
    <row r="141" spans="2:18" ht="15" customHeight="1" x14ac:dyDescent="0.2">
      <c r="B141" s="96"/>
      <c r="C141" s="94"/>
      <c r="F141" s="96"/>
      <c r="G141" s="96"/>
      <c r="R141" s="95"/>
    </row>
    <row r="142" spans="2:18" ht="15" customHeight="1" x14ac:dyDescent="0.2">
      <c r="B142" s="96"/>
      <c r="C142" s="94"/>
      <c r="F142" s="96"/>
      <c r="G142" s="96"/>
      <c r="R142" s="95"/>
    </row>
    <row r="143" spans="2:18" ht="15" customHeight="1" x14ac:dyDescent="0.2">
      <c r="B143" s="96"/>
      <c r="C143" s="94"/>
      <c r="F143" s="96"/>
      <c r="G143" s="96"/>
      <c r="R143" s="95"/>
    </row>
    <row r="144" spans="2:18" ht="15" customHeight="1" x14ac:dyDescent="0.2">
      <c r="B144" s="96"/>
      <c r="C144" s="94"/>
      <c r="D144" s="327"/>
      <c r="F144" s="96"/>
      <c r="G144" s="96"/>
      <c r="H144" s="327"/>
      <c r="R144" s="95"/>
    </row>
    <row r="145" spans="2:23" ht="15" customHeight="1" x14ac:dyDescent="0.2">
      <c r="B145" s="96"/>
      <c r="C145" s="94"/>
      <c r="D145" s="327"/>
      <c r="F145" s="96"/>
      <c r="G145" s="96"/>
      <c r="H145" s="327"/>
    </row>
    <row r="146" spans="2:23" ht="15" customHeight="1" x14ac:dyDescent="0.2">
      <c r="B146" s="96"/>
      <c r="C146" s="94"/>
      <c r="D146" s="327"/>
      <c r="F146" s="96"/>
      <c r="G146" s="96"/>
      <c r="H146" s="327"/>
      <c r="R146" s="62"/>
    </row>
    <row r="147" spans="2:23" ht="15" customHeight="1" x14ac:dyDescent="0.2">
      <c r="B147" s="96"/>
      <c r="C147" s="94"/>
      <c r="D147" s="327"/>
      <c r="F147" s="96"/>
      <c r="G147" s="96"/>
      <c r="H147" s="327"/>
      <c r="R147" s="95"/>
    </row>
    <row r="148" spans="2:23" ht="15" customHeight="1" x14ac:dyDescent="0.2">
      <c r="B148" s="96"/>
      <c r="C148" s="94"/>
      <c r="D148" s="327"/>
      <c r="F148" s="96"/>
      <c r="G148" s="96"/>
      <c r="H148" s="327"/>
    </row>
    <row r="149" spans="2:23" ht="15" customHeight="1" x14ac:dyDescent="0.2">
      <c r="B149" s="96"/>
      <c r="C149" s="94"/>
      <c r="D149" s="327"/>
      <c r="F149" s="96"/>
      <c r="G149" s="96"/>
      <c r="H149" s="327"/>
      <c r="R149" s="62"/>
      <c r="U149" s="62"/>
      <c r="V149" s="62"/>
      <c r="W149" s="62"/>
    </row>
    <row r="150" spans="2:23" ht="15" customHeight="1" x14ac:dyDescent="0.2">
      <c r="B150" s="96"/>
      <c r="C150" s="94"/>
      <c r="D150" s="327"/>
      <c r="F150" s="96"/>
      <c r="G150" s="96"/>
      <c r="H150" s="327"/>
      <c r="O150" s="99"/>
      <c r="R150" s="95"/>
      <c r="U150" s="62"/>
      <c r="V150" s="62"/>
      <c r="W150" s="95"/>
    </row>
    <row r="151" spans="2:23" ht="15" customHeight="1" x14ac:dyDescent="0.2">
      <c r="B151" s="96"/>
      <c r="C151" s="94"/>
      <c r="D151" s="327"/>
      <c r="F151" s="96"/>
      <c r="G151" s="96"/>
      <c r="H151" s="327"/>
      <c r="O151" s="99"/>
      <c r="R151" s="95"/>
      <c r="U151" s="62"/>
      <c r="V151" s="62"/>
      <c r="W151" s="95"/>
    </row>
    <row r="152" spans="2:23" ht="15" customHeight="1" x14ac:dyDescent="0.2">
      <c r="B152" s="96"/>
      <c r="C152" s="94"/>
      <c r="D152" s="327"/>
      <c r="F152" s="96"/>
      <c r="G152" s="96"/>
      <c r="H152" s="327"/>
    </row>
    <row r="153" spans="2:23" ht="15" customHeight="1" x14ac:dyDescent="0.2">
      <c r="B153" s="96"/>
      <c r="C153" s="94"/>
      <c r="D153" s="327"/>
      <c r="F153" s="96"/>
      <c r="G153" s="96"/>
      <c r="H153" s="327"/>
    </row>
    <row r="154" spans="2:23" x14ac:dyDescent="0.2">
      <c r="B154" s="96"/>
      <c r="C154" s="96"/>
      <c r="D154" s="327"/>
      <c r="F154" s="96"/>
      <c r="G154" s="96"/>
    </row>
    <row r="155" spans="2:23" x14ac:dyDescent="0.2">
      <c r="B155" s="96"/>
      <c r="C155" s="96"/>
      <c r="D155" s="327"/>
      <c r="F155" s="96"/>
      <c r="G155" s="96"/>
    </row>
    <row r="156" spans="2:23" x14ac:dyDescent="0.2">
      <c r="B156" s="96"/>
      <c r="C156" s="96"/>
      <c r="D156" s="327"/>
      <c r="F156" s="96"/>
      <c r="G156" s="96"/>
    </row>
    <row r="157" spans="2:23" x14ac:dyDescent="0.2">
      <c r="B157" s="96"/>
      <c r="C157" s="96"/>
      <c r="D157" s="327"/>
      <c r="F157" s="96"/>
      <c r="G157" s="96"/>
    </row>
    <row r="158" spans="2:23" x14ac:dyDescent="0.2">
      <c r="B158" s="96"/>
      <c r="C158" s="96"/>
      <c r="D158" s="327"/>
      <c r="F158" s="96"/>
      <c r="G158" s="96"/>
    </row>
    <row r="159" spans="2:23" x14ac:dyDescent="0.2">
      <c r="B159" s="96"/>
      <c r="C159" s="96"/>
      <c r="D159" s="327"/>
      <c r="F159" s="96"/>
      <c r="G159" s="96"/>
    </row>
    <row r="160" spans="2:23" x14ac:dyDescent="0.2">
      <c r="B160" s="96"/>
      <c r="C160" s="96"/>
      <c r="D160" s="327"/>
      <c r="F160" s="96"/>
      <c r="G160" s="96"/>
    </row>
    <row r="161" spans="2:7" x14ac:dyDescent="0.2">
      <c r="B161" s="96"/>
      <c r="C161" s="96"/>
      <c r="D161" s="327"/>
      <c r="F161" s="96"/>
      <c r="G161" s="96"/>
    </row>
    <row r="162" spans="2:7" x14ac:dyDescent="0.2">
      <c r="B162" s="96"/>
      <c r="C162" s="96"/>
      <c r="D162" s="327"/>
      <c r="F162" s="96"/>
      <c r="G162" s="96"/>
    </row>
    <row r="163" spans="2:7" x14ac:dyDescent="0.2">
      <c r="B163" s="96"/>
      <c r="C163" s="96"/>
      <c r="D163" s="327"/>
      <c r="F163" s="96"/>
      <c r="G163" s="96"/>
    </row>
    <row r="164" spans="2:7" x14ac:dyDescent="0.2">
      <c r="B164" s="96"/>
      <c r="C164" s="96"/>
      <c r="F164" s="96"/>
      <c r="G164" s="96"/>
    </row>
    <row r="165" spans="2:7" x14ac:dyDescent="0.2">
      <c r="B165" s="96"/>
      <c r="C165" s="96"/>
      <c r="F165" s="96"/>
      <c r="G165" s="96"/>
    </row>
    <row r="166" spans="2:7" x14ac:dyDescent="0.2">
      <c r="B166" s="96"/>
      <c r="C166" s="96"/>
      <c r="F166" s="96"/>
      <c r="G166" s="96"/>
    </row>
    <row r="167" spans="2:7" x14ac:dyDescent="0.2">
      <c r="B167" s="96"/>
      <c r="C167" s="96"/>
      <c r="F167" s="96"/>
      <c r="G167" s="96"/>
    </row>
    <row r="168" spans="2:7" x14ac:dyDescent="0.2">
      <c r="B168" s="96"/>
      <c r="C168" s="96"/>
      <c r="F168" s="96"/>
      <c r="G168" s="96"/>
    </row>
    <row r="169" spans="2:7" x14ac:dyDescent="0.2">
      <c r="B169" s="96"/>
      <c r="C169" s="96"/>
      <c r="F169" s="96"/>
      <c r="G169" s="96"/>
    </row>
    <row r="170" spans="2:7" x14ac:dyDescent="0.2">
      <c r="B170" s="96"/>
      <c r="C170" s="96"/>
      <c r="F170" s="96"/>
      <c r="G170" s="96"/>
    </row>
    <row r="171" spans="2:7" x14ac:dyDescent="0.2">
      <c r="B171" s="96"/>
      <c r="C171" s="96"/>
      <c r="F171" s="96"/>
      <c r="G171" s="96"/>
    </row>
    <row r="172" spans="2:7" x14ac:dyDescent="0.2">
      <c r="B172" s="96"/>
      <c r="C172" s="96"/>
      <c r="F172" s="96"/>
      <c r="G172" s="96"/>
    </row>
    <row r="173" spans="2:7" x14ac:dyDescent="0.2">
      <c r="B173" s="96"/>
      <c r="C173" s="96"/>
      <c r="F173" s="96"/>
      <c r="G173" s="96"/>
    </row>
    <row r="174" spans="2:7" x14ac:dyDescent="0.2">
      <c r="B174" s="96"/>
      <c r="C174" s="96"/>
      <c r="D174" s="327"/>
      <c r="F174" s="96"/>
      <c r="G174" s="96"/>
    </row>
    <row r="175" spans="2:7" x14ac:dyDescent="0.2">
      <c r="B175" s="96"/>
      <c r="C175" s="96"/>
      <c r="D175" s="327"/>
      <c r="F175" s="96"/>
      <c r="G175" s="96"/>
    </row>
    <row r="176" spans="2:7" x14ac:dyDescent="0.2">
      <c r="B176" s="96"/>
      <c r="C176" s="96"/>
      <c r="D176" s="327"/>
      <c r="F176" s="96"/>
      <c r="G176" s="96"/>
    </row>
    <row r="177" spans="2:8" x14ac:dyDescent="0.2">
      <c r="B177" s="96"/>
      <c r="C177" s="96"/>
      <c r="D177" s="327"/>
      <c r="F177" s="96"/>
      <c r="G177" s="96"/>
    </row>
    <row r="178" spans="2:8" x14ac:dyDescent="0.2">
      <c r="B178" s="96"/>
      <c r="C178" s="96"/>
      <c r="D178" s="327"/>
      <c r="F178" s="96"/>
      <c r="G178" s="96"/>
    </row>
    <row r="179" spans="2:8" x14ac:dyDescent="0.2">
      <c r="B179" s="96"/>
      <c r="C179" s="96"/>
      <c r="D179" s="327"/>
      <c r="F179" s="96"/>
      <c r="G179" s="96"/>
    </row>
    <row r="180" spans="2:8" x14ac:dyDescent="0.2">
      <c r="B180" s="96"/>
      <c r="C180" s="96"/>
      <c r="D180" s="327"/>
      <c r="F180" s="96"/>
      <c r="G180" s="96"/>
    </row>
    <row r="181" spans="2:8" x14ac:dyDescent="0.2">
      <c r="B181" s="96"/>
      <c r="C181" s="96"/>
      <c r="D181" s="327"/>
      <c r="F181" s="96"/>
      <c r="G181" s="96"/>
    </row>
    <row r="182" spans="2:8" x14ac:dyDescent="0.2">
      <c r="B182" s="96"/>
      <c r="C182" s="96"/>
      <c r="D182" s="327"/>
      <c r="F182" s="96"/>
      <c r="G182" s="96"/>
    </row>
    <row r="183" spans="2:8" x14ac:dyDescent="0.2">
      <c r="B183" s="96"/>
      <c r="C183" s="96"/>
      <c r="D183" s="327"/>
      <c r="F183" s="96"/>
      <c r="G183" s="96"/>
      <c r="H183" s="327"/>
    </row>
    <row r="304" spans="3:3" x14ac:dyDescent="0.2">
      <c r="C304" s="14"/>
    </row>
    <row r="305" spans="1:3" x14ac:dyDescent="0.2">
      <c r="C305" s="14"/>
    </row>
    <row r="306" spans="1:3" x14ac:dyDescent="0.2">
      <c r="C306" s="14"/>
    </row>
    <row r="307" spans="1:3" x14ac:dyDescent="0.2">
      <c r="A307" s="14"/>
      <c r="C307" s="14"/>
    </row>
    <row r="308" spans="1:3" x14ac:dyDescent="0.2">
      <c r="A308" s="14"/>
      <c r="C308" s="14"/>
    </row>
    <row r="309" spans="1:3" x14ac:dyDescent="0.2">
      <c r="A309" s="14"/>
      <c r="C309" s="14"/>
    </row>
    <row r="310" spans="1:3" x14ac:dyDescent="0.2">
      <c r="A310" s="14"/>
      <c r="C310" s="14"/>
    </row>
    <row r="311" spans="1:3" x14ac:dyDescent="0.2">
      <c r="A311" s="14"/>
      <c r="C311" s="14"/>
    </row>
    <row r="312" spans="1:3" x14ac:dyDescent="0.2">
      <c r="A312" s="14"/>
    </row>
    <row r="313" spans="1:3" x14ac:dyDescent="0.2">
      <c r="A313" s="14"/>
    </row>
    <row r="314" spans="1:3" x14ac:dyDescent="0.2">
      <c r="A314" s="14"/>
    </row>
    <row r="315" spans="1:3" x14ac:dyDescent="0.2">
      <c r="A315" s="14"/>
    </row>
    <row r="316" spans="1:3" x14ac:dyDescent="0.2">
      <c r="A316" s="14"/>
    </row>
    <row r="317" spans="1:3" x14ac:dyDescent="0.2">
      <c r="A317" s="14"/>
    </row>
    <row r="318" spans="1:3" x14ac:dyDescent="0.2">
      <c r="A318" s="14"/>
    </row>
    <row r="319" spans="1:3" x14ac:dyDescent="0.2">
      <c r="A319" s="14"/>
    </row>
    <row r="320" spans="1:3" x14ac:dyDescent="0.2">
      <c r="A320" s="14"/>
    </row>
    <row r="321" spans="1:1" x14ac:dyDescent="0.2">
      <c r="A321" s="14"/>
    </row>
    <row r="322" spans="1:1" x14ac:dyDescent="0.2">
      <c r="A322" s="14"/>
    </row>
    <row r="323" spans="1:1" x14ac:dyDescent="0.2">
      <c r="A323" s="14"/>
    </row>
    <row r="324" spans="1:1" x14ac:dyDescent="0.2">
      <c r="A324" s="14"/>
    </row>
    <row r="325" spans="1:1" x14ac:dyDescent="0.2">
      <c r="A325" s="14"/>
    </row>
    <row r="326" spans="1:1" x14ac:dyDescent="0.2">
      <c r="A326" s="14"/>
    </row>
    <row r="327" spans="1:1" x14ac:dyDescent="0.2">
      <c r="A327" s="14"/>
    </row>
    <row r="328" spans="1:1" x14ac:dyDescent="0.2">
      <c r="A328" s="14"/>
    </row>
    <row r="329" spans="1:1" x14ac:dyDescent="0.2">
      <c r="A329" s="14"/>
    </row>
    <row r="330" spans="1:1" x14ac:dyDescent="0.2">
      <c r="A330" s="14"/>
    </row>
    <row r="331" spans="1:1" x14ac:dyDescent="0.2">
      <c r="A331" s="14"/>
    </row>
    <row r="332" spans="1:1" x14ac:dyDescent="0.2">
      <c r="A332" s="14"/>
    </row>
    <row r="333" spans="1:1" x14ac:dyDescent="0.2">
      <c r="A333" s="14"/>
    </row>
    <row r="334" spans="1:1" x14ac:dyDescent="0.2">
      <c r="A334" s="14"/>
    </row>
    <row r="335" spans="1:1" x14ac:dyDescent="0.2">
      <c r="A335" s="14"/>
    </row>
    <row r="336" spans="1:1" x14ac:dyDescent="0.2">
      <c r="A336" s="14"/>
    </row>
    <row r="337" spans="1:1" x14ac:dyDescent="0.2">
      <c r="A337" s="14"/>
    </row>
    <row r="338" spans="1:1" x14ac:dyDescent="0.2">
      <c r="A338" s="14"/>
    </row>
    <row r="339" spans="1:1" x14ac:dyDescent="0.2">
      <c r="A339" s="14"/>
    </row>
    <row r="340" spans="1:1" x14ac:dyDescent="0.2">
      <c r="A340" s="14"/>
    </row>
    <row r="341" spans="1:1" x14ac:dyDescent="0.2">
      <c r="A341" s="14"/>
    </row>
    <row r="342" spans="1:1" x14ac:dyDescent="0.2">
      <c r="A342" s="14"/>
    </row>
    <row r="343" spans="1:1" x14ac:dyDescent="0.2">
      <c r="A343" s="14"/>
    </row>
    <row r="344" spans="1:1" x14ac:dyDescent="0.2">
      <c r="A344" s="14"/>
    </row>
    <row r="345" spans="1:1" x14ac:dyDescent="0.2">
      <c r="A345" s="14"/>
    </row>
    <row r="346" spans="1:1" x14ac:dyDescent="0.2">
      <c r="A346" s="14"/>
    </row>
    <row r="347" spans="1:1" x14ac:dyDescent="0.2">
      <c r="A347" s="14"/>
    </row>
    <row r="348" spans="1:1" x14ac:dyDescent="0.2">
      <c r="A348" s="14"/>
    </row>
    <row r="349" spans="1:1" x14ac:dyDescent="0.2">
      <c r="A349" s="14"/>
    </row>
    <row r="350" spans="1:1" x14ac:dyDescent="0.2">
      <c r="A350" s="14"/>
    </row>
    <row r="351" spans="1:1" x14ac:dyDescent="0.2">
      <c r="A351" s="14"/>
    </row>
    <row r="352" spans="1:1" x14ac:dyDescent="0.2">
      <c r="A352" s="14"/>
    </row>
    <row r="353" spans="1:1" x14ac:dyDescent="0.2">
      <c r="A353" s="14"/>
    </row>
    <row r="354" spans="1:1" x14ac:dyDescent="0.2">
      <c r="A354" s="14"/>
    </row>
    <row r="355" spans="1:1" x14ac:dyDescent="0.2">
      <c r="A355" s="14"/>
    </row>
    <row r="356" spans="1:1" x14ac:dyDescent="0.2">
      <c r="A356" s="14"/>
    </row>
    <row r="357" spans="1:1" x14ac:dyDescent="0.2">
      <c r="A357" s="14"/>
    </row>
    <row r="358" spans="1:1" x14ac:dyDescent="0.2">
      <c r="A358" s="14"/>
    </row>
    <row r="359" spans="1:1" x14ac:dyDescent="0.2">
      <c r="A359" s="14"/>
    </row>
    <row r="360" spans="1:1" x14ac:dyDescent="0.2">
      <c r="A360" s="14"/>
    </row>
    <row r="361" spans="1:1" x14ac:dyDescent="0.2">
      <c r="A361" s="14"/>
    </row>
    <row r="362" spans="1:1" x14ac:dyDescent="0.2">
      <c r="A362" s="14"/>
    </row>
    <row r="363" spans="1:1" x14ac:dyDescent="0.2">
      <c r="A363" s="14"/>
    </row>
    <row r="364" spans="1:1" x14ac:dyDescent="0.2">
      <c r="A364" s="14"/>
    </row>
    <row r="365" spans="1:1" x14ac:dyDescent="0.2">
      <c r="A365" s="14"/>
    </row>
    <row r="366" spans="1:1" x14ac:dyDescent="0.2">
      <c r="A366" s="14"/>
    </row>
    <row r="367" spans="1:1" x14ac:dyDescent="0.2">
      <c r="A367" s="14"/>
    </row>
    <row r="368" spans="1:1" x14ac:dyDescent="0.2">
      <c r="A368" s="14"/>
    </row>
    <row r="369" spans="1:1" x14ac:dyDescent="0.2">
      <c r="A369" s="14"/>
    </row>
    <row r="370" spans="1:1" x14ac:dyDescent="0.2">
      <c r="A370" s="14"/>
    </row>
    <row r="371" spans="1:1" x14ac:dyDescent="0.2">
      <c r="A371" s="14"/>
    </row>
    <row r="372" spans="1:1" x14ac:dyDescent="0.2">
      <c r="A372" s="14"/>
    </row>
    <row r="373" spans="1:1" x14ac:dyDescent="0.2">
      <c r="A373" s="14"/>
    </row>
    <row r="374" spans="1:1" x14ac:dyDescent="0.2">
      <c r="A374" s="14"/>
    </row>
    <row r="375" spans="1:1" x14ac:dyDescent="0.2">
      <c r="A375" s="14"/>
    </row>
    <row r="376" spans="1:1" x14ac:dyDescent="0.2">
      <c r="A376" s="14"/>
    </row>
    <row r="377" spans="1:1" x14ac:dyDescent="0.2">
      <c r="A377" s="14"/>
    </row>
    <row r="378" spans="1:1" x14ac:dyDescent="0.2">
      <c r="A378" s="14"/>
    </row>
    <row r="379" spans="1:1" x14ac:dyDescent="0.2">
      <c r="A379" s="14"/>
    </row>
    <row r="380" spans="1:1" x14ac:dyDescent="0.2">
      <c r="A380" s="14"/>
    </row>
    <row r="381" spans="1:1" x14ac:dyDescent="0.2">
      <c r="A381" s="14"/>
    </row>
    <row r="382" spans="1:1" x14ac:dyDescent="0.2">
      <c r="A382" s="14"/>
    </row>
    <row r="383" spans="1:1" x14ac:dyDescent="0.2">
      <c r="A383" s="14"/>
    </row>
    <row r="384" spans="1:1" x14ac:dyDescent="0.2">
      <c r="A384" s="14"/>
    </row>
    <row r="385" spans="1:1" x14ac:dyDescent="0.2">
      <c r="A385" s="14"/>
    </row>
    <row r="386" spans="1:1" x14ac:dyDescent="0.2">
      <c r="A386" s="14"/>
    </row>
    <row r="387" spans="1:1" x14ac:dyDescent="0.2">
      <c r="A387" s="14"/>
    </row>
    <row r="388" spans="1:1" x14ac:dyDescent="0.2">
      <c r="A388" s="14"/>
    </row>
    <row r="389" spans="1:1" x14ac:dyDescent="0.2">
      <c r="A389" s="14"/>
    </row>
    <row r="390" spans="1:1" x14ac:dyDescent="0.2">
      <c r="A390" s="14"/>
    </row>
    <row r="391" spans="1:1" x14ac:dyDescent="0.2">
      <c r="A391" s="14"/>
    </row>
    <row r="392" spans="1:1" x14ac:dyDescent="0.2">
      <c r="A392" s="14"/>
    </row>
    <row r="393" spans="1:1" x14ac:dyDescent="0.2">
      <c r="A393" s="14"/>
    </row>
    <row r="394" spans="1:1" x14ac:dyDescent="0.2">
      <c r="A394" s="14"/>
    </row>
    <row r="395" spans="1:1" x14ac:dyDescent="0.2">
      <c r="A395" s="14"/>
    </row>
    <row r="396" spans="1:1" x14ac:dyDescent="0.2">
      <c r="A396" s="14"/>
    </row>
    <row r="397" spans="1:1" x14ac:dyDescent="0.2">
      <c r="A397" s="14"/>
    </row>
    <row r="398" spans="1:1" x14ac:dyDescent="0.2">
      <c r="A398" s="14"/>
    </row>
    <row r="399" spans="1:1" x14ac:dyDescent="0.2">
      <c r="A399" s="14"/>
    </row>
    <row r="400" spans="1:1" x14ac:dyDescent="0.2">
      <c r="A400" s="14"/>
    </row>
    <row r="401" spans="1:1" x14ac:dyDescent="0.2">
      <c r="A401" s="14"/>
    </row>
    <row r="402" spans="1:1" x14ac:dyDescent="0.2">
      <c r="A402" s="14"/>
    </row>
    <row r="403" spans="1:1" x14ac:dyDescent="0.2">
      <c r="A403" s="14"/>
    </row>
    <row r="404" spans="1:1" x14ac:dyDescent="0.2">
      <c r="A404" s="14"/>
    </row>
    <row r="405" spans="1:1" x14ac:dyDescent="0.2">
      <c r="A405" s="14"/>
    </row>
    <row r="406" spans="1:1" x14ac:dyDescent="0.2">
      <c r="A406" s="14"/>
    </row>
    <row r="407" spans="1:1" x14ac:dyDescent="0.2">
      <c r="A407" s="14"/>
    </row>
    <row r="408" spans="1:1" x14ac:dyDescent="0.2">
      <c r="A408" s="14"/>
    </row>
    <row r="409" spans="1:1" x14ac:dyDescent="0.2">
      <c r="A409" s="14"/>
    </row>
    <row r="410" spans="1:1" x14ac:dyDescent="0.2">
      <c r="A410" s="14"/>
    </row>
    <row r="411" spans="1:1" x14ac:dyDescent="0.2">
      <c r="A411" s="14"/>
    </row>
    <row r="412" spans="1:1" x14ac:dyDescent="0.2">
      <c r="A412" s="14"/>
    </row>
    <row r="413" spans="1:1" x14ac:dyDescent="0.2">
      <c r="A413" s="14"/>
    </row>
    <row r="414" spans="1:1" x14ac:dyDescent="0.2">
      <c r="A414" s="14"/>
    </row>
    <row r="415" spans="1:1" x14ac:dyDescent="0.2">
      <c r="A415" s="14"/>
    </row>
    <row r="416" spans="1:1" x14ac:dyDescent="0.2">
      <c r="A416" s="14"/>
    </row>
    <row r="417" spans="1:1" x14ac:dyDescent="0.2">
      <c r="A417" s="14"/>
    </row>
    <row r="418" spans="1:1" x14ac:dyDescent="0.2">
      <c r="A418" s="14"/>
    </row>
    <row r="419" spans="1:1" x14ac:dyDescent="0.2">
      <c r="A419" s="14"/>
    </row>
    <row r="420" spans="1:1" x14ac:dyDescent="0.2">
      <c r="A420" s="14"/>
    </row>
    <row r="421" spans="1:1" x14ac:dyDescent="0.2">
      <c r="A421" s="14"/>
    </row>
    <row r="422" spans="1:1" x14ac:dyDescent="0.2">
      <c r="A422" s="14"/>
    </row>
    <row r="423" spans="1:1" x14ac:dyDescent="0.2">
      <c r="A423" s="14"/>
    </row>
    <row r="424" spans="1:1" x14ac:dyDescent="0.2">
      <c r="A424" s="14"/>
    </row>
    <row r="425" spans="1:1" x14ac:dyDescent="0.2">
      <c r="A425" s="14"/>
    </row>
    <row r="426" spans="1:1" x14ac:dyDescent="0.2">
      <c r="A426" s="14"/>
    </row>
    <row r="427" spans="1:1" x14ac:dyDescent="0.2">
      <c r="A427" s="14"/>
    </row>
    <row r="428" spans="1:1" x14ac:dyDescent="0.2">
      <c r="A428" s="14"/>
    </row>
    <row r="429" spans="1:1" x14ac:dyDescent="0.2">
      <c r="A429" s="14"/>
    </row>
    <row r="430" spans="1:1" x14ac:dyDescent="0.2">
      <c r="A430" s="14"/>
    </row>
    <row r="431" spans="1:1" x14ac:dyDescent="0.2">
      <c r="A431" s="14"/>
    </row>
    <row r="432" spans="1:1" x14ac:dyDescent="0.2">
      <c r="A432" s="14"/>
    </row>
    <row r="433" spans="1:1" x14ac:dyDescent="0.2">
      <c r="A433" s="14"/>
    </row>
    <row r="434" spans="1:1" x14ac:dyDescent="0.2">
      <c r="A434" s="14"/>
    </row>
    <row r="435" spans="1:1" x14ac:dyDescent="0.2">
      <c r="A435" s="14"/>
    </row>
    <row r="436" spans="1:1" x14ac:dyDescent="0.2">
      <c r="A436" s="14"/>
    </row>
    <row r="437" spans="1:1" x14ac:dyDescent="0.2">
      <c r="A437" s="14"/>
    </row>
    <row r="438" spans="1:1" x14ac:dyDescent="0.2">
      <c r="A438" s="14"/>
    </row>
    <row r="439" spans="1:1" x14ac:dyDescent="0.2">
      <c r="A439" s="14"/>
    </row>
    <row r="440" spans="1:1" x14ac:dyDescent="0.2">
      <c r="A440" s="14"/>
    </row>
    <row r="441" spans="1:1" x14ac:dyDescent="0.2">
      <c r="A441" s="14"/>
    </row>
    <row r="442" spans="1:1" x14ac:dyDescent="0.2">
      <c r="A442" s="14"/>
    </row>
    <row r="443" spans="1:1" x14ac:dyDescent="0.2">
      <c r="A443" s="14"/>
    </row>
    <row r="444" spans="1:1" x14ac:dyDescent="0.2">
      <c r="A444" s="14"/>
    </row>
    <row r="445" spans="1:1" x14ac:dyDescent="0.2">
      <c r="A445" s="14"/>
    </row>
    <row r="446" spans="1:1" x14ac:dyDescent="0.2">
      <c r="A446" s="14"/>
    </row>
    <row r="447" spans="1:1" x14ac:dyDescent="0.2">
      <c r="A447" s="14"/>
    </row>
    <row r="448" spans="1:1" x14ac:dyDescent="0.2">
      <c r="A448" s="14"/>
    </row>
    <row r="449" spans="1:1" x14ac:dyDescent="0.2">
      <c r="A449" s="14"/>
    </row>
    <row r="450" spans="1:1" x14ac:dyDescent="0.2">
      <c r="A450" s="14"/>
    </row>
    <row r="451" spans="1:1" x14ac:dyDescent="0.2">
      <c r="A451" s="14"/>
    </row>
    <row r="452" spans="1:1" x14ac:dyDescent="0.2">
      <c r="A452" s="14"/>
    </row>
    <row r="453" spans="1:1" x14ac:dyDescent="0.2">
      <c r="A453" s="14"/>
    </row>
    <row r="454" spans="1:1" x14ac:dyDescent="0.2">
      <c r="A454" s="14"/>
    </row>
    <row r="455" spans="1:1" x14ac:dyDescent="0.2">
      <c r="A455" s="14"/>
    </row>
    <row r="456" spans="1:1" x14ac:dyDescent="0.2">
      <c r="A456" s="14"/>
    </row>
    <row r="457" spans="1:1" x14ac:dyDescent="0.2">
      <c r="A457" s="14"/>
    </row>
    <row r="458" spans="1:1" x14ac:dyDescent="0.2">
      <c r="A458" s="14"/>
    </row>
    <row r="459" spans="1:1" x14ac:dyDescent="0.2">
      <c r="A459" s="14"/>
    </row>
    <row r="460" spans="1:1" x14ac:dyDescent="0.2">
      <c r="A460" s="14"/>
    </row>
    <row r="461" spans="1:1" x14ac:dyDescent="0.2">
      <c r="A461" s="14"/>
    </row>
    <row r="462" spans="1:1" x14ac:dyDescent="0.2">
      <c r="A462" s="14"/>
    </row>
    <row r="463" spans="1:1" x14ac:dyDescent="0.2">
      <c r="A463" s="14"/>
    </row>
    <row r="464" spans="1:1" x14ac:dyDescent="0.2">
      <c r="A464" s="14"/>
    </row>
    <row r="465" spans="1:1" x14ac:dyDescent="0.2">
      <c r="A465" s="14"/>
    </row>
    <row r="466" spans="1:1" x14ac:dyDescent="0.2">
      <c r="A466" s="14"/>
    </row>
    <row r="467" spans="1:1" x14ac:dyDescent="0.2">
      <c r="A467" s="14"/>
    </row>
    <row r="468" spans="1:1" x14ac:dyDescent="0.2">
      <c r="A468" s="14"/>
    </row>
    <row r="469" spans="1:1" x14ac:dyDescent="0.2">
      <c r="A469" s="14"/>
    </row>
    <row r="470" spans="1:1" x14ac:dyDescent="0.2">
      <c r="A470" s="14"/>
    </row>
    <row r="471" spans="1:1" x14ac:dyDescent="0.2">
      <c r="A471" s="14"/>
    </row>
    <row r="472" spans="1:1" x14ac:dyDescent="0.2">
      <c r="A472" s="14"/>
    </row>
    <row r="473" spans="1:1" x14ac:dyDescent="0.2">
      <c r="A473" s="14"/>
    </row>
    <row r="474" spans="1:1" x14ac:dyDescent="0.2">
      <c r="A474" s="14"/>
    </row>
    <row r="475" spans="1:1" x14ac:dyDescent="0.2">
      <c r="A475" s="14"/>
    </row>
    <row r="476" spans="1:1" x14ac:dyDescent="0.2">
      <c r="A476" s="14"/>
    </row>
    <row r="477" spans="1:1" x14ac:dyDescent="0.2">
      <c r="A477" s="14"/>
    </row>
    <row r="478" spans="1:1" x14ac:dyDescent="0.2">
      <c r="A478" s="14"/>
    </row>
    <row r="479" spans="1:1" x14ac:dyDescent="0.2">
      <c r="A479" s="14"/>
    </row>
    <row r="480" spans="1:1" x14ac:dyDescent="0.2">
      <c r="A480" s="14"/>
    </row>
    <row r="481" spans="1:1" x14ac:dyDescent="0.2">
      <c r="A481" s="14"/>
    </row>
    <row r="482" spans="1:1" x14ac:dyDescent="0.2">
      <c r="A482" s="14"/>
    </row>
    <row r="483" spans="1:1" x14ac:dyDescent="0.2">
      <c r="A483" s="14"/>
    </row>
    <row r="484" spans="1:1" x14ac:dyDescent="0.2">
      <c r="A484" s="14"/>
    </row>
    <row r="485" spans="1:1" x14ac:dyDescent="0.2">
      <c r="A485" s="14"/>
    </row>
    <row r="486" spans="1:1" x14ac:dyDescent="0.2">
      <c r="A486" s="14"/>
    </row>
    <row r="487" spans="1:1" x14ac:dyDescent="0.2">
      <c r="A487" s="14"/>
    </row>
    <row r="488" spans="1:1" x14ac:dyDescent="0.2">
      <c r="A488" s="14"/>
    </row>
    <row r="489" spans="1:1" x14ac:dyDescent="0.2">
      <c r="A489" s="14"/>
    </row>
    <row r="490" spans="1:1" x14ac:dyDescent="0.2">
      <c r="A490" s="14" t="s">
        <v>1588</v>
      </c>
    </row>
    <row r="491" spans="1:1" x14ac:dyDescent="0.2">
      <c r="A491" s="14" t="s">
        <v>1589</v>
      </c>
    </row>
    <row r="492" spans="1:1" x14ac:dyDescent="0.2">
      <c r="A492" s="14" t="s">
        <v>823</v>
      </c>
    </row>
    <row r="493" spans="1:1" x14ac:dyDescent="0.2">
      <c r="A493" s="14" t="s">
        <v>824</v>
      </c>
    </row>
    <row r="494" spans="1:1" x14ac:dyDescent="0.2">
      <c r="A494" s="14" t="s">
        <v>825</v>
      </c>
    </row>
    <row r="495" spans="1:1" x14ac:dyDescent="0.2">
      <c r="A495" s="14" t="s">
        <v>826</v>
      </c>
    </row>
    <row r="496" spans="1:1" x14ac:dyDescent="0.2">
      <c r="A496" s="14" t="s">
        <v>827</v>
      </c>
    </row>
    <row r="497" spans="1:1" x14ac:dyDescent="0.2">
      <c r="A497" s="14" t="s">
        <v>47</v>
      </c>
    </row>
    <row r="498" spans="1:1" x14ac:dyDescent="0.2">
      <c r="A498" s="14" t="s">
        <v>1558</v>
      </c>
    </row>
    <row r="499" spans="1:1" x14ac:dyDescent="0.2">
      <c r="A499" s="14" t="s">
        <v>1559</v>
      </c>
    </row>
    <row r="500" spans="1:1" x14ac:dyDescent="0.2">
      <c r="A500" s="14" t="s">
        <v>334</v>
      </c>
    </row>
    <row r="501" spans="1:1" x14ac:dyDescent="0.2">
      <c r="A501" s="14" t="s">
        <v>1080</v>
      </c>
    </row>
    <row r="502" spans="1:1" x14ac:dyDescent="0.2">
      <c r="A502" s="14" t="s">
        <v>1081</v>
      </c>
    </row>
    <row r="503" spans="1:1" x14ac:dyDescent="0.2">
      <c r="A503" s="14" t="s">
        <v>1082</v>
      </c>
    </row>
    <row r="504" spans="1:1" x14ac:dyDescent="0.2">
      <c r="A504" s="14" t="s">
        <v>1083</v>
      </c>
    </row>
    <row r="505" spans="1:1" x14ac:dyDescent="0.2">
      <c r="A505" s="14" t="s">
        <v>1084</v>
      </c>
    </row>
    <row r="506" spans="1:1" x14ac:dyDescent="0.2">
      <c r="A506" s="14" t="s">
        <v>1085</v>
      </c>
    </row>
    <row r="507" spans="1:1" x14ac:dyDescent="0.2">
      <c r="A507" s="14" t="s">
        <v>359</v>
      </c>
    </row>
    <row r="508" spans="1:1" x14ac:dyDescent="0.2">
      <c r="A508" s="14" t="s">
        <v>360</v>
      </c>
    </row>
    <row r="509" spans="1:1" x14ac:dyDescent="0.2">
      <c r="A509" s="14" t="s">
        <v>361</v>
      </c>
    </row>
    <row r="510" spans="1:1" x14ac:dyDescent="0.2">
      <c r="A510" s="14" t="s">
        <v>362</v>
      </c>
    </row>
    <row r="511" spans="1:1" x14ac:dyDescent="0.2">
      <c r="A511" s="14" t="s">
        <v>363</v>
      </c>
    </row>
    <row r="512" spans="1:1" x14ac:dyDescent="0.2">
      <c r="A512" s="14" t="s">
        <v>364</v>
      </c>
    </row>
    <row r="513" spans="1:1" x14ac:dyDescent="0.2">
      <c r="A513" s="14" t="s">
        <v>365</v>
      </c>
    </row>
    <row r="514" spans="1:1" x14ac:dyDescent="0.2">
      <c r="A514" s="14" t="s">
        <v>366</v>
      </c>
    </row>
    <row r="515" spans="1:1" x14ac:dyDescent="0.2">
      <c r="A515" s="14" t="s">
        <v>1014</v>
      </c>
    </row>
    <row r="516" spans="1:1" x14ac:dyDescent="0.2">
      <c r="A516" s="14" t="s">
        <v>1015</v>
      </c>
    </row>
    <row r="517" spans="1:1" x14ac:dyDescent="0.2">
      <c r="A517" s="14" t="s">
        <v>1016</v>
      </c>
    </row>
    <row r="518" spans="1:1" x14ac:dyDescent="0.2">
      <c r="A518" s="14" t="s">
        <v>1017</v>
      </c>
    </row>
    <row r="519" spans="1:1" x14ac:dyDescent="0.2">
      <c r="A519" s="14" t="s">
        <v>1018</v>
      </c>
    </row>
    <row r="520" spans="1:1" x14ac:dyDescent="0.2">
      <c r="A520" s="14" t="s">
        <v>1019</v>
      </c>
    </row>
    <row r="521" spans="1:1" x14ac:dyDescent="0.2">
      <c r="A521" s="14" t="s">
        <v>1020</v>
      </c>
    </row>
    <row r="522" spans="1:1" x14ac:dyDescent="0.2">
      <c r="A522" s="14" t="s">
        <v>840</v>
      </c>
    </row>
    <row r="523" spans="1:1" x14ac:dyDescent="0.2">
      <c r="A523" s="14" t="s">
        <v>841</v>
      </c>
    </row>
    <row r="524" spans="1:1" x14ac:dyDescent="0.2">
      <c r="A524" s="14" t="s">
        <v>842</v>
      </c>
    </row>
    <row r="525" spans="1:1" x14ac:dyDescent="0.2">
      <c r="A525" s="14" t="s">
        <v>375</v>
      </c>
    </row>
    <row r="526" spans="1:1" x14ac:dyDescent="0.2">
      <c r="A526" s="14" t="s">
        <v>376</v>
      </c>
    </row>
    <row r="527" spans="1:1" x14ac:dyDescent="0.2">
      <c r="A527" s="14" t="s">
        <v>377</v>
      </c>
    </row>
    <row r="528" spans="1:1" x14ac:dyDescent="0.2">
      <c r="A528" s="14" t="s">
        <v>378</v>
      </c>
    </row>
    <row r="529" spans="1:1" x14ac:dyDescent="0.2">
      <c r="A529" s="14" t="s">
        <v>591</v>
      </c>
    </row>
    <row r="530" spans="1:1" x14ac:dyDescent="0.2">
      <c r="A530" s="14" t="s">
        <v>1878</v>
      </c>
    </row>
    <row r="531" spans="1:1" x14ac:dyDescent="0.2">
      <c r="A531" s="14" t="s">
        <v>1879</v>
      </c>
    </row>
    <row r="532" spans="1:1" x14ac:dyDescent="0.2">
      <c r="A532" s="14" t="s">
        <v>1880</v>
      </c>
    </row>
    <row r="533" spans="1:1" x14ac:dyDescent="0.2">
      <c r="A533" s="14" t="s">
        <v>569</v>
      </c>
    </row>
    <row r="534" spans="1:1" x14ac:dyDescent="0.2">
      <c r="A534" s="14" t="s">
        <v>1644</v>
      </c>
    </row>
    <row r="535" spans="1:1" x14ac:dyDescent="0.2">
      <c r="A535" s="14" t="s">
        <v>486</v>
      </c>
    </row>
    <row r="536" spans="1:1" x14ac:dyDescent="0.2">
      <c r="A536" s="14" t="s">
        <v>487</v>
      </c>
    </row>
    <row r="537" spans="1:1" x14ac:dyDescent="0.2">
      <c r="A537" s="14" t="s">
        <v>488</v>
      </c>
    </row>
    <row r="538" spans="1:1" x14ac:dyDescent="0.2">
      <c r="A538" s="14" t="s">
        <v>489</v>
      </c>
    </row>
    <row r="539" spans="1:1" x14ac:dyDescent="0.2">
      <c r="A539" s="14" t="s">
        <v>490</v>
      </c>
    </row>
    <row r="540" spans="1:1" x14ac:dyDescent="0.2">
      <c r="A540" s="14" t="s">
        <v>491</v>
      </c>
    </row>
    <row r="541" spans="1:1" x14ac:dyDescent="0.2">
      <c r="A541" s="14" t="s">
        <v>525</v>
      </c>
    </row>
    <row r="542" spans="1:1" x14ac:dyDescent="0.2">
      <c r="A542" s="14" t="s">
        <v>1672</v>
      </c>
    </row>
    <row r="543" spans="1:1" x14ac:dyDescent="0.2">
      <c r="A543" s="14" t="s">
        <v>917</v>
      </c>
    </row>
    <row r="544" spans="1:1" x14ac:dyDescent="0.2">
      <c r="A544" s="14" t="s">
        <v>918</v>
      </c>
    </row>
    <row r="545" spans="1:1" x14ac:dyDescent="0.2">
      <c r="A545" s="14" t="s">
        <v>919</v>
      </c>
    </row>
    <row r="546" spans="1:1" x14ac:dyDescent="0.2">
      <c r="A546" s="14" t="s">
        <v>920</v>
      </c>
    </row>
    <row r="547" spans="1:1" x14ac:dyDescent="0.2">
      <c r="A547" s="14" t="s">
        <v>921</v>
      </c>
    </row>
    <row r="548" spans="1:1" x14ac:dyDescent="0.2">
      <c r="A548" s="14" t="s">
        <v>922</v>
      </c>
    </row>
    <row r="549" spans="1:1" x14ac:dyDescent="0.2">
      <c r="A549" s="14" t="s">
        <v>923</v>
      </c>
    </row>
    <row r="550" spans="1:1" x14ac:dyDescent="0.2">
      <c r="A550" s="14" t="s">
        <v>924</v>
      </c>
    </row>
    <row r="551" spans="1:1" x14ac:dyDescent="0.2">
      <c r="A551" s="14" t="s">
        <v>92</v>
      </c>
    </row>
    <row r="552" spans="1:1" x14ac:dyDescent="0.2">
      <c r="A552" s="14" t="s">
        <v>93</v>
      </c>
    </row>
    <row r="553" spans="1:1" x14ac:dyDescent="0.2">
      <c r="A553" s="14" t="s">
        <v>94</v>
      </c>
    </row>
    <row r="554" spans="1:1" x14ac:dyDescent="0.2">
      <c r="A554" s="14" t="s">
        <v>95</v>
      </c>
    </row>
    <row r="555" spans="1:1" x14ac:dyDescent="0.2">
      <c r="A555" s="14" t="s">
        <v>96</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CJ555"/>
  <sheetViews>
    <sheetView zoomScaleNormal="100" zoomScaleSheetLayoutView="50" workbookViewId="0"/>
  </sheetViews>
  <sheetFormatPr defaultColWidth="9.140625" defaultRowHeight="12.75" x14ac:dyDescent="0.2"/>
  <cols>
    <col min="1" max="1" width="12.5703125" style="10" customWidth="1"/>
    <col min="2" max="2" width="11.140625" style="10" bestFit="1" customWidth="1"/>
    <col min="3" max="3" width="11.140625" style="10" customWidth="1"/>
    <col min="4" max="4" width="14.140625" style="10" customWidth="1"/>
    <col min="5" max="7" width="11.140625" style="10" bestFit="1" customWidth="1"/>
    <col min="8" max="10" width="15.42578125" style="94" bestFit="1" customWidth="1"/>
    <col min="11" max="11" width="45.28515625" style="14" customWidth="1"/>
    <col min="12" max="13" width="8" style="62" customWidth="1"/>
    <col min="14" max="14" width="12.140625" style="94" customWidth="1"/>
    <col min="15" max="15" width="5.7109375" style="62" customWidth="1"/>
    <col min="16" max="16" width="16.140625" style="14" bestFit="1" customWidth="1"/>
    <col min="17" max="17" width="9.140625" style="14"/>
    <col min="18" max="18" width="8.7109375" style="14" customWidth="1"/>
    <col min="19" max="19" width="9.140625" style="14"/>
    <col min="20" max="20" width="17.5703125" style="14" customWidth="1"/>
    <col min="21" max="21" width="8.28515625" style="14" customWidth="1"/>
    <col min="22" max="22" width="11.28515625" style="14" customWidth="1"/>
    <col min="23" max="23" width="8" style="14" bestFit="1" customWidth="1"/>
    <col min="24" max="24" width="10.28515625" style="98" bestFit="1" customWidth="1"/>
    <col min="25" max="60" width="9.140625" style="14"/>
    <col min="61" max="16384" width="9.140625" style="10"/>
  </cols>
  <sheetData>
    <row r="1" spans="1:88" ht="38.25" customHeight="1" x14ac:dyDescent="0.2">
      <c r="A1" s="267" t="s">
        <v>2243</v>
      </c>
      <c r="B1" s="256" t="s">
        <v>833</v>
      </c>
      <c r="C1" s="256" t="s">
        <v>833</v>
      </c>
      <c r="D1" s="256" t="s">
        <v>833</v>
      </c>
      <c r="E1" s="256" t="s">
        <v>833</v>
      </c>
      <c r="F1" s="256" t="s">
        <v>834</v>
      </c>
      <c r="G1" s="256" t="s">
        <v>834</v>
      </c>
      <c r="H1" s="256" t="s">
        <v>835</v>
      </c>
      <c r="I1" s="256" t="s">
        <v>835</v>
      </c>
      <c r="J1" s="256" t="s">
        <v>835</v>
      </c>
    </row>
    <row r="2" spans="1:88" ht="100.5" customHeight="1" x14ac:dyDescent="0.2">
      <c r="A2" s="676" t="s">
        <v>1923</v>
      </c>
      <c r="B2" s="676" t="s">
        <v>836</v>
      </c>
      <c r="C2" s="676" t="s">
        <v>837</v>
      </c>
      <c r="D2" s="676" t="s">
        <v>838</v>
      </c>
      <c r="E2" s="676" t="s">
        <v>839</v>
      </c>
      <c r="F2" s="676" t="s">
        <v>836</v>
      </c>
      <c r="G2" s="676" t="s">
        <v>839</v>
      </c>
      <c r="H2" s="676" t="s">
        <v>836</v>
      </c>
      <c r="I2" s="676" t="s">
        <v>837</v>
      </c>
      <c r="J2" s="676" t="s">
        <v>838</v>
      </c>
      <c r="K2" s="93"/>
      <c r="L2" s="678" t="s">
        <v>2260</v>
      </c>
      <c r="M2" s="678" t="s">
        <v>1287</v>
      </c>
      <c r="N2" s="678" t="s">
        <v>2261</v>
      </c>
      <c r="O2" s="323"/>
      <c r="P2" s="322"/>
      <c r="Q2" s="322"/>
      <c r="R2" s="322"/>
      <c r="S2" s="322"/>
      <c r="T2" s="322"/>
      <c r="U2" s="322"/>
      <c r="V2" s="322"/>
      <c r="W2" s="322"/>
      <c r="X2" s="326"/>
      <c r="Y2" s="322"/>
      <c r="Z2" s="322"/>
      <c r="AA2" s="322"/>
      <c r="AB2" s="322"/>
      <c r="AC2" s="322"/>
      <c r="AD2" s="322"/>
      <c r="AE2" s="322"/>
      <c r="AF2" s="322"/>
      <c r="AG2" s="322"/>
      <c r="AH2" s="322"/>
      <c r="AI2" s="322"/>
      <c r="AJ2" s="322"/>
      <c r="AK2" s="322"/>
      <c r="AL2" s="322"/>
      <c r="AM2" s="322"/>
      <c r="AN2" s="322"/>
      <c r="AO2" s="322"/>
      <c r="AP2" s="322"/>
      <c r="AQ2" s="322"/>
      <c r="AR2" s="322"/>
      <c r="AS2" s="322"/>
      <c r="AT2" s="322"/>
      <c r="AU2" s="322"/>
      <c r="AV2" s="322"/>
      <c r="AW2" s="322"/>
      <c r="AX2" s="322"/>
      <c r="AY2" s="322"/>
      <c r="AZ2" s="322"/>
      <c r="BA2" s="322"/>
      <c r="BB2" s="322"/>
      <c r="BC2" s="322"/>
      <c r="BD2" s="322"/>
      <c r="BE2" s="322"/>
      <c r="BF2" s="322"/>
      <c r="BG2" s="322"/>
      <c r="BH2" s="322"/>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row>
    <row r="3" spans="1:88" ht="15" customHeight="1" x14ac:dyDescent="0.2">
      <c r="A3" s="50">
        <v>0</v>
      </c>
      <c r="B3" s="581">
        <v>0.06</v>
      </c>
      <c r="C3" s="581">
        <v>0.06</v>
      </c>
      <c r="D3" s="581">
        <v>0.04</v>
      </c>
      <c r="E3" s="581">
        <v>0.06</v>
      </c>
      <c r="F3" s="581">
        <v>0.04</v>
      </c>
      <c r="G3" s="581">
        <v>0.03</v>
      </c>
      <c r="H3" s="670">
        <v>0.1</v>
      </c>
      <c r="I3" s="581">
        <v>7.0000000000000007E-2</v>
      </c>
      <c r="J3" s="581">
        <v>0.05</v>
      </c>
      <c r="K3" s="256" t="s">
        <v>1139</v>
      </c>
      <c r="L3" s="578" t="str">
        <f>IF(Spine!T6="","",Spine!T6)</f>
        <v/>
      </c>
      <c r="M3" s="578" t="str">
        <f>IF(L3="","",ROUND(L3,0))</f>
        <v/>
      </c>
      <c r="N3" s="581">
        <f>IF(M3="",0,VLOOKUP(M3,$A$3:$J$85,2))</f>
        <v>0</v>
      </c>
      <c r="Q3" s="62"/>
      <c r="R3" s="95"/>
      <c r="T3" s="327"/>
    </row>
    <row r="4" spans="1:88" ht="15" customHeight="1" x14ac:dyDescent="0.2">
      <c r="A4" s="50">
        <v>1</v>
      </c>
      <c r="B4" s="581">
        <v>5.8999999999999997E-2</v>
      </c>
      <c r="C4" s="581">
        <v>5.9200000000000003E-2</v>
      </c>
      <c r="D4" s="581">
        <v>3.8699999999999998E-2</v>
      </c>
      <c r="E4" s="581">
        <v>5.8999999999999997E-2</v>
      </c>
      <c r="F4" s="581">
        <v>3.8699999999999998E-2</v>
      </c>
      <c r="G4" s="581">
        <v>2.9000000000000001E-2</v>
      </c>
      <c r="H4" s="670">
        <v>0.1</v>
      </c>
      <c r="I4" s="581">
        <v>6.8000000000000005E-2</v>
      </c>
      <c r="J4" s="581">
        <v>4.8000000000000001E-2</v>
      </c>
      <c r="K4" s="256" t="s">
        <v>1140</v>
      </c>
      <c r="L4" s="578" t="str">
        <f>IF(Spine!T7="","",Spine!T7)</f>
        <v/>
      </c>
      <c r="M4" s="578" t="str">
        <f t="shared" ref="M4:M15" si="0">IF(L4="","",ROUND(L4,0))</f>
        <v/>
      </c>
      <c r="N4" s="581">
        <f>IF(M4="",0,VLOOKUP(M4,$A$3:$J$85,3))</f>
        <v>0</v>
      </c>
      <c r="Q4" s="62"/>
      <c r="R4" s="95"/>
      <c r="T4" s="327"/>
    </row>
    <row r="5" spans="1:88" ht="15" customHeight="1" x14ac:dyDescent="0.2">
      <c r="A5" s="50">
        <v>2</v>
      </c>
      <c r="B5" s="581">
        <v>5.8000000000000003E-2</v>
      </c>
      <c r="C5" s="581">
        <v>5.8400000000000001E-2</v>
      </c>
      <c r="D5" s="581">
        <v>3.73E-2</v>
      </c>
      <c r="E5" s="581">
        <v>5.8000000000000003E-2</v>
      </c>
      <c r="F5" s="581">
        <v>3.73E-2</v>
      </c>
      <c r="G5" s="581">
        <v>2.8000000000000001E-2</v>
      </c>
      <c r="H5" s="670">
        <v>0.1</v>
      </c>
      <c r="I5" s="581">
        <v>6.6000000000000003E-2</v>
      </c>
      <c r="J5" s="581">
        <v>4.5999999999999999E-2</v>
      </c>
      <c r="K5" s="256" t="s">
        <v>1141</v>
      </c>
      <c r="L5" s="578" t="str">
        <f>IF(Spine!T8="","",Spine!T8)</f>
        <v/>
      </c>
      <c r="M5" s="578" t="str">
        <f t="shared" si="0"/>
        <v/>
      </c>
      <c r="N5" s="581">
        <f>IF(M5="",0,VLOOKUP(M5,$A$3:$J$85,4))</f>
        <v>0</v>
      </c>
      <c r="Q5" s="62"/>
      <c r="R5" s="95"/>
      <c r="T5" s="327"/>
    </row>
    <row r="6" spans="1:88" ht="15" customHeight="1" x14ac:dyDescent="0.2">
      <c r="A6" s="50">
        <v>3</v>
      </c>
      <c r="B6" s="581">
        <v>5.7000000000000002E-2</v>
      </c>
      <c r="C6" s="581">
        <v>5.7599999999999998E-2</v>
      </c>
      <c r="D6" s="581">
        <v>3.5999999999999997E-2</v>
      </c>
      <c r="E6" s="581">
        <v>5.7000000000000002E-2</v>
      </c>
      <c r="F6" s="581">
        <v>3.5999999999999997E-2</v>
      </c>
      <c r="G6" s="581">
        <v>2.7E-2</v>
      </c>
      <c r="H6" s="670">
        <v>0.1</v>
      </c>
      <c r="I6" s="581">
        <v>6.4000000000000001E-2</v>
      </c>
      <c r="J6" s="581">
        <v>4.3999999999999997E-2</v>
      </c>
      <c r="K6" s="256" t="s">
        <v>1142</v>
      </c>
      <c r="L6" s="578" t="str">
        <f>IF(Spine!T9="","",Spine!T9)</f>
        <v/>
      </c>
      <c r="M6" s="578" t="str">
        <f t="shared" si="0"/>
        <v/>
      </c>
      <c r="N6" s="581">
        <f>IF(M6="",0,VLOOKUP(M6,$A$3:$J$85,4))</f>
        <v>0</v>
      </c>
      <c r="T6" s="327"/>
    </row>
    <row r="7" spans="1:88" ht="15" customHeight="1" x14ac:dyDescent="0.2">
      <c r="A7" s="50">
        <v>4</v>
      </c>
      <c r="B7" s="581">
        <v>5.6000000000000001E-2</v>
      </c>
      <c r="C7" s="581">
        <v>5.6800000000000003E-2</v>
      </c>
      <c r="D7" s="581">
        <v>3.4700000000000002E-2</v>
      </c>
      <c r="E7" s="581">
        <v>5.6000000000000001E-2</v>
      </c>
      <c r="F7" s="581">
        <v>3.4700000000000002E-2</v>
      </c>
      <c r="G7" s="581">
        <v>2.5999999999999999E-2</v>
      </c>
      <c r="H7" s="670">
        <v>0.1</v>
      </c>
      <c r="I7" s="581">
        <v>6.2E-2</v>
      </c>
      <c r="J7" s="581">
        <v>4.2000000000000003E-2</v>
      </c>
      <c r="K7" s="256" t="s">
        <v>1383</v>
      </c>
      <c r="L7" s="578" t="str">
        <f>IF(Spine!T10="","",Spine!T10)</f>
        <v/>
      </c>
      <c r="M7" s="578" t="str">
        <f t="shared" si="0"/>
        <v/>
      </c>
      <c r="N7" s="581">
        <f>IF(M7="",0,VLOOKUP(M7,$A$3:$J$85,5))</f>
        <v>0</v>
      </c>
      <c r="Q7" s="62"/>
      <c r="R7" s="95"/>
      <c r="T7" s="327"/>
    </row>
    <row r="8" spans="1:88" ht="15" customHeight="1" x14ac:dyDescent="0.2">
      <c r="A8" s="50">
        <v>5</v>
      </c>
      <c r="B8" s="581">
        <v>5.5E-2</v>
      </c>
      <c r="C8" s="581">
        <v>5.6000000000000001E-2</v>
      </c>
      <c r="D8" s="581">
        <v>3.3300000000000003E-2</v>
      </c>
      <c r="E8" s="581">
        <v>5.5E-2</v>
      </c>
      <c r="F8" s="581">
        <v>3.3300000000000003E-2</v>
      </c>
      <c r="G8" s="581">
        <v>2.5000000000000001E-2</v>
      </c>
      <c r="H8" s="670">
        <v>0.1</v>
      </c>
      <c r="I8" s="581">
        <v>0.06</v>
      </c>
      <c r="J8" s="581">
        <v>0.04</v>
      </c>
      <c r="K8" s="256" t="s">
        <v>1384</v>
      </c>
      <c r="L8" s="578" t="str">
        <f>IF(Spine!T11="","",Spine!T11)</f>
        <v/>
      </c>
      <c r="M8" s="578" t="str">
        <f t="shared" si="0"/>
        <v/>
      </c>
      <c r="N8" s="581">
        <f>IF(M8="",0,VLOOKUP(M8,$A$3:$J$85,5))</f>
        <v>0</v>
      </c>
      <c r="T8" s="327"/>
    </row>
    <row r="9" spans="1:88" ht="15" customHeight="1" x14ac:dyDescent="0.2">
      <c r="A9" s="50">
        <v>6</v>
      </c>
      <c r="B9" s="581">
        <v>5.3999999999999999E-2</v>
      </c>
      <c r="C9" s="581">
        <v>5.5199999999999999E-2</v>
      </c>
      <c r="D9" s="581">
        <v>3.2000000000000001E-2</v>
      </c>
      <c r="E9" s="581">
        <v>5.3999999999999999E-2</v>
      </c>
      <c r="F9" s="581">
        <v>3.2000000000000001E-2</v>
      </c>
      <c r="G9" s="581">
        <v>2.4E-2</v>
      </c>
      <c r="H9" s="670">
        <v>0.1</v>
      </c>
      <c r="I9" s="581">
        <v>5.8000000000000003E-2</v>
      </c>
      <c r="J9" s="581">
        <v>3.7999999999999999E-2</v>
      </c>
      <c r="K9" s="256" t="s">
        <v>435</v>
      </c>
      <c r="L9" s="578" t="str">
        <f>IF(Spine!T59="","",Spine!T59)</f>
        <v/>
      </c>
      <c r="M9" s="578" t="str">
        <f t="shared" si="0"/>
        <v/>
      </c>
      <c r="N9" s="581">
        <f>IF(M9="",0,VLOOKUP(M9,$A$3:$J$85,6))</f>
        <v>0</v>
      </c>
      <c r="Q9" s="62"/>
      <c r="R9" s="95"/>
      <c r="T9" s="327"/>
    </row>
    <row r="10" spans="1:88" ht="15" customHeight="1" x14ac:dyDescent="0.2">
      <c r="A10" s="50">
        <v>7</v>
      </c>
      <c r="B10" s="581">
        <v>5.2999999999999999E-2</v>
      </c>
      <c r="C10" s="581">
        <v>5.4399999999999997E-2</v>
      </c>
      <c r="D10" s="581">
        <v>3.0700000000000002E-2</v>
      </c>
      <c r="E10" s="581">
        <v>5.2999999999999999E-2</v>
      </c>
      <c r="F10" s="581">
        <v>3.0700000000000002E-2</v>
      </c>
      <c r="G10" s="581">
        <v>2.3E-2</v>
      </c>
      <c r="H10" s="670">
        <v>0.1</v>
      </c>
      <c r="I10" s="581">
        <v>5.6000000000000001E-2</v>
      </c>
      <c r="J10" s="581">
        <v>3.5999999999999997E-2</v>
      </c>
      <c r="K10" s="256" t="s">
        <v>436</v>
      </c>
      <c r="L10" s="578" t="str">
        <f>IF(Spine!T60="","",Spine!T60)</f>
        <v/>
      </c>
      <c r="M10" s="578" t="str">
        <f t="shared" si="0"/>
        <v/>
      </c>
      <c r="N10" s="581">
        <f>IF(M10="",0,VLOOKUP(M10,$A$3:$J$85,7))</f>
        <v>0</v>
      </c>
      <c r="T10" s="327"/>
    </row>
    <row r="11" spans="1:88" ht="15" customHeight="1" x14ac:dyDescent="0.2">
      <c r="A11" s="50">
        <v>8</v>
      </c>
      <c r="B11" s="581">
        <v>5.1999999999999998E-2</v>
      </c>
      <c r="C11" s="581">
        <v>5.3600000000000002E-2</v>
      </c>
      <c r="D11" s="581">
        <v>2.93E-2</v>
      </c>
      <c r="E11" s="581">
        <v>5.1999999999999998E-2</v>
      </c>
      <c r="F11" s="581">
        <v>2.93E-2</v>
      </c>
      <c r="G11" s="581">
        <v>2.1999999999999999E-2</v>
      </c>
      <c r="H11" s="670">
        <v>0.1</v>
      </c>
      <c r="I11" s="581">
        <v>5.3999999999999999E-2</v>
      </c>
      <c r="J11" s="581">
        <v>3.4000000000000002E-2</v>
      </c>
      <c r="K11" s="256" t="s">
        <v>437</v>
      </c>
      <c r="L11" s="578" t="str">
        <f>IF(Spine!T61="","",Spine!T61)</f>
        <v/>
      </c>
      <c r="M11" s="578" t="str">
        <f t="shared" si="0"/>
        <v/>
      </c>
      <c r="N11" s="581">
        <f>IF(M11="",0,VLOOKUP(M11,$A$3:$J$85,7))</f>
        <v>0</v>
      </c>
      <c r="Q11" s="62"/>
      <c r="R11" s="95"/>
      <c r="T11" s="327"/>
    </row>
    <row r="12" spans="1:88" ht="15" customHeight="1" x14ac:dyDescent="0.2">
      <c r="A12" s="50">
        <v>9</v>
      </c>
      <c r="B12" s="581">
        <v>5.0999999999999997E-2</v>
      </c>
      <c r="C12" s="581">
        <v>5.28E-2</v>
      </c>
      <c r="D12" s="581">
        <v>2.8000000000000001E-2</v>
      </c>
      <c r="E12" s="581">
        <v>5.0999999999999997E-2</v>
      </c>
      <c r="F12" s="581">
        <v>2.8000000000000001E-2</v>
      </c>
      <c r="G12" s="581">
        <v>2.1000000000000001E-2</v>
      </c>
      <c r="H12" s="670">
        <v>0.1</v>
      </c>
      <c r="I12" s="581">
        <v>5.1999999999999998E-2</v>
      </c>
      <c r="J12" s="581">
        <v>3.2000000000000001E-2</v>
      </c>
      <c r="K12" s="256" t="s">
        <v>1130</v>
      </c>
      <c r="L12" s="578" t="str">
        <f>IF(Spine!T126="","",Spine!T126)</f>
        <v/>
      </c>
      <c r="M12" s="578" t="str">
        <f t="shared" si="0"/>
        <v/>
      </c>
      <c r="N12" s="581">
        <f>IF(M12="",0,VLOOKUP(M12,$A$3:$J$85,8))</f>
        <v>0</v>
      </c>
      <c r="T12" s="327"/>
    </row>
    <row r="13" spans="1:88" ht="15" customHeight="1" x14ac:dyDescent="0.2">
      <c r="A13" s="50">
        <v>10</v>
      </c>
      <c r="B13" s="581">
        <v>0.05</v>
      </c>
      <c r="C13" s="581">
        <v>5.1999999999999998E-2</v>
      </c>
      <c r="D13" s="581">
        <v>2.6700000000000002E-2</v>
      </c>
      <c r="E13" s="581">
        <v>0.05</v>
      </c>
      <c r="F13" s="581">
        <v>2.6700000000000002E-2</v>
      </c>
      <c r="G13" s="581">
        <v>0.02</v>
      </c>
      <c r="H13" s="670">
        <v>0.1</v>
      </c>
      <c r="I13" s="581">
        <v>0.05</v>
      </c>
      <c r="J13" s="581">
        <v>0.03</v>
      </c>
      <c r="K13" s="256" t="s">
        <v>1131</v>
      </c>
      <c r="L13" s="578" t="str">
        <f>IF(Spine!T127="","",Spine!T127)</f>
        <v/>
      </c>
      <c r="M13" s="578" t="str">
        <f t="shared" si="0"/>
        <v/>
      </c>
      <c r="N13" s="581">
        <f>IF(M13="",0,VLOOKUP(M13,$A$3:$J$85,9))</f>
        <v>0</v>
      </c>
      <c r="Q13" s="62"/>
      <c r="R13" s="95"/>
      <c r="T13" s="327"/>
    </row>
    <row r="14" spans="1:88" ht="15" customHeight="1" x14ac:dyDescent="0.2">
      <c r="A14" s="50">
        <v>11</v>
      </c>
      <c r="B14" s="581">
        <v>4.9000000000000002E-2</v>
      </c>
      <c r="C14" s="581">
        <v>5.1200000000000002E-2</v>
      </c>
      <c r="D14" s="581">
        <v>2.53E-2</v>
      </c>
      <c r="E14" s="581">
        <v>4.9000000000000002E-2</v>
      </c>
      <c r="F14" s="581">
        <v>2.53E-2</v>
      </c>
      <c r="G14" s="581">
        <v>1.9E-2</v>
      </c>
      <c r="H14" s="670">
        <v>0.1</v>
      </c>
      <c r="I14" s="581">
        <v>4.5999999999999999E-2</v>
      </c>
      <c r="J14" s="581">
        <v>2.8000000000000001E-2</v>
      </c>
      <c r="K14" s="256" t="s">
        <v>1132</v>
      </c>
      <c r="L14" s="578" t="str">
        <f>IF(Spine!T128="","",Spine!T128)</f>
        <v/>
      </c>
      <c r="M14" s="578" t="str">
        <f t="shared" si="0"/>
        <v/>
      </c>
      <c r="N14" s="581">
        <f>IF(M14="",0,VLOOKUP(M14,$A$3:$J$85,10))</f>
        <v>0</v>
      </c>
      <c r="T14" s="327"/>
    </row>
    <row r="15" spans="1:88" ht="15" customHeight="1" x14ac:dyDescent="0.2">
      <c r="A15" s="50">
        <v>12</v>
      </c>
      <c r="B15" s="581">
        <v>4.8000000000000001E-2</v>
      </c>
      <c r="C15" s="581">
        <v>5.04E-2</v>
      </c>
      <c r="D15" s="581">
        <v>2.4E-2</v>
      </c>
      <c r="E15" s="581">
        <v>4.8000000000000001E-2</v>
      </c>
      <c r="F15" s="581">
        <v>2.4E-2</v>
      </c>
      <c r="G15" s="581">
        <v>1.7999999999999999E-2</v>
      </c>
      <c r="H15" s="670">
        <v>0.1</v>
      </c>
      <c r="I15" s="581">
        <v>4.2000000000000003E-2</v>
      </c>
      <c r="J15" s="581">
        <v>2.5999999999999999E-2</v>
      </c>
      <c r="K15" s="256" t="s">
        <v>1133</v>
      </c>
      <c r="L15" s="578" t="str">
        <f>IF(Spine!T129="","",Spine!T129)</f>
        <v/>
      </c>
      <c r="M15" s="578" t="str">
        <f t="shared" si="0"/>
        <v/>
      </c>
      <c r="N15" s="581">
        <f>IF(M15="",0,VLOOKUP(M15,$A$3:$J$85,10))</f>
        <v>0</v>
      </c>
      <c r="T15" s="327"/>
    </row>
    <row r="16" spans="1:88" ht="15" customHeight="1" x14ac:dyDescent="0.2">
      <c r="A16" s="50">
        <v>13</v>
      </c>
      <c r="B16" s="581">
        <v>4.7E-2</v>
      </c>
      <c r="C16" s="581">
        <v>4.9599999999999998E-2</v>
      </c>
      <c r="D16" s="581">
        <v>2.2700000000000001E-2</v>
      </c>
      <c r="E16" s="581">
        <v>4.7E-2</v>
      </c>
      <c r="F16" s="581">
        <v>2.2700000000000001E-2</v>
      </c>
      <c r="G16" s="581">
        <v>1.7000000000000001E-2</v>
      </c>
      <c r="H16" s="670">
        <v>0.1</v>
      </c>
      <c r="I16" s="581">
        <v>3.7999999999999999E-2</v>
      </c>
      <c r="J16" s="581">
        <v>2.4E-2</v>
      </c>
      <c r="T16" s="327"/>
    </row>
    <row r="17" spans="1:22" ht="15" customHeight="1" x14ac:dyDescent="0.2">
      <c r="A17" s="50">
        <v>14</v>
      </c>
      <c r="B17" s="581">
        <v>4.5999999999999999E-2</v>
      </c>
      <c r="C17" s="581">
        <v>4.8800000000000003E-2</v>
      </c>
      <c r="D17" s="581">
        <v>2.1299999999999999E-2</v>
      </c>
      <c r="E17" s="581">
        <v>4.5999999999999999E-2</v>
      </c>
      <c r="F17" s="581">
        <v>2.1299999999999999E-2</v>
      </c>
      <c r="G17" s="581">
        <v>1.6E-2</v>
      </c>
      <c r="H17" s="670">
        <v>0.1</v>
      </c>
      <c r="I17" s="581">
        <v>3.4000000000000002E-2</v>
      </c>
      <c r="J17" s="581">
        <v>2.1999999999999999E-2</v>
      </c>
      <c r="Q17" s="62"/>
      <c r="R17" s="95"/>
      <c r="T17" s="327"/>
    </row>
    <row r="18" spans="1:22" ht="15" customHeight="1" x14ac:dyDescent="0.2">
      <c r="A18" s="50">
        <v>15</v>
      </c>
      <c r="B18" s="581">
        <v>4.4999999999999998E-2</v>
      </c>
      <c r="C18" s="581">
        <v>4.8000000000000001E-2</v>
      </c>
      <c r="D18" s="581">
        <v>0.02</v>
      </c>
      <c r="E18" s="581">
        <v>4.4999999999999998E-2</v>
      </c>
      <c r="F18" s="581">
        <v>0.02</v>
      </c>
      <c r="G18" s="581">
        <v>1.4999999999999999E-2</v>
      </c>
      <c r="H18" s="670">
        <v>7.0000000000000007E-2</v>
      </c>
      <c r="I18" s="581">
        <v>0.03</v>
      </c>
      <c r="J18" s="581">
        <v>0.02</v>
      </c>
      <c r="T18" s="327"/>
    </row>
    <row r="19" spans="1:22" ht="15" customHeight="1" x14ac:dyDescent="0.2">
      <c r="A19" s="50">
        <v>16</v>
      </c>
      <c r="B19" s="581">
        <v>4.3999999999999997E-2</v>
      </c>
      <c r="C19" s="581">
        <v>4.7199999999999999E-2</v>
      </c>
      <c r="D19" s="581">
        <v>1.9300000000000001E-2</v>
      </c>
      <c r="E19" s="581">
        <v>4.3999999999999997E-2</v>
      </c>
      <c r="F19" s="581">
        <v>1.9300000000000001E-2</v>
      </c>
      <c r="G19" s="581">
        <v>1.4E-2</v>
      </c>
      <c r="H19" s="670">
        <v>7.0000000000000007E-2</v>
      </c>
      <c r="I19" s="581">
        <v>2.8000000000000001E-2</v>
      </c>
      <c r="J19" s="581">
        <v>1.7999999999999999E-2</v>
      </c>
      <c r="T19" s="327"/>
      <c r="V19" s="325"/>
    </row>
    <row r="20" spans="1:22" ht="15" customHeight="1" x14ac:dyDescent="0.2">
      <c r="A20" s="50">
        <v>17</v>
      </c>
      <c r="B20" s="581">
        <v>4.2999999999999997E-2</v>
      </c>
      <c r="C20" s="581">
        <v>4.6399999999999997E-2</v>
      </c>
      <c r="D20" s="581">
        <v>1.8700000000000001E-2</v>
      </c>
      <c r="E20" s="581">
        <v>4.2999999999999997E-2</v>
      </c>
      <c r="F20" s="581">
        <v>1.8700000000000001E-2</v>
      </c>
      <c r="G20" s="581">
        <v>1.2999999999999999E-2</v>
      </c>
      <c r="H20" s="670">
        <v>7.0000000000000007E-2</v>
      </c>
      <c r="I20" s="581">
        <v>2.5999999999999999E-2</v>
      </c>
      <c r="J20" s="581">
        <v>1.6E-2</v>
      </c>
      <c r="Q20" s="62"/>
      <c r="R20" s="95"/>
      <c r="T20" s="327"/>
      <c r="V20" s="325"/>
    </row>
    <row r="21" spans="1:22" ht="15.75" customHeight="1" x14ac:dyDescent="0.2">
      <c r="A21" s="50">
        <v>18</v>
      </c>
      <c r="B21" s="581">
        <v>4.2000000000000003E-2</v>
      </c>
      <c r="C21" s="581">
        <v>4.5600000000000002E-2</v>
      </c>
      <c r="D21" s="581">
        <v>1.7999999999999999E-2</v>
      </c>
      <c r="E21" s="581">
        <v>4.2000000000000003E-2</v>
      </c>
      <c r="F21" s="581">
        <v>1.7999999999999999E-2</v>
      </c>
      <c r="G21" s="581">
        <v>1.2E-2</v>
      </c>
      <c r="H21" s="670">
        <v>7.0000000000000007E-2</v>
      </c>
      <c r="I21" s="581">
        <v>2.4E-2</v>
      </c>
      <c r="J21" s="581">
        <v>1.4E-2</v>
      </c>
      <c r="Q21" s="62"/>
      <c r="R21" s="95"/>
      <c r="T21" s="327"/>
      <c r="V21" s="325"/>
    </row>
    <row r="22" spans="1:22" ht="15" customHeight="1" x14ac:dyDescent="0.2">
      <c r="A22" s="50">
        <v>19</v>
      </c>
      <c r="B22" s="581">
        <v>4.1000000000000002E-2</v>
      </c>
      <c r="C22" s="581">
        <v>4.48E-2</v>
      </c>
      <c r="D22" s="581">
        <v>1.7299999999999999E-2</v>
      </c>
      <c r="E22" s="581">
        <v>4.1000000000000002E-2</v>
      </c>
      <c r="F22" s="581">
        <v>1.7299999999999999E-2</v>
      </c>
      <c r="G22" s="581">
        <v>1.0999999999999999E-2</v>
      </c>
      <c r="H22" s="670">
        <v>7.0000000000000007E-2</v>
      </c>
      <c r="I22" s="581">
        <v>2.1999999999999999E-2</v>
      </c>
      <c r="J22" s="670">
        <v>1.2E-2</v>
      </c>
      <c r="T22" s="327"/>
      <c r="V22" s="325"/>
    </row>
    <row r="23" spans="1:22" ht="15" customHeight="1" x14ac:dyDescent="0.2">
      <c r="A23" s="50">
        <v>20</v>
      </c>
      <c r="B23" s="581">
        <v>0.04</v>
      </c>
      <c r="C23" s="581">
        <v>4.3999999999999997E-2</v>
      </c>
      <c r="D23" s="581">
        <v>1.67E-2</v>
      </c>
      <c r="E23" s="581">
        <v>0.04</v>
      </c>
      <c r="F23" s="581">
        <v>1.67E-2</v>
      </c>
      <c r="G23" s="581">
        <v>0.01</v>
      </c>
      <c r="H23" s="670">
        <v>7.0000000000000007E-2</v>
      </c>
      <c r="I23" s="581">
        <v>0.02</v>
      </c>
      <c r="J23" s="670">
        <v>0.01</v>
      </c>
      <c r="T23" s="327"/>
      <c r="V23" s="325"/>
    </row>
    <row r="24" spans="1:22" ht="15" customHeight="1" x14ac:dyDescent="0.2">
      <c r="A24" s="50">
        <v>21</v>
      </c>
      <c r="B24" s="581">
        <v>3.9E-2</v>
      </c>
      <c r="C24" s="581">
        <v>4.3200000000000002E-2</v>
      </c>
      <c r="D24" s="581">
        <v>1.6E-2</v>
      </c>
      <c r="E24" s="581">
        <v>3.9E-2</v>
      </c>
      <c r="F24" s="581">
        <v>1.6E-2</v>
      </c>
      <c r="G24" s="581">
        <v>8.9999999999999993E-3</v>
      </c>
      <c r="H24" s="670">
        <v>7.0000000000000007E-2</v>
      </c>
      <c r="I24" s="544">
        <v>1.6E-2</v>
      </c>
      <c r="J24" s="581">
        <v>8.0000000000000002E-3</v>
      </c>
      <c r="T24" s="327"/>
      <c r="V24" s="325"/>
    </row>
    <row r="25" spans="1:22" ht="15" customHeight="1" x14ac:dyDescent="0.2">
      <c r="A25" s="50">
        <v>22</v>
      </c>
      <c r="B25" s="581">
        <v>3.7999999999999999E-2</v>
      </c>
      <c r="C25" s="581">
        <v>4.24E-2</v>
      </c>
      <c r="D25" s="581">
        <v>1.5299999999999999E-2</v>
      </c>
      <c r="E25" s="581">
        <v>3.7999999999999999E-2</v>
      </c>
      <c r="F25" s="581">
        <v>1.5299999999999999E-2</v>
      </c>
      <c r="G25" s="581">
        <v>8.0000000000000002E-3</v>
      </c>
      <c r="H25" s="670">
        <v>7.0000000000000007E-2</v>
      </c>
      <c r="I25" s="544">
        <v>1.2E-2</v>
      </c>
      <c r="J25" s="581">
        <v>6.0000000000000001E-3</v>
      </c>
      <c r="Q25" s="62"/>
      <c r="R25" s="95"/>
      <c r="T25" s="327"/>
      <c r="V25" s="325"/>
    </row>
    <row r="26" spans="1:22" ht="15" customHeight="1" x14ac:dyDescent="0.2">
      <c r="A26" s="50">
        <v>23</v>
      </c>
      <c r="B26" s="581">
        <v>3.6999999999999998E-2</v>
      </c>
      <c r="C26" s="581">
        <v>4.1599999999999998E-2</v>
      </c>
      <c r="D26" s="581">
        <v>1.47E-2</v>
      </c>
      <c r="E26" s="581">
        <v>3.6999999999999998E-2</v>
      </c>
      <c r="F26" s="581">
        <v>1.47E-2</v>
      </c>
      <c r="G26" s="581">
        <v>7.0000000000000001E-3</v>
      </c>
      <c r="H26" s="670">
        <v>7.0000000000000007E-2</v>
      </c>
      <c r="I26" s="544">
        <v>8.0000000000000002E-3</v>
      </c>
      <c r="J26" s="581">
        <v>4.0000000000000001E-3</v>
      </c>
      <c r="Q26" s="62"/>
      <c r="R26" s="95"/>
      <c r="T26" s="327"/>
      <c r="V26" s="325"/>
    </row>
    <row r="27" spans="1:22" ht="15" customHeight="1" x14ac:dyDescent="0.2">
      <c r="A27" s="50">
        <v>24</v>
      </c>
      <c r="B27" s="581">
        <v>3.5999999999999997E-2</v>
      </c>
      <c r="C27" s="581">
        <v>4.0800000000000003E-2</v>
      </c>
      <c r="D27" s="581">
        <v>1.4E-2</v>
      </c>
      <c r="E27" s="581">
        <v>3.5999999999999997E-2</v>
      </c>
      <c r="F27" s="581">
        <v>1.4E-2</v>
      </c>
      <c r="G27" s="581">
        <v>6.0000000000000001E-3</v>
      </c>
      <c r="H27" s="670">
        <v>7.0000000000000007E-2</v>
      </c>
      <c r="I27" s="544">
        <v>4.0000000000000001E-3</v>
      </c>
      <c r="J27" s="581">
        <v>2E-3</v>
      </c>
      <c r="T27" s="327"/>
      <c r="V27" s="325"/>
    </row>
    <row r="28" spans="1:22" ht="15" customHeight="1" x14ac:dyDescent="0.2">
      <c r="A28" s="50">
        <v>25</v>
      </c>
      <c r="B28" s="581">
        <v>3.5000000000000003E-2</v>
      </c>
      <c r="C28" s="581">
        <v>0.04</v>
      </c>
      <c r="D28" s="581">
        <v>1.3299999999999999E-2</v>
      </c>
      <c r="E28" s="581">
        <v>3.5000000000000003E-2</v>
      </c>
      <c r="F28" s="581">
        <v>1.3299999999999999E-2</v>
      </c>
      <c r="G28" s="581">
        <v>5.0000000000000001E-3</v>
      </c>
      <c r="H28" s="670">
        <v>7.0000000000000007E-2</v>
      </c>
      <c r="I28" s="544">
        <v>0</v>
      </c>
      <c r="J28" s="581">
        <v>0</v>
      </c>
      <c r="T28" s="327"/>
      <c r="V28" s="325"/>
    </row>
    <row r="29" spans="1:22" ht="15" customHeight="1" x14ac:dyDescent="0.2">
      <c r="A29" s="50">
        <v>26</v>
      </c>
      <c r="B29" s="581">
        <v>3.4000000000000002E-2</v>
      </c>
      <c r="C29" s="581">
        <v>3.9199999999999999E-2</v>
      </c>
      <c r="D29" s="581">
        <v>1.2699999999999999E-2</v>
      </c>
      <c r="E29" s="581">
        <v>3.4000000000000002E-2</v>
      </c>
      <c r="F29" s="581">
        <v>1.2699999999999999E-2</v>
      </c>
      <c r="G29" s="581">
        <v>4.0000000000000001E-3</v>
      </c>
      <c r="H29" s="670">
        <v>7.0000000000000007E-2</v>
      </c>
      <c r="I29" s="581"/>
      <c r="J29" s="544"/>
      <c r="Q29" s="62"/>
      <c r="R29" s="95"/>
      <c r="T29" s="327"/>
      <c r="U29" s="10"/>
      <c r="V29" s="325"/>
    </row>
    <row r="30" spans="1:22" ht="15" customHeight="1" x14ac:dyDescent="0.2">
      <c r="A30" s="50">
        <v>27</v>
      </c>
      <c r="B30" s="581">
        <v>3.3000000000000002E-2</v>
      </c>
      <c r="C30" s="581">
        <v>3.8399999999999997E-2</v>
      </c>
      <c r="D30" s="581">
        <v>1.2E-2</v>
      </c>
      <c r="E30" s="581">
        <v>3.3000000000000002E-2</v>
      </c>
      <c r="F30" s="581">
        <v>1.2E-2</v>
      </c>
      <c r="G30" s="581">
        <v>3.0000000000000001E-3</v>
      </c>
      <c r="H30" s="670">
        <v>7.0000000000000007E-2</v>
      </c>
      <c r="I30" s="581"/>
      <c r="J30" s="544"/>
      <c r="Q30" s="62"/>
      <c r="R30" s="95"/>
      <c r="T30" s="327"/>
      <c r="U30" s="10"/>
      <c r="V30" s="325"/>
    </row>
    <row r="31" spans="1:22" ht="15" customHeight="1" x14ac:dyDescent="0.2">
      <c r="A31" s="50">
        <v>28</v>
      </c>
      <c r="B31" s="581">
        <v>3.2000000000000001E-2</v>
      </c>
      <c r="C31" s="581">
        <v>3.7600000000000001E-2</v>
      </c>
      <c r="D31" s="581">
        <v>1.1299999999999999E-2</v>
      </c>
      <c r="E31" s="581">
        <v>3.2000000000000001E-2</v>
      </c>
      <c r="F31" s="581">
        <v>1.1299999999999999E-2</v>
      </c>
      <c r="G31" s="581">
        <v>2E-3</v>
      </c>
      <c r="H31" s="670">
        <v>7.0000000000000007E-2</v>
      </c>
      <c r="I31" s="581"/>
      <c r="J31" s="544"/>
      <c r="T31" s="327"/>
      <c r="U31" s="10"/>
      <c r="V31" s="325"/>
    </row>
    <row r="32" spans="1:22" ht="15" customHeight="1" x14ac:dyDescent="0.2">
      <c r="A32" s="50">
        <v>29</v>
      </c>
      <c r="B32" s="581">
        <v>3.1E-2</v>
      </c>
      <c r="C32" s="581">
        <v>3.6799999999999999E-2</v>
      </c>
      <c r="D32" s="581">
        <v>1.0699999999999999E-2</v>
      </c>
      <c r="E32" s="581">
        <v>3.1E-2</v>
      </c>
      <c r="F32" s="581">
        <v>1.0699999999999999E-2</v>
      </c>
      <c r="G32" s="581">
        <v>1E-3</v>
      </c>
      <c r="H32" s="670">
        <v>7.0000000000000007E-2</v>
      </c>
      <c r="I32" s="581"/>
      <c r="J32" s="544"/>
      <c r="T32" s="327"/>
      <c r="U32" s="10"/>
      <c r="V32" s="325"/>
    </row>
    <row r="33" spans="1:22" ht="15" customHeight="1" x14ac:dyDescent="0.2">
      <c r="A33" s="50">
        <v>30</v>
      </c>
      <c r="B33" s="581">
        <v>0.03</v>
      </c>
      <c r="C33" s="581">
        <v>3.5999999999999997E-2</v>
      </c>
      <c r="D33" s="581">
        <v>0.01</v>
      </c>
      <c r="E33" s="581">
        <v>0.03</v>
      </c>
      <c r="F33" s="581">
        <v>0.01</v>
      </c>
      <c r="G33" s="581">
        <v>0</v>
      </c>
      <c r="H33" s="670">
        <v>0.04</v>
      </c>
      <c r="I33" s="581"/>
      <c r="J33" s="544"/>
      <c r="Q33" s="62"/>
      <c r="R33" s="95"/>
      <c r="T33" s="327"/>
      <c r="U33" s="10"/>
      <c r="V33" s="325"/>
    </row>
    <row r="34" spans="1:22" ht="15" customHeight="1" x14ac:dyDescent="0.2">
      <c r="A34" s="50">
        <v>31</v>
      </c>
      <c r="B34" s="581">
        <v>2.9000000000000001E-2</v>
      </c>
      <c r="C34" s="581">
        <v>3.5200000000000002E-2</v>
      </c>
      <c r="D34" s="581">
        <v>9.2999999999999992E-3</v>
      </c>
      <c r="E34" s="581">
        <v>2.9000000000000001E-2</v>
      </c>
      <c r="F34" s="581">
        <v>9.4999999999999998E-3</v>
      </c>
      <c r="G34" s="544"/>
      <c r="H34" s="670">
        <v>0.04</v>
      </c>
      <c r="I34" s="581"/>
      <c r="J34" s="544"/>
      <c r="Q34" s="62"/>
      <c r="R34" s="95"/>
      <c r="T34" s="327"/>
      <c r="U34" s="10"/>
      <c r="V34" s="325"/>
    </row>
    <row r="35" spans="1:22" ht="15" customHeight="1" x14ac:dyDescent="0.2">
      <c r="A35" s="50">
        <v>32</v>
      </c>
      <c r="B35" s="581">
        <v>2.8000000000000001E-2</v>
      </c>
      <c r="C35" s="581">
        <v>3.44E-2</v>
      </c>
      <c r="D35" s="581">
        <v>8.6999999999999994E-3</v>
      </c>
      <c r="E35" s="581">
        <v>2.8000000000000001E-2</v>
      </c>
      <c r="F35" s="581">
        <v>8.9999999999999993E-3</v>
      </c>
      <c r="G35" s="544"/>
      <c r="H35" s="670">
        <v>0.04</v>
      </c>
      <c r="I35" s="581"/>
      <c r="J35" s="544"/>
      <c r="T35" s="327"/>
      <c r="U35" s="10"/>
      <c r="V35" s="325"/>
    </row>
    <row r="36" spans="1:22" ht="15" customHeight="1" x14ac:dyDescent="0.2">
      <c r="A36" s="50">
        <v>33</v>
      </c>
      <c r="B36" s="581">
        <v>2.7E-2</v>
      </c>
      <c r="C36" s="581">
        <v>3.3599999999999998E-2</v>
      </c>
      <c r="D36" s="581">
        <v>8.0000000000000002E-3</v>
      </c>
      <c r="E36" s="581">
        <v>2.7E-2</v>
      </c>
      <c r="F36" s="581">
        <v>8.5000000000000006E-3</v>
      </c>
      <c r="G36" s="544"/>
      <c r="H36" s="670">
        <v>0.04</v>
      </c>
      <c r="I36" s="581"/>
      <c r="J36" s="544"/>
      <c r="T36" s="327"/>
      <c r="U36" s="10"/>
      <c r="V36" s="325"/>
    </row>
    <row r="37" spans="1:22" ht="15" customHeight="1" x14ac:dyDescent="0.2">
      <c r="A37" s="50">
        <v>34</v>
      </c>
      <c r="B37" s="581">
        <v>2.5999999999999999E-2</v>
      </c>
      <c r="C37" s="581">
        <v>3.2800000000000003E-2</v>
      </c>
      <c r="D37" s="581">
        <v>7.3000000000000001E-3</v>
      </c>
      <c r="E37" s="581">
        <v>2.5999999999999999E-2</v>
      </c>
      <c r="F37" s="581">
        <v>8.0000000000000002E-3</v>
      </c>
      <c r="G37" s="544"/>
      <c r="H37" s="670">
        <v>0.04</v>
      </c>
      <c r="I37" s="581"/>
      <c r="J37" s="544"/>
      <c r="T37" s="327"/>
      <c r="U37" s="10"/>
      <c r="V37" s="325"/>
    </row>
    <row r="38" spans="1:22" ht="15" customHeight="1" x14ac:dyDescent="0.2">
      <c r="A38" s="50">
        <v>35</v>
      </c>
      <c r="B38" s="581">
        <v>2.5000000000000001E-2</v>
      </c>
      <c r="C38" s="581">
        <v>3.2000000000000001E-2</v>
      </c>
      <c r="D38" s="581">
        <v>6.7000000000000002E-3</v>
      </c>
      <c r="E38" s="581">
        <v>2.5000000000000001E-2</v>
      </c>
      <c r="F38" s="581">
        <v>7.4999999999999997E-3</v>
      </c>
      <c r="G38" s="544"/>
      <c r="H38" s="670">
        <v>0.04</v>
      </c>
      <c r="I38" s="581"/>
      <c r="J38" s="544"/>
      <c r="Q38" s="62"/>
      <c r="R38" s="95"/>
      <c r="T38" s="327"/>
      <c r="U38" s="10"/>
      <c r="V38" s="325"/>
    </row>
    <row r="39" spans="1:22" ht="15" customHeight="1" x14ac:dyDescent="0.2">
      <c r="A39" s="50">
        <v>36</v>
      </c>
      <c r="B39" s="581">
        <v>2.4E-2</v>
      </c>
      <c r="C39" s="581">
        <v>3.1199999999999999E-2</v>
      </c>
      <c r="D39" s="581">
        <v>6.0000000000000001E-3</v>
      </c>
      <c r="E39" s="581">
        <v>2.4E-2</v>
      </c>
      <c r="F39" s="581">
        <v>7.0000000000000001E-3</v>
      </c>
      <c r="G39" s="544"/>
      <c r="H39" s="670">
        <v>0.04</v>
      </c>
      <c r="I39" s="581"/>
      <c r="J39" s="544"/>
      <c r="Q39" s="62"/>
      <c r="R39" s="95"/>
      <c r="T39" s="327"/>
      <c r="U39" s="10"/>
      <c r="V39" s="325"/>
    </row>
    <row r="40" spans="1:22" ht="15" customHeight="1" x14ac:dyDescent="0.2">
      <c r="A40" s="50">
        <v>37</v>
      </c>
      <c r="B40" s="581">
        <v>2.3E-2</v>
      </c>
      <c r="C40" s="581">
        <v>3.04E-2</v>
      </c>
      <c r="D40" s="670">
        <v>5.3E-3</v>
      </c>
      <c r="E40" s="581">
        <v>2.3E-2</v>
      </c>
      <c r="F40" s="581">
        <v>6.4999999999999997E-3</v>
      </c>
      <c r="G40" s="544"/>
      <c r="H40" s="670">
        <v>0.04</v>
      </c>
      <c r="I40" s="581"/>
      <c r="J40" s="544"/>
      <c r="T40" s="327"/>
      <c r="U40" s="10"/>
      <c r="V40" s="325"/>
    </row>
    <row r="41" spans="1:22" ht="15" customHeight="1" x14ac:dyDescent="0.2">
      <c r="A41" s="50">
        <v>38</v>
      </c>
      <c r="B41" s="581">
        <v>2.1999999999999999E-2</v>
      </c>
      <c r="C41" s="581">
        <v>2.9600000000000001E-2</v>
      </c>
      <c r="D41" s="670">
        <v>4.7000000000000002E-3</v>
      </c>
      <c r="E41" s="581">
        <v>2.1999999999999999E-2</v>
      </c>
      <c r="F41" s="581">
        <v>6.0000000000000001E-3</v>
      </c>
      <c r="G41" s="544"/>
      <c r="H41" s="670">
        <v>0.04</v>
      </c>
      <c r="I41" s="581"/>
      <c r="J41" s="604"/>
      <c r="T41" s="327"/>
      <c r="U41" s="10"/>
      <c r="V41" s="325"/>
    </row>
    <row r="42" spans="1:22" ht="15" customHeight="1" x14ac:dyDescent="0.2">
      <c r="A42" s="50">
        <v>39</v>
      </c>
      <c r="B42" s="581">
        <v>2.1000000000000001E-2</v>
      </c>
      <c r="C42" s="581">
        <v>2.8799999999999999E-2</v>
      </c>
      <c r="D42" s="670">
        <v>4.0000000000000001E-3</v>
      </c>
      <c r="E42" s="581">
        <v>2.1000000000000001E-2</v>
      </c>
      <c r="F42" s="581">
        <v>5.4999999999999997E-3</v>
      </c>
      <c r="G42" s="544"/>
      <c r="H42" s="670">
        <v>0.04</v>
      </c>
      <c r="I42" s="581"/>
      <c r="J42" s="544"/>
      <c r="Q42" s="62"/>
      <c r="R42" s="95"/>
      <c r="T42" s="327"/>
      <c r="U42" s="10"/>
      <c r="V42" s="325"/>
    </row>
    <row r="43" spans="1:22" ht="15" customHeight="1" x14ac:dyDescent="0.2">
      <c r="A43" s="50">
        <v>40</v>
      </c>
      <c r="B43" s="581">
        <v>0.02</v>
      </c>
      <c r="C43" s="581">
        <v>2.8000000000000001E-2</v>
      </c>
      <c r="D43" s="670">
        <v>3.3E-3</v>
      </c>
      <c r="E43" s="581">
        <v>0.02</v>
      </c>
      <c r="F43" s="581">
        <v>5.0000000000000001E-3</v>
      </c>
      <c r="G43" s="544"/>
      <c r="H43" s="670">
        <v>0.04</v>
      </c>
      <c r="I43" s="581"/>
      <c r="J43" s="544"/>
      <c r="Q43" s="62"/>
      <c r="R43" s="95"/>
      <c r="T43" s="327"/>
      <c r="U43" s="10"/>
      <c r="V43" s="325"/>
    </row>
    <row r="44" spans="1:22" ht="15" customHeight="1" x14ac:dyDescent="0.2">
      <c r="A44" s="50">
        <v>41</v>
      </c>
      <c r="B44" s="581">
        <v>1.9E-2</v>
      </c>
      <c r="C44" s="581">
        <v>2.7199999999999998E-2</v>
      </c>
      <c r="D44" s="670">
        <v>2.7000000000000001E-3</v>
      </c>
      <c r="E44" s="581">
        <v>1.95E-2</v>
      </c>
      <c r="F44" s="581">
        <v>4.4999999999999997E-3</v>
      </c>
      <c r="G44" s="544"/>
      <c r="H44" s="670">
        <v>0.04</v>
      </c>
      <c r="I44" s="581"/>
      <c r="J44" s="544"/>
      <c r="T44" s="327"/>
      <c r="U44" s="10"/>
      <c r="V44" s="325"/>
    </row>
    <row r="45" spans="1:22" ht="15" customHeight="1" x14ac:dyDescent="0.2">
      <c r="A45" s="50">
        <v>42</v>
      </c>
      <c r="B45" s="581">
        <v>1.7999999999999999E-2</v>
      </c>
      <c r="C45" s="581">
        <v>2.64E-2</v>
      </c>
      <c r="D45" s="670">
        <v>2E-3</v>
      </c>
      <c r="E45" s="581">
        <v>1.9E-2</v>
      </c>
      <c r="F45" s="581">
        <v>4.0000000000000001E-3</v>
      </c>
      <c r="G45" s="544"/>
      <c r="H45" s="670">
        <v>0.04</v>
      </c>
      <c r="I45" s="581"/>
      <c r="J45" s="544"/>
      <c r="T45" s="327"/>
      <c r="U45" s="10"/>
      <c r="V45" s="325"/>
    </row>
    <row r="46" spans="1:22" ht="15" customHeight="1" x14ac:dyDescent="0.2">
      <c r="A46" s="50">
        <v>43</v>
      </c>
      <c r="B46" s="581">
        <v>1.7000000000000001E-2</v>
      </c>
      <c r="C46" s="581">
        <v>2.5600000000000001E-2</v>
      </c>
      <c r="D46" s="670">
        <v>1.2999999999999999E-3</v>
      </c>
      <c r="E46" s="581">
        <v>1.8499999999999999E-2</v>
      </c>
      <c r="F46" s="581">
        <v>3.5000000000000001E-3</v>
      </c>
      <c r="G46" s="544"/>
      <c r="H46" s="670">
        <v>0.04</v>
      </c>
      <c r="I46" s="581"/>
      <c r="J46" s="544"/>
      <c r="Q46" s="62"/>
      <c r="R46" s="95"/>
      <c r="T46" s="327"/>
      <c r="U46" s="10"/>
      <c r="V46" s="325"/>
    </row>
    <row r="47" spans="1:22" ht="15" customHeight="1" x14ac:dyDescent="0.2">
      <c r="A47" s="50">
        <v>44</v>
      </c>
      <c r="B47" s="581">
        <v>1.6E-2</v>
      </c>
      <c r="C47" s="581">
        <v>2.4799999999999999E-2</v>
      </c>
      <c r="D47" s="670">
        <v>6.9999999999999999E-4</v>
      </c>
      <c r="E47" s="581">
        <v>1.7999999999999999E-2</v>
      </c>
      <c r="F47" s="581">
        <v>3.0000000000000001E-3</v>
      </c>
      <c r="G47" s="544"/>
      <c r="H47" s="670">
        <v>0.04</v>
      </c>
      <c r="I47" s="581"/>
      <c r="J47" s="544"/>
      <c r="Q47" s="62"/>
      <c r="R47" s="95"/>
      <c r="T47" s="327"/>
      <c r="U47" s="10"/>
      <c r="V47" s="325"/>
    </row>
    <row r="48" spans="1:22" ht="15" customHeight="1" x14ac:dyDescent="0.2">
      <c r="A48" s="50">
        <v>45</v>
      </c>
      <c r="B48" s="581">
        <v>1.4999999999999999E-2</v>
      </c>
      <c r="C48" s="581">
        <v>2.4E-2</v>
      </c>
      <c r="D48" s="670">
        <v>0</v>
      </c>
      <c r="E48" s="581">
        <v>1.7500000000000002E-2</v>
      </c>
      <c r="F48" s="581">
        <v>2.5000000000000001E-3</v>
      </c>
      <c r="G48" s="544"/>
      <c r="H48" s="670">
        <v>0.02</v>
      </c>
      <c r="I48" s="581"/>
      <c r="J48" s="544"/>
      <c r="T48" s="327"/>
      <c r="U48" s="10"/>
      <c r="V48" s="325"/>
    </row>
    <row r="49" spans="1:22" ht="15" customHeight="1" x14ac:dyDescent="0.2">
      <c r="A49" s="50">
        <v>46</v>
      </c>
      <c r="B49" s="581">
        <v>1.4E-2</v>
      </c>
      <c r="C49" s="581">
        <v>2.3199999999999998E-2</v>
      </c>
      <c r="D49" s="544"/>
      <c r="E49" s="581">
        <v>1.7000000000000001E-2</v>
      </c>
      <c r="F49" s="581">
        <v>2E-3</v>
      </c>
      <c r="G49" s="544"/>
      <c r="H49" s="670">
        <v>0.02</v>
      </c>
      <c r="I49" s="581"/>
      <c r="J49" s="544"/>
      <c r="T49" s="327"/>
      <c r="U49" s="10"/>
      <c r="V49" s="325"/>
    </row>
    <row r="50" spans="1:22" ht="15" customHeight="1" x14ac:dyDescent="0.2">
      <c r="A50" s="50">
        <v>47</v>
      </c>
      <c r="B50" s="581">
        <v>1.2999999999999999E-2</v>
      </c>
      <c r="C50" s="581">
        <v>2.24E-2</v>
      </c>
      <c r="D50" s="544"/>
      <c r="E50" s="581">
        <v>1.6500000000000001E-2</v>
      </c>
      <c r="F50" s="581">
        <v>1.5E-3</v>
      </c>
      <c r="G50" s="544"/>
      <c r="H50" s="670">
        <v>0.02</v>
      </c>
      <c r="I50" s="581"/>
      <c r="J50" s="544"/>
      <c r="T50" s="327"/>
      <c r="U50" s="10"/>
      <c r="V50" s="325"/>
    </row>
    <row r="51" spans="1:22" ht="15" customHeight="1" x14ac:dyDescent="0.2">
      <c r="A51" s="50">
        <v>48</v>
      </c>
      <c r="B51" s="581">
        <v>1.2E-2</v>
      </c>
      <c r="C51" s="581">
        <v>2.1600000000000001E-2</v>
      </c>
      <c r="D51" s="544"/>
      <c r="E51" s="581">
        <v>1.6E-2</v>
      </c>
      <c r="F51" s="581">
        <v>1E-3</v>
      </c>
      <c r="G51" s="544"/>
      <c r="H51" s="670">
        <v>0.02</v>
      </c>
      <c r="I51" s="581"/>
      <c r="J51" s="544"/>
      <c r="Q51" s="62"/>
      <c r="R51" s="95"/>
      <c r="T51" s="327"/>
      <c r="U51" s="10"/>
      <c r="V51" s="325"/>
    </row>
    <row r="52" spans="1:22" ht="15" customHeight="1" x14ac:dyDescent="0.2">
      <c r="A52" s="50">
        <v>49</v>
      </c>
      <c r="B52" s="581">
        <v>1.0999999999999999E-2</v>
      </c>
      <c r="C52" s="581">
        <v>2.0799999999999999E-2</v>
      </c>
      <c r="D52" s="544"/>
      <c r="E52" s="581">
        <v>1.55E-2</v>
      </c>
      <c r="F52" s="581">
        <v>5.0000000000000001E-4</v>
      </c>
      <c r="G52" s="544"/>
      <c r="H52" s="670">
        <v>0.02</v>
      </c>
      <c r="I52" s="581"/>
      <c r="J52" s="544"/>
      <c r="Q52" s="62"/>
      <c r="R52" s="95"/>
      <c r="T52" s="327"/>
      <c r="U52" s="10"/>
      <c r="V52" s="325"/>
    </row>
    <row r="53" spans="1:22" ht="15" customHeight="1" x14ac:dyDescent="0.2">
      <c r="A53" s="50">
        <v>50</v>
      </c>
      <c r="B53" s="581">
        <v>0.01</v>
      </c>
      <c r="C53" s="581">
        <v>0.02</v>
      </c>
      <c r="D53" s="544"/>
      <c r="E53" s="581">
        <v>1.4999999999999999E-2</v>
      </c>
      <c r="F53" s="581">
        <v>0</v>
      </c>
      <c r="G53" s="544"/>
      <c r="H53" s="670">
        <v>0.02</v>
      </c>
      <c r="I53" s="581"/>
      <c r="J53" s="544"/>
      <c r="T53" s="327"/>
      <c r="U53" s="10"/>
      <c r="V53" s="325"/>
    </row>
    <row r="54" spans="1:22" ht="15" customHeight="1" x14ac:dyDescent="0.2">
      <c r="A54" s="50">
        <v>51</v>
      </c>
      <c r="B54" s="581">
        <v>8.9999999999999993E-3</v>
      </c>
      <c r="C54" s="581">
        <v>1.9199999999999998E-2</v>
      </c>
      <c r="D54" s="50"/>
      <c r="E54" s="581">
        <v>1.4500000000000001E-2</v>
      </c>
      <c r="F54" s="681"/>
      <c r="G54" s="50"/>
      <c r="H54" s="670">
        <v>0.02</v>
      </c>
      <c r="I54" s="581"/>
      <c r="J54" s="544"/>
      <c r="T54" s="327"/>
      <c r="U54" s="10"/>
      <c r="V54" s="325"/>
    </row>
    <row r="55" spans="1:22" ht="15" customHeight="1" x14ac:dyDescent="0.2">
      <c r="A55" s="50">
        <v>52</v>
      </c>
      <c r="B55" s="581">
        <v>8.0000000000000002E-3</v>
      </c>
      <c r="C55" s="581">
        <v>1.84E-2</v>
      </c>
      <c r="D55" s="50"/>
      <c r="E55" s="581">
        <v>1.4E-2</v>
      </c>
      <c r="F55" s="681"/>
      <c r="G55" s="50"/>
      <c r="H55" s="670">
        <v>0.02</v>
      </c>
      <c r="I55" s="581"/>
      <c r="J55" s="544"/>
      <c r="Q55" s="62"/>
      <c r="R55" s="95"/>
      <c r="T55" s="327"/>
      <c r="U55" s="10"/>
      <c r="V55" s="325"/>
    </row>
    <row r="56" spans="1:22" ht="15" customHeight="1" x14ac:dyDescent="0.2">
      <c r="A56" s="50">
        <v>53</v>
      </c>
      <c r="B56" s="581">
        <v>7.0000000000000001E-3</v>
      </c>
      <c r="C56" s="581">
        <v>1.7600000000000001E-2</v>
      </c>
      <c r="D56" s="50"/>
      <c r="E56" s="581">
        <v>1.35E-2</v>
      </c>
      <c r="F56" s="681"/>
      <c r="G56" s="50"/>
      <c r="H56" s="670">
        <v>0.02</v>
      </c>
      <c r="I56" s="581"/>
      <c r="J56" s="544"/>
      <c r="Q56" s="62"/>
      <c r="R56" s="95"/>
      <c r="T56" s="327"/>
      <c r="U56" s="10"/>
      <c r="V56" s="325"/>
    </row>
    <row r="57" spans="1:22" ht="15" customHeight="1" x14ac:dyDescent="0.2">
      <c r="A57" s="50">
        <v>54</v>
      </c>
      <c r="B57" s="581">
        <v>6.0000000000000001E-3</v>
      </c>
      <c r="C57" s="581">
        <v>1.6799999999999999E-2</v>
      </c>
      <c r="D57" s="50"/>
      <c r="E57" s="581">
        <v>1.2999999999999999E-2</v>
      </c>
      <c r="F57" s="681"/>
      <c r="G57" s="50"/>
      <c r="H57" s="670">
        <v>0.02</v>
      </c>
      <c r="I57" s="581"/>
      <c r="J57" s="544"/>
      <c r="T57" s="327"/>
      <c r="U57" s="10"/>
      <c r="V57" s="325"/>
    </row>
    <row r="58" spans="1:22" ht="15" customHeight="1" x14ac:dyDescent="0.2">
      <c r="A58" s="50">
        <v>55</v>
      </c>
      <c r="B58" s="581">
        <v>5.0000000000000001E-3</v>
      </c>
      <c r="C58" s="581">
        <v>1.6E-2</v>
      </c>
      <c r="D58" s="50"/>
      <c r="E58" s="581">
        <v>1.2500000000000001E-2</v>
      </c>
      <c r="F58" s="681"/>
      <c r="G58" s="50"/>
      <c r="H58" s="670">
        <v>0.02</v>
      </c>
      <c r="I58" s="581"/>
      <c r="J58" s="544"/>
      <c r="T58" s="327"/>
      <c r="U58" s="10"/>
      <c r="V58" s="325"/>
    </row>
    <row r="59" spans="1:22" ht="15" customHeight="1" x14ac:dyDescent="0.2">
      <c r="A59" s="50">
        <v>56</v>
      </c>
      <c r="B59" s="581">
        <v>4.0000000000000001E-3</v>
      </c>
      <c r="C59" s="581">
        <v>1.52E-2</v>
      </c>
      <c r="D59" s="50"/>
      <c r="E59" s="581">
        <v>1.2E-2</v>
      </c>
      <c r="F59" s="681"/>
      <c r="G59" s="50"/>
      <c r="H59" s="670">
        <v>0.02</v>
      </c>
      <c r="I59" s="581"/>
      <c r="J59" s="544"/>
      <c r="Q59" s="62"/>
      <c r="R59" s="95"/>
      <c r="T59" s="327"/>
      <c r="U59" s="10"/>
      <c r="V59" s="325"/>
    </row>
    <row r="60" spans="1:22" ht="15" customHeight="1" x14ac:dyDescent="0.2">
      <c r="A60" s="50">
        <v>57</v>
      </c>
      <c r="B60" s="581">
        <v>3.0000000000000001E-3</v>
      </c>
      <c r="C60" s="581">
        <v>1.44E-2</v>
      </c>
      <c r="D60" s="50"/>
      <c r="E60" s="581">
        <v>1.15E-2</v>
      </c>
      <c r="F60" s="681"/>
      <c r="G60" s="50"/>
      <c r="H60" s="670">
        <v>0.02</v>
      </c>
      <c r="I60" s="581"/>
      <c r="J60" s="544"/>
      <c r="Q60" s="62"/>
      <c r="R60" s="95"/>
      <c r="T60" s="327"/>
      <c r="U60" s="10"/>
      <c r="V60" s="325"/>
    </row>
    <row r="61" spans="1:22" ht="15" customHeight="1" x14ac:dyDescent="0.2">
      <c r="A61" s="50">
        <v>58</v>
      </c>
      <c r="B61" s="581">
        <v>2E-3</v>
      </c>
      <c r="C61" s="581">
        <v>1.3599999999999999E-2</v>
      </c>
      <c r="D61" s="50"/>
      <c r="E61" s="581">
        <v>1.0999999999999999E-2</v>
      </c>
      <c r="F61" s="681"/>
      <c r="G61" s="50"/>
      <c r="H61" s="670">
        <v>0.02</v>
      </c>
      <c r="I61" s="581"/>
      <c r="J61" s="544"/>
      <c r="T61" s="327"/>
      <c r="U61" s="10"/>
      <c r="V61" s="325"/>
    </row>
    <row r="62" spans="1:22" ht="15" customHeight="1" x14ac:dyDescent="0.2">
      <c r="A62" s="50">
        <v>59</v>
      </c>
      <c r="B62" s="581">
        <v>1E-3</v>
      </c>
      <c r="C62" s="581">
        <v>1.2800000000000001E-2</v>
      </c>
      <c r="D62" s="50"/>
      <c r="E62" s="581">
        <v>1.0500000000000001E-2</v>
      </c>
      <c r="F62" s="681"/>
      <c r="G62" s="50"/>
      <c r="H62" s="670">
        <v>0.02</v>
      </c>
      <c r="I62" s="581"/>
      <c r="J62" s="544"/>
      <c r="T62" s="327"/>
      <c r="U62" s="10"/>
      <c r="V62" s="325"/>
    </row>
    <row r="63" spans="1:22" ht="15" customHeight="1" x14ac:dyDescent="0.2">
      <c r="A63" s="50">
        <v>60</v>
      </c>
      <c r="B63" s="581">
        <v>0</v>
      </c>
      <c r="C63" s="581">
        <v>1.2E-2</v>
      </c>
      <c r="D63" s="50"/>
      <c r="E63" s="581">
        <v>0.01</v>
      </c>
      <c r="F63" s="681"/>
      <c r="G63" s="50"/>
      <c r="H63" s="670">
        <v>0</v>
      </c>
      <c r="I63" s="581"/>
      <c r="J63" s="544"/>
      <c r="T63" s="327"/>
      <c r="U63" s="10"/>
      <c r="V63" s="325"/>
    </row>
    <row r="64" spans="1:22" ht="15" customHeight="1" x14ac:dyDescent="0.2">
      <c r="A64" s="50">
        <v>61</v>
      </c>
      <c r="B64" s="544"/>
      <c r="C64" s="581">
        <v>1.12E-2</v>
      </c>
      <c r="D64" s="50"/>
      <c r="E64" s="581">
        <v>9.4999999999999998E-3</v>
      </c>
      <c r="F64" s="50"/>
      <c r="G64" s="50"/>
      <c r="H64" s="581"/>
      <c r="I64" s="581"/>
      <c r="J64" s="544"/>
      <c r="Q64" s="62"/>
      <c r="R64" s="95"/>
      <c r="T64" s="327"/>
    </row>
    <row r="65" spans="1:20" ht="15" customHeight="1" x14ac:dyDescent="0.2">
      <c r="A65" s="50">
        <v>62</v>
      </c>
      <c r="B65" s="544"/>
      <c r="C65" s="581">
        <v>1.04E-2</v>
      </c>
      <c r="D65" s="50"/>
      <c r="E65" s="581">
        <v>8.9999999999999993E-3</v>
      </c>
      <c r="F65" s="50"/>
      <c r="G65" s="50"/>
      <c r="H65" s="581"/>
      <c r="I65" s="581"/>
      <c r="J65" s="544"/>
      <c r="Q65" s="62"/>
      <c r="R65" s="95"/>
      <c r="T65" s="327"/>
    </row>
    <row r="66" spans="1:20" ht="15" customHeight="1" x14ac:dyDescent="0.2">
      <c r="A66" s="50">
        <v>63</v>
      </c>
      <c r="B66" s="544"/>
      <c r="C66" s="581">
        <v>9.5999999999999992E-3</v>
      </c>
      <c r="D66" s="50"/>
      <c r="E66" s="581">
        <v>8.5000000000000006E-3</v>
      </c>
      <c r="F66" s="50"/>
      <c r="G66" s="50"/>
      <c r="H66" s="581"/>
      <c r="I66" s="581"/>
      <c r="J66" s="544"/>
      <c r="T66" s="327"/>
    </row>
    <row r="67" spans="1:20" ht="15" customHeight="1" x14ac:dyDescent="0.2">
      <c r="A67" s="50">
        <v>64</v>
      </c>
      <c r="B67" s="544"/>
      <c r="C67" s="581">
        <v>8.8000000000000005E-3</v>
      </c>
      <c r="D67" s="50"/>
      <c r="E67" s="581">
        <v>8.0000000000000002E-3</v>
      </c>
      <c r="F67" s="50"/>
      <c r="G67" s="50"/>
      <c r="H67" s="581"/>
      <c r="I67" s="581"/>
      <c r="J67" s="544"/>
      <c r="T67" s="327"/>
    </row>
    <row r="68" spans="1:20" ht="15" customHeight="1" x14ac:dyDescent="0.2">
      <c r="A68" s="50">
        <v>65</v>
      </c>
      <c r="B68" s="544"/>
      <c r="C68" s="581">
        <v>8.0000000000000002E-3</v>
      </c>
      <c r="D68" s="50"/>
      <c r="E68" s="670">
        <v>7.4999999999999997E-3</v>
      </c>
      <c r="F68" s="50"/>
      <c r="G68" s="50"/>
      <c r="H68" s="581"/>
      <c r="I68" s="581"/>
      <c r="J68" s="544"/>
      <c r="T68" s="327"/>
    </row>
    <row r="69" spans="1:20" ht="15" customHeight="1" x14ac:dyDescent="0.2">
      <c r="A69" s="50">
        <v>66</v>
      </c>
      <c r="B69" s="544"/>
      <c r="C69" s="581">
        <v>7.1999999999999998E-3</v>
      </c>
      <c r="D69" s="50"/>
      <c r="E69" s="670">
        <v>7.0000000000000001E-3</v>
      </c>
      <c r="F69" s="50"/>
      <c r="G69" s="50"/>
      <c r="H69" s="581"/>
      <c r="I69" s="581"/>
      <c r="J69" s="544"/>
      <c r="T69" s="327"/>
    </row>
    <row r="70" spans="1:20" ht="15" customHeight="1" x14ac:dyDescent="0.2">
      <c r="A70" s="50">
        <v>67</v>
      </c>
      <c r="B70" s="544"/>
      <c r="C70" s="581">
        <v>6.4000000000000003E-3</v>
      </c>
      <c r="D70" s="50"/>
      <c r="E70" s="670">
        <v>6.4999999999999997E-3</v>
      </c>
      <c r="F70" s="50"/>
      <c r="G70" s="50"/>
      <c r="H70" s="581"/>
      <c r="I70" s="581"/>
      <c r="J70" s="544"/>
      <c r="Q70" s="62"/>
      <c r="R70" s="95"/>
      <c r="T70" s="327"/>
    </row>
    <row r="71" spans="1:20" ht="15" customHeight="1" x14ac:dyDescent="0.2">
      <c r="A71" s="50">
        <v>68</v>
      </c>
      <c r="B71" s="544"/>
      <c r="C71" s="581">
        <v>5.5999999999999999E-3</v>
      </c>
      <c r="D71" s="50"/>
      <c r="E71" s="670">
        <v>6.0000000000000001E-3</v>
      </c>
      <c r="F71" s="50"/>
      <c r="G71" s="50"/>
      <c r="H71" s="581"/>
      <c r="I71" s="581"/>
      <c r="J71" s="544"/>
      <c r="T71" s="327"/>
    </row>
    <row r="72" spans="1:20" ht="15" customHeight="1" x14ac:dyDescent="0.2">
      <c r="A72" s="50">
        <v>69</v>
      </c>
      <c r="B72" s="544"/>
      <c r="C72" s="581">
        <v>4.7999999999999996E-3</v>
      </c>
      <c r="D72" s="50"/>
      <c r="E72" s="670">
        <v>5.4999999999999997E-3</v>
      </c>
      <c r="F72" s="50"/>
      <c r="G72" s="50"/>
      <c r="H72" s="581"/>
      <c r="I72" s="581"/>
      <c r="J72" s="544"/>
      <c r="Q72" s="62"/>
      <c r="R72" s="95"/>
      <c r="T72" s="327"/>
    </row>
    <row r="73" spans="1:20" ht="15" customHeight="1" x14ac:dyDescent="0.2">
      <c r="A73" s="50">
        <v>70</v>
      </c>
      <c r="B73" s="544"/>
      <c r="C73" s="581">
        <v>4.0000000000000001E-3</v>
      </c>
      <c r="D73" s="50"/>
      <c r="E73" s="670">
        <v>5.0000000000000001E-3</v>
      </c>
      <c r="F73" s="50"/>
      <c r="G73" s="50"/>
      <c r="H73" s="581"/>
      <c r="I73" s="581"/>
      <c r="J73" s="544"/>
      <c r="T73" s="327"/>
    </row>
    <row r="74" spans="1:20" ht="15" customHeight="1" x14ac:dyDescent="0.2">
      <c r="A74" s="50">
        <v>71</v>
      </c>
      <c r="B74" s="544"/>
      <c r="C74" s="581">
        <v>3.2000000000000002E-3</v>
      </c>
      <c r="D74" s="50"/>
      <c r="E74" s="670">
        <v>4.4999999999999997E-3</v>
      </c>
      <c r="F74" s="681"/>
      <c r="G74" s="50"/>
      <c r="H74" s="581"/>
      <c r="I74" s="581"/>
      <c r="J74" s="544"/>
      <c r="Q74" s="62"/>
      <c r="R74" s="95"/>
      <c r="T74" s="327"/>
    </row>
    <row r="75" spans="1:20" ht="15" customHeight="1" x14ac:dyDescent="0.2">
      <c r="A75" s="50">
        <v>72</v>
      </c>
      <c r="B75" s="544"/>
      <c r="C75" s="581">
        <v>2.3999999999999998E-3</v>
      </c>
      <c r="D75" s="50"/>
      <c r="E75" s="670">
        <v>4.0000000000000001E-3</v>
      </c>
      <c r="F75" s="681"/>
      <c r="G75" s="50"/>
      <c r="H75" s="581"/>
      <c r="I75" s="581"/>
      <c r="J75" s="544"/>
      <c r="T75" s="327"/>
    </row>
    <row r="76" spans="1:20" ht="15" customHeight="1" x14ac:dyDescent="0.2">
      <c r="A76" s="50">
        <v>73</v>
      </c>
      <c r="B76" s="544"/>
      <c r="C76" s="581">
        <v>1.6000000000000001E-3</v>
      </c>
      <c r="D76" s="50"/>
      <c r="E76" s="670">
        <v>3.5000000000000001E-3</v>
      </c>
      <c r="F76" s="681"/>
      <c r="G76" s="50"/>
      <c r="H76" s="581"/>
      <c r="I76" s="581"/>
      <c r="J76" s="544"/>
      <c r="Q76" s="62"/>
      <c r="R76" s="95"/>
      <c r="T76" s="327"/>
    </row>
    <row r="77" spans="1:20" ht="15" customHeight="1" x14ac:dyDescent="0.2">
      <c r="A77" s="50">
        <v>74</v>
      </c>
      <c r="B77" s="544"/>
      <c r="C77" s="581">
        <v>8.0000000000000004E-4</v>
      </c>
      <c r="D77" s="50"/>
      <c r="E77" s="670">
        <v>3.0000000000000001E-3</v>
      </c>
      <c r="F77" s="681"/>
      <c r="G77" s="50"/>
      <c r="H77" s="581"/>
      <c r="I77" s="581"/>
      <c r="J77" s="544"/>
      <c r="T77" s="327"/>
    </row>
    <row r="78" spans="1:20" ht="15" customHeight="1" x14ac:dyDescent="0.2">
      <c r="A78" s="50">
        <v>75</v>
      </c>
      <c r="B78" s="544"/>
      <c r="C78" s="581">
        <v>0</v>
      </c>
      <c r="D78" s="50"/>
      <c r="E78" s="670">
        <v>2.5000000000000001E-3</v>
      </c>
      <c r="F78" s="681"/>
      <c r="G78" s="50"/>
      <c r="H78" s="581"/>
      <c r="I78" s="581"/>
      <c r="J78" s="544"/>
      <c r="T78" s="327"/>
    </row>
    <row r="79" spans="1:20" ht="15" customHeight="1" x14ac:dyDescent="0.2">
      <c r="A79" s="50">
        <v>76</v>
      </c>
      <c r="B79" s="544"/>
      <c r="C79" s="544"/>
      <c r="D79" s="50"/>
      <c r="E79" s="581">
        <v>2E-3</v>
      </c>
      <c r="F79" s="681"/>
      <c r="G79" s="50"/>
      <c r="H79" s="581"/>
      <c r="I79" s="581"/>
      <c r="J79" s="544"/>
      <c r="T79" s="327"/>
    </row>
    <row r="80" spans="1:20" ht="15" customHeight="1" x14ac:dyDescent="0.2">
      <c r="A80" s="50">
        <v>77</v>
      </c>
      <c r="B80" s="544"/>
      <c r="C80" s="544"/>
      <c r="D80" s="50"/>
      <c r="E80" s="581">
        <v>1.5E-3</v>
      </c>
      <c r="F80" s="681"/>
      <c r="G80" s="50"/>
      <c r="H80" s="581"/>
      <c r="I80" s="581"/>
      <c r="J80" s="544"/>
      <c r="K80" s="99"/>
      <c r="Q80" s="62"/>
      <c r="R80" s="95"/>
      <c r="T80" s="327"/>
    </row>
    <row r="81" spans="1:20" ht="15" customHeight="1" x14ac:dyDescent="0.2">
      <c r="A81" s="50">
        <v>78</v>
      </c>
      <c r="B81" s="544"/>
      <c r="C81" s="544"/>
      <c r="D81" s="50"/>
      <c r="E81" s="581">
        <v>1E-3</v>
      </c>
      <c r="F81" s="681"/>
      <c r="G81" s="50"/>
      <c r="H81" s="604"/>
      <c r="I81" s="581"/>
      <c r="J81" s="544"/>
      <c r="K81" s="99"/>
      <c r="T81" s="327"/>
    </row>
    <row r="82" spans="1:20" ht="15" customHeight="1" x14ac:dyDescent="0.2">
      <c r="A82" s="50">
        <v>79</v>
      </c>
      <c r="B82" s="544"/>
      <c r="C82" s="544"/>
      <c r="D82" s="50"/>
      <c r="E82" s="581">
        <v>5.0000000000000001E-4</v>
      </c>
      <c r="F82" s="681"/>
      <c r="G82" s="50"/>
      <c r="H82" s="581"/>
      <c r="I82" s="581"/>
      <c r="J82" s="544"/>
      <c r="K82" s="99"/>
      <c r="Q82" s="62"/>
      <c r="R82" s="95"/>
      <c r="T82" s="327"/>
    </row>
    <row r="83" spans="1:20" ht="15" customHeight="1" x14ac:dyDescent="0.2">
      <c r="A83" s="50">
        <v>80</v>
      </c>
      <c r="B83" s="544"/>
      <c r="C83" s="544"/>
      <c r="D83" s="50"/>
      <c r="E83" s="581">
        <v>0</v>
      </c>
      <c r="F83" s="681"/>
      <c r="G83" s="50"/>
      <c r="H83" s="581"/>
      <c r="I83" s="581"/>
      <c r="J83" s="544"/>
      <c r="K83" s="99"/>
      <c r="T83" s="327"/>
    </row>
    <row r="84" spans="1:20" ht="15" customHeight="1" x14ac:dyDescent="0.2">
      <c r="B84" s="96"/>
      <c r="C84" s="96"/>
      <c r="E84" s="96"/>
      <c r="F84" s="327"/>
      <c r="J84" s="96"/>
      <c r="K84" s="99"/>
      <c r="Q84" s="62"/>
      <c r="R84" s="95"/>
    </row>
    <row r="85" spans="1:20" ht="15" customHeight="1" x14ac:dyDescent="0.2">
      <c r="B85" s="96"/>
      <c r="C85" s="96"/>
      <c r="E85" s="96"/>
      <c r="F85" s="327"/>
      <c r="J85" s="96"/>
      <c r="K85" s="99"/>
    </row>
    <row r="86" spans="1:20" ht="15" customHeight="1" x14ac:dyDescent="0.2">
      <c r="B86" s="96"/>
      <c r="C86" s="96"/>
      <c r="E86" s="96"/>
      <c r="F86" s="327"/>
      <c r="J86" s="96"/>
      <c r="K86" s="99"/>
      <c r="Q86" s="62"/>
      <c r="R86" s="95"/>
    </row>
    <row r="87" spans="1:20" ht="15" customHeight="1" x14ac:dyDescent="0.2">
      <c r="B87" s="96"/>
      <c r="C87" s="96"/>
      <c r="E87" s="96"/>
      <c r="F87" s="327"/>
      <c r="J87" s="96"/>
      <c r="K87" s="99"/>
    </row>
    <row r="88" spans="1:20" ht="15" customHeight="1" x14ac:dyDescent="0.2">
      <c r="B88" s="96"/>
      <c r="C88" s="96"/>
      <c r="E88" s="96"/>
      <c r="F88" s="327"/>
      <c r="J88" s="96"/>
    </row>
    <row r="89" spans="1:20" ht="15" customHeight="1" x14ac:dyDescent="0.2">
      <c r="B89" s="96"/>
      <c r="C89" s="96"/>
      <c r="E89" s="96"/>
      <c r="F89" s="327"/>
      <c r="J89" s="96"/>
    </row>
    <row r="90" spans="1:20" ht="15" customHeight="1" x14ac:dyDescent="0.2">
      <c r="B90" s="96"/>
      <c r="C90" s="96"/>
      <c r="E90" s="96"/>
      <c r="F90" s="327"/>
      <c r="J90" s="96"/>
    </row>
    <row r="91" spans="1:20" ht="15" customHeight="1" x14ac:dyDescent="0.2">
      <c r="B91" s="96"/>
      <c r="C91" s="96"/>
      <c r="E91" s="96"/>
      <c r="F91" s="327"/>
      <c r="J91" s="96"/>
    </row>
    <row r="92" spans="1:20" ht="15" customHeight="1" x14ac:dyDescent="0.2">
      <c r="B92" s="96"/>
      <c r="C92" s="96"/>
      <c r="E92" s="96"/>
      <c r="F92" s="327"/>
      <c r="J92" s="96"/>
    </row>
    <row r="93" spans="1:20" ht="15" customHeight="1" x14ac:dyDescent="0.2">
      <c r="B93" s="96"/>
      <c r="C93" s="96"/>
      <c r="E93" s="96"/>
      <c r="F93" s="327"/>
      <c r="J93" s="96"/>
    </row>
    <row r="94" spans="1:20" ht="15" customHeight="1" x14ac:dyDescent="0.2">
      <c r="B94" s="96"/>
      <c r="C94" s="96"/>
      <c r="E94" s="96"/>
      <c r="F94" s="39"/>
    </row>
    <row r="95" spans="1:20" ht="15" customHeight="1" x14ac:dyDescent="0.2">
      <c r="B95" s="96"/>
      <c r="C95" s="96"/>
      <c r="E95" s="96"/>
    </row>
    <row r="96" spans="1:20" ht="15" customHeight="1" x14ac:dyDescent="0.2">
      <c r="B96" s="96"/>
      <c r="C96" s="96"/>
      <c r="E96" s="96"/>
    </row>
    <row r="97" spans="2:8" ht="15" customHeight="1" x14ac:dyDescent="0.2">
      <c r="B97" s="96"/>
      <c r="C97" s="96"/>
      <c r="E97" s="96"/>
    </row>
    <row r="98" spans="2:8" ht="15" customHeight="1" x14ac:dyDescent="0.2">
      <c r="B98" s="96"/>
      <c r="C98" s="96"/>
      <c r="E98" s="96"/>
    </row>
    <row r="99" spans="2:8" ht="15" customHeight="1" x14ac:dyDescent="0.2">
      <c r="B99" s="96"/>
      <c r="C99" s="96"/>
      <c r="E99" s="96"/>
    </row>
    <row r="100" spans="2:8" ht="15" customHeight="1" x14ac:dyDescent="0.2">
      <c r="B100" s="96"/>
      <c r="C100" s="96"/>
      <c r="E100" s="96"/>
    </row>
    <row r="101" spans="2:8" ht="15" customHeight="1" x14ac:dyDescent="0.2">
      <c r="B101" s="96"/>
      <c r="C101" s="96"/>
      <c r="E101" s="96"/>
    </row>
    <row r="102" spans="2:8" ht="15" customHeight="1" x14ac:dyDescent="0.2">
      <c r="B102" s="96"/>
      <c r="C102" s="96"/>
      <c r="E102" s="96"/>
    </row>
    <row r="103" spans="2:8" ht="15" customHeight="1" x14ac:dyDescent="0.2">
      <c r="B103" s="96"/>
      <c r="C103" s="96"/>
      <c r="E103" s="96"/>
      <c r="H103" s="100"/>
    </row>
    <row r="104" spans="2:8" ht="15" customHeight="1" x14ac:dyDescent="0.2">
      <c r="B104" s="96"/>
      <c r="C104" s="96"/>
      <c r="E104" s="96"/>
      <c r="F104" s="327"/>
    </row>
    <row r="105" spans="2:8" ht="15" customHeight="1" x14ac:dyDescent="0.2">
      <c r="B105" s="96"/>
      <c r="C105" s="96"/>
      <c r="E105" s="96"/>
      <c r="F105" s="327"/>
    </row>
    <row r="106" spans="2:8" ht="15" customHeight="1" x14ac:dyDescent="0.2">
      <c r="B106" s="96"/>
      <c r="C106" s="96"/>
      <c r="E106" s="96"/>
      <c r="F106" s="327"/>
    </row>
    <row r="107" spans="2:8" ht="15" customHeight="1" x14ac:dyDescent="0.2">
      <c r="B107" s="96"/>
      <c r="C107" s="96"/>
      <c r="E107" s="96"/>
      <c r="F107" s="327"/>
    </row>
    <row r="108" spans="2:8" ht="15" customHeight="1" x14ac:dyDescent="0.2">
      <c r="B108" s="96"/>
      <c r="C108" s="96"/>
      <c r="E108" s="96"/>
      <c r="F108" s="327"/>
    </row>
    <row r="109" spans="2:8" ht="15" customHeight="1" x14ac:dyDescent="0.2">
      <c r="B109" s="96"/>
      <c r="C109" s="96"/>
      <c r="E109" s="96"/>
      <c r="F109" s="327"/>
    </row>
    <row r="110" spans="2:8" ht="15" customHeight="1" x14ac:dyDescent="0.2">
      <c r="B110" s="96"/>
      <c r="C110" s="96"/>
      <c r="E110" s="96"/>
      <c r="F110" s="327"/>
    </row>
    <row r="111" spans="2:8" ht="15" customHeight="1" x14ac:dyDescent="0.2">
      <c r="B111" s="96"/>
      <c r="C111" s="96"/>
      <c r="E111" s="96"/>
      <c r="F111" s="327"/>
    </row>
    <row r="112" spans="2:8" ht="15" customHeight="1" x14ac:dyDescent="0.2">
      <c r="B112" s="96"/>
      <c r="C112" s="96"/>
      <c r="E112" s="96"/>
      <c r="F112" s="327"/>
    </row>
    <row r="113" spans="2:6" ht="15" customHeight="1" x14ac:dyDescent="0.2">
      <c r="B113" s="96"/>
      <c r="C113" s="94"/>
      <c r="E113" s="96"/>
      <c r="F113" s="327"/>
    </row>
    <row r="114" spans="2:6" ht="15" customHeight="1" x14ac:dyDescent="0.2">
      <c r="B114" s="96"/>
      <c r="C114" s="94"/>
      <c r="E114" s="96"/>
    </row>
    <row r="115" spans="2:6" ht="15" customHeight="1" x14ac:dyDescent="0.2">
      <c r="B115" s="96"/>
      <c r="C115" s="94"/>
      <c r="E115" s="96"/>
    </row>
    <row r="116" spans="2:6" ht="15" customHeight="1" x14ac:dyDescent="0.2">
      <c r="B116" s="96"/>
      <c r="C116" s="94"/>
      <c r="E116" s="96"/>
    </row>
    <row r="117" spans="2:6" ht="15" customHeight="1" x14ac:dyDescent="0.2">
      <c r="B117" s="96"/>
      <c r="C117" s="94"/>
      <c r="E117" s="96"/>
    </row>
    <row r="118" spans="2:6" ht="15" customHeight="1" x14ac:dyDescent="0.2">
      <c r="B118" s="96"/>
      <c r="C118" s="94"/>
      <c r="E118" s="96"/>
    </row>
    <row r="119" spans="2:6" ht="15" customHeight="1" x14ac:dyDescent="0.2">
      <c r="B119" s="96"/>
      <c r="C119" s="94"/>
      <c r="E119" s="96"/>
    </row>
    <row r="120" spans="2:6" ht="15" customHeight="1" x14ac:dyDescent="0.2">
      <c r="B120" s="96"/>
      <c r="C120" s="94"/>
      <c r="E120" s="96"/>
    </row>
    <row r="121" spans="2:6" ht="15" customHeight="1" x14ac:dyDescent="0.2">
      <c r="B121" s="96"/>
      <c r="C121" s="94"/>
      <c r="E121" s="96"/>
    </row>
    <row r="122" spans="2:6" ht="15" customHeight="1" x14ac:dyDescent="0.2">
      <c r="B122" s="96"/>
      <c r="C122" s="94"/>
      <c r="E122" s="96"/>
    </row>
    <row r="123" spans="2:6" ht="15" customHeight="1" x14ac:dyDescent="0.2">
      <c r="B123" s="96"/>
      <c r="C123" s="94"/>
      <c r="E123" s="96"/>
    </row>
    <row r="124" spans="2:6" ht="15" customHeight="1" x14ac:dyDescent="0.2">
      <c r="B124" s="96"/>
      <c r="C124" s="94"/>
      <c r="E124" s="96"/>
    </row>
    <row r="125" spans="2:6" ht="15" customHeight="1" x14ac:dyDescent="0.2">
      <c r="B125" s="96"/>
      <c r="C125" s="94"/>
      <c r="E125" s="96"/>
    </row>
    <row r="126" spans="2:6" ht="15" customHeight="1" x14ac:dyDescent="0.2">
      <c r="B126" s="96"/>
      <c r="C126" s="94"/>
      <c r="E126" s="96"/>
    </row>
    <row r="127" spans="2:6" ht="15" customHeight="1" x14ac:dyDescent="0.2">
      <c r="B127" s="96"/>
      <c r="C127" s="94"/>
      <c r="E127" s="96"/>
    </row>
    <row r="128" spans="2:6" ht="15" customHeight="1" x14ac:dyDescent="0.2">
      <c r="B128" s="96"/>
      <c r="C128" s="94"/>
      <c r="E128" s="96"/>
    </row>
    <row r="129" spans="2:6" ht="15" customHeight="1" x14ac:dyDescent="0.2">
      <c r="B129" s="96"/>
      <c r="C129" s="94"/>
      <c r="E129" s="96"/>
    </row>
    <row r="130" spans="2:6" ht="15" customHeight="1" x14ac:dyDescent="0.2">
      <c r="B130" s="96"/>
      <c r="C130" s="94"/>
      <c r="E130" s="96"/>
    </row>
    <row r="131" spans="2:6" ht="15" customHeight="1" x14ac:dyDescent="0.2">
      <c r="B131" s="96"/>
      <c r="C131" s="94"/>
      <c r="E131" s="96"/>
    </row>
    <row r="132" spans="2:6" ht="15" customHeight="1" x14ac:dyDescent="0.2">
      <c r="B132" s="96"/>
      <c r="C132" s="94"/>
      <c r="E132" s="96"/>
    </row>
    <row r="133" spans="2:6" ht="15" customHeight="1" x14ac:dyDescent="0.2">
      <c r="B133" s="96"/>
      <c r="C133" s="94"/>
      <c r="E133" s="96"/>
    </row>
    <row r="134" spans="2:6" ht="15" customHeight="1" x14ac:dyDescent="0.2">
      <c r="B134" s="96"/>
      <c r="C134" s="94"/>
      <c r="E134" s="96"/>
    </row>
    <row r="135" spans="2:6" ht="15" customHeight="1" x14ac:dyDescent="0.2">
      <c r="B135" s="96"/>
      <c r="C135" s="94"/>
      <c r="E135" s="96"/>
    </row>
    <row r="136" spans="2:6" ht="15" customHeight="1" x14ac:dyDescent="0.2">
      <c r="B136" s="96"/>
      <c r="C136" s="94"/>
      <c r="E136" s="96"/>
    </row>
    <row r="137" spans="2:6" ht="15" customHeight="1" x14ac:dyDescent="0.2">
      <c r="B137" s="96"/>
      <c r="C137" s="94"/>
      <c r="E137" s="96"/>
    </row>
    <row r="138" spans="2:6" ht="15" customHeight="1" x14ac:dyDescent="0.2">
      <c r="B138" s="96"/>
      <c r="C138" s="94"/>
      <c r="E138" s="96"/>
    </row>
    <row r="139" spans="2:6" ht="15" customHeight="1" x14ac:dyDescent="0.2">
      <c r="B139" s="96"/>
      <c r="C139" s="94"/>
      <c r="E139" s="96"/>
    </row>
    <row r="140" spans="2:6" ht="15" customHeight="1" x14ac:dyDescent="0.2">
      <c r="B140" s="96"/>
      <c r="C140" s="94"/>
      <c r="E140" s="96"/>
    </row>
    <row r="141" spans="2:6" ht="15" customHeight="1" x14ac:dyDescent="0.2">
      <c r="B141" s="96"/>
      <c r="C141" s="94"/>
      <c r="E141" s="96"/>
    </row>
    <row r="142" spans="2:6" ht="15" customHeight="1" x14ac:dyDescent="0.2">
      <c r="B142" s="96"/>
      <c r="C142" s="94"/>
      <c r="E142" s="96"/>
    </row>
    <row r="143" spans="2:6" ht="15" customHeight="1" x14ac:dyDescent="0.2">
      <c r="B143" s="96"/>
      <c r="C143" s="94"/>
      <c r="E143" s="96"/>
    </row>
    <row r="144" spans="2:6" ht="15" customHeight="1" x14ac:dyDescent="0.2">
      <c r="B144" s="96"/>
      <c r="C144" s="94"/>
      <c r="E144" s="96"/>
      <c r="F144" s="327"/>
    </row>
    <row r="145" spans="2:18" ht="15" customHeight="1" x14ac:dyDescent="0.2">
      <c r="B145" s="96"/>
      <c r="C145" s="94"/>
      <c r="E145" s="96"/>
      <c r="F145" s="327"/>
    </row>
    <row r="146" spans="2:18" ht="15" customHeight="1" x14ac:dyDescent="0.2">
      <c r="B146" s="96"/>
      <c r="C146" s="94"/>
      <c r="E146" s="96"/>
      <c r="F146" s="327"/>
    </row>
    <row r="147" spans="2:18" ht="15" customHeight="1" x14ac:dyDescent="0.2">
      <c r="B147" s="96"/>
      <c r="C147" s="94"/>
      <c r="E147" s="96"/>
      <c r="F147" s="327"/>
    </row>
    <row r="148" spans="2:18" ht="15" customHeight="1" x14ac:dyDescent="0.2">
      <c r="B148" s="96"/>
      <c r="C148" s="94"/>
      <c r="E148" s="96"/>
      <c r="F148" s="327"/>
    </row>
    <row r="149" spans="2:18" ht="15" customHeight="1" x14ac:dyDescent="0.2">
      <c r="B149" s="96"/>
      <c r="C149" s="94"/>
      <c r="E149" s="96"/>
      <c r="F149" s="327"/>
      <c r="Q149" s="62"/>
      <c r="R149" s="62"/>
    </row>
    <row r="150" spans="2:18" ht="15" customHeight="1" x14ac:dyDescent="0.2">
      <c r="B150" s="96"/>
      <c r="C150" s="94"/>
      <c r="E150" s="96"/>
      <c r="F150" s="327"/>
      <c r="K150" s="99"/>
      <c r="Q150" s="62"/>
      <c r="R150" s="95"/>
    </row>
    <row r="151" spans="2:18" ht="15" customHeight="1" x14ac:dyDescent="0.2">
      <c r="B151" s="96"/>
      <c r="C151" s="94"/>
      <c r="E151" s="96"/>
      <c r="F151" s="327"/>
      <c r="K151" s="99"/>
      <c r="Q151" s="62"/>
      <c r="R151" s="95"/>
    </row>
    <row r="152" spans="2:18" ht="15" customHeight="1" x14ac:dyDescent="0.2">
      <c r="B152" s="96"/>
      <c r="C152" s="94"/>
      <c r="E152" s="96"/>
      <c r="F152" s="327"/>
    </row>
    <row r="153" spans="2:18" ht="15" customHeight="1" x14ac:dyDescent="0.2">
      <c r="B153" s="96"/>
      <c r="C153" s="94"/>
      <c r="E153" s="96"/>
      <c r="F153" s="327"/>
    </row>
    <row r="154" spans="2:18" x14ac:dyDescent="0.2">
      <c r="B154" s="96"/>
      <c r="C154" s="96"/>
      <c r="E154" s="96"/>
    </row>
    <row r="155" spans="2:18" x14ac:dyDescent="0.2">
      <c r="B155" s="96"/>
      <c r="C155" s="96"/>
      <c r="E155" s="96"/>
    </row>
    <row r="156" spans="2:18" x14ac:dyDescent="0.2">
      <c r="B156" s="96"/>
      <c r="C156" s="96"/>
      <c r="E156" s="96"/>
    </row>
    <row r="157" spans="2:18" x14ac:dyDescent="0.2">
      <c r="B157" s="96"/>
      <c r="C157" s="96"/>
      <c r="E157" s="96"/>
    </row>
    <row r="158" spans="2:18" x14ac:dyDescent="0.2">
      <c r="B158" s="96"/>
      <c r="C158" s="96"/>
      <c r="E158" s="96"/>
    </row>
    <row r="159" spans="2:18" x14ac:dyDescent="0.2">
      <c r="B159" s="96"/>
      <c r="C159" s="96"/>
      <c r="E159" s="96"/>
    </row>
    <row r="160" spans="2:18" x14ac:dyDescent="0.2">
      <c r="B160" s="96"/>
      <c r="C160" s="96"/>
      <c r="E160" s="96"/>
    </row>
    <row r="161" spans="2:5" x14ac:dyDescent="0.2">
      <c r="B161" s="96"/>
      <c r="C161" s="96"/>
      <c r="E161" s="96"/>
    </row>
    <row r="162" spans="2:5" x14ac:dyDescent="0.2">
      <c r="B162" s="96"/>
      <c r="C162" s="96"/>
      <c r="E162" s="96"/>
    </row>
    <row r="163" spans="2:5" x14ac:dyDescent="0.2">
      <c r="B163" s="96"/>
      <c r="C163" s="96"/>
      <c r="E163" s="96"/>
    </row>
    <row r="164" spans="2:5" x14ac:dyDescent="0.2">
      <c r="B164" s="96"/>
      <c r="C164" s="96"/>
      <c r="E164" s="96"/>
    </row>
    <row r="165" spans="2:5" x14ac:dyDescent="0.2">
      <c r="B165" s="96"/>
      <c r="C165" s="96"/>
      <c r="E165" s="96"/>
    </row>
    <row r="166" spans="2:5" x14ac:dyDescent="0.2">
      <c r="B166" s="96"/>
      <c r="C166" s="96"/>
      <c r="E166" s="96"/>
    </row>
    <row r="167" spans="2:5" x14ac:dyDescent="0.2">
      <c r="B167" s="96"/>
      <c r="C167" s="96"/>
      <c r="E167" s="96"/>
    </row>
    <row r="168" spans="2:5" x14ac:dyDescent="0.2">
      <c r="B168" s="96"/>
      <c r="C168" s="96"/>
      <c r="E168" s="96"/>
    </row>
    <row r="169" spans="2:5" x14ac:dyDescent="0.2">
      <c r="B169" s="96"/>
      <c r="C169" s="96"/>
      <c r="E169" s="96"/>
    </row>
    <row r="170" spans="2:5" x14ac:dyDescent="0.2">
      <c r="B170" s="96"/>
      <c r="C170" s="96"/>
      <c r="E170" s="96"/>
    </row>
    <row r="171" spans="2:5" x14ac:dyDescent="0.2">
      <c r="B171" s="96"/>
      <c r="C171" s="96"/>
      <c r="E171" s="96"/>
    </row>
    <row r="172" spans="2:5" x14ac:dyDescent="0.2">
      <c r="B172" s="96"/>
      <c r="C172" s="96"/>
      <c r="E172" s="96"/>
    </row>
    <row r="173" spans="2:5" x14ac:dyDescent="0.2">
      <c r="B173" s="96"/>
      <c r="C173" s="96"/>
      <c r="E173" s="96"/>
    </row>
    <row r="174" spans="2:5" x14ac:dyDescent="0.2">
      <c r="B174" s="96"/>
      <c r="C174" s="96"/>
      <c r="E174" s="96"/>
    </row>
    <row r="175" spans="2:5" x14ac:dyDescent="0.2">
      <c r="B175" s="96"/>
      <c r="C175" s="96"/>
      <c r="E175" s="96"/>
    </row>
    <row r="176" spans="2:5" x14ac:dyDescent="0.2">
      <c r="B176" s="96"/>
      <c r="C176" s="96"/>
      <c r="E176" s="96"/>
    </row>
    <row r="177" spans="2:6" x14ac:dyDescent="0.2">
      <c r="B177" s="96"/>
      <c r="C177" s="96"/>
      <c r="E177" s="96"/>
    </row>
    <row r="178" spans="2:6" x14ac:dyDescent="0.2">
      <c r="B178" s="96"/>
      <c r="C178" s="96"/>
      <c r="E178" s="96"/>
    </row>
    <row r="179" spans="2:6" x14ac:dyDescent="0.2">
      <c r="B179" s="96"/>
      <c r="C179" s="96"/>
      <c r="E179" s="96"/>
    </row>
    <row r="180" spans="2:6" x14ac:dyDescent="0.2">
      <c r="B180" s="96"/>
      <c r="C180" s="96"/>
      <c r="E180" s="96"/>
    </row>
    <row r="181" spans="2:6" x14ac:dyDescent="0.2">
      <c r="B181" s="96"/>
      <c r="C181" s="96"/>
      <c r="E181" s="96"/>
    </row>
    <row r="182" spans="2:6" x14ac:dyDescent="0.2">
      <c r="B182" s="96"/>
      <c r="C182" s="96"/>
      <c r="E182" s="96"/>
    </row>
    <row r="183" spans="2:6" x14ac:dyDescent="0.2">
      <c r="B183" s="96"/>
      <c r="C183" s="96"/>
      <c r="E183" s="96"/>
      <c r="F183" s="327"/>
    </row>
    <row r="304" spans="3:3" x14ac:dyDescent="0.2">
      <c r="C304" s="14"/>
    </row>
    <row r="305" spans="1:3" x14ac:dyDescent="0.2">
      <c r="C305" s="14"/>
    </row>
    <row r="306" spans="1:3" x14ac:dyDescent="0.2">
      <c r="C306" s="14"/>
    </row>
    <row r="307" spans="1:3" x14ac:dyDescent="0.2">
      <c r="A307" s="14"/>
      <c r="C307" s="14"/>
    </row>
    <row r="308" spans="1:3" x14ac:dyDescent="0.2">
      <c r="A308" s="14"/>
      <c r="C308" s="14"/>
    </row>
    <row r="309" spans="1:3" x14ac:dyDescent="0.2">
      <c r="A309" s="14"/>
      <c r="C309" s="14"/>
    </row>
    <row r="310" spans="1:3" x14ac:dyDescent="0.2">
      <c r="A310" s="14"/>
      <c r="C310" s="14"/>
    </row>
    <row r="311" spans="1:3" x14ac:dyDescent="0.2">
      <c r="A311" s="14"/>
      <c r="C311" s="14"/>
    </row>
    <row r="312" spans="1:3" x14ac:dyDescent="0.2">
      <c r="A312" s="14"/>
    </row>
    <row r="313" spans="1:3" x14ac:dyDescent="0.2">
      <c r="A313" s="14"/>
    </row>
    <row r="314" spans="1:3" x14ac:dyDescent="0.2">
      <c r="A314" s="14"/>
    </row>
    <row r="315" spans="1:3" x14ac:dyDescent="0.2">
      <c r="A315" s="14"/>
    </row>
    <row r="316" spans="1:3" x14ac:dyDescent="0.2">
      <c r="A316" s="14"/>
    </row>
    <row r="317" spans="1:3" x14ac:dyDescent="0.2">
      <c r="A317" s="14"/>
    </row>
    <row r="318" spans="1:3" x14ac:dyDescent="0.2">
      <c r="A318" s="14"/>
    </row>
    <row r="319" spans="1:3" x14ac:dyDescent="0.2">
      <c r="A319" s="14"/>
    </row>
    <row r="320" spans="1:3" x14ac:dyDescent="0.2">
      <c r="A320" s="14"/>
    </row>
    <row r="321" spans="1:1" x14ac:dyDescent="0.2">
      <c r="A321" s="14"/>
    </row>
    <row r="322" spans="1:1" x14ac:dyDescent="0.2">
      <c r="A322" s="14"/>
    </row>
    <row r="323" spans="1:1" x14ac:dyDescent="0.2">
      <c r="A323" s="14"/>
    </row>
    <row r="324" spans="1:1" x14ac:dyDescent="0.2">
      <c r="A324" s="14"/>
    </row>
    <row r="325" spans="1:1" x14ac:dyDescent="0.2">
      <c r="A325" s="14"/>
    </row>
    <row r="326" spans="1:1" x14ac:dyDescent="0.2">
      <c r="A326" s="14"/>
    </row>
    <row r="327" spans="1:1" x14ac:dyDescent="0.2">
      <c r="A327" s="14"/>
    </row>
    <row r="328" spans="1:1" x14ac:dyDescent="0.2">
      <c r="A328" s="14"/>
    </row>
    <row r="329" spans="1:1" x14ac:dyDescent="0.2">
      <c r="A329" s="14"/>
    </row>
    <row r="330" spans="1:1" x14ac:dyDescent="0.2">
      <c r="A330" s="14"/>
    </row>
    <row r="331" spans="1:1" x14ac:dyDescent="0.2">
      <c r="A331" s="14"/>
    </row>
    <row r="332" spans="1:1" x14ac:dyDescent="0.2">
      <c r="A332" s="14"/>
    </row>
    <row r="333" spans="1:1" x14ac:dyDescent="0.2">
      <c r="A333" s="14"/>
    </row>
    <row r="334" spans="1:1" x14ac:dyDescent="0.2">
      <c r="A334" s="14"/>
    </row>
    <row r="335" spans="1:1" x14ac:dyDescent="0.2">
      <c r="A335" s="14"/>
    </row>
    <row r="336" spans="1:1" x14ac:dyDescent="0.2">
      <c r="A336" s="14"/>
    </row>
    <row r="337" spans="1:1" x14ac:dyDescent="0.2">
      <c r="A337" s="14"/>
    </row>
    <row r="338" spans="1:1" x14ac:dyDescent="0.2">
      <c r="A338" s="14"/>
    </row>
    <row r="339" spans="1:1" x14ac:dyDescent="0.2">
      <c r="A339" s="14"/>
    </row>
    <row r="340" spans="1:1" x14ac:dyDescent="0.2">
      <c r="A340" s="14"/>
    </row>
    <row r="341" spans="1:1" x14ac:dyDescent="0.2">
      <c r="A341" s="14"/>
    </row>
    <row r="342" spans="1:1" x14ac:dyDescent="0.2">
      <c r="A342" s="14"/>
    </row>
    <row r="343" spans="1:1" x14ac:dyDescent="0.2">
      <c r="A343" s="14"/>
    </row>
    <row r="344" spans="1:1" x14ac:dyDescent="0.2">
      <c r="A344" s="14"/>
    </row>
    <row r="345" spans="1:1" x14ac:dyDescent="0.2">
      <c r="A345" s="14"/>
    </row>
    <row r="346" spans="1:1" x14ac:dyDescent="0.2">
      <c r="A346" s="14"/>
    </row>
    <row r="347" spans="1:1" x14ac:dyDescent="0.2">
      <c r="A347" s="14"/>
    </row>
    <row r="348" spans="1:1" x14ac:dyDescent="0.2">
      <c r="A348" s="14"/>
    </row>
    <row r="349" spans="1:1" x14ac:dyDescent="0.2">
      <c r="A349" s="14"/>
    </row>
    <row r="350" spans="1:1" x14ac:dyDescent="0.2">
      <c r="A350" s="14"/>
    </row>
    <row r="351" spans="1:1" x14ac:dyDescent="0.2">
      <c r="A351" s="14"/>
    </row>
    <row r="352" spans="1:1" x14ac:dyDescent="0.2">
      <c r="A352" s="14"/>
    </row>
    <row r="353" spans="1:1" x14ac:dyDescent="0.2">
      <c r="A353" s="14"/>
    </row>
    <row r="354" spans="1:1" x14ac:dyDescent="0.2">
      <c r="A354" s="14"/>
    </row>
    <row r="355" spans="1:1" x14ac:dyDescent="0.2">
      <c r="A355" s="14"/>
    </row>
    <row r="356" spans="1:1" x14ac:dyDescent="0.2">
      <c r="A356" s="14"/>
    </row>
    <row r="357" spans="1:1" x14ac:dyDescent="0.2">
      <c r="A357" s="14"/>
    </row>
    <row r="358" spans="1:1" x14ac:dyDescent="0.2">
      <c r="A358" s="14"/>
    </row>
    <row r="359" spans="1:1" x14ac:dyDescent="0.2">
      <c r="A359" s="14"/>
    </row>
    <row r="360" spans="1:1" x14ac:dyDescent="0.2">
      <c r="A360" s="14"/>
    </row>
    <row r="361" spans="1:1" x14ac:dyDescent="0.2">
      <c r="A361" s="14"/>
    </row>
    <row r="362" spans="1:1" x14ac:dyDescent="0.2">
      <c r="A362" s="14"/>
    </row>
    <row r="363" spans="1:1" x14ac:dyDescent="0.2">
      <c r="A363" s="14"/>
    </row>
    <row r="364" spans="1:1" x14ac:dyDescent="0.2">
      <c r="A364" s="14"/>
    </row>
    <row r="365" spans="1:1" x14ac:dyDescent="0.2">
      <c r="A365" s="14"/>
    </row>
    <row r="366" spans="1:1" x14ac:dyDescent="0.2">
      <c r="A366" s="14"/>
    </row>
    <row r="367" spans="1:1" x14ac:dyDescent="0.2">
      <c r="A367" s="14"/>
    </row>
    <row r="368" spans="1:1" x14ac:dyDescent="0.2">
      <c r="A368" s="14"/>
    </row>
    <row r="369" spans="1:1" x14ac:dyDescent="0.2">
      <c r="A369" s="14"/>
    </row>
    <row r="370" spans="1:1" x14ac:dyDescent="0.2">
      <c r="A370" s="14"/>
    </row>
    <row r="371" spans="1:1" x14ac:dyDescent="0.2">
      <c r="A371" s="14"/>
    </row>
    <row r="372" spans="1:1" x14ac:dyDescent="0.2">
      <c r="A372" s="14"/>
    </row>
    <row r="373" spans="1:1" x14ac:dyDescent="0.2">
      <c r="A373" s="14"/>
    </row>
    <row r="374" spans="1:1" x14ac:dyDescent="0.2">
      <c r="A374" s="14"/>
    </row>
    <row r="375" spans="1:1" x14ac:dyDescent="0.2">
      <c r="A375" s="14"/>
    </row>
    <row r="376" spans="1:1" x14ac:dyDescent="0.2">
      <c r="A376" s="14"/>
    </row>
    <row r="377" spans="1:1" x14ac:dyDescent="0.2">
      <c r="A377" s="14"/>
    </row>
    <row r="378" spans="1:1" x14ac:dyDescent="0.2">
      <c r="A378" s="14"/>
    </row>
    <row r="379" spans="1:1" x14ac:dyDescent="0.2">
      <c r="A379" s="14"/>
    </row>
    <row r="380" spans="1:1" x14ac:dyDescent="0.2">
      <c r="A380" s="14"/>
    </row>
    <row r="381" spans="1:1" x14ac:dyDescent="0.2">
      <c r="A381" s="14"/>
    </row>
    <row r="382" spans="1:1" x14ac:dyDescent="0.2">
      <c r="A382" s="14"/>
    </row>
    <row r="383" spans="1:1" x14ac:dyDescent="0.2">
      <c r="A383" s="14"/>
    </row>
    <row r="384" spans="1:1" x14ac:dyDescent="0.2">
      <c r="A384" s="14"/>
    </row>
    <row r="385" spans="1:1" x14ac:dyDescent="0.2">
      <c r="A385" s="14"/>
    </row>
    <row r="386" spans="1:1" x14ac:dyDescent="0.2">
      <c r="A386" s="14"/>
    </row>
    <row r="387" spans="1:1" x14ac:dyDescent="0.2">
      <c r="A387" s="14"/>
    </row>
    <row r="388" spans="1:1" x14ac:dyDescent="0.2">
      <c r="A388" s="14"/>
    </row>
    <row r="389" spans="1:1" x14ac:dyDescent="0.2">
      <c r="A389" s="14"/>
    </row>
    <row r="390" spans="1:1" x14ac:dyDescent="0.2">
      <c r="A390" s="14"/>
    </row>
    <row r="391" spans="1:1" x14ac:dyDescent="0.2">
      <c r="A391" s="14"/>
    </row>
    <row r="392" spans="1:1" x14ac:dyDescent="0.2">
      <c r="A392" s="14"/>
    </row>
    <row r="393" spans="1:1" x14ac:dyDescent="0.2">
      <c r="A393" s="14"/>
    </row>
    <row r="394" spans="1:1" x14ac:dyDescent="0.2">
      <c r="A394" s="14"/>
    </row>
    <row r="395" spans="1:1" x14ac:dyDescent="0.2">
      <c r="A395" s="14"/>
    </row>
    <row r="396" spans="1:1" x14ac:dyDescent="0.2">
      <c r="A396" s="14"/>
    </row>
    <row r="397" spans="1:1" x14ac:dyDescent="0.2">
      <c r="A397" s="14"/>
    </row>
    <row r="398" spans="1:1" x14ac:dyDescent="0.2">
      <c r="A398" s="14"/>
    </row>
    <row r="399" spans="1:1" x14ac:dyDescent="0.2">
      <c r="A399" s="14"/>
    </row>
    <row r="400" spans="1:1" x14ac:dyDescent="0.2">
      <c r="A400" s="14"/>
    </row>
    <row r="401" spans="1:1" x14ac:dyDescent="0.2">
      <c r="A401" s="14"/>
    </row>
    <row r="402" spans="1:1" x14ac:dyDescent="0.2">
      <c r="A402" s="14"/>
    </row>
    <row r="403" spans="1:1" x14ac:dyDescent="0.2">
      <c r="A403" s="14"/>
    </row>
    <row r="404" spans="1:1" x14ac:dyDescent="0.2">
      <c r="A404" s="14"/>
    </row>
    <row r="405" spans="1:1" x14ac:dyDescent="0.2">
      <c r="A405" s="14"/>
    </row>
    <row r="406" spans="1:1" x14ac:dyDescent="0.2">
      <c r="A406" s="14"/>
    </row>
    <row r="407" spans="1:1" x14ac:dyDescent="0.2">
      <c r="A407" s="14"/>
    </row>
    <row r="408" spans="1:1" x14ac:dyDescent="0.2">
      <c r="A408" s="14"/>
    </row>
    <row r="409" spans="1:1" x14ac:dyDescent="0.2">
      <c r="A409" s="14"/>
    </row>
    <row r="410" spans="1:1" x14ac:dyDescent="0.2">
      <c r="A410" s="14"/>
    </row>
    <row r="411" spans="1:1" x14ac:dyDescent="0.2">
      <c r="A411" s="14"/>
    </row>
    <row r="412" spans="1:1" x14ac:dyDescent="0.2">
      <c r="A412" s="14"/>
    </row>
    <row r="413" spans="1:1" x14ac:dyDescent="0.2">
      <c r="A413" s="14"/>
    </row>
    <row r="414" spans="1:1" x14ac:dyDescent="0.2">
      <c r="A414" s="14"/>
    </row>
    <row r="415" spans="1:1" x14ac:dyDescent="0.2">
      <c r="A415" s="14"/>
    </row>
    <row r="416" spans="1:1" x14ac:dyDescent="0.2">
      <c r="A416" s="14"/>
    </row>
    <row r="417" spans="1:1" x14ac:dyDescent="0.2">
      <c r="A417" s="14"/>
    </row>
    <row r="418" spans="1:1" x14ac:dyDescent="0.2">
      <c r="A418" s="14"/>
    </row>
    <row r="419" spans="1:1" x14ac:dyDescent="0.2">
      <c r="A419" s="14"/>
    </row>
    <row r="420" spans="1:1" x14ac:dyDescent="0.2">
      <c r="A420" s="14"/>
    </row>
    <row r="421" spans="1:1" x14ac:dyDescent="0.2">
      <c r="A421" s="14"/>
    </row>
    <row r="422" spans="1:1" x14ac:dyDescent="0.2">
      <c r="A422" s="14"/>
    </row>
    <row r="423" spans="1:1" x14ac:dyDescent="0.2">
      <c r="A423" s="14"/>
    </row>
    <row r="424" spans="1:1" x14ac:dyDescent="0.2">
      <c r="A424" s="14"/>
    </row>
    <row r="425" spans="1:1" x14ac:dyDescent="0.2">
      <c r="A425" s="14"/>
    </row>
    <row r="426" spans="1:1" x14ac:dyDescent="0.2">
      <c r="A426" s="14"/>
    </row>
    <row r="427" spans="1:1" x14ac:dyDescent="0.2">
      <c r="A427" s="14"/>
    </row>
    <row r="428" spans="1:1" x14ac:dyDescent="0.2">
      <c r="A428" s="14"/>
    </row>
    <row r="429" spans="1:1" x14ac:dyDescent="0.2">
      <c r="A429" s="14"/>
    </row>
    <row r="430" spans="1:1" x14ac:dyDescent="0.2">
      <c r="A430" s="14"/>
    </row>
    <row r="431" spans="1:1" x14ac:dyDescent="0.2">
      <c r="A431" s="14"/>
    </row>
    <row r="432" spans="1:1" x14ac:dyDescent="0.2">
      <c r="A432" s="14"/>
    </row>
    <row r="433" spans="1:1" x14ac:dyDescent="0.2">
      <c r="A433" s="14"/>
    </row>
    <row r="434" spans="1:1" x14ac:dyDescent="0.2">
      <c r="A434" s="14"/>
    </row>
    <row r="435" spans="1:1" x14ac:dyDescent="0.2">
      <c r="A435" s="14"/>
    </row>
    <row r="436" spans="1:1" x14ac:dyDescent="0.2">
      <c r="A436" s="14"/>
    </row>
    <row r="437" spans="1:1" x14ac:dyDescent="0.2">
      <c r="A437" s="14"/>
    </row>
    <row r="438" spans="1:1" x14ac:dyDescent="0.2">
      <c r="A438" s="14"/>
    </row>
    <row r="439" spans="1:1" x14ac:dyDescent="0.2">
      <c r="A439" s="14"/>
    </row>
    <row r="440" spans="1:1" x14ac:dyDescent="0.2">
      <c r="A440" s="14"/>
    </row>
    <row r="441" spans="1:1" x14ac:dyDescent="0.2">
      <c r="A441" s="14"/>
    </row>
    <row r="442" spans="1:1" x14ac:dyDescent="0.2">
      <c r="A442" s="14"/>
    </row>
    <row r="443" spans="1:1" x14ac:dyDescent="0.2">
      <c r="A443" s="14"/>
    </row>
    <row r="444" spans="1:1" x14ac:dyDescent="0.2">
      <c r="A444" s="14"/>
    </row>
    <row r="445" spans="1:1" x14ac:dyDescent="0.2">
      <c r="A445" s="14"/>
    </row>
    <row r="446" spans="1:1" x14ac:dyDescent="0.2">
      <c r="A446" s="14"/>
    </row>
    <row r="447" spans="1:1" x14ac:dyDescent="0.2">
      <c r="A447" s="14"/>
    </row>
    <row r="448" spans="1:1" x14ac:dyDescent="0.2">
      <c r="A448" s="14"/>
    </row>
    <row r="449" spans="1:1" x14ac:dyDescent="0.2">
      <c r="A449" s="14"/>
    </row>
    <row r="450" spans="1:1" x14ac:dyDescent="0.2">
      <c r="A450" s="14"/>
    </row>
    <row r="451" spans="1:1" x14ac:dyDescent="0.2">
      <c r="A451" s="14"/>
    </row>
    <row r="452" spans="1:1" x14ac:dyDescent="0.2">
      <c r="A452" s="14"/>
    </row>
    <row r="453" spans="1:1" x14ac:dyDescent="0.2">
      <c r="A453" s="14"/>
    </row>
    <row r="454" spans="1:1" x14ac:dyDescent="0.2">
      <c r="A454" s="14"/>
    </row>
    <row r="455" spans="1:1" x14ac:dyDescent="0.2">
      <c r="A455" s="14"/>
    </row>
    <row r="456" spans="1:1" x14ac:dyDescent="0.2">
      <c r="A456" s="14"/>
    </row>
    <row r="457" spans="1:1" x14ac:dyDescent="0.2">
      <c r="A457" s="14"/>
    </row>
    <row r="458" spans="1:1" x14ac:dyDescent="0.2">
      <c r="A458" s="14"/>
    </row>
    <row r="459" spans="1:1" x14ac:dyDescent="0.2">
      <c r="A459" s="14"/>
    </row>
    <row r="460" spans="1:1" x14ac:dyDescent="0.2">
      <c r="A460" s="14"/>
    </row>
    <row r="461" spans="1:1" x14ac:dyDescent="0.2">
      <c r="A461" s="14"/>
    </row>
    <row r="462" spans="1:1" x14ac:dyDescent="0.2">
      <c r="A462" s="14"/>
    </row>
    <row r="463" spans="1:1" x14ac:dyDescent="0.2">
      <c r="A463" s="14"/>
    </row>
    <row r="464" spans="1:1" x14ac:dyDescent="0.2">
      <c r="A464" s="14"/>
    </row>
    <row r="465" spans="1:1" x14ac:dyDescent="0.2">
      <c r="A465" s="14"/>
    </row>
    <row r="466" spans="1:1" x14ac:dyDescent="0.2">
      <c r="A466" s="14"/>
    </row>
    <row r="467" spans="1:1" x14ac:dyDescent="0.2">
      <c r="A467" s="14"/>
    </row>
    <row r="468" spans="1:1" x14ac:dyDescent="0.2">
      <c r="A468" s="14"/>
    </row>
    <row r="469" spans="1:1" x14ac:dyDescent="0.2">
      <c r="A469" s="14"/>
    </row>
    <row r="470" spans="1:1" x14ac:dyDescent="0.2">
      <c r="A470" s="14"/>
    </row>
    <row r="471" spans="1:1" x14ac:dyDescent="0.2">
      <c r="A471" s="14"/>
    </row>
    <row r="472" spans="1:1" x14ac:dyDescent="0.2">
      <c r="A472" s="14"/>
    </row>
    <row r="473" spans="1:1" x14ac:dyDescent="0.2">
      <c r="A473" s="14"/>
    </row>
    <row r="474" spans="1:1" x14ac:dyDescent="0.2">
      <c r="A474" s="14"/>
    </row>
    <row r="475" spans="1:1" x14ac:dyDescent="0.2">
      <c r="A475" s="14"/>
    </row>
    <row r="476" spans="1:1" x14ac:dyDescent="0.2">
      <c r="A476" s="14"/>
    </row>
    <row r="477" spans="1:1" x14ac:dyDescent="0.2">
      <c r="A477" s="14"/>
    </row>
    <row r="478" spans="1:1" x14ac:dyDescent="0.2">
      <c r="A478" s="14"/>
    </row>
    <row r="479" spans="1:1" x14ac:dyDescent="0.2">
      <c r="A479" s="14"/>
    </row>
    <row r="480" spans="1:1" x14ac:dyDescent="0.2">
      <c r="A480" s="14"/>
    </row>
    <row r="481" spans="1:1" x14ac:dyDescent="0.2">
      <c r="A481" s="14"/>
    </row>
    <row r="482" spans="1:1" x14ac:dyDescent="0.2">
      <c r="A482" s="14"/>
    </row>
    <row r="483" spans="1:1" x14ac:dyDescent="0.2">
      <c r="A483" s="14"/>
    </row>
    <row r="484" spans="1:1" x14ac:dyDescent="0.2">
      <c r="A484" s="14"/>
    </row>
    <row r="485" spans="1:1" x14ac:dyDescent="0.2">
      <c r="A485" s="14"/>
    </row>
    <row r="486" spans="1:1" x14ac:dyDescent="0.2">
      <c r="A486" s="14"/>
    </row>
    <row r="487" spans="1:1" x14ac:dyDescent="0.2">
      <c r="A487" s="14"/>
    </row>
    <row r="488" spans="1:1" x14ac:dyDescent="0.2">
      <c r="A488" s="14"/>
    </row>
    <row r="489" spans="1:1" x14ac:dyDescent="0.2">
      <c r="A489" s="14"/>
    </row>
    <row r="490" spans="1:1" x14ac:dyDescent="0.2">
      <c r="A490" s="14" t="s">
        <v>1588</v>
      </c>
    </row>
    <row r="491" spans="1:1" x14ac:dyDescent="0.2">
      <c r="A491" s="14" t="s">
        <v>1589</v>
      </c>
    </row>
    <row r="492" spans="1:1" x14ac:dyDescent="0.2">
      <c r="A492" s="14" t="s">
        <v>823</v>
      </c>
    </row>
    <row r="493" spans="1:1" x14ac:dyDescent="0.2">
      <c r="A493" s="14" t="s">
        <v>824</v>
      </c>
    </row>
    <row r="494" spans="1:1" x14ac:dyDescent="0.2">
      <c r="A494" s="14" t="s">
        <v>825</v>
      </c>
    </row>
    <row r="495" spans="1:1" x14ac:dyDescent="0.2">
      <c r="A495" s="14" t="s">
        <v>826</v>
      </c>
    </row>
    <row r="496" spans="1:1" x14ac:dyDescent="0.2">
      <c r="A496" s="14" t="s">
        <v>827</v>
      </c>
    </row>
    <row r="497" spans="1:1" x14ac:dyDescent="0.2">
      <c r="A497" s="14" t="s">
        <v>47</v>
      </c>
    </row>
    <row r="498" spans="1:1" x14ac:dyDescent="0.2">
      <c r="A498" s="14" t="s">
        <v>1558</v>
      </c>
    </row>
    <row r="499" spans="1:1" x14ac:dyDescent="0.2">
      <c r="A499" s="14" t="s">
        <v>1559</v>
      </c>
    </row>
    <row r="500" spans="1:1" x14ac:dyDescent="0.2">
      <c r="A500" s="14" t="s">
        <v>334</v>
      </c>
    </row>
    <row r="501" spans="1:1" x14ac:dyDescent="0.2">
      <c r="A501" s="14" t="s">
        <v>1080</v>
      </c>
    </row>
    <row r="502" spans="1:1" x14ac:dyDescent="0.2">
      <c r="A502" s="14" t="s">
        <v>1081</v>
      </c>
    </row>
    <row r="503" spans="1:1" x14ac:dyDescent="0.2">
      <c r="A503" s="14" t="s">
        <v>1082</v>
      </c>
    </row>
    <row r="504" spans="1:1" x14ac:dyDescent="0.2">
      <c r="A504" s="14" t="s">
        <v>1083</v>
      </c>
    </row>
    <row r="505" spans="1:1" x14ac:dyDescent="0.2">
      <c r="A505" s="14" t="s">
        <v>1084</v>
      </c>
    </row>
    <row r="506" spans="1:1" x14ac:dyDescent="0.2">
      <c r="A506" s="14" t="s">
        <v>1085</v>
      </c>
    </row>
    <row r="507" spans="1:1" x14ac:dyDescent="0.2">
      <c r="A507" s="14" t="s">
        <v>359</v>
      </c>
    </row>
    <row r="508" spans="1:1" x14ac:dyDescent="0.2">
      <c r="A508" s="14" t="s">
        <v>360</v>
      </c>
    </row>
    <row r="509" spans="1:1" x14ac:dyDescent="0.2">
      <c r="A509" s="14" t="s">
        <v>361</v>
      </c>
    </row>
    <row r="510" spans="1:1" x14ac:dyDescent="0.2">
      <c r="A510" s="14" t="s">
        <v>362</v>
      </c>
    </row>
    <row r="511" spans="1:1" x14ac:dyDescent="0.2">
      <c r="A511" s="14" t="s">
        <v>363</v>
      </c>
    </row>
    <row r="512" spans="1:1" x14ac:dyDescent="0.2">
      <c r="A512" s="14" t="s">
        <v>364</v>
      </c>
    </row>
    <row r="513" spans="1:1" x14ac:dyDescent="0.2">
      <c r="A513" s="14" t="s">
        <v>365</v>
      </c>
    </row>
    <row r="514" spans="1:1" x14ac:dyDescent="0.2">
      <c r="A514" s="14" t="s">
        <v>366</v>
      </c>
    </row>
    <row r="515" spans="1:1" x14ac:dyDescent="0.2">
      <c r="A515" s="14" t="s">
        <v>1014</v>
      </c>
    </row>
    <row r="516" spans="1:1" x14ac:dyDescent="0.2">
      <c r="A516" s="14" t="s">
        <v>1015</v>
      </c>
    </row>
    <row r="517" spans="1:1" x14ac:dyDescent="0.2">
      <c r="A517" s="14" t="s">
        <v>1016</v>
      </c>
    </row>
    <row r="518" spans="1:1" x14ac:dyDescent="0.2">
      <c r="A518" s="14" t="s">
        <v>1017</v>
      </c>
    </row>
    <row r="519" spans="1:1" x14ac:dyDescent="0.2">
      <c r="A519" s="14" t="s">
        <v>1018</v>
      </c>
    </row>
    <row r="520" spans="1:1" x14ac:dyDescent="0.2">
      <c r="A520" s="14" t="s">
        <v>1019</v>
      </c>
    </row>
    <row r="521" spans="1:1" x14ac:dyDescent="0.2">
      <c r="A521" s="14" t="s">
        <v>1020</v>
      </c>
    </row>
    <row r="522" spans="1:1" x14ac:dyDescent="0.2">
      <c r="A522" s="14" t="s">
        <v>840</v>
      </c>
    </row>
    <row r="523" spans="1:1" x14ac:dyDescent="0.2">
      <c r="A523" s="14" t="s">
        <v>841</v>
      </c>
    </row>
    <row r="524" spans="1:1" x14ac:dyDescent="0.2">
      <c r="A524" s="14" t="s">
        <v>842</v>
      </c>
    </row>
    <row r="525" spans="1:1" x14ac:dyDescent="0.2">
      <c r="A525" s="14" t="s">
        <v>375</v>
      </c>
    </row>
    <row r="526" spans="1:1" x14ac:dyDescent="0.2">
      <c r="A526" s="14" t="s">
        <v>376</v>
      </c>
    </row>
    <row r="527" spans="1:1" x14ac:dyDescent="0.2">
      <c r="A527" s="14" t="s">
        <v>377</v>
      </c>
    </row>
    <row r="528" spans="1:1" x14ac:dyDescent="0.2">
      <c r="A528" s="14" t="s">
        <v>378</v>
      </c>
    </row>
    <row r="529" spans="1:1" x14ac:dyDescent="0.2">
      <c r="A529" s="14" t="s">
        <v>591</v>
      </c>
    </row>
    <row r="530" spans="1:1" x14ac:dyDescent="0.2">
      <c r="A530" s="14" t="s">
        <v>1878</v>
      </c>
    </row>
    <row r="531" spans="1:1" x14ac:dyDescent="0.2">
      <c r="A531" s="14" t="s">
        <v>1879</v>
      </c>
    </row>
    <row r="532" spans="1:1" x14ac:dyDescent="0.2">
      <c r="A532" s="14" t="s">
        <v>1880</v>
      </c>
    </row>
    <row r="533" spans="1:1" x14ac:dyDescent="0.2">
      <c r="A533" s="14" t="s">
        <v>569</v>
      </c>
    </row>
    <row r="534" spans="1:1" x14ac:dyDescent="0.2">
      <c r="A534" s="14" t="s">
        <v>1644</v>
      </c>
    </row>
    <row r="535" spans="1:1" x14ac:dyDescent="0.2">
      <c r="A535" s="14" t="s">
        <v>486</v>
      </c>
    </row>
    <row r="536" spans="1:1" x14ac:dyDescent="0.2">
      <c r="A536" s="14" t="s">
        <v>487</v>
      </c>
    </row>
    <row r="537" spans="1:1" x14ac:dyDescent="0.2">
      <c r="A537" s="14" t="s">
        <v>488</v>
      </c>
    </row>
    <row r="538" spans="1:1" x14ac:dyDescent="0.2">
      <c r="A538" s="14" t="s">
        <v>489</v>
      </c>
    </row>
    <row r="539" spans="1:1" x14ac:dyDescent="0.2">
      <c r="A539" s="14" t="s">
        <v>490</v>
      </c>
    </row>
    <row r="540" spans="1:1" x14ac:dyDescent="0.2">
      <c r="A540" s="14" t="s">
        <v>491</v>
      </c>
    </row>
    <row r="541" spans="1:1" x14ac:dyDescent="0.2">
      <c r="A541" s="14" t="s">
        <v>525</v>
      </c>
    </row>
    <row r="542" spans="1:1" x14ac:dyDescent="0.2">
      <c r="A542" s="14" t="s">
        <v>1672</v>
      </c>
    </row>
    <row r="543" spans="1:1" x14ac:dyDescent="0.2">
      <c r="A543" s="14" t="s">
        <v>917</v>
      </c>
    </row>
    <row r="544" spans="1:1" x14ac:dyDescent="0.2">
      <c r="A544" s="14" t="s">
        <v>918</v>
      </c>
    </row>
    <row r="545" spans="1:1" x14ac:dyDescent="0.2">
      <c r="A545" s="14" t="s">
        <v>919</v>
      </c>
    </row>
    <row r="546" spans="1:1" x14ac:dyDescent="0.2">
      <c r="A546" s="14" t="s">
        <v>920</v>
      </c>
    </row>
    <row r="547" spans="1:1" x14ac:dyDescent="0.2">
      <c r="A547" s="14" t="s">
        <v>921</v>
      </c>
    </row>
    <row r="548" spans="1:1" x14ac:dyDescent="0.2">
      <c r="A548" s="14" t="s">
        <v>922</v>
      </c>
    </row>
    <row r="549" spans="1:1" x14ac:dyDescent="0.2">
      <c r="A549" s="14" t="s">
        <v>923</v>
      </c>
    </row>
    <row r="550" spans="1:1" x14ac:dyDescent="0.2">
      <c r="A550" s="14" t="s">
        <v>924</v>
      </c>
    </row>
    <row r="551" spans="1:1" x14ac:dyDescent="0.2">
      <c r="A551" s="14" t="s">
        <v>92</v>
      </c>
    </row>
    <row r="552" spans="1:1" x14ac:dyDescent="0.2">
      <c r="A552" s="14" t="s">
        <v>93</v>
      </c>
    </row>
    <row r="553" spans="1:1" x14ac:dyDescent="0.2">
      <c r="A553" s="14" t="s">
        <v>94</v>
      </c>
    </row>
    <row r="554" spans="1:1" x14ac:dyDescent="0.2">
      <c r="A554" s="14" t="s">
        <v>95</v>
      </c>
    </row>
    <row r="555" spans="1:1" x14ac:dyDescent="0.2">
      <c r="A555" s="14" t="s">
        <v>96</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27"/>
  <sheetViews>
    <sheetView zoomScaleNormal="100" workbookViewId="0"/>
  </sheetViews>
  <sheetFormatPr defaultColWidth="9.140625" defaultRowHeight="12.75" x14ac:dyDescent="0.2"/>
  <cols>
    <col min="1" max="2" width="17.42578125" style="2" customWidth="1"/>
    <col min="3" max="3" width="19.85546875" style="2" customWidth="1"/>
    <col min="4" max="5" width="20.42578125" style="2" customWidth="1"/>
    <col min="6" max="6" width="4.85546875" style="2" customWidth="1"/>
    <col min="7" max="7" width="12.28515625" style="2" customWidth="1"/>
    <col min="8" max="8" width="11" style="2" customWidth="1"/>
    <col min="9" max="16384" width="9.140625" style="2"/>
  </cols>
  <sheetData>
    <row r="1" spans="1:12" ht="12" customHeight="1" x14ac:dyDescent="0.2"/>
    <row r="2" spans="1:12" ht="36.75" customHeight="1" x14ac:dyDescent="0.2">
      <c r="A2" s="947" t="s">
        <v>1351</v>
      </c>
      <c r="B2" s="947"/>
      <c r="C2" s="947"/>
      <c r="D2" s="947"/>
      <c r="E2" s="947"/>
      <c r="F2" s="57"/>
      <c r="G2" s="57"/>
      <c r="H2" s="57"/>
      <c r="I2" s="57"/>
      <c r="J2" s="57"/>
      <c r="K2" s="1"/>
      <c r="L2" s="1"/>
    </row>
    <row r="3" spans="1:12" ht="24.75" customHeight="1" x14ac:dyDescent="0.2">
      <c r="A3" s="18"/>
      <c r="B3" s="170" t="s">
        <v>1350</v>
      </c>
      <c r="C3" s="863" t="s">
        <v>1925</v>
      </c>
      <c r="D3" s="863"/>
      <c r="E3" s="863"/>
      <c r="F3" s="1"/>
      <c r="G3" s="1"/>
      <c r="H3" s="1"/>
      <c r="I3" s="1"/>
      <c r="J3" s="1"/>
      <c r="K3" s="1"/>
      <c r="L3" s="1"/>
    </row>
    <row r="4" spans="1:12" ht="34.5" customHeight="1" x14ac:dyDescent="0.2">
      <c r="A4" s="18"/>
      <c r="B4" s="18"/>
      <c r="C4" s="19" t="s">
        <v>1926</v>
      </c>
      <c r="D4" s="19" t="s">
        <v>1265</v>
      </c>
      <c r="E4" s="19" t="s">
        <v>1266</v>
      </c>
      <c r="F4" s="1"/>
      <c r="G4" s="1"/>
      <c r="H4" s="1"/>
      <c r="I4" s="1"/>
      <c r="J4" s="1"/>
    </row>
    <row r="5" spans="1:12" ht="53.25" customHeight="1" x14ac:dyDescent="0.2">
      <c r="A5" s="18"/>
      <c r="B5" s="18"/>
      <c r="C5" s="19" t="s">
        <v>1267</v>
      </c>
      <c r="D5" s="19" t="s">
        <v>159</v>
      </c>
      <c r="E5" s="19" t="s">
        <v>160</v>
      </c>
      <c r="F5" s="1"/>
      <c r="G5" s="1"/>
      <c r="H5" s="1"/>
      <c r="I5" s="1"/>
      <c r="J5" s="1"/>
    </row>
    <row r="6" spans="1:12" x14ac:dyDescent="0.2">
      <c r="A6" s="146" t="s">
        <v>161</v>
      </c>
      <c r="B6" s="146" t="s">
        <v>162</v>
      </c>
      <c r="C6" s="146" t="s">
        <v>162</v>
      </c>
      <c r="D6" s="146" t="s">
        <v>162</v>
      </c>
      <c r="E6" s="146" t="s">
        <v>162</v>
      </c>
    </row>
    <row r="7" spans="1:12" x14ac:dyDescent="0.2">
      <c r="A7" s="329">
        <v>18264</v>
      </c>
      <c r="B7" s="330">
        <v>347.51</v>
      </c>
      <c r="C7" s="331">
        <v>117.47</v>
      </c>
      <c r="D7" s="332">
        <v>137.05000000000001</v>
      </c>
      <c r="E7" s="332">
        <v>347.51</v>
      </c>
      <c r="F7" s="2" t="s">
        <v>2127</v>
      </c>
      <c r="G7" s="146" t="s">
        <v>163</v>
      </c>
      <c r="H7" s="329" t="str">
        <f>IF('Start here'!A8="","",'Start here'!A8)</f>
        <v/>
      </c>
    </row>
    <row r="8" spans="1:12" x14ac:dyDescent="0.2">
      <c r="A8" s="329">
        <v>33604</v>
      </c>
      <c r="B8" s="330">
        <v>305.08999999999997</v>
      </c>
      <c r="C8" s="331">
        <v>103.13</v>
      </c>
      <c r="D8" s="332">
        <v>120.32</v>
      </c>
      <c r="E8" s="332">
        <v>305.08999999999997</v>
      </c>
      <c r="F8" s="2" t="s">
        <v>2129</v>
      </c>
      <c r="G8" s="146" t="s">
        <v>1851</v>
      </c>
      <c r="H8" s="332" t="e">
        <f>IF(H7&lt;1/1/50,0,VLOOKUP(H7,A7:E16,3))</f>
        <v>#N/A</v>
      </c>
    </row>
    <row r="9" spans="1:12" x14ac:dyDescent="0.2">
      <c r="A9" s="329">
        <v>33786</v>
      </c>
      <c r="B9" s="330">
        <v>315.63</v>
      </c>
      <c r="C9" s="331">
        <v>106.69</v>
      </c>
      <c r="D9" s="332">
        <v>124.47</v>
      </c>
      <c r="E9" s="332">
        <v>315.63</v>
      </c>
      <c r="F9" s="2" t="s">
        <v>2129</v>
      </c>
      <c r="G9" s="146" t="s">
        <v>1852</v>
      </c>
      <c r="H9" s="332" t="e">
        <f>IF(H7&lt;1/1/50,0,VLOOKUP(H7,A7:E16,4))</f>
        <v>#N/A</v>
      </c>
    </row>
    <row r="10" spans="1:12" x14ac:dyDescent="0.2">
      <c r="A10" s="329">
        <v>34151</v>
      </c>
      <c r="B10" s="330">
        <v>331.41</v>
      </c>
      <c r="C10" s="331">
        <v>112.03</v>
      </c>
      <c r="D10" s="332">
        <v>130.69999999999999</v>
      </c>
      <c r="E10" s="332">
        <v>331.41</v>
      </c>
      <c r="F10" s="2" t="s">
        <v>2129</v>
      </c>
      <c r="G10" s="146" t="s">
        <v>1853</v>
      </c>
      <c r="H10" s="332" t="e">
        <f>IF(H7&lt;1/1/50,0,VLOOKUP(H7,A7:E16,5))</f>
        <v>#N/A</v>
      </c>
    </row>
    <row r="11" spans="1:12" x14ac:dyDescent="0.2">
      <c r="A11" s="329">
        <v>34516</v>
      </c>
      <c r="B11" s="330">
        <v>347.51</v>
      </c>
      <c r="C11" s="331">
        <v>117.47</v>
      </c>
      <c r="D11" s="332">
        <v>137.05000000000001</v>
      </c>
      <c r="E11" s="332">
        <v>347.51</v>
      </c>
      <c r="F11" s="2" t="s">
        <v>2127</v>
      </c>
      <c r="G11" s="146" t="s">
        <v>1350</v>
      </c>
      <c r="H11" s="332" t="e">
        <f>IF(H7&lt;1/1/50,0,VLOOKUP(H7,A7:E16,2))</f>
        <v>#N/A</v>
      </c>
    </row>
    <row r="12" spans="1:12" x14ac:dyDescent="0.2">
      <c r="A12" s="329">
        <v>34881</v>
      </c>
      <c r="B12" s="330">
        <v>351.05</v>
      </c>
      <c r="C12" s="331">
        <v>118.67</v>
      </c>
      <c r="D12" s="332">
        <v>138.44</v>
      </c>
      <c r="E12" s="332">
        <v>351.05</v>
      </c>
      <c r="G12" s="10"/>
      <c r="H12" s="10"/>
      <c r="I12" s="10"/>
      <c r="J12" s="10"/>
    </row>
    <row r="13" spans="1:12" x14ac:dyDescent="0.2">
      <c r="A13" s="329">
        <v>35065</v>
      </c>
      <c r="B13" s="330">
        <v>420</v>
      </c>
      <c r="C13" s="331">
        <v>130</v>
      </c>
      <c r="D13" s="332">
        <v>230</v>
      </c>
      <c r="E13" s="332">
        <v>625</v>
      </c>
      <c r="G13" s="10"/>
      <c r="H13" s="10"/>
      <c r="I13" s="10"/>
      <c r="J13" s="10"/>
    </row>
    <row r="14" spans="1:12" x14ac:dyDescent="0.2">
      <c r="A14" s="329">
        <v>35796</v>
      </c>
      <c r="B14" s="330">
        <v>454</v>
      </c>
      <c r="C14" s="331">
        <v>137.80000000000001</v>
      </c>
      <c r="D14" s="332">
        <v>243.8</v>
      </c>
      <c r="E14" s="332">
        <v>662.5</v>
      </c>
      <c r="G14" s="10"/>
      <c r="H14" s="10"/>
      <c r="I14" s="10"/>
      <c r="J14" s="10"/>
    </row>
    <row r="15" spans="1:12" x14ac:dyDescent="0.2">
      <c r="A15" s="329">
        <v>36526</v>
      </c>
      <c r="B15" s="330">
        <v>511.29</v>
      </c>
      <c r="C15" s="331">
        <v>153</v>
      </c>
      <c r="D15" s="332">
        <v>267.44</v>
      </c>
      <c r="E15" s="332">
        <v>709.79</v>
      </c>
      <c r="G15" s="10"/>
      <c r="H15" s="10"/>
      <c r="I15" s="10"/>
      <c r="J15" s="10"/>
    </row>
    <row r="16" spans="1:12" x14ac:dyDescent="0.2">
      <c r="A16" s="329">
        <v>37257</v>
      </c>
      <c r="B16" s="330">
        <v>559</v>
      </c>
      <c r="C16" s="331">
        <v>184</v>
      </c>
      <c r="D16" s="332">
        <v>321</v>
      </c>
      <c r="E16" s="332">
        <v>748</v>
      </c>
      <c r="G16" s="10"/>
      <c r="H16" s="10"/>
      <c r="I16" s="10"/>
      <c r="J16" s="10"/>
    </row>
    <row r="17" spans="1:5" x14ac:dyDescent="0.2">
      <c r="A17" s="242"/>
      <c r="B17" s="242"/>
      <c r="C17" s="13"/>
      <c r="D17" s="146"/>
      <c r="E17" s="146"/>
    </row>
    <row r="18" spans="1:5" x14ac:dyDescent="0.2">
      <c r="A18" s="13"/>
      <c r="B18" s="13"/>
      <c r="C18" s="13"/>
      <c r="D18" s="146"/>
      <c r="E18" s="146"/>
    </row>
    <row r="19" spans="1:5" x14ac:dyDescent="0.2">
      <c r="A19" s="13"/>
      <c r="B19" s="13"/>
      <c r="C19" s="13"/>
      <c r="D19" s="146"/>
      <c r="E19" s="146"/>
    </row>
    <row r="20" spans="1:5" x14ac:dyDescent="0.2">
      <c r="A20" s="13"/>
      <c r="B20" s="13"/>
      <c r="C20" s="13"/>
      <c r="D20" s="146"/>
      <c r="E20" s="146"/>
    </row>
    <row r="21" spans="1:5" x14ac:dyDescent="0.2">
      <c r="A21" s="13"/>
      <c r="B21" s="13"/>
      <c r="C21" s="13"/>
      <c r="D21" s="146"/>
      <c r="E21" s="146"/>
    </row>
    <row r="22" spans="1:5" x14ac:dyDescent="0.2">
      <c r="A22" s="13"/>
      <c r="B22" s="13"/>
      <c r="C22" s="13"/>
      <c r="D22" s="146"/>
      <c r="E22" s="146"/>
    </row>
    <row r="23" spans="1:5" x14ac:dyDescent="0.2">
      <c r="A23" s="13"/>
      <c r="B23" s="13"/>
      <c r="C23" s="13"/>
      <c r="D23" s="146"/>
      <c r="E23" s="146"/>
    </row>
    <row r="24" spans="1:5" x14ac:dyDescent="0.2">
      <c r="A24" s="13"/>
      <c r="B24" s="13"/>
      <c r="C24" s="13"/>
      <c r="D24" s="146"/>
      <c r="E24" s="146"/>
    </row>
    <row r="26" spans="1:5" ht="66.75" customHeight="1" x14ac:dyDescent="0.25">
      <c r="A26" s="1667" t="s">
        <v>2128</v>
      </c>
      <c r="B26" s="1667"/>
      <c r="C26" s="1667"/>
      <c r="D26" s="1667"/>
      <c r="E26" s="1667"/>
    </row>
    <row r="27" spans="1:5" ht="15.75" x14ac:dyDescent="0.25">
      <c r="A27" s="1667" t="s">
        <v>2130</v>
      </c>
      <c r="B27" s="1667"/>
      <c r="C27" s="1667"/>
      <c r="D27" s="1667"/>
      <c r="E27" s="1667"/>
    </row>
  </sheetData>
  <sheetProtection sheet="1" objects="1" scenarios="1"/>
  <mergeCells count="4">
    <mergeCell ref="C3:E3"/>
    <mergeCell ref="A2:E2"/>
    <mergeCell ref="A26:E26"/>
    <mergeCell ref="A27:E27"/>
  </mergeCells>
  <phoneticPr fontId="0" type="noConversion"/>
  <pageMargins left="0.75" right="0.75" top="1" bottom="1"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A224"/>
  <sheetViews>
    <sheetView zoomScale="150" zoomScaleNormal="150" workbookViewId="0">
      <selection activeCell="A48" sqref="A48"/>
    </sheetView>
  </sheetViews>
  <sheetFormatPr defaultColWidth="9.140625" defaultRowHeight="12.75" x14ac:dyDescent="0.2"/>
  <cols>
    <col min="1" max="1" width="81.28515625" style="2" customWidth="1"/>
    <col min="2" max="2" width="17.140625" style="30" customWidth="1"/>
    <col min="3" max="5" width="4.7109375" style="30" customWidth="1"/>
    <col min="6" max="6" width="4.7109375" style="31" customWidth="1"/>
    <col min="7" max="12" width="4.7109375" style="30" customWidth="1"/>
    <col min="13" max="13" width="10.140625" style="30" customWidth="1"/>
    <col min="14" max="14" width="8" style="30" bestFit="1" customWidth="1"/>
    <col min="15" max="15" width="10.28515625" style="31" bestFit="1" customWidth="1"/>
    <col min="16" max="51" width="9.140625" style="30"/>
    <col min="52" max="16384" width="9.140625" style="2"/>
  </cols>
  <sheetData>
    <row r="1" spans="1:79" ht="25.5" customHeight="1" x14ac:dyDescent="0.3">
      <c r="A1" s="1669" t="s">
        <v>1757</v>
      </c>
      <c r="B1" s="1669"/>
      <c r="C1" s="512"/>
      <c r="D1" s="512"/>
      <c r="E1" s="512"/>
      <c r="F1" s="513"/>
      <c r="G1" s="512"/>
      <c r="H1" s="512"/>
      <c r="I1" s="512"/>
      <c r="J1" s="512"/>
      <c r="K1" s="512"/>
      <c r="L1" s="512"/>
      <c r="M1" s="512"/>
      <c r="N1" s="512"/>
      <c r="O1" s="51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4"/>
      <c r="BA1" s="334"/>
      <c r="BB1" s="334"/>
      <c r="BC1" s="334"/>
      <c r="BD1" s="334"/>
      <c r="BE1" s="334"/>
      <c r="BF1" s="334"/>
      <c r="BG1" s="334"/>
      <c r="BH1" s="334"/>
      <c r="BI1" s="334"/>
      <c r="BJ1" s="334"/>
      <c r="BK1" s="334"/>
      <c r="BL1" s="334"/>
      <c r="BM1" s="334"/>
      <c r="BN1" s="334"/>
      <c r="BO1" s="334"/>
      <c r="BP1" s="334"/>
      <c r="BQ1" s="334"/>
      <c r="BR1" s="334"/>
      <c r="BS1" s="334"/>
      <c r="BT1" s="334"/>
      <c r="BU1" s="334"/>
      <c r="BV1" s="334"/>
      <c r="BW1" s="334"/>
      <c r="BX1" s="334"/>
      <c r="BY1" s="334"/>
      <c r="BZ1" s="334"/>
      <c r="CA1" s="334"/>
    </row>
    <row r="2" spans="1:79" ht="12" customHeight="1" x14ac:dyDescent="0.2">
      <c r="A2" s="1672"/>
      <c r="B2" s="1672"/>
      <c r="C2" s="17"/>
      <c r="D2" s="167"/>
      <c r="E2" s="17"/>
      <c r="F2" s="167"/>
      <c r="G2" s="17"/>
      <c r="H2" s="167"/>
      <c r="I2" s="17"/>
      <c r="J2" s="335"/>
      <c r="K2" s="335"/>
      <c r="L2" s="335"/>
      <c r="M2" s="335"/>
      <c r="N2" s="335"/>
      <c r="O2" s="148"/>
    </row>
    <row r="3" spans="1:79" ht="24" customHeight="1" x14ac:dyDescent="0.2">
      <c r="A3" s="1673" t="s">
        <v>798</v>
      </c>
      <c r="B3" s="1674"/>
      <c r="C3" s="17"/>
      <c r="D3" s="167"/>
      <c r="E3" s="17"/>
      <c r="F3" s="167"/>
      <c r="G3" s="17"/>
      <c r="H3" s="167"/>
      <c r="I3" s="17"/>
      <c r="J3" s="335"/>
      <c r="K3" s="335"/>
      <c r="L3" s="335"/>
      <c r="M3" s="335"/>
      <c r="N3" s="335"/>
      <c r="O3" s="148"/>
    </row>
    <row r="4" spans="1:79" ht="18" customHeight="1" x14ac:dyDescent="0.2">
      <c r="A4" s="336" t="s">
        <v>1758</v>
      </c>
      <c r="B4" s="336" t="s">
        <v>1759</v>
      </c>
      <c r="C4" s="17"/>
      <c r="D4" s="167"/>
      <c r="E4" s="17"/>
      <c r="F4" s="167"/>
      <c r="G4" s="17"/>
      <c r="H4" s="167"/>
      <c r="I4" s="17"/>
      <c r="J4" s="335"/>
      <c r="K4" s="335"/>
      <c r="L4" s="335"/>
      <c r="M4" s="335"/>
      <c r="N4" s="335"/>
      <c r="O4" s="148"/>
    </row>
    <row r="5" spans="1:79" ht="18" customHeight="1" x14ac:dyDescent="0.2">
      <c r="A5" s="289" t="s">
        <v>516</v>
      </c>
      <c r="B5" s="337">
        <v>0</v>
      </c>
      <c r="C5" s="17"/>
      <c r="D5" s="167"/>
      <c r="E5" s="17"/>
      <c r="F5" s="167"/>
      <c r="G5" s="17"/>
      <c r="H5" s="167"/>
      <c r="I5" s="17"/>
      <c r="J5" s="335"/>
      <c r="K5" s="335"/>
      <c r="L5" s="335"/>
      <c r="M5" s="335"/>
      <c r="N5" s="335"/>
      <c r="O5" s="148"/>
    </row>
    <row r="6" spans="1:79" ht="18" customHeight="1" x14ac:dyDescent="0.2">
      <c r="A6" s="289" t="s">
        <v>1760</v>
      </c>
      <c r="B6" s="337">
        <v>0.05</v>
      </c>
      <c r="C6" s="17"/>
      <c r="D6" s="167"/>
      <c r="E6" s="17"/>
      <c r="F6" s="167"/>
      <c r="G6" s="17"/>
      <c r="H6" s="167"/>
      <c r="I6" s="17"/>
      <c r="J6" s="335"/>
      <c r="K6" s="335"/>
      <c r="L6" s="335"/>
      <c r="M6" s="335"/>
      <c r="N6" s="335"/>
      <c r="O6" s="148"/>
    </row>
    <row r="7" spans="1:79" ht="18" customHeight="1" x14ac:dyDescent="0.2">
      <c r="A7" s="289" t="s">
        <v>1761</v>
      </c>
      <c r="B7" s="337">
        <v>0.1</v>
      </c>
      <c r="C7" s="17"/>
      <c r="D7" s="167"/>
      <c r="E7" s="17"/>
      <c r="F7" s="167"/>
      <c r="G7" s="17"/>
      <c r="H7" s="167"/>
      <c r="I7" s="17"/>
      <c r="J7" s="335"/>
      <c r="K7" s="335"/>
      <c r="L7" s="335"/>
      <c r="M7" s="335"/>
      <c r="N7" s="335"/>
      <c r="O7" s="148"/>
    </row>
    <row r="8" spans="1:79" ht="18" customHeight="1" x14ac:dyDescent="0.2">
      <c r="A8" s="289" t="s">
        <v>687</v>
      </c>
      <c r="B8" s="337">
        <v>0.2</v>
      </c>
      <c r="C8" s="17"/>
      <c r="D8" s="167"/>
      <c r="E8" s="17"/>
      <c r="F8" s="167"/>
      <c r="G8" s="17"/>
      <c r="H8" s="167"/>
      <c r="I8" s="17"/>
      <c r="J8" s="335"/>
      <c r="K8" s="335"/>
      <c r="L8" s="335"/>
      <c r="M8" s="335"/>
      <c r="N8" s="335"/>
      <c r="O8" s="148"/>
    </row>
    <row r="9" spans="1:79" ht="18" customHeight="1" x14ac:dyDescent="0.2">
      <c r="A9" s="514" t="s">
        <v>1762</v>
      </c>
      <c r="B9" s="514">
        <v>0.3</v>
      </c>
      <c r="C9" s="17"/>
      <c r="D9" s="17"/>
      <c r="E9" s="17"/>
      <c r="F9" s="515"/>
      <c r="G9" s="17"/>
      <c r="H9" s="17"/>
      <c r="I9" s="17"/>
      <c r="J9" s="17"/>
      <c r="K9" s="17"/>
      <c r="L9" s="17"/>
      <c r="M9" s="17"/>
      <c r="N9" s="17"/>
      <c r="O9" s="515"/>
    </row>
    <row r="10" spans="1:79" ht="18" customHeight="1" x14ac:dyDescent="0.2">
      <c r="A10" s="514" t="s">
        <v>1763</v>
      </c>
      <c r="B10" s="514">
        <v>0.4</v>
      </c>
      <c r="C10" s="17"/>
      <c r="D10" s="17"/>
      <c r="E10" s="17"/>
      <c r="F10" s="515"/>
      <c r="G10" s="17"/>
      <c r="H10" s="17"/>
      <c r="I10" s="17"/>
      <c r="J10" s="17"/>
      <c r="K10" s="17"/>
      <c r="L10" s="17"/>
      <c r="M10" s="17"/>
      <c r="N10" s="17"/>
      <c r="O10" s="515"/>
    </row>
    <row r="11" spans="1:79" ht="18" customHeight="1" x14ac:dyDescent="0.2">
      <c r="A11" s="514" t="s">
        <v>688</v>
      </c>
      <c r="B11" s="514">
        <v>0.5</v>
      </c>
      <c r="C11" s="17"/>
      <c r="D11" s="17"/>
      <c r="E11" s="17"/>
      <c r="F11" s="515"/>
      <c r="G11" s="17"/>
      <c r="H11" s="17"/>
      <c r="I11" s="17"/>
      <c r="J11" s="17"/>
      <c r="K11" s="17"/>
      <c r="L11" s="17"/>
      <c r="M11" s="17"/>
      <c r="N11" s="17"/>
      <c r="O11" s="515"/>
    </row>
    <row r="12" spans="1:79" ht="18" customHeight="1" x14ac:dyDescent="0.2">
      <c r="A12" s="514" t="s">
        <v>294</v>
      </c>
      <c r="B12" s="514">
        <v>0.6</v>
      </c>
      <c r="C12" s="17"/>
      <c r="D12" s="17"/>
      <c r="E12" s="17"/>
      <c r="F12" s="515"/>
      <c r="G12" s="17"/>
      <c r="H12" s="17"/>
      <c r="I12" s="17"/>
      <c r="J12" s="17"/>
      <c r="K12" s="17"/>
      <c r="L12" s="17"/>
      <c r="M12" s="17"/>
      <c r="N12" s="17"/>
      <c r="O12" s="515"/>
    </row>
    <row r="13" spans="1:79" ht="18" customHeight="1" x14ac:dyDescent="0.2">
      <c r="A13" s="514" t="s">
        <v>295</v>
      </c>
      <c r="B13" s="514">
        <v>0.7</v>
      </c>
      <c r="C13" s="17"/>
      <c r="D13" s="17"/>
      <c r="E13" s="17"/>
      <c r="F13" s="515"/>
      <c r="G13" s="17"/>
      <c r="H13" s="17"/>
      <c r="I13" s="17"/>
      <c r="J13" s="17"/>
      <c r="K13" s="17"/>
      <c r="L13" s="17"/>
      <c r="M13" s="17"/>
      <c r="N13" s="17"/>
      <c r="O13" s="515"/>
    </row>
    <row r="14" spans="1:79" ht="18" customHeight="1" x14ac:dyDescent="0.2">
      <c r="A14" s="514" t="s">
        <v>357</v>
      </c>
      <c r="B14" s="514">
        <v>0.75</v>
      </c>
      <c r="C14" s="17"/>
      <c r="D14" s="17"/>
      <c r="E14" s="17"/>
      <c r="F14" s="515"/>
      <c r="G14" s="17"/>
      <c r="H14" s="17"/>
      <c r="I14" s="17"/>
      <c r="J14" s="17"/>
      <c r="K14" s="17"/>
      <c r="L14" s="17"/>
      <c r="M14" s="17"/>
      <c r="N14" s="17"/>
      <c r="O14" s="515"/>
    </row>
    <row r="15" spans="1:79" ht="18" customHeight="1" x14ac:dyDescent="0.2">
      <c r="A15" s="514" t="s">
        <v>296</v>
      </c>
      <c r="B15" s="514">
        <v>0.8</v>
      </c>
      <c r="C15" s="17"/>
      <c r="D15" s="17"/>
      <c r="E15" s="17"/>
      <c r="F15" s="515"/>
      <c r="G15" s="17"/>
      <c r="H15" s="17"/>
      <c r="I15" s="17"/>
      <c r="J15" s="17"/>
      <c r="K15" s="17"/>
      <c r="L15" s="17"/>
      <c r="M15" s="17"/>
      <c r="N15" s="17"/>
      <c r="O15" s="515"/>
    </row>
    <row r="16" spans="1:79" ht="18" customHeight="1" x14ac:dyDescent="0.2">
      <c r="A16" s="514" t="s">
        <v>297</v>
      </c>
      <c r="B16" s="514">
        <v>0.85</v>
      </c>
      <c r="C16" s="17"/>
      <c r="D16" s="17"/>
      <c r="E16" s="17"/>
      <c r="F16" s="515"/>
      <c r="G16" s="17"/>
      <c r="H16" s="17"/>
      <c r="I16" s="17"/>
      <c r="J16" s="17"/>
      <c r="K16" s="17"/>
      <c r="L16" s="17"/>
      <c r="M16" s="17"/>
      <c r="N16" s="17"/>
      <c r="O16" s="515"/>
    </row>
    <row r="17" spans="1:15" ht="18" customHeight="1" x14ac:dyDescent="0.2">
      <c r="A17" s="514" t="s">
        <v>358</v>
      </c>
      <c r="B17" s="514">
        <v>0.9</v>
      </c>
      <c r="C17" s="17"/>
      <c r="D17" s="17"/>
      <c r="E17" s="17"/>
      <c r="F17" s="515"/>
      <c r="G17" s="17"/>
      <c r="H17" s="17"/>
      <c r="I17" s="17"/>
      <c r="J17" s="17"/>
      <c r="K17" s="17"/>
      <c r="L17" s="17"/>
      <c r="M17" s="17"/>
      <c r="N17" s="17"/>
      <c r="O17" s="515"/>
    </row>
    <row r="18" spans="1:15" ht="18" customHeight="1" x14ac:dyDescent="0.2">
      <c r="A18" s="514" t="s">
        <v>298</v>
      </c>
      <c r="B18" s="514">
        <v>0.95</v>
      </c>
      <c r="C18" s="17"/>
      <c r="D18" s="17"/>
      <c r="E18" s="17"/>
      <c r="F18" s="515"/>
      <c r="G18" s="17"/>
      <c r="H18" s="17"/>
      <c r="I18" s="17"/>
      <c r="J18" s="17"/>
      <c r="K18" s="17"/>
      <c r="L18" s="17"/>
      <c r="M18" s="17"/>
      <c r="N18" s="17"/>
      <c r="O18" s="515"/>
    </row>
    <row r="19" spans="1:15" ht="18" customHeight="1" x14ac:dyDescent="0.2">
      <c r="A19" s="514" t="s">
        <v>1864</v>
      </c>
      <c r="B19" s="514">
        <v>1</v>
      </c>
      <c r="C19" s="17"/>
      <c r="D19" s="17"/>
      <c r="E19" s="17"/>
      <c r="F19" s="515"/>
      <c r="G19" s="17"/>
      <c r="H19" s="17"/>
      <c r="I19" s="17"/>
      <c r="J19" s="17"/>
      <c r="K19" s="17"/>
      <c r="L19" s="17"/>
      <c r="M19" s="17"/>
      <c r="N19" s="17"/>
      <c r="O19" s="515"/>
    </row>
    <row r="20" spans="1:15" ht="23.25" customHeight="1" x14ac:dyDescent="0.2">
      <c r="A20" s="1672" t="s">
        <v>299</v>
      </c>
      <c r="B20" s="1672"/>
      <c r="C20" s="17"/>
      <c r="D20" s="17"/>
      <c r="E20" s="17"/>
      <c r="F20" s="515"/>
      <c r="G20" s="17"/>
      <c r="H20" s="17"/>
      <c r="I20" s="17"/>
      <c r="J20" s="17"/>
      <c r="K20" s="17"/>
      <c r="L20" s="17"/>
      <c r="M20" s="17"/>
      <c r="N20" s="17"/>
      <c r="O20" s="515"/>
    </row>
    <row r="21" spans="1:15" x14ac:dyDescent="0.2">
      <c r="A21" s="17"/>
      <c r="B21" s="17"/>
      <c r="C21" s="17"/>
      <c r="D21" s="17"/>
      <c r="E21" s="17"/>
      <c r="F21" s="515"/>
      <c r="G21" s="17"/>
      <c r="H21" s="17"/>
      <c r="I21" s="17"/>
      <c r="J21" s="17"/>
      <c r="K21" s="17"/>
      <c r="L21" s="17"/>
      <c r="M21" s="17"/>
      <c r="N21" s="17"/>
      <c r="O21" s="515"/>
    </row>
    <row r="22" spans="1:15" x14ac:dyDescent="0.2">
      <c r="A22" s="516" t="s">
        <v>1121</v>
      </c>
      <c r="B22" s="17"/>
      <c r="C22" s="17"/>
      <c r="D22" s="17"/>
      <c r="E22" s="17"/>
      <c r="F22" s="515"/>
      <c r="G22" s="17"/>
      <c r="H22" s="17"/>
      <c r="I22" s="17"/>
      <c r="J22" s="17"/>
      <c r="K22" s="17"/>
      <c r="L22" s="17"/>
      <c r="M22" s="17"/>
      <c r="N22" s="17"/>
      <c r="O22" s="515"/>
    </row>
    <row r="23" spans="1:15" x14ac:dyDescent="0.2">
      <c r="A23" s="17"/>
      <c r="B23" s="17"/>
      <c r="C23" s="17"/>
      <c r="D23" s="17"/>
      <c r="E23" s="17"/>
      <c r="F23" s="515"/>
      <c r="G23" s="17"/>
      <c r="H23" s="17"/>
      <c r="I23" s="17"/>
      <c r="J23" s="17"/>
      <c r="K23" s="17"/>
      <c r="L23" s="17"/>
      <c r="M23" s="17"/>
      <c r="N23" s="17"/>
      <c r="O23" s="515"/>
    </row>
    <row r="24" spans="1:15" ht="34.5" customHeight="1" x14ac:dyDescent="0.2">
      <c r="A24" s="517" t="s">
        <v>1936</v>
      </c>
      <c r="B24" s="17"/>
      <c r="C24" s="17"/>
      <c r="D24" s="17"/>
      <c r="E24" s="17"/>
      <c r="F24" s="515"/>
      <c r="G24" s="17"/>
      <c r="H24" s="17"/>
      <c r="I24" s="17"/>
      <c r="J24" s="17"/>
      <c r="K24" s="17"/>
      <c r="L24" s="17"/>
      <c r="M24" s="17"/>
      <c r="N24" s="17"/>
      <c r="O24" s="515"/>
    </row>
    <row r="25" spans="1:15" ht="25.5" x14ac:dyDescent="0.2">
      <c r="A25" s="517" t="s">
        <v>204</v>
      </c>
      <c r="B25" s="17"/>
      <c r="C25" s="17"/>
      <c r="D25" s="17"/>
      <c r="E25" s="17"/>
      <c r="F25" s="515"/>
      <c r="G25" s="17"/>
      <c r="H25" s="17"/>
      <c r="I25" s="17"/>
      <c r="J25" s="17"/>
      <c r="K25" s="17"/>
      <c r="L25" s="17"/>
      <c r="M25" s="17"/>
      <c r="N25" s="17"/>
      <c r="O25" s="515"/>
    </row>
    <row r="26" spans="1:15" ht="25.5" x14ac:dyDescent="0.2">
      <c r="A26" s="517" t="s">
        <v>205</v>
      </c>
      <c r="B26" s="17"/>
      <c r="C26" s="17"/>
      <c r="D26" s="17"/>
      <c r="E26" s="17"/>
      <c r="F26" s="515"/>
      <c r="G26" s="17"/>
      <c r="H26" s="17"/>
      <c r="I26" s="17"/>
      <c r="J26" s="17"/>
      <c r="K26" s="17"/>
      <c r="L26" s="17"/>
      <c r="M26" s="17"/>
      <c r="N26" s="17"/>
      <c r="O26" s="515"/>
    </row>
    <row r="27" spans="1:15" x14ac:dyDescent="0.2">
      <c r="A27" s="518" t="s">
        <v>206</v>
      </c>
      <c r="B27" s="17"/>
      <c r="C27" s="17"/>
      <c r="D27" s="17"/>
      <c r="E27" s="17"/>
      <c r="F27" s="515"/>
      <c r="G27" s="17"/>
      <c r="H27" s="17"/>
      <c r="I27" s="17"/>
      <c r="J27" s="17"/>
      <c r="K27" s="17"/>
      <c r="L27" s="17"/>
      <c r="M27" s="17"/>
      <c r="N27" s="17"/>
      <c r="O27" s="515"/>
    </row>
    <row r="28" spans="1:15" x14ac:dyDescent="0.2">
      <c r="A28" s="327" t="s">
        <v>207</v>
      </c>
      <c r="B28" s="17"/>
      <c r="C28" s="17"/>
      <c r="D28" s="17"/>
      <c r="E28" s="17"/>
      <c r="F28" s="515"/>
      <c r="G28" s="17"/>
      <c r="H28" s="17"/>
      <c r="I28" s="17"/>
      <c r="J28" s="17"/>
      <c r="K28" s="17"/>
      <c r="L28" s="17"/>
      <c r="M28" s="17"/>
      <c r="N28" s="17"/>
      <c r="O28" s="515"/>
    </row>
    <row r="29" spans="1:15" x14ac:dyDescent="0.2">
      <c r="A29" s="327" t="s">
        <v>208</v>
      </c>
      <c r="B29" s="17"/>
      <c r="C29" s="17"/>
      <c r="D29" s="17"/>
      <c r="E29" s="17"/>
      <c r="F29" s="515"/>
      <c r="G29" s="17"/>
      <c r="H29" s="17"/>
      <c r="I29" s="17"/>
      <c r="J29" s="17"/>
      <c r="K29" s="17"/>
      <c r="L29" s="17"/>
      <c r="M29" s="17"/>
      <c r="N29" s="17"/>
      <c r="O29" s="515"/>
    </row>
    <row r="30" spans="1:15" x14ac:dyDescent="0.2">
      <c r="A30" s="327" t="s">
        <v>209</v>
      </c>
      <c r="B30" s="17"/>
      <c r="C30" s="17"/>
      <c r="D30" s="17"/>
      <c r="E30" s="17"/>
      <c r="F30" s="515"/>
      <c r="G30" s="17"/>
      <c r="H30" s="17"/>
      <c r="I30" s="17"/>
      <c r="J30" s="17"/>
      <c r="K30" s="17"/>
      <c r="L30" s="17"/>
      <c r="M30" s="17"/>
      <c r="N30" s="17"/>
      <c r="O30" s="515"/>
    </row>
    <row r="31" spans="1:15" x14ac:dyDescent="0.2">
      <c r="A31" s="327" t="s">
        <v>210</v>
      </c>
      <c r="B31" s="17"/>
      <c r="C31" s="17"/>
      <c r="D31" s="17"/>
      <c r="E31" s="17"/>
      <c r="F31" s="515"/>
      <c r="G31" s="17"/>
      <c r="H31" s="17"/>
      <c r="I31" s="17"/>
      <c r="J31" s="17"/>
      <c r="K31" s="17"/>
      <c r="L31" s="17"/>
      <c r="M31" s="17"/>
      <c r="N31" s="17"/>
      <c r="O31" s="515"/>
    </row>
    <row r="32" spans="1:15" x14ac:dyDescent="0.2">
      <c r="A32" s="327" t="s">
        <v>1466</v>
      </c>
      <c r="B32" s="17"/>
      <c r="C32" s="17"/>
      <c r="D32" s="17"/>
      <c r="E32" s="17"/>
      <c r="F32" s="515"/>
      <c r="G32" s="17"/>
      <c r="H32" s="17"/>
      <c r="I32" s="17"/>
      <c r="J32" s="17"/>
      <c r="K32" s="17"/>
      <c r="L32" s="17"/>
      <c r="M32" s="17"/>
      <c r="N32" s="17"/>
      <c r="O32" s="515"/>
    </row>
    <row r="33" spans="1:15" x14ac:dyDescent="0.2">
      <c r="A33" s="327" t="s">
        <v>1467</v>
      </c>
      <c r="B33" s="17"/>
      <c r="C33" s="17"/>
      <c r="D33" s="17"/>
      <c r="E33" s="17"/>
      <c r="F33" s="515"/>
      <c r="G33" s="17"/>
      <c r="H33" s="17"/>
      <c r="I33" s="17"/>
      <c r="J33" s="17"/>
      <c r="K33" s="17"/>
      <c r="L33" s="17"/>
      <c r="M33" s="17"/>
      <c r="N33" s="17"/>
      <c r="O33" s="515"/>
    </row>
    <row r="34" spans="1:15" x14ac:dyDescent="0.2">
      <c r="A34" s="327" t="s">
        <v>1468</v>
      </c>
      <c r="B34" s="17"/>
      <c r="C34" s="17"/>
      <c r="D34" s="17"/>
      <c r="E34" s="17"/>
      <c r="F34" s="515"/>
      <c r="G34" s="17"/>
      <c r="H34" s="17"/>
      <c r="I34" s="17"/>
      <c r="J34" s="17"/>
      <c r="K34" s="17"/>
      <c r="L34" s="17"/>
      <c r="M34" s="17"/>
      <c r="N34" s="17"/>
      <c r="O34" s="515"/>
    </row>
    <row r="35" spans="1:15" x14ac:dyDescent="0.2">
      <c r="A35" s="327" t="s">
        <v>1625</v>
      </c>
      <c r="B35" s="17"/>
      <c r="C35" s="17"/>
      <c r="D35" s="17"/>
      <c r="E35" s="17"/>
      <c r="F35" s="515"/>
      <c r="G35" s="17"/>
      <c r="H35" s="17"/>
      <c r="I35" s="17"/>
      <c r="J35" s="17"/>
      <c r="K35" s="17"/>
      <c r="L35" s="17"/>
      <c r="M35" s="17"/>
      <c r="N35" s="17"/>
      <c r="O35" s="515"/>
    </row>
    <row r="36" spans="1:15" x14ac:dyDescent="0.2">
      <c r="A36" s="327" t="s">
        <v>1354</v>
      </c>
      <c r="B36" s="17"/>
      <c r="C36" s="17"/>
      <c r="D36" s="17"/>
      <c r="E36" s="17"/>
      <c r="F36" s="515"/>
      <c r="G36" s="17"/>
      <c r="H36" s="17"/>
      <c r="I36" s="17"/>
      <c r="J36" s="17"/>
      <c r="K36" s="17"/>
      <c r="L36" s="17"/>
      <c r="M36" s="17"/>
      <c r="N36" s="17"/>
      <c r="O36" s="515"/>
    </row>
    <row r="37" spans="1:15" x14ac:dyDescent="0.2">
      <c r="A37" s="17"/>
      <c r="B37" s="17"/>
      <c r="C37" s="17"/>
      <c r="D37" s="17"/>
      <c r="E37" s="17"/>
      <c r="F37" s="515"/>
      <c r="G37" s="17"/>
      <c r="H37" s="17"/>
      <c r="I37" s="17"/>
      <c r="J37" s="17"/>
      <c r="K37" s="17"/>
      <c r="L37" s="17"/>
      <c r="M37" s="17"/>
      <c r="N37" s="17"/>
      <c r="O37" s="515"/>
    </row>
    <row r="38" spans="1:15" ht="25.5" x14ac:dyDescent="0.2">
      <c r="A38" s="517" t="s">
        <v>1472</v>
      </c>
      <c r="B38" s="17"/>
      <c r="C38" s="17"/>
      <c r="D38" s="17"/>
      <c r="E38" s="17"/>
      <c r="F38" s="515"/>
      <c r="G38" s="17"/>
      <c r="H38" s="17"/>
      <c r="I38" s="17"/>
      <c r="J38" s="17"/>
      <c r="K38" s="17"/>
      <c r="L38" s="17"/>
      <c r="M38" s="17"/>
      <c r="N38" s="17"/>
      <c r="O38" s="515"/>
    </row>
    <row r="39" spans="1:15" ht="18" customHeight="1" x14ac:dyDescent="0.2">
      <c r="A39" s="517" t="s">
        <v>689</v>
      </c>
      <c r="B39" s="17"/>
      <c r="C39" s="17"/>
      <c r="D39" s="17"/>
      <c r="E39" s="17"/>
      <c r="F39" s="515"/>
      <c r="G39" s="17"/>
      <c r="H39" s="17"/>
      <c r="I39" s="17"/>
      <c r="J39" s="17"/>
      <c r="K39" s="17"/>
      <c r="L39" s="17"/>
      <c r="M39" s="17"/>
      <c r="N39" s="17"/>
      <c r="O39" s="515"/>
    </row>
    <row r="40" spans="1:15" ht="63.75" x14ac:dyDescent="0.2">
      <c r="A40" s="517" t="s">
        <v>1937</v>
      </c>
      <c r="B40" s="17"/>
      <c r="C40" s="17"/>
      <c r="D40" s="17"/>
      <c r="E40" s="17"/>
      <c r="F40" s="515"/>
      <c r="G40" s="17"/>
      <c r="H40" s="17"/>
      <c r="I40" s="17"/>
      <c r="J40" s="17"/>
      <c r="K40" s="17"/>
      <c r="L40" s="17"/>
      <c r="M40" s="17"/>
      <c r="N40" s="17"/>
      <c r="O40" s="515"/>
    </row>
    <row r="41" spans="1:15" ht="27" customHeight="1" x14ac:dyDescent="0.2">
      <c r="A41" s="517" t="s">
        <v>34</v>
      </c>
      <c r="B41" s="17"/>
      <c r="C41" s="17"/>
      <c r="D41" s="17"/>
      <c r="E41" s="17"/>
      <c r="F41" s="515"/>
      <c r="G41" s="17"/>
      <c r="H41" s="17"/>
      <c r="I41" s="17"/>
      <c r="J41" s="17"/>
      <c r="K41" s="17"/>
      <c r="L41" s="17"/>
      <c r="M41" s="17"/>
      <c r="N41" s="17"/>
      <c r="O41" s="515"/>
    </row>
    <row r="42" spans="1:15" ht="25.5" x14ac:dyDescent="0.2">
      <c r="A42" s="517" t="s">
        <v>726</v>
      </c>
      <c r="B42" s="17"/>
      <c r="C42" s="17"/>
      <c r="D42" s="17"/>
      <c r="E42" s="17"/>
      <c r="F42" s="515"/>
      <c r="G42" s="17"/>
      <c r="H42" s="17"/>
      <c r="I42" s="17"/>
      <c r="J42" s="17"/>
      <c r="K42" s="17"/>
      <c r="L42" s="17"/>
      <c r="M42" s="17"/>
      <c r="N42" s="17"/>
      <c r="O42" s="515"/>
    </row>
    <row r="43" spans="1:15" ht="25.5" x14ac:dyDescent="0.2">
      <c r="A43" s="517" t="s">
        <v>35</v>
      </c>
      <c r="B43" s="519"/>
      <c r="C43" s="17"/>
      <c r="D43" s="17"/>
      <c r="E43" s="17"/>
      <c r="F43" s="515"/>
      <c r="G43" s="17"/>
      <c r="H43" s="17"/>
      <c r="I43" s="17"/>
      <c r="J43" s="17"/>
      <c r="K43" s="17"/>
      <c r="L43" s="17"/>
      <c r="M43" s="17"/>
      <c r="N43" s="17"/>
      <c r="O43" s="515"/>
    </row>
    <row r="44" spans="1:15" ht="25.5" x14ac:dyDescent="0.2">
      <c r="A44" s="517" t="s">
        <v>167</v>
      </c>
      <c r="B44" s="519"/>
      <c r="C44" s="17"/>
      <c r="D44" s="17"/>
      <c r="E44" s="17"/>
      <c r="F44" s="515"/>
      <c r="G44" s="17"/>
      <c r="H44" s="17"/>
      <c r="I44" s="17"/>
      <c r="J44" s="17"/>
      <c r="K44" s="17"/>
      <c r="L44" s="17"/>
      <c r="M44" s="17"/>
      <c r="N44" s="17"/>
      <c r="O44" s="515"/>
    </row>
    <row r="45" spans="1:15" x14ac:dyDescent="0.2">
      <c r="A45" s="17"/>
      <c r="B45" s="519"/>
      <c r="C45" s="17"/>
      <c r="D45" s="17"/>
      <c r="E45" s="17"/>
      <c r="F45" s="515"/>
      <c r="G45" s="17"/>
      <c r="H45" s="17"/>
      <c r="I45" s="17"/>
      <c r="J45" s="17"/>
      <c r="K45" s="17"/>
      <c r="L45" s="17"/>
      <c r="M45" s="17"/>
      <c r="N45" s="17"/>
      <c r="O45" s="515"/>
    </row>
    <row r="46" spans="1:15" x14ac:dyDescent="0.2">
      <c r="A46" s="516" t="s">
        <v>755</v>
      </c>
      <c r="B46" s="516" t="s">
        <v>756</v>
      </c>
      <c r="C46" s="17"/>
      <c r="D46" s="17"/>
      <c r="E46" s="17"/>
      <c r="F46" s="515"/>
      <c r="G46" s="17"/>
      <c r="H46" s="17"/>
      <c r="I46" s="17"/>
      <c r="J46" s="17"/>
      <c r="K46" s="17"/>
      <c r="L46" s="17"/>
      <c r="M46" s="17"/>
      <c r="N46" s="17"/>
      <c r="O46" s="515"/>
    </row>
    <row r="47" spans="1:15" ht="18" customHeight="1" x14ac:dyDescent="0.2">
      <c r="A47" s="17" t="s">
        <v>168</v>
      </c>
      <c r="B47" s="1670" t="s">
        <v>1934</v>
      </c>
      <c r="C47" s="1670"/>
      <c r="D47" s="1670"/>
      <c r="E47" s="1670"/>
      <c r="F47" s="1670"/>
      <c r="G47" s="1670"/>
      <c r="H47" s="1670"/>
      <c r="I47" s="1670"/>
      <c r="J47" s="1670"/>
      <c r="K47" s="1670"/>
      <c r="L47" s="1670"/>
      <c r="M47" s="17"/>
      <c r="N47" s="17"/>
      <c r="O47" s="515"/>
    </row>
    <row r="48" spans="1:15" ht="15" customHeight="1" x14ac:dyDescent="0.2">
      <c r="A48" s="17"/>
      <c r="B48" s="1671" t="s">
        <v>1935</v>
      </c>
      <c r="C48" s="509"/>
      <c r="D48" s="509" t="s">
        <v>349</v>
      </c>
      <c r="E48" s="509" t="s">
        <v>344</v>
      </c>
      <c r="F48" s="509" t="s">
        <v>350</v>
      </c>
      <c r="G48" s="509" t="s">
        <v>345</v>
      </c>
      <c r="H48" s="509" t="s">
        <v>351</v>
      </c>
      <c r="I48" s="509" t="s">
        <v>346</v>
      </c>
      <c r="J48" s="509" t="s">
        <v>352</v>
      </c>
      <c r="K48" s="509" t="s">
        <v>347</v>
      </c>
      <c r="L48" s="509" t="s">
        <v>348</v>
      </c>
      <c r="M48" s="17"/>
      <c r="N48" s="17"/>
      <c r="O48" s="515"/>
    </row>
    <row r="49" spans="1:15" x14ac:dyDescent="0.2">
      <c r="A49" s="17" t="s">
        <v>174</v>
      </c>
      <c r="B49" s="949"/>
      <c r="C49" s="509" t="s">
        <v>344</v>
      </c>
      <c r="D49" s="509">
        <v>2</v>
      </c>
      <c r="E49" s="509">
        <v>1</v>
      </c>
      <c r="F49" s="509">
        <v>1</v>
      </c>
      <c r="G49" s="509">
        <v>1</v>
      </c>
      <c r="H49" s="509">
        <v>1</v>
      </c>
      <c r="I49" s="509">
        <v>1</v>
      </c>
      <c r="J49" s="509">
        <v>1</v>
      </c>
      <c r="K49" s="509">
        <v>1</v>
      </c>
      <c r="L49" s="509">
        <v>1</v>
      </c>
      <c r="M49" s="17"/>
      <c r="N49" s="475"/>
      <c r="O49" s="515"/>
    </row>
    <row r="50" spans="1:15" x14ac:dyDescent="0.2">
      <c r="A50" s="17" t="s">
        <v>175</v>
      </c>
      <c r="B50" s="949"/>
      <c r="C50" s="509" t="s">
        <v>345</v>
      </c>
      <c r="D50" s="509">
        <v>4</v>
      </c>
      <c r="E50" s="509">
        <v>3</v>
      </c>
      <c r="F50" s="509">
        <v>2</v>
      </c>
      <c r="G50" s="509">
        <v>1</v>
      </c>
      <c r="H50" s="509">
        <v>1</v>
      </c>
      <c r="I50" s="509">
        <v>1</v>
      </c>
      <c r="J50" s="509">
        <v>1</v>
      </c>
      <c r="K50" s="509">
        <v>1</v>
      </c>
      <c r="L50" s="509">
        <v>1</v>
      </c>
      <c r="M50" s="17"/>
      <c r="N50" s="17"/>
      <c r="O50" s="515"/>
    </row>
    <row r="51" spans="1:15" x14ac:dyDescent="0.2">
      <c r="A51" s="17" t="s">
        <v>176</v>
      </c>
      <c r="B51" s="949"/>
      <c r="C51" s="509" t="s">
        <v>346</v>
      </c>
      <c r="D51" s="509">
        <v>6</v>
      </c>
      <c r="E51" s="509">
        <v>5</v>
      </c>
      <c r="F51" s="509">
        <v>4</v>
      </c>
      <c r="G51" s="509">
        <v>3</v>
      </c>
      <c r="H51" s="509">
        <v>2</v>
      </c>
      <c r="I51" s="509">
        <v>1</v>
      </c>
      <c r="J51" s="509">
        <v>1</v>
      </c>
      <c r="K51" s="509">
        <v>1</v>
      </c>
      <c r="L51" s="509">
        <v>1</v>
      </c>
      <c r="M51" s="17"/>
      <c r="N51" s="17"/>
      <c r="O51" s="515"/>
    </row>
    <row r="52" spans="1:15" x14ac:dyDescent="0.2">
      <c r="A52" s="17" t="s">
        <v>177</v>
      </c>
      <c r="B52" s="949"/>
      <c r="C52" s="509" t="s">
        <v>347</v>
      </c>
      <c r="D52" s="509">
        <v>7</v>
      </c>
      <c r="E52" s="509">
        <v>6</v>
      </c>
      <c r="F52" s="509">
        <v>6</v>
      </c>
      <c r="G52" s="509">
        <v>5</v>
      </c>
      <c r="H52" s="509">
        <v>4</v>
      </c>
      <c r="I52" s="509">
        <v>3</v>
      </c>
      <c r="J52" s="509">
        <v>2</v>
      </c>
      <c r="K52" s="509">
        <v>1</v>
      </c>
      <c r="L52" s="509">
        <v>1</v>
      </c>
      <c r="M52" s="17"/>
      <c r="N52" s="17"/>
      <c r="O52" s="515"/>
    </row>
    <row r="53" spans="1:15" x14ac:dyDescent="0.2">
      <c r="A53" s="17" t="s">
        <v>178</v>
      </c>
      <c r="B53" s="949"/>
      <c r="C53" s="509" t="s">
        <v>348</v>
      </c>
      <c r="D53" s="509">
        <v>7</v>
      </c>
      <c r="E53" s="509">
        <v>7</v>
      </c>
      <c r="F53" s="509">
        <v>6</v>
      </c>
      <c r="G53" s="509">
        <v>5</v>
      </c>
      <c r="H53" s="509">
        <v>4</v>
      </c>
      <c r="I53" s="509">
        <v>3</v>
      </c>
      <c r="J53" s="509">
        <v>2</v>
      </c>
      <c r="K53" s="509">
        <v>1</v>
      </c>
      <c r="L53" s="509">
        <v>1</v>
      </c>
      <c r="M53" s="17"/>
      <c r="N53" s="17"/>
      <c r="O53" s="515"/>
    </row>
    <row r="54" spans="1:15" x14ac:dyDescent="0.2">
      <c r="A54" s="17" t="s">
        <v>179</v>
      </c>
      <c r="B54" s="327"/>
      <c r="C54" s="17"/>
      <c r="D54" s="17"/>
      <c r="E54" s="17"/>
      <c r="F54" s="515"/>
      <c r="G54" s="17"/>
      <c r="H54" s="17"/>
      <c r="I54" s="17"/>
      <c r="J54" s="17"/>
      <c r="K54" s="17"/>
      <c r="L54" s="17"/>
      <c r="M54" s="17"/>
      <c r="N54" s="17"/>
      <c r="O54" s="515"/>
    </row>
    <row r="55" spans="1:15" ht="12.75" customHeight="1" x14ac:dyDescent="0.2">
      <c r="A55" s="17" t="s">
        <v>2161</v>
      </c>
      <c r="B55" s="749" t="s">
        <v>2101</v>
      </c>
      <c r="C55" s="750"/>
      <c r="D55" s="750"/>
      <c r="E55" s="750"/>
      <c r="F55" s="750"/>
      <c r="G55" s="750"/>
      <c r="H55" s="750"/>
      <c r="I55" s="750"/>
      <c r="J55" s="750"/>
      <c r="K55" s="750"/>
      <c r="L55" s="751"/>
      <c r="M55" s="17"/>
      <c r="N55" s="17"/>
      <c r="O55" s="515"/>
    </row>
    <row r="56" spans="1:15" ht="28.5" customHeight="1" x14ac:dyDescent="0.2">
      <c r="A56" s="17"/>
      <c r="B56" s="818"/>
      <c r="C56" s="698"/>
      <c r="D56" s="698"/>
      <c r="E56" s="698"/>
      <c r="F56" s="698"/>
      <c r="G56" s="698"/>
      <c r="H56" s="698"/>
      <c r="I56" s="698"/>
      <c r="J56" s="698"/>
      <c r="K56" s="698"/>
      <c r="L56" s="819"/>
      <c r="M56" s="17"/>
      <c r="N56" s="17"/>
      <c r="O56" s="515"/>
    </row>
    <row r="57" spans="1:15" ht="45.75" customHeight="1" x14ac:dyDescent="0.2">
      <c r="A57" s="520" t="s">
        <v>1938</v>
      </c>
      <c r="B57" s="752" t="s">
        <v>2102</v>
      </c>
      <c r="C57" s="753"/>
      <c r="D57" s="753"/>
      <c r="E57" s="753"/>
      <c r="F57" s="753"/>
      <c r="G57" s="753"/>
      <c r="H57" s="753"/>
      <c r="I57" s="753"/>
      <c r="J57" s="753"/>
      <c r="K57" s="753"/>
      <c r="L57" s="754"/>
      <c r="M57" s="17"/>
      <c r="N57" s="17"/>
      <c r="O57" s="515"/>
    </row>
    <row r="58" spans="1:15" x14ac:dyDescent="0.2">
      <c r="A58" s="2" t="s">
        <v>1778</v>
      </c>
      <c r="B58" s="58"/>
      <c r="C58" s="58"/>
      <c r="D58" s="58"/>
      <c r="E58" s="58"/>
      <c r="F58" s="58"/>
      <c r="G58" s="58"/>
      <c r="H58" s="58"/>
      <c r="I58" s="58"/>
      <c r="J58" s="58"/>
      <c r="K58" s="58"/>
      <c r="L58" s="58"/>
      <c r="M58" s="17"/>
      <c r="N58" s="17"/>
      <c r="O58" s="515"/>
    </row>
    <row r="59" spans="1:15" x14ac:dyDescent="0.2">
      <c r="A59" s="17" t="s">
        <v>1832</v>
      </c>
      <c r="B59" s="58"/>
      <c r="C59" s="58"/>
      <c r="D59" s="58"/>
      <c r="E59" s="58"/>
      <c r="F59" s="58"/>
      <c r="G59" s="58"/>
      <c r="H59" s="58"/>
      <c r="I59" s="58"/>
      <c r="J59" s="58"/>
      <c r="K59" s="58"/>
      <c r="L59" s="58"/>
      <c r="M59" s="17"/>
      <c r="N59" s="17"/>
      <c r="O59" s="515"/>
    </row>
    <row r="60" spans="1:15" x14ac:dyDescent="0.2">
      <c r="A60" s="17" t="s">
        <v>48</v>
      </c>
      <c r="B60" s="17"/>
      <c r="C60" s="17"/>
      <c r="D60" s="17"/>
      <c r="E60" s="17"/>
      <c r="F60" s="515"/>
      <c r="G60" s="17"/>
      <c r="H60" s="17"/>
      <c r="I60" s="17"/>
      <c r="J60" s="17"/>
      <c r="K60" s="17"/>
      <c r="L60" s="17"/>
      <c r="M60" s="17"/>
      <c r="N60" s="17"/>
      <c r="O60" s="515"/>
    </row>
    <row r="61" spans="1:15" x14ac:dyDescent="0.2">
      <c r="A61" s="17"/>
      <c r="B61" s="17"/>
      <c r="C61" s="17"/>
      <c r="D61" s="17"/>
      <c r="E61" s="17"/>
      <c r="F61" s="515"/>
      <c r="G61" s="17"/>
      <c r="H61" s="17"/>
      <c r="I61" s="17"/>
      <c r="J61" s="17"/>
      <c r="K61" s="17"/>
      <c r="L61" s="17"/>
      <c r="M61" s="17"/>
      <c r="N61" s="17"/>
      <c r="O61" s="515"/>
    </row>
    <row r="62" spans="1:15" x14ac:dyDescent="0.2">
      <c r="A62" s="2" t="s">
        <v>49</v>
      </c>
      <c r="B62" s="17"/>
      <c r="C62" s="17"/>
      <c r="D62" s="17"/>
      <c r="E62" s="17"/>
      <c r="F62" s="515"/>
      <c r="G62" s="17"/>
      <c r="H62" s="17"/>
      <c r="I62" s="17"/>
      <c r="J62" s="17"/>
      <c r="K62" s="17"/>
      <c r="L62" s="17"/>
      <c r="M62" s="17"/>
      <c r="N62" s="17"/>
      <c r="O62" s="515"/>
    </row>
    <row r="63" spans="1:15" x14ac:dyDescent="0.2">
      <c r="A63" s="17" t="s">
        <v>50</v>
      </c>
      <c r="B63" s="17"/>
      <c r="C63" s="17"/>
      <c r="D63" s="17"/>
      <c r="E63" s="17"/>
      <c r="F63" s="515"/>
      <c r="G63" s="17"/>
      <c r="H63" s="17"/>
      <c r="I63" s="17"/>
      <c r="J63" s="17"/>
      <c r="K63" s="17"/>
      <c r="L63" s="17"/>
      <c r="M63" s="17"/>
      <c r="N63" s="17"/>
      <c r="O63" s="515"/>
    </row>
    <row r="64" spans="1:15" x14ac:dyDescent="0.2">
      <c r="A64" s="17"/>
      <c r="B64" s="17"/>
      <c r="C64" s="17"/>
      <c r="D64" s="17"/>
      <c r="E64" s="17"/>
      <c r="F64" s="515"/>
      <c r="G64" s="17"/>
      <c r="H64" s="17"/>
      <c r="I64" s="17"/>
      <c r="J64" s="17"/>
      <c r="K64" s="17"/>
      <c r="L64" s="17"/>
      <c r="M64" s="17"/>
      <c r="N64" s="17"/>
      <c r="O64" s="515"/>
    </row>
    <row r="65" spans="1:15" x14ac:dyDescent="0.2">
      <c r="A65" s="2" t="s">
        <v>51</v>
      </c>
      <c r="B65" s="17"/>
      <c r="C65" s="17"/>
      <c r="D65" s="17"/>
      <c r="E65" s="17"/>
      <c r="F65" s="515"/>
      <c r="G65" s="17"/>
      <c r="H65" s="17"/>
      <c r="I65" s="17"/>
      <c r="J65" s="17"/>
      <c r="K65" s="17"/>
      <c r="L65" s="17"/>
      <c r="M65" s="17"/>
      <c r="N65" s="17"/>
      <c r="O65" s="515"/>
    </row>
    <row r="66" spans="1:15" x14ac:dyDescent="0.2">
      <c r="A66" s="17" t="s">
        <v>52</v>
      </c>
      <c r="B66" s="17"/>
      <c r="C66" s="17"/>
      <c r="D66" s="17"/>
      <c r="E66" s="17"/>
      <c r="F66" s="515"/>
      <c r="G66" s="17"/>
      <c r="H66" s="17"/>
      <c r="I66" s="17"/>
      <c r="J66" s="17"/>
      <c r="K66" s="17"/>
      <c r="L66" s="17"/>
      <c r="M66" s="17"/>
      <c r="N66" s="17"/>
      <c r="O66" s="515"/>
    </row>
    <row r="67" spans="1:15" x14ac:dyDescent="0.2">
      <c r="A67" s="17"/>
      <c r="B67" s="17"/>
      <c r="C67" s="17"/>
      <c r="D67" s="17"/>
      <c r="E67" s="17"/>
      <c r="F67" s="515"/>
      <c r="G67" s="17"/>
      <c r="H67" s="17"/>
      <c r="I67" s="17"/>
      <c r="J67" s="17"/>
      <c r="K67" s="17"/>
      <c r="L67" s="17"/>
      <c r="M67" s="17"/>
      <c r="N67" s="17"/>
      <c r="O67" s="515"/>
    </row>
    <row r="68" spans="1:15" x14ac:dyDescent="0.2">
      <c r="A68" s="2" t="s">
        <v>53</v>
      </c>
      <c r="B68" s="17"/>
      <c r="C68" s="17"/>
      <c r="D68" s="17"/>
      <c r="E68" s="17"/>
      <c r="F68" s="515"/>
      <c r="G68" s="17"/>
      <c r="H68" s="17"/>
      <c r="I68" s="17"/>
      <c r="J68" s="17"/>
      <c r="K68" s="17"/>
      <c r="L68" s="17"/>
      <c r="M68" s="17"/>
      <c r="N68" s="17"/>
      <c r="O68" s="515"/>
    </row>
    <row r="69" spans="1:15" x14ac:dyDescent="0.2">
      <c r="A69" s="17" t="s">
        <v>54</v>
      </c>
      <c r="B69" s="17"/>
      <c r="C69" s="17"/>
      <c r="D69" s="17"/>
      <c r="E69" s="17"/>
      <c r="F69" s="515"/>
      <c r="G69" s="17"/>
      <c r="H69" s="17"/>
      <c r="I69" s="17"/>
      <c r="J69" s="17"/>
      <c r="K69" s="17"/>
      <c r="L69" s="17"/>
      <c r="M69" s="17"/>
      <c r="N69" s="17"/>
      <c r="O69" s="515"/>
    </row>
    <row r="70" spans="1:15" x14ac:dyDescent="0.2">
      <c r="A70" s="17" t="s">
        <v>856</v>
      </c>
      <c r="B70" s="17"/>
      <c r="C70" s="17"/>
      <c r="D70" s="17"/>
      <c r="E70" s="17"/>
      <c r="F70" s="515"/>
      <c r="G70" s="17"/>
      <c r="H70" s="17"/>
      <c r="I70" s="17"/>
      <c r="J70" s="17"/>
      <c r="K70" s="17"/>
      <c r="L70" s="17"/>
      <c r="M70" s="17"/>
      <c r="N70" s="17"/>
      <c r="O70" s="515"/>
    </row>
    <row r="71" spans="1:15" x14ac:dyDescent="0.2">
      <c r="A71" s="17"/>
      <c r="B71" s="17"/>
      <c r="C71" s="17"/>
      <c r="D71" s="17"/>
      <c r="E71" s="17"/>
      <c r="F71" s="515"/>
      <c r="G71" s="17"/>
      <c r="H71" s="17"/>
      <c r="I71" s="17"/>
      <c r="J71" s="17"/>
      <c r="K71" s="17"/>
      <c r="L71" s="17"/>
      <c r="M71" s="17"/>
      <c r="N71" s="17"/>
      <c r="O71" s="515"/>
    </row>
    <row r="72" spans="1:15" x14ac:dyDescent="0.2">
      <c r="A72" s="2" t="s">
        <v>857</v>
      </c>
      <c r="B72" s="17"/>
      <c r="C72" s="17"/>
      <c r="D72" s="17"/>
      <c r="E72" s="17"/>
      <c r="F72" s="515"/>
      <c r="G72" s="17"/>
      <c r="H72" s="17"/>
      <c r="I72" s="17"/>
      <c r="J72" s="17"/>
      <c r="K72" s="17"/>
      <c r="L72" s="17"/>
      <c r="M72" s="17"/>
      <c r="N72" s="17"/>
      <c r="O72" s="515"/>
    </row>
    <row r="73" spans="1:15" x14ac:dyDescent="0.2">
      <c r="A73" s="17" t="s">
        <v>858</v>
      </c>
      <c r="B73" s="17"/>
      <c r="C73" s="17"/>
      <c r="D73" s="17"/>
      <c r="E73" s="17"/>
      <c r="F73" s="515"/>
      <c r="G73" s="17"/>
      <c r="H73" s="17"/>
      <c r="I73" s="17"/>
      <c r="J73" s="17"/>
      <c r="K73" s="17"/>
      <c r="L73" s="17"/>
      <c r="M73" s="17"/>
      <c r="N73" s="17"/>
      <c r="O73" s="515"/>
    </row>
    <row r="74" spans="1:15" x14ac:dyDescent="0.2">
      <c r="A74" s="17" t="s">
        <v>859</v>
      </c>
      <c r="B74" s="17"/>
      <c r="C74" s="17"/>
      <c r="D74" s="17"/>
      <c r="E74" s="17"/>
      <c r="F74" s="515"/>
      <c r="G74" s="17"/>
      <c r="H74" s="17"/>
      <c r="I74" s="17"/>
      <c r="J74" s="17"/>
      <c r="K74" s="17"/>
      <c r="L74" s="17"/>
      <c r="M74" s="17"/>
      <c r="N74" s="17"/>
      <c r="O74" s="515"/>
    </row>
    <row r="75" spans="1:15" x14ac:dyDescent="0.2">
      <c r="A75" s="17"/>
      <c r="B75" s="17"/>
      <c r="C75" s="17"/>
      <c r="D75" s="17"/>
      <c r="E75" s="17"/>
      <c r="F75" s="515"/>
      <c r="G75" s="17"/>
      <c r="H75" s="17"/>
      <c r="I75" s="17"/>
      <c r="J75" s="17"/>
      <c r="K75" s="17"/>
      <c r="L75" s="17"/>
      <c r="M75" s="17"/>
      <c r="N75" s="17"/>
      <c r="O75" s="515"/>
    </row>
    <row r="76" spans="1:15" hidden="1" x14ac:dyDescent="0.2">
      <c r="A76" s="17"/>
      <c r="B76" s="17"/>
      <c r="C76" s="17"/>
      <c r="D76" s="17"/>
      <c r="E76" s="17"/>
      <c r="F76" s="515"/>
      <c r="G76" s="17"/>
      <c r="H76" s="17"/>
      <c r="I76" s="17"/>
      <c r="J76" s="17"/>
      <c r="K76" s="17"/>
      <c r="L76" s="17"/>
      <c r="M76" s="17"/>
      <c r="N76" s="17"/>
      <c r="O76" s="515"/>
    </row>
    <row r="77" spans="1:15" hidden="1" x14ac:dyDescent="0.2">
      <c r="A77" s="17"/>
      <c r="B77" s="17"/>
      <c r="C77" s="17"/>
      <c r="D77" s="17"/>
      <c r="E77" s="17"/>
      <c r="F77" s="515"/>
      <c r="G77" s="17"/>
      <c r="H77" s="17"/>
      <c r="I77" s="17"/>
      <c r="J77" s="17"/>
      <c r="K77" s="17"/>
      <c r="L77" s="17"/>
      <c r="M77" s="17"/>
      <c r="N77" s="17"/>
      <c r="O77" s="515"/>
    </row>
    <row r="78" spans="1:15" hidden="1" x14ac:dyDescent="0.2">
      <c r="A78" s="17"/>
      <c r="B78" s="17"/>
      <c r="C78" s="17"/>
      <c r="D78" s="17"/>
      <c r="E78" s="17"/>
      <c r="F78" s="515"/>
      <c r="G78" s="17"/>
      <c r="H78" s="17"/>
      <c r="I78" s="17"/>
      <c r="J78" s="17"/>
      <c r="K78" s="17"/>
      <c r="L78" s="17"/>
      <c r="M78" s="17"/>
      <c r="N78" s="17"/>
      <c r="O78" s="515"/>
    </row>
    <row r="79" spans="1:15" hidden="1" x14ac:dyDescent="0.2">
      <c r="A79" s="17"/>
      <c r="B79" s="17"/>
      <c r="C79" s="17"/>
      <c r="D79" s="17"/>
      <c r="E79" s="17"/>
      <c r="F79" s="515"/>
      <c r="G79" s="17"/>
      <c r="H79" s="17"/>
      <c r="I79" s="17"/>
      <c r="J79" s="17"/>
      <c r="K79" s="17"/>
      <c r="L79" s="17"/>
      <c r="M79" s="17"/>
      <c r="N79" s="17"/>
      <c r="O79" s="515"/>
    </row>
    <row r="80" spans="1:15" x14ac:dyDescent="0.2">
      <c r="A80" s="510" t="s">
        <v>1979</v>
      </c>
      <c r="B80" s="17"/>
      <c r="C80" s="17"/>
      <c r="D80" s="17"/>
      <c r="E80" s="17"/>
      <c r="F80" s="515"/>
      <c r="G80" s="17"/>
      <c r="H80" s="17"/>
      <c r="I80" s="17"/>
      <c r="J80" s="17"/>
      <c r="K80" s="17"/>
      <c r="L80" s="17"/>
      <c r="M80" s="17"/>
      <c r="N80" s="17"/>
      <c r="O80" s="515"/>
    </row>
    <row r="81" spans="1:15" x14ac:dyDescent="0.2">
      <c r="A81" s="17" t="s">
        <v>593</v>
      </c>
      <c r="B81" s="1668" t="s">
        <v>2124</v>
      </c>
      <c r="C81" s="17"/>
      <c r="D81" s="17"/>
      <c r="E81" s="17"/>
      <c r="F81" s="515"/>
      <c r="G81" s="17"/>
      <c r="H81" s="17"/>
      <c r="I81" s="17"/>
      <c r="J81" s="17"/>
      <c r="K81" s="17"/>
      <c r="L81" s="17"/>
      <c r="M81" s="17"/>
      <c r="N81" s="17"/>
      <c r="O81" s="515"/>
    </row>
    <row r="82" spans="1:15" x14ac:dyDescent="0.2">
      <c r="A82" s="17" t="s">
        <v>415</v>
      </c>
      <c r="B82" s="1668"/>
      <c r="C82" s="17"/>
      <c r="D82" s="17"/>
      <c r="E82" s="17"/>
      <c r="F82" s="515"/>
      <c r="G82" s="17"/>
      <c r="H82" s="17"/>
      <c r="I82" s="17"/>
      <c r="J82" s="17"/>
      <c r="K82" s="17"/>
      <c r="L82" s="17"/>
      <c r="M82" s="17"/>
      <c r="N82" s="17"/>
      <c r="O82" s="515"/>
    </row>
    <row r="83" spans="1:15" x14ac:dyDescent="0.2">
      <c r="A83" s="17" t="s">
        <v>412</v>
      </c>
      <c r="B83" s="1668"/>
      <c r="C83" s="17"/>
      <c r="D83" s="17"/>
      <c r="E83" s="17"/>
      <c r="F83" s="515"/>
      <c r="G83" s="17"/>
      <c r="H83" s="17"/>
      <c r="I83" s="17"/>
      <c r="J83" s="17"/>
      <c r="K83" s="17"/>
      <c r="L83" s="17"/>
      <c r="M83" s="17"/>
      <c r="N83" s="17"/>
      <c r="O83" s="515"/>
    </row>
    <row r="84" spans="1:15" x14ac:dyDescent="0.2">
      <c r="A84" s="17" t="s">
        <v>1907</v>
      </c>
      <c r="B84" s="1668"/>
      <c r="C84" s="17"/>
      <c r="D84" s="17"/>
      <c r="E84" s="17"/>
      <c r="F84" s="515"/>
      <c r="G84" s="17"/>
      <c r="H84" s="17"/>
      <c r="I84" s="17"/>
      <c r="J84" s="17"/>
      <c r="K84" s="17"/>
      <c r="L84" s="17"/>
      <c r="M84" s="17"/>
      <c r="N84" s="17"/>
      <c r="O84" s="515"/>
    </row>
    <row r="85" spans="1:15" x14ac:dyDescent="0.2">
      <c r="A85" s="17" t="s">
        <v>189</v>
      </c>
      <c r="B85" s="1668"/>
      <c r="C85" s="17"/>
      <c r="D85" s="17"/>
      <c r="E85" s="17"/>
      <c r="F85" s="515"/>
      <c r="G85" s="17"/>
      <c r="H85" s="17"/>
      <c r="I85" s="17"/>
      <c r="J85" s="17"/>
      <c r="K85" s="17"/>
      <c r="L85" s="17"/>
      <c r="M85" s="17"/>
      <c r="N85" s="17"/>
      <c r="O85" s="515"/>
    </row>
    <row r="86" spans="1:15" x14ac:dyDescent="0.2">
      <c r="A86" s="17" t="s">
        <v>1939</v>
      </c>
      <c r="B86" s="1668"/>
      <c r="C86" s="17"/>
      <c r="D86" s="17"/>
      <c r="E86" s="17"/>
      <c r="F86" s="515"/>
      <c r="G86" s="17"/>
      <c r="H86" s="17"/>
      <c r="I86" s="17"/>
      <c r="J86" s="17"/>
      <c r="K86" s="17"/>
      <c r="L86" s="17"/>
      <c r="M86" s="17"/>
      <c r="N86" s="17"/>
      <c r="O86" s="515"/>
    </row>
    <row r="87" spans="1:15" x14ac:dyDescent="0.2">
      <c r="A87" s="17"/>
      <c r="B87" s="17"/>
      <c r="C87" s="17"/>
      <c r="D87" s="17"/>
      <c r="E87" s="17"/>
      <c r="F87" s="515"/>
      <c r="G87" s="17"/>
      <c r="H87" s="17"/>
      <c r="I87" s="17"/>
      <c r="J87" s="17"/>
      <c r="K87" s="17"/>
      <c r="L87" s="17"/>
      <c r="M87" s="17"/>
      <c r="N87" s="17"/>
      <c r="O87" s="515"/>
    </row>
    <row r="88" spans="1:15" x14ac:dyDescent="0.2">
      <c r="A88" s="17" t="s">
        <v>1106</v>
      </c>
      <c r="B88" s="1668" t="s">
        <v>2120</v>
      </c>
      <c r="C88" s="17"/>
      <c r="D88" s="17"/>
      <c r="E88" s="17"/>
      <c r="F88" s="515"/>
      <c r="G88" s="17"/>
      <c r="H88" s="17"/>
      <c r="I88" s="17"/>
      <c r="J88" s="17"/>
      <c r="K88" s="17"/>
      <c r="L88" s="17"/>
      <c r="M88" s="17"/>
      <c r="N88" s="17"/>
      <c r="O88" s="515"/>
    </row>
    <row r="89" spans="1:15" x14ac:dyDescent="0.2">
      <c r="A89" s="17" t="s">
        <v>1627</v>
      </c>
      <c r="B89" s="1668"/>
      <c r="C89" s="17"/>
      <c r="D89" s="17"/>
      <c r="E89" s="17"/>
      <c r="F89" s="515"/>
      <c r="G89" s="17"/>
      <c r="H89" s="17"/>
      <c r="I89" s="17"/>
      <c r="J89" s="17"/>
      <c r="K89" s="17"/>
      <c r="L89" s="17"/>
      <c r="M89" s="17"/>
      <c r="N89" s="17"/>
      <c r="O89" s="515"/>
    </row>
    <row r="90" spans="1:15" x14ac:dyDescent="0.2">
      <c r="A90" s="17" t="s">
        <v>675</v>
      </c>
      <c r="B90" s="1668"/>
      <c r="C90" s="17"/>
      <c r="D90" s="17"/>
      <c r="E90" s="17"/>
      <c r="F90" s="515"/>
      <c r="G90" s="17"/>
      <c r="H90" s="17"/>
      <c r="I90" s="17"/>
      <c r="J90" s="17"/>
      <c r="K90" s="17"/>
      <c r="L90" s="17"/>
      <c r="M90" s="17"/>
      <c r="N90" s="17"/>
      <c r="O90" s="515"/>
    </row>
    <row r="91" spans="1:15" x14ac:dyDescent="0.2">
      <c r="A91" s="17" t="s">
        <v>1105</v>
      </c>
      <c r="B91" s="1668"/>
      <c r="C91" s="17"/>
      <c r="D91" s="17"/>
      <c r="E91" s="17"/>
      <c r="F91" s="515"/>
      <c r="G91" s="17"/>
      <c r="H91" s="17"/>
      <c r="I91" s="17"/>
      <c r="J91" s="17"/>
      <c r="K91" s="17"/>
      <c r="L91" s="17"/>
      <c r="M91" s="17"/>
      <c r="N91" s="17"/>
      <c r="O91" s="515"/>
    </row>
    <row r="92" spans="1:15" x14ac:dyDescent="0.2">
      <c r="A92" s="17" t="s">
        <v>1940</v>
      </c>
      <c r="B92" s="1668"/>
      <c r="C92" s="17"/>
      <c r="D92" s="17"/>
      <c r="E92" s="17"/>
      <c r="F92" s="515"/>
      <c r="G92" s="17"/>
      <c r="H92" s="17"/>
      <c r="I92" s="17"/>
      <c r="J92" s="17"/>
      <c r="K92" s="17"/>
      <c r="L92" s="17"/>
      <c r="M92" s="17"/>
      <c r="N92" s="17"/>
      <c r="O92" s="515"/>
    </row>
    <row r="93" spans="1:15" x14ac:dyDescent="0.2">
      <c r="A93" s="17"/>
      <c r="B93" s="17"/>
      <c r="C93" s="17"/>
      <c r="D93" s="17"/>
      <c r="E93" s="17"/>
      <c r="F93" s="515"/>
      <c r="G93" s="17"/>
      <c r="H93" s="17"/>
      <c r="I93" s="17"/>
      <c r="J93" s="17"/>
      <c r="K93" s="17"/>
      <c r="L93" s="17"/>
      <c r="M93" s="17"/>
      <c r="N93" s="17"/>
      <c r="O93" s="515"/>
    </row>
    <row r="94" spans="1:15" x14ac:dyDescent="0.2">
      <c r="A94" s="17" t="s">
        <v>203</v>
      </c>
      <c r="B94" s="1668" t="s">
        <v>2121</v>
      </c>
      <c r="C94" s="17"/>
      <c r="D94" s="17"/>
      <c r="E94" s="17"/>
      <c r="F94" s="515"/>
      <c r="G94" s="17"/>
      <c r="H94" s="17"/>
      <c r="I94" s="17"/>
      <c r="J94" s="17"/>
      <c r="K94" s="17"/>
      <c r="L94" s="17"/>
      <c r="M94" s="17"/>
      <c r="N94" s="17"/>
      <c r="O94" s="515"/>
    </row>
    <row r="95" spans="1:15" x14ac:dyDescent="0.2">
      <c r="A95" s="17" t="s">
        <v>1871</v>
      </c>
      <c r="B95" s="1668"/>
      <c r="C95" s="17"/>
      <c r="D95" s="17"/>
      <c r="E95" s="17"/>
      <c r="F95" s="515"/>
      <c r="G95" s="17"/>
      <c r="H95" s="17"/>
      <c r="I95" s="17"/>
      <c r="J95" s="17"/>
      <c r="K95" s="17"/>
      <c r="L95" s="17"/>
      <c r="M95" s="17"/>
      <c r="N95" s="17"/>
      <c r="O95" s="515"/>
    </row>
    <row r="96" spans="1:15" x14ac:dyDescent="0.2">
      <c r="A96" s="17" t="s">
        <v>1872</v>
      </c>
      <c r="B96" s="1668"/>
      <c r="C96" s="17"/>
      <c r="D96" s="17"/>
      <c r="E96" s="17"/>
      <c r="F96" s="515"/>
      <c r="G96" s="17"/>
      <c r="H96" s="17"/>
      <c r="I96" s="17"/>
      <c r="J96" s="17"/>
      <c r="K96" s="17"/>
      <c r="L96" s="17"/>
      <c r="M96" s="17"/>
      <c r="N96" s="17"/>
      <c r="O96" s="515"/>
    </row>
    <row r="97" spans="1:15" x14ac:dyDescent="0.2">
      <c r="A97" s="17" t="s">
        <v>1873</v>
      </c>
      <c r="B97" s="1668"/>
      <c r="C97" s="17"/>
      <c r="D97" s="17"/>
      <c r="E97" s="17"/>
      <c r="F97" s="515"/>
      <c r="G97" s="17"/>
      <c r="H97" s="17"/>
      <c r="I97" s="17"/>
      <c r="J97" s="17"/>
      <c r="K97" s="17"/>
      <c r="L97" s="17"/>
      <c r="M97" s="17"/>
      <c r="N97" s="17"/>
      <c r="O97" s="515"/>
    </row>
    <row r="98" spans="1:15" x14ac:dyDescent="0.2">
      <c r="A98" s="17" t="s">
        <v>1941</v>
      </c>
      <c r="B98" s="1668"/>
      <c r="C98" s="17"/>
      <c r="D98" s="17"/>
      <c r="E98" s="17"/>
      <c r="F98" s="515"/>
      <c r="G98" s="17"/>
      <c r="H98" s="17"/>
      <c r="I98" s="17"/>
      <c r="J98" s="17"/>
      <c r="K98" s="17"/>
      <c r="L98" s="17"/>
      <c r="M98" s="17"/>
      <c r="N98" s="17"/>
      <c r="O98" s="515"/>
    </row>
    <row r="99" spans="1:15" x14ac:dyDescent="0.2">
      <c r="A99" s="17"/>
      <c r="B99" s="17"/>
      <c r="C99" s="17"/>
      <c r="D99" s="17"/>
      <c r="E99" s="17"/>
      <c r="F99" s="515"/>
      <c r="G99" s="17"/>
      <c r="H99" s="17"/>
      <c r="I99" s="17"/>
      <c r="J99" s="17"/>
      <c r="K99" s="17"/>
      <c r="L99" s="17"/>
      <c r="M99" s="17"/>
      <c r="N99" s="17"/>
      <c r="O99" s="515"/>
    </row>
    <row r="100" spans="1:15" x14ac:dyDescent="0.2">
      <c r="A100" s="17" t="s">
        <v>321</v>
      </c>
      <c r="B100" s="1668" t="s">
        <v>2122</v>
      </c>
      <c r="C100" s="17"/>
      <c r="D100" s="17"/>
      <c r="E100" s="17"/>
      <c r="F100" s="515"/>
      <c r="G100" s="17"/>
      <c r="H100" s="17"/>
      <c r="I100" s="17"/>
      <c r="J100" s="17"/>
      <c r="K100" s="17"/>
      <c r="L100" s="17"/>
      <c r="M100" s="17"/>
      <c r="N100" s="17"/>
      <c r="O100" s="515"/>
    </row>
    <row r="101" spans="1:15" x14ac:dyDescent="0.2">
      <c r="A101" s="17" t="s">
        <v>967</v>
      </c>
      <c r="B101" s="1668"/>
      <c r="C101" s="17"/>
      <c r="D101" s="17"/>
      <c r="E101" s="17"/>
      <c r="F101" s="515"/>
      <c r="G101" s="17"/>
      <c r="H101" s="17"/>
      <c r="I101" s="17"/>
      <c r="J101" s="17"/>
      <c r="K101" s="17"/>
      <c r="L101" s="17"/>
      <c r="M101" s="17"/>
      <c r="N101" s="17"/>
      <c r="O101" s="515"/>
    </row>
    <row r="102" spans="1:15" x14ac:dyDescent="0.2">
      <c r="A102" s="17" t="s">
        <v>968</v>
      </c>
      <c r="B102" s="1668"/>
      <c r="C102" s="17"/>
      <c r="D102" s="17"/>
      <c r="E102" s="17"/>
      <c r="F102" s="515"/>
      <c r="G102" s="17"/>
      <c r="H102" s="17"/>
      <c r="I102" s="17"/>
      <c r="J102" s="17"/>
      <c r="K102" s="17"/>
      <c r="L102" s="17"/>
      <c r="M102" s="17"/>
      <c r="N102" s="17"/>
      <c r="O102" s="515"/>
    </row>
    <row r="103" spans="1:15" x14ac:dyDescent="0.2">
      <c r="A103" s="17" t="s">
        <v>78</v>
      </c>
      <c r="B103" s="1668"/>
      <c r="C103" s="17"/>
      <c r="D103" s="17"/>
      <c r="E103" s="17"/>
      <c r="F103" s="515"/>
      <c r="G103" s="17"/>
      <c r="H103" s="17"/>
      <c r="I103" s="17"/>
      <c r="J103" s="17"/>
      <c r="K103" s="17"/>
      <c r="L103" s="17"/>
      <c r="M103" s="17"/>
      <c r="N103" s="17"/>
      <c r="O103" s="515"/>
    </row>
    <row r="104" spans="1:15" x14ac:dyDescent="0.2">
      <c r="A104" s="17" t="s">
        <v>1148</v>
      </c>
      <c r="B104" s="1668"/>
      <c r="C104" s="17"/>
      <c r="D104" s="17"/>
      <c r="E104" s="17"/>
      <c r="F104" s="515"/>
      <c r="G104" s="17"/>
      <c r="H104" s="17"/>
      <c r="I104" s="17"/>
      <c r="J104" s="17"/>
      <c r="K104" s="17"/>
      <c r="L104" s="17"/>
      <c r="M104" s="17"/>
      <c r="N104" s="17"/>
      <c r="O104" s="515"/>
    </row>
    <row r="105" spans="1:15" x14ac:dyDescent="0.2">
      <c r="A105" s="17" t="s">
        <v>1942</v>
      </c>
      <c r="B105" s="17"/>
      <c r="C105" s="17"/>
      <c r="D105" s="17"/>
      <c r="E105" s="17"/>
      <c r="F105" s="515"/>
      <c r="G105" s="17"/>
      <c r="H105" s="17"/>
      <c r="I105" s="17"/>
      <c r="J105" s="17"/>
      <c r="K105" s="17"/>
      <c r="L105" s="17"/>
      <c r="M105" s="17"/>
      <c r="N105" s="17"/>
      <c r="O105" s="515"/>
    </row>
    <row r="106" spans="1:15" x14ac:dyDescent="0.2">
      <c r="A106" s="17"/>
      <c r="B106" s="17"/>
      <c r="C106" s="17"/>
      <c r="D106" s="17"/>
      <c r="E106" s="17"/>
      <c r="F106" s="515"/>
      <c r="G106" s="17"/>
      <c r="H106" s="17"/>
      <c r="I106" s="17"/>
      <c r="J106" s="17"/>
      <c r="K106" s="17"/>
      <c r="L106" s="17"/>
      <c r="M106" s="17"/>
      <c r="N106" s="17"/>
      <c r="O106" s="515"/>
    </row>
    <row r="107" spans="1:15" ht="12.75" customHeight="1" x14ac:dyDescent="0.2">
      <c r="A107" s="17" t="s">
        <v>1454</v>
      </c>
      <c r="B107" s="1668" t="s">
        <v>2123</v>
      </c>
      <c r="C107" s="17"/>
      <c r="D107" s="17"/>
      <c r="E107" s="17"/>
      <c r="F107" s="515"/>
      <c r="G107" s="17"/>
      <c r="H107" s="17"/>
      <c r="I107" s="17"/>
      <c r="J107" s="17"/>
      <c r="K107" s="17"/>
      <c r="L107" s="17"/>
      <c r="M107" s="17"/>
      <c r="N107" s="17"/>
      <c r="O107" s="515"/>
    </row>
    <row r="108" spans="1:15" ht="12.75" customHeight="1" x14ac:dyDescent="0.2">
      <c r="A108" s="17" t="s">
        <v>322</v>
      </c>
      <c r="B108" s="1668"/>
      <c r="C108" s="17"/>
      <c r="D108" s="17"/>
      <c r="E108" s="17"/>
      <c r="F108" s="515"/>
      <c r="G108" s="17"/>
      <c r="H108" s="17"/>
      <c r="I108" s="17"/>
      <c r="J108" s="17"/>
      <c r="K108" s="17"/>
      <c r="L108" s="17"/>
      <c r="M108" s="17"/>
      <c r="N108" s="17"/>
      <c r="O108" s="515"/>
    </row>
    <row r="109" spans="1:15" ht="12.75" customHeight="1" x14ac:dyDescent="0.2">
      <c r="A109" s="17" t="s">
        <v>1451</v>
      </c>
      <c r="B109" s="1668"/>
      <c r="C109" s="17"/>
      <c r="D109" s="17"/>
      <c r="E109" s="17"/>
      <c r="F109" s="515"/>
      <c r="G109" s="17"/>
      <c r="H109" s="17"/>
      <c r="I109" s="17"/>
      <c r="J109" s="17"/>
      <c r="K109" s="17"/>
      <c r="L109" s="17"/>
      <c r="M109" s="17"/>
      <c r="N109" s="17"/>
      <c r="O109" s="515"/>
    </row>
    <row r="110" spans="1:15" ht="12.75" customHeight="1" x14ac:dyDescent="0.2">
      <c r="A110" s="17" t="s">
        <v>1452</v>
      </c>
      <c r="B110" s="1668"/>
      <c r="C110" s="17"/>
      <c r="D110" s="17"/>
      <c r="E110" s="17"/>
      <c r="F110" s="515"/>
      <c r="G110" s="17"/>
      <c r="H110" s="17"/>
      <c r="I110" s="17"/>
      <c r="J110" s="17"/>
      <c r="K110" s="17"/>
      <c r="L110" s="17"/>
      <c r="M110" s="17"/>
      <c r="N110" s="17"/>
      <c r="O110" s="515"/>
    </row>
    <row r="111" spans="1:15" ht="12.75" customHeight="1" x14ac:dyDescent="0.2">
      <c r="A111" s="17" t="s">
        <v>1453</v>
      </c>
      <c r="B111" s="1668"/>
      <c r="C111" s="17"/>
      <c r="D111" s="17"/>
      <c r="E111" s="17"/>
      <c r="F111" s="515"/>
      <c r="G111" s="17"/>
      <c r="H111" s="17"/>
      <c r="I111" s="17"/>
      <c r="J111" s="17"/>
      <c r="K111" s="17"/>
      <c r="L111" s="17"/>
      <c r="M111" s="17"/>
      <c r="N111" s="17"/>
      <c r="O111" s="515"/>
    </row>
    <row r="112" spans="1:15" ht="13.5" customHeight="1" x14ac:dyDescent="0.2">
      <c r="A112" s="17" t="s">
        <v>1943</v>
      </c>
      <c r="B112" s="1668"/>
      <c r="C112" s="17"/>
      <c r="D112" s="17"/>
      <c r="E112" s="17"/>
      <c r="F112" s="515"/>
      <c r="G112" s="17"/>
      <c r="H112" s="17"/>
      <c r="I112" s="17"/>
      <c r="J112" s="17"/>
      <c r="K112" s="17"/>
      <c r="L112" s="17"/>
      <c r="M112" s="17"/>
      <c r="N112" s="17"/>
      <c r="O112" s="515"/>
    </row>
    <row r="113" spans="1:15" x14ac:dyDescent="0.2">
      <c r="A113" s="17"/>
      <c r="B113" s="17"/>
      <c r="C113" s="17"/>
      <c r="D113" s="17"/>
      <c r="E113" s="17"/>
      <c r="F113" s="515"/>
      <c r="G113" s="17"/>
      <c r="H113" s="17"/>
      <c r="I113" s="17"/>
      <c r="J113" s="17"/>
      <c r="K113" s="17"/>
      <c r="L113" s="17"/>
      <c r="M113" s="17"/>
      <c r="N113" s="17"/>
      <c r="O113" s="515"/>
    </row>
    <row r="114" spans="1:15" ht="25.5" x14ac:dyDescent="0.2">
      <c r="A114" s="517" t="s">
        <v>1944</v>
      </c>
      <c r="B114" s="17"/>
      <c r="C114" s="17"/>
      <c r="D114" s="17"/>
      <c r="E114" s="17"/>
      <c r="F114" s="515"/>
      <c r="G114" s="17"/>
      <c r="H114" s="17"/>
      <c r="I114" s="17"/>
      <c r="J114" s="17"/>
      <c r="K114" s="17"/>
      <c r="L114" s="17"/>
      <c r="M114" s="17"/>
      <c r="N114" s="17"/>
      <c r="O114" s="515"/>
    </row>
    <row r="115" spans="1:15" x14ac:dyDescent="0.2">
      <c r="A115" s="17"/>
      <c r="B115" s="17"/>
      <c r="C115" s="17"/>
      <c r="D115" s="17"/>
      <c r="E115" s="17"/>
      <c r="F115" s="515"/>
      <c r="G115" s="17"/>
      <c r="H115" s="17"/>
      <c r="I115" s="17"/>
      <c r="J115" s="17"/>
      <c r="K115" s="17"/>
      <c r="L115" s="17"/>
      <c r="M115" s="17"/>
      <c r="N115" s="17"/>
      <c r="O115" s="515"/>
    </row>
    <row r="116" spans="1:15" x14ac:dyDescent="0.2">
      <c r="A116" s="534" t="s">
        <v>2111</v>
      </c>
      <c r="B116" s="17"/>
      <c r="C116" s="17"/>
      <c r="D116" s="17"/>
      <c r="E116" s="17"/>
      <c r="F116" s="515"/>
      <c r="G116" s="17"/>
      <c r="H116" s="17"/>
      <c r="I116" s="17"/>
      <c r="J116" s="17"/>
      <c r="K116" s="17"/>
      <c r="L116" s="17"/>
      <c r="M116" s="17"/>
      <c r="N116" s="17"/>
      <c r="O116" s="515"/>
    </row>
    <row r="117" spans="1:15" ht="25.5" x14ac:dyDescent="0.2">
      <c r="A117" s="535" t="s">
        <v>2112</v>
      </c>
      <c r="B117" s="17"/>
      <c r="C117" s="17"/>
      <c r="D117" s="17"/>
      <c r="E117" s="17"/>
      <c r="F117" s="515"/>
      <c r="G117" s="17"/>
      <c r="H117" s="17"/>
      <c r="I117" s="17"/>
      <c r="J117" s="17"/>
      <c r="K117" s="17"/>
      <c r="L117" s="17"/>
      <c r="M117" s="17"/>
      <c r="N117" s="17"/>
      <c r="O117" s="515"/>
    </row>
    <row r="118" spans="1:15" x14ac:dyDescent="0.2">
      <c r="A118" s="535" t="s">
        <v>2114</v>
      </c>
      <c r="B118" s="17"/>
      <c r="C118" s="17"/>
      <c r="D118" s="17"/>
      <c r="E118" s="17"/>
      <c r="F118" s="515"/>
      <c r="G118" s="17"/>
      <c r="H118" s="17"/>
      <c r="I118" s="17"/>
      <c r="J118" s="17"/>
      <c r="K118" s="17"/>
      <c r="L118" s="17"/>
      <c r="M118" s="17"/>
      <c r="N118" s="17"/>
      <c r="O118" s="515"/>
    </row>
    <row r="119" spans="1:15" ht="25.5" x14ac:dyDescent="0.2">
      <c r="A119" s="535" t="s">
        <v>2113</v>
      </c>
      <c r="B119" s="17"/>
      <c r="C119" s="17"/>
      <c r="D119" s="17"/>
      <c r="E119" s="17"/>
      <c r="F119" s="515"/>
      <c r="G119" s="17"/>
      <c r="H119" s="17"/>
      <c r="I119" s="17"/>
      <c r="J119" s="17"/>
      <c r="K119" s="17"/>
      <c r="L119" s="17"/>
      <c r="M119" s="17"/>
      <c r="N119" s="17"/>
      <c r="O119" s="515"/>
    </row>
    <row r="120" spans="1:15" x14ac:dyDescent="0.2">
      <c r="A120" s="536" t="s">
        <v>2117</v>
      </c>
      <c r="B120" s="17"/>
      <c r="C120" s="17"/>
      <c r="D120" s="17"/>
      <c r="E120" s="17"/>
      <c r="F120" s="515"/>
      <c r="G120" s="17"/>
      <c r="H120" s="17"/>
      <c r="I120" s="17"/>
      <c r="J120" s="17"/>
      <c r="K120" s="17"/>
      <c r="L120" s="17"/>
      <c r="M120" s="17"/>
      <c r="N120" s="17"/>
      <c r="O120" s="515"/>
    </row>
    <row r="121" spans="1:15" x14ac:dyDescent="0.2">
      <c r="A121" s="537" t="s">
        <v>2119</v>
      </c>
      <c r="B121" s="17"/>
      <c r="C121" s="17"/>
      <c r="D121" s="17"/>
      <c r="E121" s="17"/>
      <c r="F121" s="515"/>
      <c r="G121" s="17"/>
      <c r="H121" s="17"/>
      <c r="I121" s="17"/>
      <c r="J121" s="17"/>
      <c r="K121" s="17"/>
      <c r="L121" s="17"/>
      <c r="M121" s="17"/>
      <c r="N121" s="17"/>
      <c r="O121" s="515"/>
    </row>
    <row r="122" spans="1:15" x14ac:dyDescent="0.2">
      <c r="A122" s="537" t="s">
        <v>2116</v>
      </c>
      <c r="B122" s="17"/>
      <c r="C122" s="17"/>
      <c r="D122" s="17"/>
      <c r="E122" s="17"/>
      <c r="F122" s="515"/>
      <c r="G122" s="17"/>
      <c r="H122" s="17"/>
      <c r="I122" s="17"/>
      <c r="J122" s="17"/>
      <c r="K122" s="17"/>
      <c r="L122" s="17"/>
      <c r="M122" s="17"/>
      <c r="N122" s="17"/>
      <c r="O122" s="515"/>
    </row>
    <row r="123" spans="1:15" x14ac:dyDescent="0.2">
      <c r="A123" s="537" t="s">
        <v>2115</v>
      </c>
      <c r="B123" s="17"/>
      <c r="C123" s="17"/>
      <c r="D123" s="17"/>
      <c r="E123" s="17"/>
      <c r="F123" s="515"/>
      <c r="G123" s="17"/>
      <c r="H123" s="17"/>
      <c r="I123" s="17"/>
      <c r="J123" s="17"/>
      <c r="K123" s="17"/>
      <c r="L123" s="17"/>
      <c r="M123" s="17"/>
      <c r="N123" s="17"/>
      <c r="O123" s="515"/>
    </row>
    <row r="124" spans="1:15" x14ac:dyDescent="0.2">
      <c r="A124" s="537" t="s">
        <v>2118</v>
      </c>
      <c r="B124" s="17"/>
      <c r="C124" s="17"/>
      <c r="D124" s="17"/>
      <c r="E124" s="17"/>
      <c r="F124" s="515"/>
      <c r="G124" s="17"/>
      <c r="H124" s="17"/>
      <c r="I124" s="17"/>
      <c r="J124" s="17"/>
      <c r="K124" s="17"/>
      <c r="L124" s="17"/>
      <c r="M124" s="17"/>
      <c r="N124" s="17"/>
      <c r="O124" s="515"/>
    </row>
    <row r="125" spans="1:15" x14ac:dyDescent="0.2">
      <c r="A125" s="538"/>
      <c r="B125" s="17"/>
      <c r="C125" s="17"/>
      <c r="D125" s="17"/>
      <c r="E125" s="17"/>
      <c r="F125" s="515"/>
      <c r="G125" s="17"/>
      <c r="H125" s="17"/>
      <c r="I125" s="17"/>
      <c r="J125" s="17"/>
      <c r="K125" s="17"/>
      <c r="L125" s="17"/>
      <c r="M125" s="17"/>
      <c r="N125" s="17"/>
      <c r="O125" s="515"/>
    </row>
    <row r="126" spans="1:15" x14ac:dyDescent="0.2">
      <c r="A126" s="17"/>
      <c r="B126" s="17"/>
      <c r="C126" s="17"/>
      <c r="D126" s="17"/>
      <c r="E126" s="17"/>
      <c r="F126" s="515"/>
      <c r="G126" s="17"/>
      <c r="H126" s="17"/>
      <c r="I126" s="17"/>
      <c r="J126" s="17"/>
      <c r="K126" s="17"/>
      <c r="L126" s="17"/>
      <c r="M126" s="17"/>
      <c r="N126" s="17"/>
      <c r="O126" s="515"/>
    </row>
    <row r="127" spans="1:15" x14ac:dyDescent="0.2">
      <c r="A127" s="17"/>
      <c r="B127" s="17"/>
      <c r="C127" s="17"/>
      <c r="D127" s="17"/>
      <c r="E127" s="17"/>
      <c r="F127" s="515"/>
      <c r="G127" s="17"/>
      <c r="H127" s="17"/>
      <c r="I127" s="17"/>
      <c r="J127" s="17"/>
      <c r="K127" s="17"/>
      <c r="L127" s="17"/>
      <c r="M127" s="17"/>
      <c r="N127" s="17"/>
      <c r="O127" s="515"/>
    </row>
    <row r="128" spans="1:15" x14ac:dyDescent="0.2">
      <c r="A128" s="17"/>
      <c r="B128" s="17"/>
      <c r="C128" s="17"/>
      <c r="D128" s="17"/>
      <c r="E128" s="17"/>
      <c r="F128" s="515"/>
      <c r="G128" s="17"/>
      <c r="H128" s="17"/>
      <c r="I128" s="17"/>
      <c r="J128" s="17"/>
      <c r="K128" s="17"/>
      <c r="L128" s="17"/>
      <c r="M128" s="17"/>
      <c r="N128" s="17"/>
      <c r="O128" s="515"/>
    </row>
    <row r="129" spans="1:15" x14ac:dyDescent="0.2">
      <c r="A129" s="17"/>
      <c r="B129" s="17"/>
      <c r="C129" s="17"/>
      <c r="D129" s="17"/>
      <c r="E129" s="17"/>
      <c r="F129" s="515"/>
      <c r="G129" s="17"/>
      <c r="H129" s="17"/>
      <c r="I129" s="17"/>
      <c r="J129" s="17"/>
      <c r="K129" s="17"/>
      <c r="L129" s="17"/>
      <c r="M129" s="17"/>
      <c r="N129" s="17"/>
      <c r="O129" s="515"/>
    </row>
    <row r="130" spans="1:15" x14ac:dyDescent="0.2">
      <c r="A130" s="17"/>
      <c r="B130" s="17"/>
      <c r="C130" s="17"/>
      <c r="D130" s="17"/>
      <c r="E130" s="17"/>
      <c r="F130" s="515"/>
      <c r="G130" s="17"/>
      <c r="H130" s="17"/>
      <c r="I130" s="17"/>
      <c r="J130" s="17"/>
      <c r="K130" s="17"/>
      <c r="L130" s="17"/>
      <c r="M130" s="17"/>
      <c r="N130" s="17"/>
      <c r="O130" s="515"/>
    </row>
    <row r="131" spans="1:15" x14ac:dyDescent="0.2">
      <c r="A131" s="17"/>
      <c r="B131" s="17"/>
      <c r="C131" s="17"/>
      <c r="D131" s="17"/>
      <c r="E131" s="17"/>
      <c r="F131" s="515"/>
      <c r="G131" s="17"/>
      <c r="H131" s="17"/>
      <c r="I131" s="17"/>
      <c r="J131" s="17"/>
      <c r="K131" s="17"/>
      <c r="L131" s="17"/>
      <c r="M131" s="17"/>
      <c r="N131" s="17"/>
      <c r="O131" s="515"/>
    </row>
    <row r="132" spans="1:15" x14ac:dyDescent="0.2">
      <c r="A132" s="17"/>
      <c r="B132" s="17"/>
      <c r="C132" s="17"/>
      <c r="D132" s="17"/>
      <c r="E132" s="17"/>
      <c r="F132" s="515"/>
      <c r="G132" s="17"/>
      <c r="H132" s="17"/>
      <c r="I132" s="17"/>
      <c r="J132" s="17"/>
      <c r="K132" s="17"/>
      <c r="L132" s="17"/>
      <c r="M132" s="17"/>
      <c r="N132" s="17"/>
      <c r="O132" s="515"/>
    </row>
    <row r="133" spans="1:15" x14ac:dyDescent="0.2">
      <c r="A133" s="17"/>
      <c r="B133" s="17"/>
      <c r="C133" s="17"/>
      <c r="D133" s="17"/>
      <c r="E133" s="17"/>
      <c r="F133" s="515"/>
      <c r="G133" s="17"/>
      <c r="H133" s="17"/>
      <c r="I133" s="17"/>
      <c r="J133" s="17"/>
      <c r="K133" s="17"/>
      <c r="L133" s="17"/>
      <c r="M133" s="17"/>
      <c r="N133" s="17"/>
      <c r="O133" s="515"/>
    </row>
    <row r="134" spans="1:15" x14ac:dyDescent="0.2">
      <c r="A134" s="17"/>
      <c r="B134" s="17"/>
      <c r="C134" s="17"/>
      <c r="D134" s="17"/>
      <c r="E134" s="17"/>
      <c r="F134" s="515"/>
      <c r="G134" s="17"/>
      <c r="H134" s="17"/>
      <c r="I134" s="17"/>
      <c r="J134" s="17"/>
      <c r="K134" s="17"/>
      <c r="L134" s="17"/>
      <c r="M134" s="17"/>
      <c r="N134" s="17"/>
      <c r="O134" s="515"/>
    </row>
    <row r="135" spans="1:15" x14ac:dyDescent="0.2">
      <c r="A135" s="17"/>
      <c r="B135" s="17"/>
      <c r="C135" s="17"/>
      <c r="D135" s="17"/>
      <c r="E135" s="17"/>
      <c r="F135" s="515"/>
      <c r="G135" s="17"/>
      <c r="H135" s="17"/>
      <c r="I135" s="17"/>
      <c r="J135" s="17"/>
      <c r="K135" s="17"/>
      <c r="L135" s="17"/>
      <c r="M135" s="17"/>
      <c r="N135" s="17"/>
      <c r="O135" s="515"/>
    </row>
    <row r="136" spans="1:15" x14ac:dyDescent="0.2">
      <c r="A136" s="17"/>
      <c r="B136" s="17"/>
      <c r="C136" s="17"/>
      <c r="D136" s="17"/>
      <c r="E136" s="17"/>
      <c r="F136" s="515"/>
      <c r="G136" s="17"/>
      <c r="H136" s="17"/>
      <c r="I136" s="17"/>
      <c r="J136" s="17"/>
      <c r="K136" s="17"/>
      <c r="L136" s="17"/>
      <c r="M136" s="17"/>
      <c r="N136" s="17"/>
      <c r="O136" s="515"/>
    </row>
    <row r="137" spans="1:15" x14ac:dyDescent="0.2">
      <c r="A137" s="17"/>
      <c r="B137" s="17"/>
      <c r="C137" s="17"/>
      <c r="D137" s="17"/>
      <c r="E137" s="17"/>
      <c r="F137" s="515"/>
      <c r="G137" s="17"/>
      <c r="H137" s="17"/>
      <c r="I137" s="17"/>
      <c r="J137" s="17"/>
      <c r="K137" s="17"/>
      <c r="L137" s="17"/>
      <c r="M137" s="17"/>
      <c r="N137" s="17"/>
      <c r="O137" s="515"/>
    </row>
    <row r="138" spans="1:15" x14ac:dyDescent="0.2">
      <c r="A138" s="17"/>
      <c r="B138" s="17"/>
      <c r="C138" s="17"/>
      <c r="D138" s="17"/>
      <c r="E138" s="17"/>
      <c r="F138" s="515"/>
      <c r="G138" s="17"/>
      <c r="H138" s="17"/>
      <c r="I138" s="17"/>
      <c r="J138" s="17"/>
      <c r="K138" s="17"/>
      <c r="L138" s="17"/>
      <c r="M138" s="17"/>
      <c r="N138" s="17"/>
      <c r="O138" s="515"/>
    </row>
    <row r="139" spans="1:15" x14ac:dyDescent="0.2">
      <c r="A139" s="17"/>
      <c r="B139" s="17"/>
      <c r="C139" s="17"/>
      <c r="D139" s="17"/>
      <c r="E139" s="17"/>
      <c r="F139" s="515"/>
      <c r="G139" s="17"/>
      <c r="H139" s="17"/>
      <c r="I139" s="17"/>
      <c r="J139" s="17"/>
      <c r="K139" s="17"/>
      <c r="L139" s="17"/>
      <c r="M139" s="17"/>
      <c r="N139" s="17"/>
      <c r="O139" s="515"/>
    </row>
    <row r="140" spans="1:15" x14ac:dyDescent="0.2">
      <c r="A140" s="17"/>
      <c r="B140" s="17"/>
      <c r="C140" s="17"/>
      <c r="D140" s="17"/>
      <c r="E140" s="17"/>
      <c r="F140" s="515"/>
      <c r="G140" s="17"/>
      <c r="H140" s="17"/>
      <c r="I140" s="17"/>
      <c r="J140" s="17"/>
      <c r="K140" s="17"/>
      <c r="L140" s="17"/>
      <c r="M140" s="17"/>
      <c r="N140" s="17"/>
      <c r="O140" s="515"/>
    </row>
    <row r="141" spans="1:15" x14ac:dyDescent="0.2">
      <c r="A141" s="17"/>
      <c r="B141" s="17"/>
      <c r="C141" s="17"/>
      <c r="D141" s="17"/>
      <c r="E141" s="17"/>
      <c r="F141" s="515"/>
      <c r="G141" s="17"/>
      <c r="H141" s="17"/>
      <c r="I141" s="17"/>
      <c r="J141" s="17"/>
      <c r="K141" s="17"/>
      <c r="L141" s="17"/>
      <c r="M141" s="17"/>
      <c r="N141" s="17"/>
      <c r="O141" s="515"/>
    </row>
    <row r="142" spans="1:15" x14ac:dyDescent="0.2">
      <c r="A142" s="17"/>
      <c r="B142" s="17"/>
      <c r="C142" s="17"/>
      <c r="D142" s="17"/>
      <c r="E142" s="17"/>
      <c r="F142" s="515"/>
      <c r="G142" s="17"/>
      <c r="H142" s="17"/>
      <c r="I142" s="17"/>
      <c r="J142" s="17"/>
      <c r="K142" s="17"/>
      <c r="L142" s="17"/>
      <c r="M142" s="17"/>
      <c r="N142" s="17"/>
      <c r="O142" s="515"/>
    </row>
    <row r="143" spans="1:15" x14ac:dyDescent="0.2">
      <c r="A143" s="17"/>
      <c r="B143" s="17"/>
      <c r="C143" s="17"/>
      <c r="D143" s="17"/>
      <c r="E143" s="17"/>
      <c r="F143" s="515"/>
      <c r="G143" s="17"/>
      <c r="H143" s="17"/>
      <c r="I143" s="17"/>
      <c r="J143" s="17"/>
      <c r="K143" s="17"/>
      <c r="L143" s="17"/>
      <c r="M143" s="17"/>
      <c r="N143" s="17"/>
      <c r="O143" s="515"/>
    </row>
    <row r="144" spans="1:15" x14ac:dyDescent="0.2">
      <c r="A144" s="17"/>
      <c r="B144" s="17"/>
      <c r="C144" s="17"/>
      <c r="D144" s="17"/>
      <c r="E144" s="17"/>
      <c r="F144" s="515"/>
      <c r="G144" s="17"/>
      <c r="H144" s="17"/>
      <c r="I144" s="17"/>
      <c r="J144" s="17"/>
      <c r="K144" s="17"/>
      <c r="L144" s="17"/>
      <c r="M144" s="17"/>
      <c r="N144" s="17"/>
      <c r="O144" s="515"/>
    </row>
    <row r="145" spans="1:15" x14ac:dyDescent="0.2">
      <c r="A145" s="17"/>
      <c r="B145" s="17"/>
      <c r="C145" s="17"/>
      <c r="D145" s="17"/>
      <c r="E145" s="17"/>
      <c r="F145" s="515"/>
      <c r="G145" s="17"/>
      <c r="H145" s="17"/>
      <c r="I145" s="17"/>
      <c r="J145" s="17"/>
      <c r="K145" s="17"/>
      <c r="L145" s="17"/>
      <c r="M145" s="17"/>
      <c r="N145" s="17"/>
      <c r="O145" s="515"/>
    </row>
    <row r="146" spans="1:15" x14ac:dyDescent="0.2">
      <c r="A146" s="17"/>
      <c r="B146" s="17"/>
      <c r="C146" s="17"/>
      <c r="D146" s="17"/>
      <c r="E146" s="17"/>
      <c r="F146" s="515"/>
      <c r="G146" s="17"/>
      <c r="H146" s="17"/>
      <c r="I146" s="17"/>
      <c r="J146" s="17"/>
      <c r="K146" s="17"/>
      <c r="L146" s="17"/>
      <c r="M146" s="17"/>
      <c r="N146" s="17"/>
      <c r="O146" s="515"/>
    </row>
    <row r="147" spans="1:15" x14ac:dyDescent="0.2">
      <c r="A147" s="17"/>
      <c r="B147" s="17"/>
      <c r="C147" s="17"/>
      <c r="D147" s="17"/>
      <c r="E147" s="17"/>
      <c r="F147" s="515"/>
      <c r="G147" s="17"/>
      <c r="H147" s="17"/>
      <c r="I147" s="17"/>
      <c r="J147" s="17"/>
      <c r="K147" s="17"/>
      <c r="L147" s="17"/>
      <c r="M147" s="17"/>
      <c r="N147" s="17"/>
      <c r="O147" s="515"/>
    </row>
    <row r="148" spans="1:15" x14ac:dyDescent="0.2">
      <c r="A148" s="17"/>
      <c r="B148" s="17"/>
      <c r="C148" s="17"/>
      <c r="D148" s="17"/>
      <c r="E148" s="17"/>
      <c r="F148" s="515"/>
      <c r="G148" s="17"/>
      <c r="H148" s="17"/>
      <c r="I148" s="17"/>
      <c r="J148" s="17"/>
      <c r="K148" s="17"/>
      <c r="L148" s="17"/>
      <c r="M148" s="17"/>
      <c r="N148" s="17"/>
      <c r="O148" s="515"/>
    </row>
    <row r="149" spans="1:15" x14ac:dyDescent="0.2">
      <c r="A149" s="17"/>
      <c r="B149" s="17"/>
      <c r="C149" s="17"/>
      <c r="D149" s="17"/>
      <c r="E149" s="17"/>
      <c r="F149" s="515"/>
      <c r="G149" s="17"/>
      <c r="H149" s="17"/>
      <c r="I149" s="17"/>
      <c r="J149" s="17"/>
      <c r="K149" s="17"/>
      <c r="L149" s="17"/>
      <c r="M149" s="17"/>
      <c r="N149" s="17"/>
      <c r="O149" s="515"/>
    </row>
    <row r="150" spans="1:15" x14ac:dyDescent="0.2">
      <c r="A150" s="17"/>
      <c r="B150" s="17"/>
      <c r="C150" s="17"/>
      <c r="D150" s="17"/>
      <c r="E150" s="17"/>
      <c r="F150" s="515"/>
      <c r="G150" s="17"/>
      <c r="H150" s="17"/>
      <c r="I150" s="17"/>
      <c r="J150" s="17"/>
      <c r="K150" s="17"/>
      <c r="L150" s="17"/>
      <c r="M150" s="17"/>
      <c r="N150" s="17"/>
      <c r="O150" s="515"/>
    </row>
    <row r="151" spans="1:15" x14ac:dyDescent="0.2">
      <c r="A151" s="17"/>
      <c r="B151" s="17"/>
      <c r="C151" s="17"/>
      <c r="D151" s="17"/>
      <c r="E151" s="17"/>
      <c r="F151" s="515"/>
      <c r="G151" s="17"/>
      <c r="H151" s="17"/>
      <c r="I151" s="17"/>
      <c r="J151" s="17"/>
      <c r="K151" s="17"/>
      <c r="L151" s="17"/>
      <c r="M151" s="17"/>
      <c r="N151" s="17"/>
      <c r="O151" s="515"/>
    </row>
    <row r="152" spans="1:15" x14ac:dyDescent="0.2">
      <c r="A152" s="17"/>
      <c r="B152" s="17"/>
      <c r="C152" s="17"/>
      <c r="D152" s="17"/>
      <c r="E152" s="17"/>
      <c r="F152" s="515"/>
      <c r="G152" s="17"/>
      <c r="H152" s="17"/>
      <c r="I152" s="17"/>
      <c r="J152" s="17"/>
      <c r="K152" s="17"/>
      <c r="L152" s="17"/>
      <c r="M152" s="17"/>
      <c r="N152" s="17"/>
      <c r="O152" s="515"/>
    </row>
    <row r="153" spans="1:15" x14ac:dyDescent="0.2">
      <c r="A153" s="17"/>
      <c r="B153" s="17"/>
      <c r="C153" s="17"/>
      <c r="D153" s="17"/>
      <c r="E153" s="17"/>
      <c r="F153" s="515"/>
      <c r="G153" s="17"/>
      <c r="H153" s="17"/>
      <c r="I153" s="17"/>
      <c r="J153" s="17"/>
      <c r="K153" s="17"/>
      <c r="L153" s="17"/>
      <c r="M153" s="17"/>
      <c r="N153" s="17"/>
      <c r="O153" s="515"/>
    </row>
    <row r="154" spans="1:15" x14ac:dyDescent="0.2">
      <c r="A154" s="17"/>
      <c r="B154" s="17"/>
      <c r="C154" s="17"/>
      <c r="D154" s="17"/>
      <c r="E154" s="17"/>
      <c r="F154" s="515"/>
      <c r="G154" s="17"/>
      <c r="H154" s="17"/>
      <c r="I154" s="17"/>
      <c r="J154" s="17"/>
      <c r="K154" s="17"/>
      <c r="L154" s="17"/>
      <c r="M154" s="17"/>
      <c r="N154" s="17"/>
      <c r="O154" s="515"/>
    </row>
    <row r="155" spans="1:15" x14ac:dyDescent="0.2">
      <c r="A155" s="17"/>
      <c r="B155" s="17"/>
      <c r="C155" s="17"/>
      <c r="D155" s="17"/>
      <c r="E155" s="17"/>
      <c r="F155" s="515"/>
      <c r="G155" s="17"/>
      <c r="H155" s="17"/>
      <c r="I155" s="17"/>
      <c r="J155" s="17"/>
      <c r="K155" s="17"/>
      <c r="L155" s="17"/>
      <c r="M155" s="17"/>
      <c r="N155" s="17"/>
      <c r="O155" s="515"/>
    </row>
    <row r="156" spans="1:15" x14ac:dyDescent="0.2">
      <c r="A156" s="17"/>
      <c r="B156" s="17"/>
      <c r="C156" s="17"/>
      <c r="D156" s="17"/>
      <c r="E156" s="17"/>
      <c r="F156" s="515"/>
      <c r="G156" s="17"/>
      <c r="H156" s="17"/>
      <c r="I156" s="17"/>
      <c r="J156" s="17"/>
      <c r="K156" s="17"/>
      <c r="L156" s="17"/>
      <c r="M156" s="17"/>
      <c r="N156" s="17"/>
      <c r="O156" s="515"/>
    </row>
    <row r="157" spans="1:15" x14ac:dyDescent="0.2">
      <c r="A157" s="17"/>
      <c r="B157" s="17"/>
      <c r="C157" s="17"/>
      <c r="D157" s="17"/>
      <c r="E157" s="17"/>
      <c r="F157" s="515"/>
      <c r="G157" s="17"/>
      <c r="H157" s="17"/>
      <c r="I157" s="17"/>
      <c r="J157" s="17"/>
      <c r="K157" s="17"/>
      <c r="L157" s="17"/>
      <c r="M157" s="17"/>
      <c r="N157" s="17"/>
      <c r="O157" s="515"/>
    </row>
    <row r="158" spans="1:15" x14ac:dyDescent="0.2">
      <c r="A158" s="17"/>
      <c r="B158" s="17"/>
      <c r="C158" s="17"/>
      <c r="D158" s="17"/>
      <c r="E158" s="17"/>
      <c r="F158" s="515"/>
      <c r="G158" s="17"/>
      <c r="H158" s="17"/>
      <c r="I158" s="17"/>
      <c r="J158" s="17"/>
      <c r="K158" s="17"/>
      <c r="L158" s="17"/>
      <c r="M158" s="17"/>
      <c r="N158" s="17"/>
      <c r="O158" s="515"/>
    </row>
    <row r="159" spans="1:15" x14ac:dyDescent="0.2">
      <c r="A159" s="17"/>
      <c r="B159" s="17"/>
      <c r="C159" s="17"/>
      <c r="D159" s="17"/>
      <c r="E159" s="17"/>
      <c r="F159" s="515"/>
      <c r="G159" s="17"/>
      <c r="H159" s="17"/>
      <c r="I159" s="17"/>
      <c r="J159" s="17"/>
      <c r="K159" s="17"/>
      <c r="L159" s="17"/>
      <c r="M159" s="17"/>
      <c r="N159" s="17"/>
      <c r="O159" s="515"/>
    </row>
    <row r="160" spans="1:15" x14ac:dyDescent="0.2">
      <c r="A160" s="17"/>
      <c r="B160" s="17"/>
      <c r="C160" s="17"/>
      <c r="D160" s="17"/>
      <c r="E160" s="17"/>
      <c r="F160" s="515"/>
      <c r="G160" s="17"/>
      <c r="H160" s="17"/>
      <c r="I160" s="17"/>
      <c r="J160" s="17"/>
      <c r="K160" s="17"/>
      <c r="L160" s="17"/>
      <c r="M160" s="17"/>
      <c r="N160" s="17"/>
      <c r="O160" s="515"/>
    </row>
    <row r="161" spans="1:15" x14ac:dyDescent="0.2">
      <c r="A161" s="17"/>
      <c r="B161" s="17"/>
      <c r="C161" s="17"/>
      <c r="D161" s="17"/>
      <c r="E161" s="17"/>
      <c r="F161" s="515"/>
      <c r="G161" s="17"/>
      <c r="H161" s="17"/>
      <c r="I161" s="17"/>
      <c r="J161" s="17"/>
      <c r="K161" s="17"/>
      <c r="L161" s="17"/>
      <c r="M161" s="17"/>
      <c r="N161" s="17"/>
      <c r="O161" s="515"/>
    </row>
    <row r="162" spans="1:15" x14ac:dyDescent="0.2">
      <c r="A162" s="17"/>
      <c r="B162" s="17"/>
      <c r="C162" s="17"/>
      <c r="D162" s="17"/>
      <c r="E162" s="17"/>
      <c r="F162" s="515"/>
      <c r="G162" s="17"/>
      <c r="H162" s="17"/>
      <c r="I162" s="17"/>
      <c r="J162" s="17"/>
      <c r="K162" s="17"/>
      <c r="L162" s="17"/>
      <c r="M162" s="17"/>
      <c r="N162" s="17"/>
      <c r="O162" s="515"/>
    </row>
    <row r="163" spans="1:15" x14ac:dyDescent="0.2">
      <c r="A163" s="17"/>
      <c r="B163" s="17"/>
      <c r="C163" s="17"/>
      <c r="D163" s="17"/>
      <c r="E163" s="17"/>
      <c r="F163" s="515"/>
      <c r="G163" s="17"/>
      <c r="H163" s="17"/>
      <c r="I163" s="17"/>
      <c r="J163" s="17"/>
      <c r="K163" s="17"/>
      <c r="L163" s="17"/>
      <c r="M163" s="17"/>
      <c r="N163" s="17"/>
      <c r="O163" s="515"/>
    </row>
    <row r="164" spans="1:15" x14ac:dyDescent="0.2">
      <c r="A164" s="17"/>
      <c r="B164" s="17"/>
      <c r="C164" s="17"/>
      <c r="D164" s="17"/>
      <c r="E164" s="17"/>
      <c r="F164" s="515"/>
      <c r="G164" s="17"/>
      <c r="H164" s="17"/>
      <c r="I164" s="17"/>
      <c r="J164" s="17"/>
      <c r="K164" s="17"/>
      <c r="L164" s="17"/>
      <c r="M164" s="17"/>
      <c r="N164" s="17"/>
      <c r="O164" s="515"/>
    </row>
    <row r="165" spans="1:15" x14ac:dyDescent="0.2">
      <c r="A165" s="17"/>
      <c r="B165" s="17"/>
      <c r="C165" s="17"/>
      <c r="D165" s="17"/>
      <c r="E165" s="17"/>
      <c r="F165" s="515"/>
      <c r="G165" s="17"/>
      <c r="H165" s="17"/>
      <c r="I165" s="17"/>
      <c r="J165" s="17"/>
      <c r="K165" s="17"/>
      <c r="L165" s="17"/>
      <c r="M165" s="17"/>
      <c r="N165" s="17"/>
      <c r="O165" s="515"/>
    </row>
    <row r="166" spans="1:15" x14ac:dyDescent="0.2">
      <c r="A166" s="17"/>
      <c r="B166" s="17"/>
      <c r="C166" s="17"/>
      <c r="D166" s="17"/>
      <c r="E166" s="17"/>
      <c r="F166" s="515"/>
      <c r="G166" s="17"/>
      <c r="H166" s="17"/>
      <c r="I166" s="17"/>
      <c r="J166" s="17"/>
      <c r="K166" s="17"/>
      <c r="L166" s="17"/>
      <c r="M166" s="17"/>
      <c r="N166" s="17"/>
      <c r="O166" s="515"/>
    </row>
    <row r="167" spans="1:15" x14ac:dyDescent="0.2">
      <c r="A167" s="30"/>
    </row>
    <row r="168" spans="1:15" x14ac:dyDescent="0.2">
      <c r="A168" s="30"/>
    </row>
    <row r="169" spans="1:15" x14ac:dyDescent="0.2">
      <c r="A169" s="30"/>
    </row>
    <row r="170" spans="1:15" x14ac:dyDescent="0.2">
      <c r="A170" s="30"/>
    </row>
    <row r="171" spans="1:15" x14ac:dyDescent="0.2">
      <c r="A171" s="30"/>
    </row>
    <row r="172" spans="1:15" x14ac:dyDescent="0.2">
      <c r="A172" s="30"/>
    </row>
    <row r="173" spans="1:15" x14ac:dyDescent="0.2">
      <c r="A173" s="30"/>
    </row>
    <row r="174" spans="1:15" x14ac:dyDescent="0.2">
      <c r="A174" s="30"/>
    </row>
    <row r="175" spans="1:15" x14ac:dyDescent="0.2">
      <c r="A175" s="30"/>
    </row>
    <row r="176" spans="1:15" x14ac:dyDescent="0.2">
      <c r="A176" s="30"/>
    </row>
    <row r="177" spans="1:1" x14ac:dyDescent="0.2">
      <c r="A177" s="30"/>
    </row>
    <row r="178" spans="1:1" x14ac:dyDescent="0.2">
      <c r="A178" s="30"/>
    </row>
    <row r="179" spans="1:1" x14ac:dyDescent="0.2">
      <c r="A179" s="30"/>
    </row>
    <row r="180" spans="1:1" x14ac:dyDescent="0.2">
      <c r="A180" s="30"/>
    </row>
    <row r="181" spans="1:1" x14ac:dyDescent="0.2">
      <c r="A181" s="30"/>
    </row>
    <row r="182" spans="1:1" x14ac:dyDescent="0.2">
      <c r="A182" s="30"/>
    </row>
    <row r="183" spans="1:1" x14ac:dyDescent="0.2">
      <c r="A183" s="30"/>
    </row>
    <row r="184" spans="1:1" x14ac:dyDescent="0.2">
      <c r="A184" s="30"/>
    </row>
    <row r="185" spans="1:1" x14ac:dyDescent="0.2">
      <c r="A185" s="30"/>
    </row>
    <row r="186" spans="1:1" x14ac:dyDescent="0.2">
      <c r="A186" s="30"/>
    </row>
    <row r="187" spans="1:1" x14ac:dyDescent="0.2">
      <c r="A187" s="30"/>
    </row>
    <row r="188" spans="1:1" x14ac:dyDescent="0.2">
      <c r="A188" s="30"/>
    </row>
    <row r="189" spans="1:1" x14ac:dyDescent="0.2">
      <c r="A189" s="30"/>
    </row>
    <row r="190" spans="1:1" x14ac:dyDescent="0.2">
      <c r="A190" s="30"/>
    </row>
    <row r="191" spans="1:1" x14ac:dyDescent="0.2">
      <c r="A191" s="30"/>
    </row>
    <row r="192" spans="1:1" x14ac:dyDescent="0.2">
      <c r="A192" s="30"/>
    </row>
    <row r="193" spans="1:1" x14ac:dyDescent="0.2">
      <c r="A193" s="30"/>
    </row>
    <row r="194" spans="1:1" x14ac:dyDescent="0.2">
      <c r="A194" s="30"/>
    </row>
    <row r="195" spans="1:1" x14ac:dyDescent="0.2">
      <c r="A195" s="30"/>
    </row>
    <row r="196" spans="1:1" x14ac:dyDescent="0.2">
      <c r="A196" s="30"/>
    </row>
    <row r="197" spans="1:1" x14ac:dyDescent="0.2">
      <c r="A197" s="30"/>
    </row>
    <row r="198" spans="1:1" x14ac:dyDescent="0.2">
      <c r="A198" s="30"/>
    </row>
    <row r="199" spans="1:1" x14ac:dyDescent="0.2">
      <c r="A199" s="30"/>
    </row>
    <row r="200" spans="1:1" x14ac:dyDescent="0.2">
      <c r="A200" s="30"/>
    </row>
    <row r="201" spans="1:1" x14ac:dyDescent="0.2">
      <c r="A201" s="30"/>
    </row>
    <row r="202" spans="1:1" x14ac:dyDescent="0.2">
      <c r="A202" s="30"/>
    </row>
    <row r="203" spans="1:1" x14ac:dyDescent="0.2">
      <c r="A203" s="30"/>
    </row>
    <row r="204" spans="1:1" x14ac:dyDescent="0.2">
      <c r="A204" s="30"/>
    </row>
    <row r="205" spans="1:1" x14ac:dyDescent="0.2">
      <c r="A205" s="30"/>
    </row>
    <row r="206" spans="1:1" x14ac:dyDescent="0.2">
      <c r="A206" s="30"/>
    </row>
    <row r="207" spans="1:1" x14ac:dyDescent="0.2">
      <c r="A207" s="30"/>
    </row>
    <row r="208" spans="1:1" x14ac:dyDescent="0.2">
      <c r="A208" s="30"/>
    </row>
    <row r="209" spans="1:1" x14ac:dyDescent="0.2">
      <c r="A209" s="30"/>
    </row>
    <row r="210" spans="1:1" x14ac:dyDescent="0.2">
      <c r="A210" s="30"/>
    </row>
    <row r="211" spans="1:1" x14ac:dyDescent="0.2">
      <c r="A211" s="30"/>
    </row>
    <row r="212" spans="1:1" x14ac:dyDescent="0.2">
      <c r="A212" s="30"/>
    </row>
    <row r="213" spans="1:1" x14ac:dyDescent="0.2">
      <c r="A213" s="30"/>
    </row>
    <row r="214" spans="1:1" x14ac:dyDescent="0.2">
      <c r="A214" s="30"/>
    </row>
    <row r="215" spans="1:1" x14ac:dyDescent="0.2">
      <c r="A215" s="30"/>
    </row>
    <row r="216" spans="1:1" x14ac:dyDescent="0.2">
      <c r="A216" s="30"/>
    </row>
    <row r="217" spans="1:1" x14ac:dyDescent="0.2">
      <c r="A217" s="30"/>
    </row>
    <row r="218" spans="1:1" x14ac:dyDescent="0.2">
      <c r="A218" s="30"/>
    </row>
    <row r="219" spans="1:1" x14ac:dyDescent="0.2">
      <c r="A219" s="30"/>
    </row>
    <row r="220" spans="1:1" x14ac:dyDescent="0.2">
      <c r="A220" s="30"/>
    </row>
    <row r="221" spans="1:1" x14ac:dyDescent="0.2">
      <c r="A221" s="30"/>
    </row>
    <row r="222" spans="1:1" x14ac:dyDescent="0.2">
      <c r="A222" s="30"/>
    </row>
    <row r="223" spans="1:1" x14ac:dyDescent="0.2">
      <c r="A223" s="30"/>
    </row>
    <row r="224" spans="1:1" x14ac:dyDescent="0.2">
      <c r="A224" s="30"/>
    </row>
  </sheetData>
  <sheetProtection sheet="1"/>
  <mergeCells count="13">
    <mergeCell ref="B57:L57"/>
    <mergeCell ref="A1:B1"/>
    <mergeCell ref="B55:L56"/>
    <mergeCell ref="B47:L47"/>
    <mergeCell ref="B48:B53"/>
    <mergeCell ref="A20:B20"/>
    <mergeCell ref="A2:B2"/>
    <mergeCell ref="A3:B3"/>
    <mergeCell ref="B88:B92"/>
    <mergeCell ref="B94:B98"/>
    <mergeCell ref="B100:B104"/>
    <mergeCell ref="B107:B112"/>
    <mergeCell ref="B81:B86"/>
  </mergeCells>
  <phoneticPr fontId="0" type="noConversion"/>
  <pageMargins left="0.75" right="0.75" top="1" bottom="1" header="0.5" footer="0.5"/>
  <pageSetup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O24"/>
  <sheetViews>
    <sheetView topLeftCell="A4" zoomScaleNormal="100" workbookViewId="0">
      <selection activeCell="B7" sqref="B7"/>
    </sheetView>
  </sheetViews>
  <sheetFormatPr defaultColWidth="9.140625" defaultRowHeight="12.75" x14ac:dyDescent="0.2"/>
  <cols>
    <col min="1" max="1" width="3.140625" customWidth="1"/>
    <col min="3" max="3" width="9.42578125" customWidth="1"/>
    <col min="4" max="4" width="7.42578125" customWidth="1"/>
    <col min="9" max="9" width="8.7109375" customWidth="1"/>
    <col min="10" max="10" width="12.5703125" customWidth="1"/>
    <col min="11" max="11" width="1.7109375" customWidth="1"/>
    <col min="12" max="15" width="0" hidden="1" customWidth="1"/>
  </cols>
  <sheetData>
    <row r="1" spans="2:15" ht="24" customHeight="1" x14ac:dyDescent="0.25">
      <c r="B1" s="713" t="s">
        <v>1742</v>
      </c>
      <c r="C1" s="777"/>
      <c r="D1" s="777"/>
      <c r="E1" s="777"/>
      <c r="F1" s="777"/>
      <c r="G1" s="777"/>
      <c r="H1" s="777"/>
      <c r="I1" s="777"/>
      <c r="J1" s="777"/>
    </row>
    <row r="2" spans="2:15" ht="18" customHeight="1" x14ac:dyDescent="0.25">
      <c r="B2" s="1682" t="s">
        <v>1741</v>
      </c>
      <c r="C2" s="1183"/>
      <c r="D2" s="1183"/>
      <c r="E2" s="1183"/>
      <c r="F2" s="1183"/>
      <c r="G2" s="1183"/>
      <c r="H2" s="1183"/>
      <c r="I2" s="1183"/>
      <c r="J2" s="1183"/>
    </row>
    <row r="3" spans="2:15" ht="208.5" customHeight="1" x14ac:dyDescent="0.25">
      <c r="B3" s="1683" t="s">
        <v>1740</v>
      </c>
      <c r="C3" s="1684"/>
      <c r="D3" s="1684"/>
      <c r="E3" s="1684"/>
      <c r="F3" s="1684"/>
      <c r="G3" s="1684"/>
      <c r="H3" s="1684"/>
      <c r="I3" s="1684"/>
      <c r="J3" s="1685"/>
    </row>
    <row r="4" spans="2:15" x14ac:dyDescent="0.2">
      <c r="B4" s="1675"/>
      <c r="C4" s="1675"/>
      <c r="D4" s="1675"/>
      <c r="E4" s="1675"/>
      <c r="F4" s="1675"/>
      <c r="G4" s="1675"/>
      <c r="H4" s="1675"/>
      <c r="I4" s="1675"/>
      <c r="J4" s="1675"/>
    </row>
    <row r="5" spans="2:15" ht="18" customHeight="1" x14ac:dyDescent="0.25">
      <c r="B5" s="712" t="s">
        <v>599</v>
      </c>
      <c r="C5" s="1253"/>
      <c r="D5" s="1253"/>
      <c r="E5" s="1253"/>
      <c r="F5" s="1253"/>
      <c r="G5" s="1253"/>
      <c r="H5" s="1253"/>
      <c r="I5" s="1253"/>
      <c r="J5" s="1253"/>
    </row>
    <row r="6" spans="2:15" x14ac:dyDescent="0.2">
      <c r="B6" s="2"/>
      <c r="C6" s="2"/>
      <c r="D6" s="2"/>
      <c r="E6" s="2"/>
      <c r="F6" s="2"/>
      <c r="G6" s="2"/>
      <c r="H6" s="2"/>
      <c r="I6" s="2"/>
      <c r="J6" s="2"/>
    </row>
    <row r="7" spans="2:15" ht="18" customHeight="1" x14ac:dyDescent="0.25">
      <c r="B7" s="236"/>
      <c r="C7" s="2"/>
      <c r="D7" s="1676" t="s">
        <v>1509</v>
      </c>
      <c r="E7" s="1677"/>
      <c r="F7" s="1678"/>
      <c r="G7" s="2"/>
      <c r="H7" s="2"/>
      <c r="I7" s="2"/>
      <c r="J7" s="2"/>
      <c r="L7" s="338">
        <f t="shared" ref="L7:L24" si="0">IF(B7="",0,B7)</f>
        <v>0</v>
      </c>
      <c r="M7" s="338">
        <f>LARGE($L$7:$L$24,1)</f>
        <v>0</v>
      </c>
      <c r="N7" s="234">
        <f>M7+M8*(1-M7)</f>
        <v>0</v>
      </c>
      <c r="O7" s="339">
        <f t="shared" ref="O7:O23" si="1">ROUND(N7,2)</f>
        <v>0</v>
      </c>
    </row>
    <row r="8" spans="2:15" ht="18" customHeight="1" x14ac:dyDescent="0.25">
      <c r="B8" s="236"/>
      <c r="C8" s="2"/>
      <c r="D8" s="1679">
        <f>O23</f>
        <v>0</v>
      </c>
      <c r="E8" s="1680"/>
      <c r="F8" s="1681"/>
      <c r="G8" s="2"/>
      <c r="H8" s="2"/>
      <c r="I8" s="2"/>
      <c r="J8" s="2"/>
      <c r="L8" s="338">
        <f t="shared" si="0"/>
        <v>0</v>
      </c>
      <c r="M8" s="338">
        <f>LARGE($L$7:$L$24,2)</f>
        <v>0</v>
      </c>
      <c r="N8" s="234">
        <f t="shared" ref="N8:N23" si="2">O7+M9*(1-O7)</f>
        <v>0</v>
      </c>
      <c r="O8" s="339">
        <f t="shared" si="1"/>
        <v>0</v>
      </c>
    </row>
    <row r="9" spans="2:15" ht="18" customHeight="1" x14ac:dyDescent="0.25">
      <c r="B9" s="236"/>
      <c r="L9" s="338">
        <f t="shared" si="0"/>
        <v>0</v>
      </c>
      <c r="M9" s="338">
        <f>LARGE($L$7:$L$24,3)</f>
        <v>0</v>
      </c>
      <c r="N9" s="234">
        <f t="shared" si="2"/>
        <v>0</v>
      </c>
      <c r="O9" s="339">
        <f t="shared" si="1"/>
        <v>0</v>
      </c>
    </row>
    <row r="10" spans="2:15" ht="18" customHeight="1" x14ac:dyDescent="0.25">
      <c r="B10" s="236"/>
      <c r="L10" s="338">
        <f t="shared" si="0"/>
        <v>0</v>
      </c>
      <c r="M10" s="338">
        <f>LARGE($L$7:$L$24,4)</f>
        <v>0</v>
      </c>
      <c r="N10" s="234">
        <f t="shared" si="2"/>
        <v>0</v>
      </c>
      <c r="O10" s="339">
        <f t="shared" si="1"/>
        <v>0</v>
      </c>
    </row>
    <row r="11" spans="2:15" ht="18" customHeight="1" x14ac:dyDescent="0.25">
      <c r="B11" s="236"/>
      <c r="L11" s="338">
        <f t="shared" si="0"/>
        <v>0</v>
      </c>
      <c r="M11" s="338">
        <f>LARGE($L$7:$L$24,5)</f>
        <v>0</v>
      </c>
      <c r="N11" s="234">
        <f t="shared" si="2"/>
        <v>0</v>
      </c>
      <c r="O11" s="339">
        <f t="shared" si="1"/>
        <v>0</v>
      </c>
    </row>
    <row r="12" spans="2:15" ht="18" customHeight="1" x14ac:dyDescent="0.25">
      <c r="B12" s="236"/>
      <c r="L12" s="338">
        <f t="shared" si="0"/>
        <v>0</v>
      </c>
      <c r="M12" s="338">
        <f>LARGE($L$7:$L$24,6)</f>
        <v>0</v>
      </c>
      <c r="N12" s="234">
        <f t="shared" si="2"/>
        <v>0</v>
      </c>
      <c r="O12" s="339">
        <f t="shared" si="1"/>
        <v>0</v>
      </c>
    </row>
    <row r="13" spans="2:15" ht="18" customHeight="1" x14ac:dyDescent="0.25">
      <c r="B13" s="236"/>
      <c r="L13" s="338">
        <f t="shared" si="0"/>
        <v>0</v>
      </c>
      <c r="M13" s="338">
        <f>LARGE($L$7:$L$24,7)</f>
        <v>0</v>
      </c>
      <c r="N13" s="234">
        <f t="shared" si="2"/>
        <v>0</v>
      </c>
      <c r="O13" s="339">
        <f t="shared" si="1"/>
        <v>0</v>
      </c>
    </row>
    <row r="14" spans="2:15" ht="18" customHeight="1" x14ac:dyDescent="0.25">
      <c r="B14" s="236"/>
      <c r="L14" s="338">
        <f t="shared" si="0"/>
        <v>0</v>
      </c>
      <c r="M14" s="338">
        <f>LARGE($L$7:$L$24,8)</f>
        <v>0</v>
      </c>
      <c r="N14" s="234">
        <f t="shared" si="2"/>
        <v>0</v>
      </c>
      <c r="O14" s="339">
        <f t="shared" si="1"/>
        <v>0</v>
      </c>
    </row>
    <row r="15" spans="2:15" ht="18" customHeight="1" x14ac:dyDescent="0.25">
      <c r="B15" s="236"/>
      <c r="L15" s="338">
        <f t="shared" si="0"/>
        <v>0</v>
      </c>
      <c r="M15" s="338">
        <f>LARGE($L$7:$L$24,9)</f>
        <v>0</v>
      </c>
      <c r="N15" s="234">
        <f t="shared" si="2"/>
        <v>0</v>
      </c>
      <c r="O15" s="339">
        <f t="shared" si="1"/>
        <v>0</v>
      </c>
    </row>
    <row r="16" spans="2:15" ht="18" customHeight="1" x14ac:dyDescent="0.25">
      <c r="B16" s="236"/>
      <c r="L16" s="338">
        <f t="shared" si="0"/>
        <v>0</v>
      </c>
      <c r="M16" s="338">
        <f>LARGE($L$7:$L$24,10)</f>
        <v>0</v>
      </c>
      <c r="N16" s="234">
        <f t="shared" si="2"/>
        <v>0</v>
      </c>
      <c r="O16" s="339">
        <f t="shared" si="1"/>
        <v>0</v>
      </c>
    </row>
    <row r="17" spans="2:15" ht="18" customHeight="1" x14ac:dyDescent="0.25">
      <c r="B17" s="236"/>
      <c r="L17" s="338">
        <f t="shared" si="0"/>
        <v>0</v>
      </c>
      <c r="M17" s="338">
        <f>LARGE($L$7:$L$24,11)</f>
        <v>0</v>
      </c>
      <c r="N17" s="234">
        <f t="shared" si="2"/>
        <v>0</v>
      </c>
      <c r="O17" s="339">
        <f t="shared" si="1"/>
        <v>0</v>
      </c>
    </row>
    <row r="18" spans="2:15" ht="18" customHeight="1" x14ac:dyDescent="0.25">
      <c r="B18" s="236"/>
      <c r="L18" s="338">
        <f t="shared" si="0"/>
        <v>0</v>
      </c>
      <c r="M18" s="338">
        <f>LARGE($L$7:$L$24,12)</f>
        <v>0</v>
      </c>
      <c r="N18" s="234">
        <f t="shared" si="2"/>
        <v>0</v>
      </c>
      <c r="O18" s="339">
        <f t="shared" si="1"/>
        <v>0</v>
      </c>
    </row>
    <row r="19" spans="2:15" ht="18" customHeight="1" x14ac:dyDescent="0.25">
      <c r="B19" s="236"/>
      <c r="L19" s="338">
        <f t="shared" si="0"/>
        <v>0</v>
      </c>
      <c r="M19" s="338">
        <f>LARGE($L$7:$L$24,13)</f>
        <v>0</v>
      </c>
      <c r="N19" s="234">
        <f t="shared" si="2"/>
        <v>0</v>
      </c>
      <c r="O19" s="339">
        <f t="shared" si="1"/>
        <v>0</v>
      </c>
    </row>
    <row r="20" spans="2:15" ht="18" customHeight="1" x14ac:dyDescent="0.25">
      <c r="B20" s="236"/>
      <c r="L20" s="338">
        <f t="shared" si="0"/>
        <v>0</v>
      </c>
      <c r="M20" s="338">
        <f>LARGE($L$7:$L$24,14)</f>
        <v>0</v>
      </c>
      <c r="N20" s="234">
        <f t="shared" si="2"/>
        <v>0</v>
      </c>
      <c r="O20" s="339">
        <f t="shared" si="1"/>
        <v>0</v>
      </c>
    </row>
    <row r="21" spans="2:15" ht="18" customHeight="1" x14ac:dyDescent="0.25">
      <c r="B21" s="236"/>
      <c r="L21" s="338">
        <f t="shared" si="0"/>
        <v>0</v>
      </c>
      <c r="M21" s="338">
        <f>LARGE($L$7:$L$24,15)</f>
        <v>0</v>
      </c>
      <c r="N21" s="234">
        <f t="shared" si="2"/>
        <v>0</v>
      </c>
      <c r="O21" s="339">
        <f t="shared" si="1"/>
        <v>0</v>
      </c>
    </row>
    <row r="22" spans="2:15" ht="18" customHeight="1" thickBot="1" x14ac:dyDescent="0.3">
      <c r="B22" s="236"/>
      <c r="L22" s="338">
        <f t="shared" si="0"/>
        <v>0</v>
      </c>
      <c r="M22" s="338">
        <f>LARGE($L$7:$L$24,16)</f>
        <v>0</v>
      </c>
      <c r="N22" s="234">
        <f t="shared" si="2"/>
        <v>0</v>
      </c>
      <c r="O22" s="339">
        <f t="shared" si="1"/>
        <v>0</v>
      </c>
    </row>
    <row r="23" spans="2:15" ht="18" customHeight="1" thickBot="1" x14ac:dyDescent="0.3">
      <c r="B23" s="236"/>
      <c r="L23" s="338">
        <f t="shared" si="0"/>
        <v>0</v>
      </c>
      <c r="M23" s="338">
        <f>LARGE($L$7:$L$24,17)</f>
        <v>0</v>
      </c>
      <c r="N23" s="234">
        <f t="shared" si="2"/>
        <v>0</v>
      </c>
      <c r="O23" s="340">
        <f t="shared" si="1"/>
        <v>0</v>
      </c>
    </row>
    <row r="24" spans="2:15" ht="18" customHeight="1" x14ac:dyDescent="0.25">
      <c r="B24" s="236"/>
      <c r="L24" s="338">
        <f t="shared" si="0"/>
        <v>0</v>
      </c>
      <c r="M24" s="338">
        <f>LARGE($L$7:$L$24,18)</f>
        <v>0</v>
      </c>
    </row>
  </sheetData>
  <sheetProtection sheet="1" objects="1" scenarios="1"/>
  <mergeCells count="7">
    <mergeCell ref="B1:J1"/>
    <mergeCell ref="B4:J4"/>
    <mergeCell ref="D7:F7"/>
    <mergeCell ref="D8:F8"/>
    <mergeCell ref="B2:J2"/>
    <mergeCell ref="B5:J5"/>
    <mergeCell ref="B3:J3"/>
  </mergeCells>
  <phoneticPr fontId="0" type="noConversion"/>
  <pageMargins left="0.78" right="0.71" top="0.73" bottom="0.82" header="0.52" footer="0.5"/>
  <pageSetup orientation="portrait" horizontalDpi="200" verticalDpi="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dimension ref="A1"/>
  <sheetViews>
    <sheetView workbookViewId="0"/>
  </sheetViews>
  <sheetFormatPr defaultRowHeight="12.75" x14ac:dyDescent="0.2"/>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N30"/>
  <sheetViews>
    <sheetView showGridLines="0" zoomScale="120" workbookViewId="0">
      <selection activeCell="B25" sqref="B25"/>
    </sheetView>
  </sheetViews>
  <sheetFormatPr defaultColWidth="9.140625" defaultRowHeight="12.75" x14ac:dyDescent="0.2"/>
  <cols>
    <col min="1" max="1" width="9.140625" style="10"/>
    <col min="2" max="2" width="10.5703125" style="2" bestFit="1" customWidth="1"/>
    <col min="3" max="3" width="9.140625" style="2"/>
    <col min="4" max="4" width="13.7109375" style="2" bestFit="1" customWidth="1"/>
    <col min="5" max="5" width="10.28515625" style="2" customWidth="1"/>
    <col min="6" max="6" width="9.140625" style="2"/>
    <col min="7" max="7" width="10.5703125" style="2" customWidth="1"/>
    <col min="8" max="16384" width="9.140625" style="2"/>
  </cols>
  <sheetData>
    <row r="1" spans="1:170" ht="15" customHeight="1" x14ac:dyDescent="0.2">
      <c r="A1" s="10" t="s">
        <v>1697</v>
      </c>
      <c r="C1" s="189"/>
      <c r="D1" s="732" t="str">
        <f>IF('Start here'!A6="","",'Start here'!A6)</f>
        <v/>
      </c>
      <c r="E1" s="736"/>
      <c r="F1" s="732" t="str">
        <f>IF('Start here'!A7="","",'Start here'!A7)</f>
        <v/>
      </c>
      <c r="G1" s="737"/>
      <c r="H1" s="1"/>
      <c r="I1" s="1"/>
      <c r="J1" s="1"/>
      <c r="K1" s="1"/>
      <c r="N1" s="1"/>
      <c r="O1" s="1"/>
      <c r="P1" s="1"/>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5" customHeight="1" x14ac:dyDescent="0.2">
      <c r="C2" s="10"/>
      <c r="D2" s="1"/>
      <c r="E2" s="1"/>
      <c r="F2" s="1"/>
      <c r="G2" s="1"/>
      <c r="H2" s="1"/>
      <c r="I2" s="1"/>
      <c r="J2" s="1"/>
      <c r="K2" s="1"/>
      <c r="N2" s="1"/>
      <c r="O2" s="1"/>
      <c r="P2" s="1"/>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row>
    <row r="3" spans="1:170" ht="17.25" customHeight="1" x14ac:dyDescent="0.2">
      <c r="A3" s="913" t="s">
        <v>316</v>
      </c>
      <c r="B3" s="913"/>
      <c r="C3" s="913"/>
      <c r="D3" s="913"/>
      <c r="E3" s="913"/>
      <c r="F3" s="913"/>
    </row>
    <row r="4" spans="1:170" x14ac:dyDescent="0.2">
      <c r="A4" s="155">
        <v>38353</v>
      </c>
      <c r="B4" s="360">
        <v>688.56</v>
      </c>
      <c r="D4" s="2" t="s">
        <v>353</v>
      </c>
    </row>
    <row r="5" spans="1:170" x14ac:dyDescent="0.2">
      <c r="A5" s="155">
        <v>38534</v>
      </c>
      <c r="B5" s="360">
        <v>712.96</v>
      </c>
      <c r="D5" s="329" t="str">
        <f>IF('Start here'!A8="","",'Start here'!A8)</f>
        <v/>
      </c>
    </row>
    <row r="6" spans="1:170" x14ac:dyDescent="0.2">
      <c r="A6" s="155">
        <v>38899</v>
      </c>
      <c r="B6" s="360">
        <v>721.43</v>
      </c>
      <c r="D6" s="330">
        <f>IF(D5="",0,VLOOKUP(D5,A4:B30,2))</f>
        <v>0</v>
      </c>
      <c r="E6" s="304" t="s">
        <v>1628</v>
      </c>
      <c r="F6" s="306"/>
    </row>
    <row r="7" spans="1:170" x14ac:dyDescent="0.2">
      <c r="A7" s="155">
        <v>39264</v>
      </c>
      <c r="B7" s="360">
        <v>756.8</v>
      </c>
      <c r="D7" s="146" t="s">
        <v>314</v>
      </c>
    </row>
    <row r="8" spans="1:170" x14ac:dyDescent="0.2">
      <c r="A8" s="155">
        <v>39630</v>
      </c>
      <c r="B8" s="361">
        <v>790.38</v>
      </c>
      <c r="D8" s="330">
        <f>'PPD DOI on or after 2005'!N33</f>
        <v>0</v>
      </c>
    </row>
    <row r="9" spans="1:170" x14ac:dyDescent="0.2">
      <c r="A9" s="155">
        <v>39995</v>
      </c>
      <c r="B9" s="361">
        <v>800.6</v>
      </c>
      <c r="D9" s="146" t="s">
        <v>315</v>
      </c>
    </row>
    <row r="10" spans="1:170" x14ac:dyDescent="0.2">
      <c r="A10" s="155">
        <v>40360</v>
      </c>
      <c r="B10" s="361">
        <v>819.38</v>
      </c>
      <c r="D10" s="330">
        <f>ROUND(0.5*D6,2)</f>
        <v>0</v>
      </c>
    </row>
    <row r="11" spans="1:170" x14ac:dyDescent="0.2">
      <c r="A11" s="155">
        <v>40725</v>
      </c>
      <c r="B11" s="361">
        <v>842.52</v>
      </c>
      <c r="D11" s="146" t="s">
        <v>317</v>
      </c>
    </row>
    <row r="12" spans="1:170" x14ac:dyDescent="0.2">
      <c r="A12" s="155">
        <v>41091</v>
      </c>
      <c r="B12" s="361">
        <v>841.26</v>
      </c>
      <c r="D12" s="362">
        <f>ROUND(1.33*D6,2)</f>
        <v>0</v>
      </c>
    </row>
    <row r="13" spans="1:170" x14ac:dyDescent="0.2">
      <c r="A13" s="155">
        <v>41456</v>
      </c>
      <c r="B13" s="361">
        <v>862.27</v>
      </c>
      <c r="D13" s="304" t="s">
        <v>319</v>
      </c>
      <c r="E13" s="305"/>
      <c r="F13" s="305"/>
      <c r="G13" s="305"/>
      <c r="H13" s="305"/>
      <c r="I13" s="306"/>
    </row>
    <row r="14" spans="1:170" x14ac:dyDescent="0.2">
      <c r="A14" s="155">
        <v>41821</v>
      </c>
      <c r="B14" s="361">
        <v>888.38</v>
      </c>
      <c r="D14" s="330">
        <f>IF(D8=0,0,IF(D8&lt;D10,D10,IF(D8&gt;D12,D12,D8)))</f>
        <v>0</v>
      </c>
    </row>
    <row r="15" spans="1:170" x14ac:dyDescent="0.2">
      <c r="A15" s="155">
        <v>42186</v>
      </c>
      <c r="B15" s="361">
        <v>922.39</v>
      </c>
    </row>
    <row r="16" spans="1:170" x14ac:dyDescent="0.2">
      <c r="A16" s="155">
        <v>42552</v>
      </c>
      <c r="B16" s="361">
        <v>974.2</v>
      </c>
      <c r="D16" s="551" t="s">
        <v>318</v>
      </c>
    </row>
    <row r="17" spans="1:2" x14ac:dyDescent="0.2">
      <c r="A17" s="155">
        <v>42917</v>
      </c>
      <c r="B17" s="361">
        <v>963.01</v>
      </c>
    </row>
    <row r="18" spans="1:2" x14ac:dyDescent="0.2">
      <c r="A18" s="155">
        <v>43282</v>
      </c>
      <c r="B18" s="361">
        <v>1007.05</v>
      </c>
    </row>
    <row r="19" spans="1:2" x14ac:dyDescent="0.2">
      <c r="A19" s="155">
        <v>43647</v>
      </c>
      <c r="B19" s="361">
        <v>1044.4000000000001</v>
      </c>
    </row>
    <row r="20" spans="1:2" x14ac:dyDescent="0.2">
      <c r="A20" s="155">
        <v>44013</v>
      </c>
      <c r="B20" s="361">
        <v>1093.4100000000001</v>
      </c>
    </row>
    <row r="21" spans="1:2" x14ac:dyDescent="0.2">
      <c r="A21" s="155">
        <v>44378</v>
      </c>
      <c r="B21" s="361">
        <v>1247.1300000000001</v>
      </c>
    </row>
    <row r="22" spans="1:2" x14ac:dyDescent="0.2">
      <c r="A22" s="155">
        <v>44743</v>
      </c>
      <c r="B22" s="361">
        <v>1325.24</v>
      </c>
    </row>
    <row r="23" spans="1:2" x14ac:dyDescent="0.2">
      <c r="A23" s="155">
        <v>45108</v>
      </c>
      <c r="B23" s="361">
        <v>1295.8599999999999</v>
      </c>
    </row>
    <row r="24" spans="1:2" x14ac:dyDescent="0.2">
      <c r="A24" s="155">
        <v>45474</v>
      </c>
      <c r="B24" s="693">
        <v>1331.48</v>
      </c>
    </row>
    <row r="25" spans="1:2" x14ac:dyDescent="0.2">
      <c r="A25" s="155">
        <v>45839</v>
      </c>
      <c r="B25" s="361"/>
    </row>
    <row r="26" spans="1:2" x14ac:dyDescent="0.2">
      <c r="A26" s="155">
        <v>46204</v>
      </c>
      <c r="B26" s="361"/>
    </row>
    <row r="27" spans="1:2" x14ac:dyDescent="0.2">
      <c r="A27" s="155">
        <v>46569</v>
      </c>
      <c r="B27" s="361"/>
    </row>
    <row r="28" spans="1:2" x14ac:dyDescent="0.2">
      <c r="A28" s="155">
        <v>46935</v>
      </c>
      <c r="B28" s="361"/>
    </row>
    <row r="29" spans="1:2" x14ac:dyDescent="0.2">
      <c r="A29" s="155">
        <v>47300</v>
      </c>
      <c r="B29" s="361"/>
    </row>
    <row r="30" spans="1:2" x14ac:dyDescent="0.2">
      <c r="A30" s="155">
        <v>47665</v>
      </c>
      <c r="B30" s="361"/>
    </row>
  </sheetData>
  <sheetProtection sheet="1" objects="1" scenarios="1"/>
  <mergeCells count="3">
    <mergeCell ref="A3:F3"/>
    <mergeCell ref="D1:E1"/>
    <mergeCell ref="F1:G1"/>
  </mergeCells>
  <phoneticPr fontId="0"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G817"/>
  <sheetViews>
    <sheetView showGridLines="0" zoomScale="120" zoomScaleNormal="120" zoomScaleSheetLayoutView="40" workbookViewId="0"/>
  </sheetViews>
  <sheetFormatPr defaultColWidth="2.7109375" defaultRowHeight="12.75" x14ac:dyDescent="0.2"/>
  <cols>
    <col min="1" max="1" width="1.5703125" style="2" customWidth="1"/>
    <col min="2" max="2" width="22.42578125" style="2" bestFit="1" customWidth="1"/>
    <col min="3" max="3" width="3.28515625" style="1" customWidth="1"/>
    <col min="4" max="4" width="4" style="151" customWidth="1"/>
    <col min="5" max="5" width="3.28515625" style="2" customWidth="1"/>
    <col min="6" max="6" width="4.28515625" style="151" bestFit="1" customWidth="1"/>
    <col min="7" max="7" width="3.28515625" style="2" customWidth="1"/>
    <col min="8" max="8" width="4.28515625" style="151" bestFit="1" customWidth="1"/>
    <col min="9" max="9" width="3.28515625" style="2" customWidth="1"/>
    <col min="10" max="10" width="4.28515625" style="151" bestFit="1" customWidth="1"/>
    <col min="11" max="11" width="3.42578125" style="2" customWidth="1"/>
    <col min="12" max="12" width="5.5703125" style="151" customWidth="1"/>
    <col min="13" max="13" width="4.28515625" style="2" customWidth="1"/>
    <col min="14" max="14" width="4.28515625" style="151" bestFit="1" customWidth="1"/>
    <col min="15" max="15" width="9.28515625" style="2" customWidth="1"/>
    <col min="16" max="16" width="9.5703125" style="2" customWidth="1"/>
    <col min="17" max="17" width="1.42578125" style="2" customWidth="1"/>
    <col min="18" max="18" width="14" style="2" hidden="1" customWidth="1"/>
    <col min="19" max="19" width="18.140625" style="2" hidden="1" customWidth="1"/>
    <col min="20" max="20" width="16.28515625" style="2" hidden="1" customWidth="1"/>
    <col min="21" max="21" width="15.28515625" style="2" hidden="1" customWidth="1"/>
    <col min="22" max="22" width="13.42578125" style="2" hidden="1" customWidth="1"/>
    <col min="23" max="23" width="9.28515625" style="2" hidden="1" customWidth="1"/>
    <col min="24" max="24" width="8.42578125" style="2" hidden="1" customWidth="1"/>
    <col min="25" max="25" width="12.7109375" style="2" hidden="1" customWidth="1"/>
    <col min="26" max="26" width="15.7109375" style="2" hidden="1" customWidth="1"/>
    <col min="27" max="27" width="7.5703125" style="2" hidden="1" customWidth="1"/>
    <col min="28" max="28" width="8.140625" style="2" hidden="1" customWidth="1"/>
    <col min="29" max="29" width="7.42578125" style="2" hidden="1" customWidth="1"/>
    <col min="30" max="30" width="8.7109375" style="2" hidden="1" customWidth="1"/>
    <col min="31" max="31" width="13.5703125" style="2" hidden="1" customWidth="1"/>
    <col min="32" max="32" width="9.7109375" style="2" hidden="1" customWidth="1"/>
    <col min="33" max="33" width="7.140625" style="2" hidden="1" customWidth="1"/>
    <col min="34" max="34" width="8.28515625" style="2" hidden="1" customWidth="1"/>
    <col min="35" max="35" width="9.85546875" style="2" hidden="1" customWidth="1"/>
    <col min="36" max="36" width="9.28515625" style="2" hidden="1" customWidth="1"/>
    <col min="37" max="37" width="12.7109375" style="2" hidden="1" customWidth="1"/>
    <col min="38" max="38" width="9.42578125" style="2" hidden="1" customWidth="1"/>
    <col min="39" max="39" width="9.140625" style="2" hidden="1" customWidth="1"/>
    <col min="40" max="40" width="11.140625" style="2" hidden="1" customWidth="1"/>
    <col min="41" max="67" width="6.7109375" style="2" hidden="1" customWidth="1"/>
    <col min="68" max="68" width="7.42578125" style="2" hidden="1" customWidth="1"/>
    <col min="69" max="73" width="6.7109375" style="2" hidden="1" customWidth="1"/>
    <col min="74" max="74" width="6.5703125" style="2" hidden="1" customWidth="1"/>
    <col min="75" max="130" width="5.7109375" style="2" hidden="1" customWidth="1"/>
    <col min="131" max="255" width="5.7109375" style="2" customWidth="1"/>
    <col min="256" max="16384" width="2.7109375" style="2"/>
  </cols>
  <sheetData>
    <row r="1" spans="2:170" ht="15" customHeight="1" x14ac:dyDescent="0.2">
      <c r="B1" s="724" t="s">
        <v>1697</v>
      </c>
      <c r="C1" s="771"/>
      <c r="D1" s="732" t="str">
        <f>IF('Start here'!A6="","",'Start here'!A6)</f>
        <v/>
      </c>
      <c r="E1" s="736"/>
      <c r="F1" s="736"/>
      <c r="G1" s="736"/>
      <c r="H1" s="736"/>
      <c r="I1" s="736"/>
      <c r="J1" s="736"/>
      <c r="K1" s="737"/>
      <c r="L1" s="2"/>
      <c r="M1" s="732" t="str">
        <f>IF('Start here'!A7="","",'Start here'!A7)</f>
        <v/>
      </c>
      <c r="N1" s="736"/>
      <c r="O1" s="736"/>
      <c r="P1" s="737"/>
      <c r="R1" s="242">
        <v>38353</v>
      </c>
      <c r="S1" s="146" t="str">
        <f>IF(R2&lt;R1,"Go to PPD Worksheet","")</f>
        <v>Go to PPD Worksheet</v>
      </c>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2.75" customHeight="1" x14ac:dyDescent="0.2">
      <c r="B2" s="777"/>
      <c r="C2" s="777"/>
      <c r="D2" s="777"/>
      <c r="E2" s="777"/>
      <c r="F2" s="777"/>
      <c r="G2" s="777"/>
      <c r="H2" s="777"/>
      <c r="I2" s="777"/>
      <c r="J2" s="777"/>
      <c r="K2" s="777"/>
      <c r="L2" s="777"/>
      <c r="M2" s="777"/>
      <c r="N2" s="777"/>
      <c r="O2" s="777"/>
      <c r="P2" s="777"/>
      <c r="R2" s="329">
        <f>'Start here'!A8</f>
        <v>0</v>
      </c>
      <c r="S2" s="50" t="str">
        <f>IF(R2&gt;=R1,"Go to PPD Worksheet","")</f>
        <v/>
      </c>
    </row>
    <row r="3" spans="2:170" ht="21" customHeight="1" x14ac:dyDescent="0.3">
      <c r="B3" s="778" t="s">
        <v>1977</v>
      </c>
      <c r="C3" s="779"/>
      <c r="D3" s="779"/>
      <c r="E3" s="779"/>
      <c r="F3" s="779"/>
      <c r="G3" s="779"/>
      <c r="H3" s="779"/>
      <c r="I3" s="779"/>
      <c r="J3" s="779"/>
      <c r="K3" s="779"/>
      <c r="L3" s="779"/>
      <c r="M3" s="779"/>
      <c r="N3" s="779"/>
      <c r="O3" s="779"/>
      <c r="P3" s="1090"/>
      <c r="R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row>
    <row r="4" spans="2:170" ht="30.75" customHeight="1" x14ac:dyDescent="0.2">
      <c r="B4" s="179" t="s">
        <v>396</v>
      </c>
      <c r="C4" s="1063" t="s">
        <v>1542</v>
      </c>
      <c r="D4" s="1063"/>
      <c r="E4" s="1062" t="s">
        <v>143</v>
      </c>
      <c r="F4" s="1063"/>
      <c r="G4" s="1062" t="s">
        <v>1536</v>
      </c>
      <c r="H4" s="1063"/>
      <c r="I4" s="1062" t="s">
        <v>1538</v>
      </c>
      <c r="J4" s="1063"/>
      <c r="K4" s="1062" t="s">
        <v>1540</v>
      </c>
      <c r="L4" s="1063"/>
      <c r="M4" s="1062" t="s">
        <v>395</v>
      </c>
      <c r="N4" s="1062"/>
      <c r="O4" s="363" t="s">
        <v>400</v>
      </c>
      <c r="P4" s="363" t="s">
        <v>1859</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row>
    <row r="5" spans="2:170" ht="18" customHeight="1" x14ac:dyDescent="0.2">
      <c r="B5" s="895" t="s">
        <v>1896</v>
      </c>
      <c r="C5" s="896"/>
      <c r="D5" s="896"/>
      <c r="E5" s="896"/>
      <c r="F5" s="896"/>
      <c r="G5" s="896"/>
      <c r="H5" s="896"/>
      <c r="I5" s="896"/>
      <c r="J5" s="896"/>
      <c r="K5" s="896"/>
      <c r="L5" s="896"/>
      <c r="M5" s="896"/>
      <c r="N5" s="896"/>
      <c r="O5" s="896"/>
      <c r="P5" s="897"/>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row>
    <row r="6" spans="2:170" ht="18" customHeight="1" x14ac:dyDescent="0.2">
      <c r="B6" s="776" t="s">
        <v>927</v>
      </c>
      <c r="C6" s="776"/>
      <c r="D6" s="776"/>
      <c r="E6" s="776"/>
      <c r="F6" s="776"/>
      <c r="G6" s="776"/>
      <c r="H6" s="776"/>
      <c r="I6" s="776"/>
      <c r="J6" s="776"/>
      <c r="K6" s="776"/>
      <c r="L6" s="776"/>
      <c r="M6" s="776"/>
      <c r="N6" s="776"/>
      <c r="O6" s="776"/>
      <c r="P6" s="929">
        <f>SUMIF(U6:Z6,B7,U7:Z7)</f>
        <v>0</v>
      </c>
      <c r="R6" s="10"/>
      <c r="S6" s="10"/>
      <c r="T6" s="761" t="s">
        <v>509</v>
      </c>
      <c r="U6" s="50" t="s">
        <v>510</v>
      </c>
      <c r="V6" s="50" t="s">
        <v>511</v>
      </c>
      <c r="W6" s="552" t="s">
        <v>512</v>
      </c>
      <c r="X6" s="50" t="s">
        <v>513</v>
      </c>
      <c r="Y6" s="50" t="s">
        <v>514</v>
      </c>
      <c r="Z6" s="50" t="s">
        <v>649</v>
      </c>
      <c r="AA6" s="14"/>
      <c r="AB6" s="14"/>
      <c r="AC6" s="14"/>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row>
    <row r="7" spans="2:170" ht="15" customHeight="1" x14ac:dyDescent="0.2">
      <c r="B7" s="1012"/>
      <c r="C7" s="1012"/>
      <c r="D7" s="1012"/>
      <c r="E7" s="1012"/>
      <c r="F7" s="1012"/>
      <c r="G7" s="1012"/>
      <c r="H7" s="1012"/>
      <c r="I7" s="1012"/>
      <c r="J7" s="1012"/>
      <c r="K7" s="1012"/>
      <c r="L7" s="1012"/>
      <c r="M7" s="1012"/>
      <c r="N7" s="1012"/>
      <c r="O7" s="1012"/>
      <c r="P7" s="1072"/>
      <c r="R7" s="10"/>
      <c r="S7" s="10"/>
      <c r="T7" s="761"/>
      <c r="U7" s="548">
        <v>0</v>
      </c>
      <c r="V7" s="147">
        <v>0</v>
      </c>
      <c r="W7" s="147">
        <v>0.1</v>
      </c>
      <c r="X7" s="147">
        <v>0.3</v>
      </c>
      <c r="Y7" s="147">
        <v>0.5</v>
      </c>
      <c r="Z7" s="147">
        <v>1</v>
      </c>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row>
    <row r="8" spans="2:170" ht="10.5" customHeight="1" x14ac:dyDescent="0.2">
      <c r="B8" s="958" t="str">
        <f>IF(AND(P6&gt;0.1,B10=""),"Enter specific level of amputation or shortening below.","")</f>
        <v/>
      </c>
      <c r="C8" s="958"/>
      <c r="D8" s="958"/>
      <c r="E8" s="958"/>
      <c r="F8" s="958"/>
      <c r="G8" s="958"/>
      <c r="H8" s="958"/>
      <c r="I8" s="958"/>
      <c r="J8" s="958"/>
      <c r="K8" s="958"/>
      <c r="L8" s="958"/>
      <c r="M8" s="958"/>
      <c r="N8" s="958"/>
      <c r="O8" s="958"/>
      <c r="P8" s="958"/>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row>
    <row r="9" spans="2:170" ht="27" customHeight="1" x14ac:dyDescent="0.2">
      <c r="B9" s="1068" t="s">
        <v>650</v>
      </c>
      <c r="C9" s="1068"/>
      <c r="D9" s="1068"/>
      <c r="E9" s="1068"/>
      <c r="F9" s="1068"/>
      <c r="G9" s="1068"/>
      <c r="H9" s="1068"/>
      <c r="I9" s="1068"/>
      <c r="J9" s="1068"/>
      <c r="K9" s="1068"/>
      <c r="L9" s="1068"/>
      <c r="M9" s="1068"/>
      <c r="N9" s="1068"/>
      <c r="O9" s="1068"/>
      <c r="P9" s="106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row>
    <row r="10" spans="2:170" ht="15" customHeight="1" x14ac:dyDescent="0.2">
      <c r="B10" s="1012"/>
      <c r="C10" s="1012"/>
      <c r="D10" s="1012"/>
      <c r="E10" s="1012"/>
      <c r="F10" s="1012"/>
      <c r="G10" s="1012"/>
      <c r="H10" s="1012"/>
      <c r="I10" s="1012"/>
      <c r="J10" s="1012"/>
      <c r="K10" s="1012"/>
      <c r="L10" s="1012"/>
      <c r="M10" s="1012"/>
      <c r="N10" s="1012"/>
      <c r="O10" s="1012"/>
      <c r="P10" s="1061"/>
      <c r="R10" s="10"/>
      <c r="S10" s="10"/>
      <c r="T10" s="944" t="s">
        <v>784</v>
      </c>
      <c r="U10" s="945"/>
      <c r="V10" s="945"/>
      <c r="W10" s="945"/>
      <c r="X10" s="945"/>
      <c r="Y10" s="946"/>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row>
    <row r="11" spans="2:170" ht="15" customHeight="1" x14ac:dyDescent="0.2">
      <c r="B11" s="761" t="s">
        <v>950</v>
      </c>
      <c r="C11" s="761"/>
      <c r="D11" s="761"/>
      <c r="E11" s="761"/>
      <c r="F11" s="761"/>
      <c r="G11" s="761"/>
      <c r="H11" s="761"/>
      <c r="I11" s="761"/>
      <c r="J11" s="761"/>
      <c r="K11" s="761"/>
      <c r="L11" s="761"/>
      <c r="M11" s="761"/>
      <c r="N11" s="791" t="s">
        <v>142</v>
      </c>
      <c r="O11" s="791"/>
      <c r="P11" s="245">
        <f>IF(P6=1,0,R84)</f>
        <v>0</v>
      </c>
      <c r="R11" s="10"/>
      <c r="S11" s="10"/>
      <c r="T11" s="381" t="s">
        <v>143</v>
      </c>
      <c r="U11" s="558">
        <f>SUMIF(V11:AD11,B10,V12:AD12)</f>
        <v>0</v>
      </c>
      <c r="V11" s="381" t="s">
        <v>510</v>
      </c>
      <c r="W11" s="381" t="s">
        <v>144</v>
      </c>
      <c r="X11" s="381" t="s">
        <v>1869</v>
      </c>
      <c r="Y11" s="381" t="s">
        <v>1529</v>
      </c>
      <c r="Z11" s="50" t="s">
        <v>1530</v>
      </c>
      <c r="AA11" s="50" t="s">
        <v>1531</v>
      </c>
      <c r="AB11" s="50" t="s">
        <v>1532</v>
      </c>
      <c r="AC11" s="50" t="s">
        <v>1533</v>
      </c>
      <c r="AD11" s="50" t="s">
        <v>1534</v>
      </c>
      <c r="AE11" s="5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row>
    <row r="12" spans="2:170" ht="15" customHeight="1" x14ac:dyDescent="0.2">
      <c r="B12" s="761"/>
      <c r="C12" s="761"/>
      <c r="D12" s="761"/>
      <c r="E12" s="761"/>
      <c r="F12" s="761"/>
      <c r="G12" s="761"/>
      <c r="H12" s="761"/>
      <c r="I12" s="761"/>
      <c r="J12" s="761"/>
      <c r="K12" s="761"/>
      <c r="L12" s="761"/>
      <c r="M12" s="761"/>
      <c r="N12" s="791" t="s">
        <v>1535</v>
      </c>
      <c r="O12" s="791"/>
      <c r="P12" s="21">
        <f>IF(P6=1,0,R160)</f>
        <v>0</v>
      </c>
      <c r="R12" s="10"/>
      <c r="S12" s="10"/>
      <c r="T12" s="50" t="s">
        <v>1536</v>
      </c>
      <c r="U12" s="514">
        <f>U11</f>
        <v>0</v>
      </c>
      <c r="V12" s="548">
        <v>0</v>
      </c>
      <c r="W12" s="548">
        <v>0.05</v>
      </c>
      <c r="X12" s="548">
        <v>0.1</v>
      </c>
      <c r="Y12" s="548">
        <v>0.15</v>
      </c>
      <c r="Z12" s="548">
        <v>0.2</v>
      </c>
      <c r="AA12" s="548">
        <v>0.25</v>
      </c>
      <c r="AB12" s="548">
        <v>0.3</v>
      </c>
      <c r="AC12" s="548">
        <v>0.35</v>
      </c>
      <c r="AD12" s="548">
        <v>0.4</v>
      </c>
      <c r="AE12" s="5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row>
    <row r="13" spans="2:170" ht="15" customHeight="1" x14ac:dyDescent="0.2">
      <c r="B13" s="761"/>
      <c r="C13" s="761"/>
      <c r="D13" s="761"/>
      <c r="E13" s="761"/>
      <c r="F13" s="761"/>
      <c r="G13" s="761"/>
      <c r="H13" s="761"/>
      <c r="I13" s="761"/>
      <c r="J13" s="761"/>
      <c r="K13" s="761"/>
      <c r="L13" s="761"/>
      <c r="M13" s="761"/>
      <c r="N13" s="791" t="s">
        <v>1537</v>
      </c>
      <c r="O13" s="791"/>
      <c r="P13" s="21">
        <f>IF(P6=1,0,R237)</f>
        <v>0</v>
      </c>
      <c r="R13" s="10"/>
      <c r="S13" s="10"/>
      <c r="T13" s="50" t="s">
        <v>1538</v>
      </c>
      <c r="U13" s="514">
        <f>SUMIF(V11:AD11,B10,V13:AD13)</f>
        <v>0</v>
      </c>
      <c r="V13" s="548">
        <v>0</v>
      </c>
      <c r="W13" s="548">
        <v>0</v>
      </c>
      <c r="X13" s="548">
        <v>0.05</v>
      </c>
      <c r="Y13" s="548">
        <v>0.05</v>
      </c>
      <c r="Z13" s="548">
        <v>0.1</v>
      </c>
      <c r="AA13" s="548">
        <v>0.1</v>
      </c>
      <c r="AB13" s="548">
        <v>0.15</v>
      </c>
      <c r="AC13" s="548">
        <v>0.15</v>
      </c>
      <c r="AD13" s="548">
        <v>0.2</v>
      </c>
      <c r="AE13" s="5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row>
    <row r="14" spans="2:170" ht="15" customHeight="1" x14ac:dyDescent="0.2">
      <c r="B14" s="761"/>
      <c r="C14" s="761"/>
      <c r="D14" s="761"/>
      <c r="E14" s="761"/>
      <c r="F14" s="761"/>
      <c r="G14" s="761"/>
      <c r="H14" s="761"/>
      <c r="I14" s="761"/>
      <c r="J14" s="761"/>
      <c r="K14" s="761"/>
      <c r="L14" s="761"/>
      <c r="M14" s="761"/>
      <c r="N14" s="791" t="s">
        <v>1539</v>
      </c>
      <c r="O14" s="791"/>
      <c r="P14" s="21">
        <f>IF(P6=1,0,R312)</f>
        <v>0</v>
      </c>
      <c r="R14" s="10"/>
      <c r="S14" s="10"/>
      <c r="T14" s="50" t="s">
        <v>1540</v>
      </c>
      <c r="U14" s="514">
        <f>SUMIF(V11:AD11,B10,V14:AD14)</f>
        <v>0</v>
      </c>
      <c r="V14" s="548">
        <v>0</v>
      </c>
      <c r="W14" s="548">
        <v>0</v>
      </c>
      <c r="X14" s="548">
        <v>0</v>
      </c>
      <c r="Y14" s="548">
        <v>0</v>
      </c>
      <c r="Z14" s="548">
        <v>0.05</v>
      </c>
      <c r="AA14" s="548">
        <v>0.05</v>
      </c>
      <c r="AB14" s="548">
        <v>0.05</v>
      </c>
      <c r="AC14" s="548">
        <v>0.05</v>
      </c>
      <c r="AD14" s="548">
        <v>0.1</v>
      </c>
      <c r="AE14" s="5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row>
    <row r="15" spans="2:170" ht="10.5" customHeight="1" x14ac:dyDescent="0.2">
      <c r="B15" s="777"/>
      <c r="C15" s="777"/>
      <c r="D15" s="777"/>
      <c r="E15" s="777"/>
      <c r="F15" s="777"/>
      <c r="G15" s="777"/>
      <c r="H15" s="777"/>
      <c r="I15" s="777"/>
      <c r="J15" s="777"/>
      <c r="K15" s="777"/>
      <c r="L15" s="777"/>
      <c r="M15" s="777"/>
      <c r="N15" s="777"/>
      <c r="O15" s="777"/>
      <c r="P15" s="777"/>
      <c r="R15" s="128"/>
      <c r="S15" s="128"/>
      <c r="T15" s="128"/>
      <c r="U15" s="128"/>
      <c r="V15" s="128"/>
      <c r="W15" s="128"/>
      <c r="X15" s="128"/>
      <c r="Y15" s="128"/>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row>
    <row r="16" spans="2:170" ht="18" customHeight="1" x14ac:dyDescent="0.2">
      <c r="B16" s="910" t="s">
        <v>1563</v>
      </c>
      <c r="C16" s="910"/>
      <c r="D16" s="910"/>
      <c r="E16" s="910"/>
      <c r="F16" s="910"/>
      <c r="G16" s="910"/>
      <c r="H16" s="910"/>
      <c r="I16" s="910"/>
      <c r="J16" s="910"/>
      <c r="K16" s="910"/>
      <c r="L16" s="910"/>
      <c r="M16" s="910"/>
      <c r="N16" s="910"/>
      <c r="O16" s="910"/>
      <c r="P16" s="857">
        <f>IF(R27=1,"ERROR",AD25)</f>
        <v>0</v>
      </c>
      <c r="R16" s="10"/>
      <c r="S16" s="10"/>
      <c r="T16" s="912" t="s">
        <v>2138</v>
      </c>
      <c r="U16" s="912"/>
      <c r="V16" s="10"/>
      <c r="W16" s="10"/>
      <c r="X16" s="10"/>
      <c r="Y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row>
    <row r="17" spans="2:109" ht="27" customHeight="1" x14ac:dyDescent="0.2">
      <c r="B17" s="18"/>
      <c r="C17" s="910" t="s">
        <v>1564</v>
      </c>
      <c r="D17" s="910"/>
      <c r="E17" s="910"/>
      <c r="F17" s="910"/>
      <c r="G17" s="912" t="s">
        <v>1064</v>
      </c>
      <c r="H17" s="912"/>
      <c r="I17" s="912"/>
      <c r="J17" s="912"/>
      <c r="K17" s="910"/>
      <c r="L17" s="910"/>
      <c r="M17" s="910"/>
      <c r="N17" s="910"/>
      <c r="O17" s="910"/>
      <c r="P17" s="961"/>
      <c r="R17" s="10"/>
      <c r="S17" s="50" t="s">
        <v>1541</v>
      </c>
      <c r="T17" s="256" t="s">
        <v>1564</v>
      </c>
      <c r="U17" s="256" t="s">
        <v>1565</v>
      </c>
      <c r="V17" s="791" t="s">
        <v>1066</v>
      </c>
      <c r="W17" s="791"/>
      <c r="X17" s="791"/>
      <c r="Y17" s="791"/>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row>
    <row r="18" spans="2:109" ht="15" customHeight="1" x14ac:dyDescent="0.2">
      <c r="B18" s="18" t="s">
        <v>1542</v>
      </c>
      <c r="C18" s="910" t="s">
        <v>355</v>
      </c>
      <c r="D18" s="910"/>
      <c r="E18" s="910" t="s">
        <v>1759</v>
      </c>
      <c r="F18" s="910"/>
      <c r="G18" s="910" t="s">
        <v>355</v>
      </c>
      <c r="H18" s="910"/>
      <c r="I18" s="910" t="s">
        <v>1759</v>
      </c>
      <c r="J18" s="910"/>
      <c r="K18" s="910"/>
      <c r="L18" s="910"/>
      <c r="M18" s="910"/>
      <c r="N18" s="910"/>
      <c r="O18" s="910"/>
      <c r="P18" s="961"/>
      <c r="R18" s="10"/>
      <c r="S18" s="50">
        <v>80</v>
      </c>
      <c r="T18" s="50" t="str">
        <f>IF(OR(C19="",C19="NA"),"",IF(C19&gt;S18,S18,IF(C19&lt;0,0,C19)))</f>
        <v/>
      </c>
      <c r="U18" s="50" t="str">
        <f>IF(OR(G19="",G19="NA"),"",IF(G19&gt;S18,S18,IF(G19&lt;0,0,G19)))</f>
        <v/>
      </c>
      <c r="V18" s="553" t="str">
        <f>IF(Y18="","",ROUND(Y18,0))</f>
        <v/>
      </c>
      <c r="W18" s="910" t="s">
        <v>1184</v>
      </c>
      <c r="X18" s="910"/>
      <c r="Y18" s="554" t="str">
        <f>IF(T18="","",IF(OR(U18="",U18=0,U18&lt;T18),T18,(T18*80)/U18))</f>
        <v/>
      </c>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row>
    <row r="19" spans="2:109" ht="15" customHeight="1" x14ac:dyDescent="0.2">
      <c r="B19" s="146" t="s">
        <v>1543</v>
      </c>
      <c r="C19" s="694"/>
      <c r="D19" s="694"/>
      <c r="E19" s="921">
        <f>UETable!AV3</f>
        <v>0</v>
      </c>
      <c r="F19" s="921"/>
      <c r="G19" s="694"/>
      <c r="H19" s="694"/>
      <c r="I19" s="936">
        <f>IF(C19="",0,IF(OR(C19&lt;=0,G19&lt;=0),E19,IF(G19&lt;C19,0,UETable!BA3)))</f>
        <v>0</v>
      </c>
      <c r="J19" s="936"/>
      <c r="K19" s="930" t="str">
        <f>IF(OR(C19="NA",G19="NA"),"",IF(AND(C19&lt;&gt;"",G19=""),"Enter contralateral or NA.",IF(AND(C19="",G19&lt;&gt;""),"Need data","")))</f>
        <v/>
      </c>
      <c r="L19" s="930"/>
      <c r="M19" s="930"/>
      <c r="N19" s="930"/>
      <c r="O19" s="930"/>
      <c r="P19" s="961"/>
      <c r="R19" s="10"/>
      <c r="S19" s="50">
        <v>80</v>
      </c>
      <c r="T19" s="50" t="str">
        <f>IF(OR(C20="",C20="NA"),"",IF(C20&gt;S18,S18,IF(C20&lt;0,0,C20)))</f>
        <v/>
      </c>
      <c r="U19" s="50" t="str">
        <f>IF(OR(G20="",G20="NA"),"",IF(G20&gt;S18,S18,IF(G20&lt;0,0,G20)))</f>
        <v/>
      </c>
      <c r="V19" s="553" t="str">
        <f>IF(Y19="","",ROUND(Y19,0))</f>
        <v/>
      </c>
      <c r="W19" s="50">
        <f>IF(T19="",0,80-T19)</f>
        <v>0</v>
      </c>
      <c r="X19" s="50">
        <f>IF(U19="",0,80-U19)</f>
        <v>0</v>
      </c>
      <c r="Y19" s="554" t="str">
        <f>IF(T19="","",IF(OR(U19="",U19=0,U19&gt;T19),T19,80-(W19*80)/X19))</f>
        <v/>
      </c>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row>
    <row r="20" spans="2:109" ht="15" customHeight="1" x14ac:dyDescent="0.2">
      <c r="B20" s="146" t="s">
        <v>1544</v>
      </c>
      <c r="C20" s="694"/>
      <c r="D20" s="694"/>
      <c r="E20" s="921">
        <f>UETable!AV4</f>
        <v>0</v>
      </c>
      <c r="F20" s="921"/>
      <c r="G20" s="694"/>
      <c r="H20" s="694"/>
      <c r="I20" s="936">
        <f>IF(C20="",0,IF(OR(C20&gt;=80,G20&gt;=80),E20,IF(G20&gt;C20,0,UETable!BA4)))</f>
        <v>0</v>
      </c>
      <c r="J20" s="936"/>
      <c r="K20" s="930" t="str">
        <f>IF(OR(C20="NA",G20="NA"),"",IF(AND(C20&lt;&gt;"",G20=""),"Enter contralateral or NA.",IF(AND(C20="",G20&lt;&gt;""),"Need data","")))</f>
        <v/>
      </c>
      <c r="L20" s="930"/>
      <c r="M20" s="930"/>
      <c r="N20" s="930"/>
      <c r="O20" s="930"/>
      <c r="P20" s="961"/>
      <c r="R20" s="10"/>
      <c r="S20" s="50">
        <v>80</v>
      </c>
      <c r="T20" s="50" t="str">
        <f>IF(OR(C21="",C21="NA"),"",IF(C21&gt;S18,S18,IF(C21&lt;0,0,C21)))</f>
        <v/>
      </c>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row>
    <row r="21" spans="2:109" ht="15" customHeight="1" x14ac:dyDescent="0.2">
      <c r="B21" s="146" t="s">
        <v>1545</v>
      </c>
      <c r="C21" s="694"/>
      <c r="D21" s="694"/>
      <c r="E21" s="921">
        <f>IF(AND(C21&lt;&gt;"",C21&lt;&gt;"NA",C20&lt;&gt;"NA",C20&lt;&gt;""),"ERROR",IF(AND(C21&lt;&gt;"",C21&lt;&gt;"NA",C19&lt;&gt;"",C19&lt;&gt;"NA"),"ERROR",UETable!AV5))</f>
        <v>0</v>
      </c>
      <c r="F21" s="921"/>
      <c r="G21" s="930" t="str">
        <f>IF(AND(C21&lt;&gt;"",C21&lt;&gt;"NA",C20&lt;&gt;"NA",C20&lt;&gt;""),"ERROR: Cannot rate ROM and ankylosis.",IF(AND(C21&lt;&gt;"",C21&lt;&gt;"NA",C19&lt;&gt;"",C19&lt;&gt;"NA"),"ERROR: Cannot rate ROM and ankylosis.",""))</f>
        <v/>
      </c>
      <c r="H21" s="930"/>
      <c r="I21" s="930"/>
      <c r="J21" s="930"/>
      <c r="K21" s="930"/>
      <c r="L21" s="930"/>
      <c r="M21" s="930"/>
      <c r="N21" s="930"/>
      <c r="O21" s="930"/>
      <c r="P21" s="961"/>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row>
    <row r="22" spans="2:109" ht="15" customHeight="1" x14ac:dyDescent="0.2">
      <c r="B22" s="979"/>
      <c r="C22" s="980"/>
      <c r="D22" s="980"/>
      <c r="E22" s="980"/>
      <c r="F22" s="980"/>
      <c r="G22" s="980"/>
      <c r="H22" s="980"/>
      <c r="I22" s="980"/>
      <c r="J22" s="981"/>
      <c r="K22" s="956" t="s">
        <v>1803</v>
      </c>
      <c r="L22" s="956"/>
      <c r="M22" s="956"/>
      <c r="N22" s="956"/>
      <c r="O22" s="65">
        <f>IF(E21="ERROR","ERROR",IF(R22&gt;1,1,R22))</f>
        <v>0</v>
      </c>
      <c r="P22" s="961"/>
      <c r="R22" s="193">
        <f>SUM(I19,I20,E21)</f>
        <v>0</v>
      </c>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row>
    <row r="23" spans="2:109" ht="15" customHeight="1" x14ac:dyDescent="0.2">
      <c r="B23" s="146" t="s">
        <v>1546</v>
      </c>
      <c r="C23" s="694"/>
      <c r="D23" s="694"/>
      <c r="E23" s="921">
        <f>UETable!AV7</f>
        <v>0</v>
      </c>
      <c r="F23" s="921"/>
      <c r="G23" s="694"/>
      <c r="H23" s="694"/>
      <c r="I23" s="936">
        <f>IF(C23="",0,IF(OR(C23&lt;=0,G23&lt;=0),E23,IF(G23&lt;C23,0,UETable!BA7)))</f>
        <v>0</v>
      </c>
      <c r="J23" s="936"/>
      <c r="K23" s="930" t="str">
        <f>IF(OR(C23="NA",G23="NA"),"",IF(AND(C23&lt;&gt;"",G23=""),"Enter contralateral or NA.",IF(AND(C23="",G23&lt;&gt;""),"Need data","")))</f>
        <v/>
      </c>
      <c r="L23" s="930"/>
      <c r="M23" s="930"/>
      <c r="N23" s="930"/>
      <c r="O23" s="930"/>
      <c r="P23" s="961"/>
      <c r="R23" s="10"/>
      <c r="S23" s="50">
        <v>60</v>
      </c>
      <c r="T23" s="50" t="str">
        <f>IF(OR(C23="",C23="NA"),"",IF(C23&gt;S23,S23,IF(C23&lt;0,0,C23)))</f>
        <v/>
      </c>
      <c r="U23" s="50" t="str">
        <f>IF(OR(G23="",G23="NA"),"",IF(G23&gt;S23,S23,IF(G23&lt;0,0,G23)))</f>
        <v/>
      </c>
      <c r="V23" s="553" t="str">
        <f>IF(Y23="","",ROUND(Y23,0))</f>
        <v/>
      </c>
      <c r="W23" s="910" t="s">
        <v>1184</v>
      </c>
      <c r="X23" s="910"/>
      <c r="Y23" s="554" t="str">
        <f>IF(T23="","",IF(OR(U23="",U23=0,U23&lt;T23),T23,(T23*60)/U23))</f>
        <v/>
      </c>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row>
    <row r="24" spans="2:109" ht="15" customHeight="1" x14ac:dyDescent="0.2">
      <c r="B24" s="146" t="s">
        <v>1547</v>
      </c>
      <c r="C24" s="694"/>
      <c r="D24" s="694"/>
      <c r="E24" s="921">
        <f>UETable!AV8</f>
        <v>0</v>
      </c>
      <c r="F24" s="921"/>
      <c r="G24" s="694"/>
      <c r="H24" s="694"/>
      <c r="I24" s="936">
        <f>IF(C24="",0,IF(OR(C24&gt;=60,G24&gt;=60),E24,IF(G24&gt;C24,0,UETable!BA8)))</f>
        <v>0</v>
      </c>
      <c r="J24" s="936"/>
      <c r="K24" s="930" t="str">
        <f>IF(OR(C24="NA",G24="NA"),"",IF(AND(C24&lt;&gt;"",G24=""),"Enter contralateral or NA.",IF(AND(C24="",G24&lt;&gt;""),"Need data","")))</f>
        <v/>
      </c>
      <c r="L24" s="930"/>
      <c r="M24" s="930"/>
      <c r="N24" s="930"/>
      <c r="O24" s="930"/>
      <c r="P24" s="961"/>
      <c r="S24" s="50">
        <v>60</v>
      </c>
      <c r="T24" s="50" t="str">
        <f>IF(OR(C24="",C24="NA"),"",IF(C24&gt;S24,S24,IF(C24&lt;0,0,C24)))</f>
        <v/>
      </c>
      <c r="U24" s="50" t="str">
        <f>IF(OR(G24="",G24="NA"),"",IF(G24&gt;S24,S24,IF(G24&lt;0,0,G24)))</f>
        <v/>
      </c>
      <c r="V24" s="553" t="str">
        <f>IF(Y24="","",ROUND(Y24,0))</f>
        <v/>
      </c>
      <c r="W24" s="50">
        <f>IF(T24="",0,60-T24)</f>
        <v>0</v>
      </c>
      <c r="X24" s="50">
        <f>IF(U24="",0,60-U24)</f>
        <v>0</v>
      </c>
      <c r="Y24" s="554" t="str">
        <f>IF(T24="","",IF(OR(U24="",U24=0,U24&gt;T24),T24,60-(W24*60)/X24))</f>
        <v/>
      </c>
      <c r="Z24" s="10"/>
      <c r="AA24" s="146" t="s">
        <v>1287</v>
      </c>
      <c r="AB24" s="146" t="s">
        <v>1285</v>
      </c>
      <c r="AC24" s="50" t="s">
        <v>1286</v>
      </c>
      <c r="AD24" s="50" t="s">
        <v>1287</v>
      </c>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row>
    <row r="25" spans="2:109" ht="15" customHeight="1" x14ac:dyDescent="0.2">
      <c r="B25" s="146" t="s">
        <v>629</v>
      </c>
      <c r="C25" s="694"/>
      <c r="D25" s="694"/>
      <c r="E25" s="921">
        <f>IF(AND(C25&lt;&gt;"",C25&lt;&gt;"NA",C24&lt;&gt;"NA",C24&lt;&gt;""),"ERROR",IF(AND(C25&lt;&gt;"",C25&lt;&gt;"NA",C23&lt;&gt;"",C23&lt;&gt;"NA"),"ERROR",UETable!AV9))</f>
        <v>0</v>
      </c>
      <c r="F25" s="921"/>
      <c r="G25" s="930" t="str">
        <f>IF(AND(C25&lt;&gt;"",C25&lt;&gt;"NA",C24&lt;&gt;"NA",C24&lt;&gt;""),"ERROR: Cannot rate ROM and ankylosis.",IF(AND(C25&lt;&gt;"",C25&lt;&gt;"NA",C23&lt;&gt;"",C23&lt;&gt;"NA"),"ERROR: Cannot rate ROM and ankylosis.",""))</f>
        <v/>
      </c>
      <c r="H25" s="930"/>
      <c r="I25" s="930"/>
      <c r="J25" s="930"/>
      <c r="K25" s="930"/>
      <c r="L25" s="930"/>
      <c r="M25" s="930"/>
      <c r="N25" s="930"/>
      <c r="O25" s="930"/>
      <c r="P25" s="961"/>
      <c r="R25" s="10"/>
      <c r="S25" s="50">
        <v>60</v>
      </c>
      <c r="T25" s="50" t="str">
        <f>IF(OR(C25="",C25="NA"),"",IF(C25&gt;S25,S25,IF(C25&lt;0,0,C25)))</f>
        <v/>
      </c>
      <c r="U25" s="10"/>
      <c r="V25" s="10"/>
      <c r="W25" s="10"/>
      <c r="X25" s="10"/>
      <c r="Y25" s="10"/>
      <c r="AA25" s="548">
        <f>IF(AND(O22&gt;0,O22&lt;0.01),0.01,ROUND(O22,2))</f>
        <v>0</v>
      </c>
      <c r="AB25" s="147">
        <f>LARGE(AA25:AA26,1)</f>
        <v>0</v>
      </c>
      <c r="AC25" s="548">
        <f>AB25+AB26*(1-AB25)</f>
        <v>0</v>
      </c>
      <c r="AD25" s="548">
        <f>ROUND(AC25,2)</f>
        <v>0</v>
      </c>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row>
    <row r="26" spans="2:109" ht="15" customHeight="1" x14ac:dyDescent="0.2">
      <c r="B26" s="1089"/>
      <c r="C26" s="1089"/>
      <c r="D26" s="1089"/>
      <c r="E26" s="1089"/>
      <c r="F26" s="1089"/>
      <c r="G26" s="1089"/>
      <c r="H26" s="1089"/>
      <c r="I26" s="1089"/>
      <c r="J26" s="1089"/>
      <c r="K26" s="956" t="s">
        <v>1803</v>
      </c>
      <c r="L26" s="956"/>
      <c r="M26" s="956"/>
      <c r="N26" s="956"/>
      <c r="O26" s="65">
        <f>IF(E25="ERROR","ERROR",IF(R26&gt;1,1,R26))</f>
        <v>0</v>
      </c>
      <c r="P26" s="961"/>
      <c r="R26" s="193">
        <f>SUM(I23,I24,E25)</f>
        <v>0</v>
      </c>
      <c r="S26" s="10"/>
      <c r="T26" s="10"/>
      <c r="U26" s="10"/>
      <c r="V26" s="10"/>
      <c r="W26" s="10"/>
      <c r="X26" s="10"/>
      <c r="Y26" s="10"/>
      <c r="AA26" s="548">
        <f>IF(AND(O26&gt;0,O26&lt;0.01),0.01,ROUND(O26,2))</f>
        <v>0</v>
      </c>
      <c r="AB26" s="147">
        <f>LARGE(AA25:AA26,2)</f>
        <v>0</v>
      </c>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row>
    <row r="27" spans="2:109" ht="15" customHeight="1" x14ac:dyDescent="0.2">
      <c r="B27" s="1089"/>
      <c r="C27" s="1089"/>
      <c r="D27" s="1089"/>
      <c r="E27" s="1089"/>
      <c r="F27" s="1089"/>
      <c r="G27" s="1089"/>
      <c r="H27" s="1089"/>
      <c r="I27" s="1089"/>
      <c r="J27" s="1089"/>
      <c r="K27" s="956" t="s">
        <v>267</v>
      </c>
      <c r="L27" s="956"/>
      <c r="M27" s="956"/>
      <c r="N27" s="956"/>
      <c r="O27" s="956"/>
      <c r="P27" s="962"/>
      <c r="R27" s="50">
        <f>IF(OR(O22="ERROR",O26="ERROR"),1,0)</f>
        <v>0</v>
      </c>
      <c r="S27" s="10"/>
      <c r="T27" s="10"/>
      <c r="U27" s="10"/>
      <c r="V27" s="10"/>
      <c r="W27" s="10"/>
      <c r="X27" s="10"/>
      <c r="Y27" s="10"/>
      <c r="Z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row>
    <row r="28" spans="2:109" ht="10.5" customHeight="1" x14ac:dyDescent="0.2">
      <c r="B28" s="777"/>
      <c r="C28" s="777"/>
      <c r="D28" s="777"/>
      <c r="E28" s="777"/>
      <c r="F28" s="777"/>
      <c r="G28" s="777"/>
      <c r="H28" s="777"/>
      <c r="I28" s="777"/>
      <c r="J28" s="777"/>
      <c r="K28" s="777"/>
      <c r="L28" s="777"/>
      <c r="M28" s="777"/>
      <c r="N28" s="777"/>
      <c r="O28" s="777"/>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row>
    <row r="29" spans="2:109" ht="12" customHeight="1" x14ac:dyDescent="0.2">
      <c r="B29" s="480"/>
      <c r="C29" s="978" t="s">
        <v>239</v>
      </c>
      <c r="D29" s="1058"/>
      <c r="E29" s="976" t="s">
        <v>240</v>
      </c>
      <c r="F29" s="1057"/>
      <c r="G29" s="350"/>
      <c r="H29" s="352"/>
      <c r="I29" s="974" t="s">
        <v>241</v>
      </c>
      <c r="J29" s="1056"/>
      <c r="K29" s="472"/>
      <c r="L29" s="352"/>
      <c r="M29" s="976" t="s">
        <v>240</v>
      </c>
      <c r="N29" s="1057"/>
      <c r="O29" s="351"/>
      <c r="P29" s="352"/>
      <c r="AE29" s="476"/>
      <c r="AF29" s="476"/>
      <c r="AG29" s="476"/>
      <c r="AH29" s="476"/>
      <c r="AI29" s="476"/>
      <c r="AJ29" s="476"/>
      <c r="AK29" s="476"/>
      <c r="AL29" s="476"/>
      <c r="AM29" s="476"/>
      <c r="AN29" s="476"/>
    </row>
    <row r="30" spans="2:109" ht="12" customHeight="1" x14ac:dyDescent="0.2">
      <c r="B30" s="481"/>
      <c r="C30" s="959" t="s">
        <v>242</v>
      </c>
      <c r="D30" s="1059"/>
      <c r="E30" s="959" t="s">
        <v>243</v>
      </c>
      <c r="F30" s="1059"/>
      <c r="G30" s="959" t="s">
        <v>244</v>
      </c>
      <c r="H30" s="1059"/>
      <c r="I30" s="973" t="s">
        <v>245</v>
      </c>
      <c r="J30" s="1087"/>
      <c r="K30" s="959" t="s">
        <v>246</v>
      </c>
      <c r="L30" s="1059"/>
      <c r="M30" s="959" t="s">
        <v>247</v>
      </c>
      <c r="N30" s="1059"/>
      <c r="P30" s="316"/>
      <c r="AE30" s="476"/>
      <c r="AF30" s="476"/>
      <c r="AG30" s="476"/>
      <c r="AH30" s="556"/>
      <c r="AI30" s="556"/>
      <c r="AJ30" s="556"/>
      <c r="AK30" s="556"/>
      <c r="AL30" s="476"/>
      <c r="AM30" s="476"/>
      <c r="AN30" s="476"/>
    </row>
    <row r="31" spans="2:109" ht="12" customHeight="1" x14ac:dyDescent="0.2">
      <c r="B31" s="481"/>
      <c r="C31" s="934" t="s">
        <v>248</v>
      </c>
      <c r="D31" s="1055"/>
      <c r="E31" s="934" t="s">
        <v>249</v>
      </c>
      <c r="F31" s="1055"/>
      <c r="G31" s="934" t="s">
        <v>250</v>
      </c>
      <c r="H31" s="1055"/>
      <c r="I31" s="963" t="s">
        <v>251</v>
      </c>
      <c r="J31" s="1088"/>
      <c r="K31" s="934" t="s">
        <v>250</v>
      </c>
      <c r="L31" s="1055"/>
      <c r="M31" s="934" t="s">
        <v>249</v>
      </c>
      <c r="N31" s="1055"/>
      <c r="P31" s="316"/>
      <c r="S31" s="58"/>
      <c r="T31" s="58"/>
      <c r="U31" s="58"/>
      <c r="V31" s="58"/>
      <c r="AH31" s="50">
        <v>1</v>
      </c>
      <c r="AI31" s="50">
        <v>2</v>
      </c>
      <c r="AJ31" s="50">
        <v>3</v>
      </c>
      <c r="AK31" s="50">
        <v>4</v>
      </c>
      <c r="AM31" s="476"/>
      <c r="AN31" s="476"/>
      <c r="AO31" s="476"/>
      <c r="AP31" s="476"/>
      <c r="AQ31" s="476"/>
      <c r="AR31" s="476"/>
      <c r="AS31" s="476"/>
      <c r="AT31" s="476"/>
      <c r="AU31" s="476"/>
      <c r="AV31" s="476"/>
    </row>
    <row r="32" spans="2:109" ht="12" customHeight="1" x14ac:dyDescent="0.2">
      <c r="B32" s="539" t="s">
        <v>1945</v>
      </c>
      <c r="C32" s="934" t="s">
        <v>252</v>
      </c>
      <c r="D32" s="1055"/>
      <c r="E32" s="934" t="s">
        <v>252</v>
      </c>
      <c r="F32" s="1055"/>
      <c r="G32" s="934" t="s">
        <v>252</v>
      </c>
      <c r="H32" s="1055"/>
      <c r="I32" s="934" t="s">
        <v>252</v>
      </c>
      <c r="J32" s="1055"/>
      <c r="K32" s="934" t="s">
        <v>252</v>
      </c>
      <c r="L32" s="1055"/>
      <c r="M32" s="934" t="s">
        <v>252</v>
      </c>
      <c r="N32" s="1055"/>
      <c r="P32" s="316"/>
      <c r="S32" s="895" t="s">
        <v>2147</v>
      </c>
      <c r="T32" s="896"/>
      <c r="U32" s="896"/>
      <c r="V32" s="897"/>
      <c r="W32" s="475"/>
      <c r="X32" s="895" t="s">
        <v>2147</v>
      </c>
      <c r="Y32" s="896"/>
      <c r="Z32" s="896"/>
      <c r="AA32" s="897"/>
      <c r="AB32" s="475"/>
      <c r="AC32" s="950" t="s">
        <v>2147</v>
      </c>
      <c r="AD32" s="951"/>
      <c r="AE32" s="951"/>
      <c r="AF32" s="952"/>
      <c r="AG32" s="475"/>
      <c r="AH32" s="895" t="s">
        <v>2147</v>
      </c>
      <c r="AI32" s="896"/>
      <c r="AJ32" s="897"/>
      <c r="AL32" s="892" t="s">
        <v>2147</v>
      </c>
      <c r="AM32" s="893"/>
      <c r="AN32" s="893"/>
      <c r="AO32" s="894"/>
      <c r="AQ32" s="892" t="s">
        <v>2147</v>
      </c>
      <c r="AR32" s="893"/>
      <c r="AS32" s="893"/>
      <c r="AT32" s="894"/>
    </row>
    <row r="33" spans="1:109" ht="15" customHeight="1" x14ac:dyDescent="0.2">
      <c r="B33" s="146" t="s">
        <v>1568</v>
      </c>
      <c r="C33" s="925"/>
      <c r="D33" s="925"/>
      <c r="E33" s="925"/>
      <c r="F33" s="925"/>
      <c r="G33" s="910" t="s">
        <v>1901</v>
      </c>
      <c r="H33" s="910"/>
      <c r="I33" s="925"/>
      <c r="J33" s="925"/>
      <c r="K33" s="910" t="s">
        <v>1901</v>
      </c>
      <c r="L33" s="910"/>
      <c r="M33" s="925"/>
      <c r="N33" s="925"/>
      <c r="P33" s="316"/>
      <c r="S33" s="555">
        <f>IF(C33="",0,C33)</f>
        <v>0</v>
      </c>
      <c r="T33" s="555">
        <f>IF(E33&lt;&gt;"",E33,IF(S33&gt;0,S33,0))</f>
        <v>0</v>
      </c>
      <c r="U33" s="555">
        <f>IF(I33&lt;&gt;"",I33,IF(T33&gt;0,T33,0))</f>
        <v>0</v>
      </c>
      <c r="V33" s="555">
        <f>IF(M33&lt;&gt;"",M33,IF(U33&gt;0,U33,0))</f>
        <v>0</v>
      </c>
      <c r="W33" s="475"/>
      <c r="X33" s="146">
        <f>IF(C33&gt;1,1,0)</f>
        <v>0</v>
      </c>
      <c r="Y33" s="301">
        <f t="shared" ref="Y33:AA35" si="0">IF(AND(S33&lt;&gt;T33,T33&gt;0),1,0)</f>
        <v>0</v>
      </c>
      <c r="Z33" s="301">
        <f t="shared" si="0"/>
        <v>0</v>
      </c>
      <c r="AA33" s="301">
        <f t="shared" si="0"/>
        <v>0</v>
      </c>
      <c r="AC33" s="478">
        <f>IF(S33=1,0,IF(S33=2,0.25,IF(S33=3,0.38,IF(S33=4,0.5,0))))</f>
        <v>0</v>
      </c>
      <c r="AD33" s="478">
        <f>IF(T33=1,0,IF(T33=2,0.19,IF(T33=3,0.28,IF(T33=4,0.37,0))))</f>
        <v>0</v>
      </c>
      <c r="AE33" s="478">
        <f>IF(U33=1,0,IF(U33=2,0.12,IF(U33=3,0.17,IF(U33=4,0.23,0))))</f>
        <v>0</v>
      </c>
      <c r="AF33" s="478">
        <f>IF(V33=1,0,IF(V33=2,0.08,IF(V33=3,0.12,IF(V33=4,0.15,0))))</f>
        <v>0</v>
      </c>
      <c r="AH33" s="478">
        <f>IF(S33=1,0,IF(S33=2,0.19,IF(S33=3,0.28,IF(S33=4,0.37,0))))</f>
        <v>0</v>
      </c>
      <c r="AI33" s="478">
        <f>IF(T33=1,0,IF(T33=2,0.12,IF(T33=3,0.17,IF(T33=4,0.23,0))))</f>
        <v>0</v>
      </c>
      <c r="AJ33" s="478">
        <f>IF(U33=1,0,IF(U33=2,0.08,IF(U33=3,0.12,IF(U33=4,0.15,0))))</f>
        <v>0</v>
      </c>
      <c r="AL33" s="557">
        <f>IF(S33=1,0,IF(S33=2,0.12,IF(S33=3,0.17,IF(S33=4,0.23,0))))</f>
        <v>0</v>
      </c>
      <c r="AM33" s="557">
        <f>IF(T33=1,0,IF(T33=2,0.08,IF(T33=3,0.12,IF(T33=4,0.15,0))))</f>
        <v>0</v>
      </c>
      <c r="AO33" s="557">
        <f>IF(S33=1,0,IF(S33=2,0.08,IF(S33=3,0.12,IF(S33=4,0.15,0))))</f>
        <v>0</v>
      </c>
      <c r="AP33" s="479"/>
      <c r="AQ33" s="478">
        <f>IF(X33=0,0,IF(OR(Y33=1,Y34=1,Y35=1),AC33-AH33,IF(OR(Z33=1,Z34=1,Z35=1),AC33-AL33,IF(OR(AA33=1,AA34=1,AA35=1),AC33-AO33,AC33))))</f>
        <v>0</v>
      </c>
      <c r="AR33" s="478">
        <f>IF(Y33=0,0,IF(OR(Z33=1,Z34=1,Z35=1),AD33-AI33,IF(OR(AA33=1,AA34=1,AA35=1),AD33-AM33,AD33)))</f>
        <v>0</v>
      </c>
      <c r="AS33" s="478">
        <f>IF(Z33=0,0,IF(OR(AA33=1,AA34=1,AA35=1),AE33-AJ33,AE33))</f>
        <v>0</v>
      </c>
      <c r="AT33" s="478">
        <f>IF(AA33=0,0,AF33)</f>
        <v>0</v>
      </c>
      <c r="AU33" s="479"/>
      <c r="AV33" s="2" t="s">
        <v>253</v>
      </c>
      <c r="AX33" s="863" t="s">
        <v>2147</v>
      </c>
      <c r="AY33" s="863"/>
      <c r="AZ33" s="863"/>
      <c r="BA33" s="863"/>
      <c r="BB33" s="863"/>
      <c r="BC33" s="863"/>
    </row>
    <row r="34" spans="1:109" ht="15" customHeight="1" x14ac:dyDescent="0.2">
      <c r="B34" s="301" t="s">
        <v>1569</v>
      </c>
      <c r="C34" s="925"/>
      <c r="D34" s="925"/>
      <c r="E34" s="925"/>
      <c r="F34" s="925"/>
      <c r="G34" s="910" t="s">
        <v>1901</v>
      </c>
      <c r="H34" s="910"/>
      <c r="I34" s="925"/>
      <c r="J34" s="925"/>
      <c r="K34" s="910" t="s">
        <v>1901</v>
      </c>
      <c r="L34" s="910"/>
      <c r="M34" s="925"/>
      <c r="N34" s="925"/>
      <c r="P34" s="316"/>
      <c r="S34" s="301">
        <f>IF(C34="",0,C34)</f>
        <v>0</v>
      </c>
      <c r="T34" s="301">
        <f>IF(E34&lt;&gt;"",E34,IF(S34&gt;0,S34,0))</f>
        <v>0</v>
      </c>
      <c r="U34" s="301">
        <f>IF(I34&lt;&gt;"",I34,IF(T34&gt;0,T34,0))</f>
        <v>0</v>
      </c>
      <c r="V34" s="301">
        <f>IF(M34&lt;&gt;"",M34,IF(U34&gt;0,U34,0))</f>
        <v>0</v>
      </c>
      <c r="W34" s="475"/>
      <c r="X34" s="146">
        <f>IF(C34&gt;1,1,0)</f>
        <v>0</v>
      </c>
      <c r="Y34" s="301">
        <f t="shared" si="0"/>
        <v>0</v>
      </c>
      <c r="Z34" s="301">
        <f t="shared" si="0"/>
        <v>0</v>
      </c>
      <c r="AA34" s="301">
        <f t="shared" si="0"/>
        <v>0</v>
      </c>
      <c r="AC34" s="478">
        <f>IF(S34=1,0,IF(S34=2,0.1,IF(S34=3,0.17,IF(S34=4,0.23,0))))</f>
        <v>0</v>
      </c>
      <c r="AD34" s="478">
        <f>IF(T34=1,0,IF(T34=2,0.08,IF(T34=3,0.12,IF(T34=4,0.16,0))))</f>
        <v>0</v>
      </c>
      <c r="AE34" s="478">
        <f>IF(U34=1,0,IF(U34=2,0.05,IF(U34=3,0.07,IF(U34=4,0.09,0))))</f>
        <v>0</v>
      </c>
      <c r="AF34" s="478">
        <f>IF(V34=1,0,IF(V34=2,0.03,IF(V34=3,0.05,IF(V34=4,0.06,0))))</f>
        <v>0</v>
      </c>
      <c r="AH34" s="478">
        <f>IF(S34=1,0,IF(S34=2,0.08,IF(S34=3,0.12,IF(S34=4,0.16,0))))</f>
        <v>0</v>
      </c>
      <c r="AI34" s="478">
        <f>IF(T34=1,0,IF(T34=2,0.05,IF(T34=3,0.07,IF(T34=4,0.09,0))))</f>
        <v>0</v>
      </c>
      <c r="AJ34" s="478">
        <f>IF(U34=1,0,IF(U34=2,0.03,IF(U34=3,0.05,IF(U34=4,0.06,0))))</f>
        <v>0</v>
      </c>
      <c r="AL34" s="478">
        <f>IF(S34=1,0,IF(S34=2,0.05,IF(S34=3,0.07,IF(S34=4,0.09,0))))</f>
        <v>0</v>
      </c>
      <c r="AM34" s="478">
        <f>IF(T34=1,0,IF(T34=2,0.03,IF(T34=3,0.05,IF(T34=4,0.06,0))))</f>
        <v>0</v>
      </c>
      <c r="AO34" s="478">
        <f>IF(S34=1,0,IF(S34=2,0.03,IF(S34=3,0.05,IF(S34=4,0.06,0))))</f>
        <v>0</v>
      </c>
      <c r="AP34" s="479"/>
      <c r="AQ34" s="478">
        <f>IF(X34=0,0,IF(OR(Y33=1,Y34=1),AC34-AH34,IF(OR(Z33=1,Z34=1),AC34-AL34,IF(OR(AA33=1,AA34=1),AC34-AO34,AC34))))</f>
        <v>0</v>
      </c>
      <c r="AR34" s="478">
        <f>IF(Y34=0,0,IF(OR(Z33=1,Z34=1),AD34-AI34,IF(OR(AA33=1,AA34=1),AD34-AM34,AD34)))</f>
        <v>0</v>
      </c>
      <c r="AS34" s="478">
        <f>IF(Z34=0,0,IF(OR(AA33=1,AA34=1),AE34-AJ34,AE34))</f>
        <v>0</v>
      </c>
      <c r="AT34" s="478">
        <f>IF(AA34=0,0,AF34)</f>
        <v>0</v>
      </c>
      <c r="AU34" s="479"/>
      <c r="AV34" s="365">
        <f>LARGE((AQ33,AR33,AS33,AT33,AQ34,AR34,AS34,AT34,AQ35,AR35,AS35,AT35),1)</f>
        <v>0</v>
      </c>
      <c r="AW34" s="365">
        <f>LARGE((AQ33,AR33,AS33,AT33,AQ34,AR34,AS34,AT34,AQ35,AR35,AS35,AT35),2)</f>
        <v>0</v>
      </c>
      <c r="AX34" s="365">
        <f>LARGE((AQ33,AR33,AS33,AT33,AQ34,AR34,AS34,AT34,AQ35,AR35,AS35,AT35),3)</f>
        <v>0</v>
      </c>
      <c r="AY34" s="365">
        <f>LARGE((AQ33,AR33,AS33,AT33,AQ34,AR34,AS34,AT34,AQ35,AR35,AS35,AT35),4)</f>
        <v>0</v>
      </c>
      <c r="AZ34" s="365">
        <f>LARGE((AQ33,AR33,AS33,AT33,AQ34,AR34,AS34,AT34,AQ35,AR35,AS35,AT35),5)</f>
        <v>0</v>
      </c>
      <c r="BA34" s="365">
        <f>LARGE((AQ33,AR33,AS33,AT33,AQ34,AR34,AS34,AT34,AQ35,AR35,AS35,AT35),6)</f>
        <v>0</v>
      </c>
      <c r="BB34" s="365">
        <f>LARGE((AQ33,AR33,AS33,AT33,AQ34,AR34,AS34,AT34,AQ35,AR35,AS35,AT35),7)</f>
        <v>0</v>
      </c>
      <c r="BC34" s="365">
        <f>LARGE((AQ33,AR33,AS33,AT33,AQ34,AR34,AS34,AT34,AQ35,AR35,AS35,AT35),8)</f>
        <v>0</v>
      </c>
    </row>
    <row r="35" spans="1:109" ht="15" customHeight="1" x14ac:dyDescent="0.2">
      <c r="B35" s="482" t="s">
        <v>1570</v>
      </c>
      <c r="C35" s="925"/>
      <c r="D35" s="925"/>
      <c r="E35" s="925"/>
      <c r="F35" s="925"/>
      <c r="G35" s="830" t="s">
        <v>1901</v>
      </c>
      <c r="H35" s="830"/>
      <c r="I35" s="925"/>
      <c r="J35" s="925"/>
      <c r="K35" s="830" t="s">
        <v>1901</v>
      </c>
      <c r="L35" s="830"/>
      <c r="M35" s="925"/>
      <c r="N35" s="925"/>
      <c r="P35" s="316"/>
      <c r="S35" s="301">
        <f>IF(C35="",0,C35)</f>
        <v>0</v>
      </c>
      <c r="T35" s="301">
        <f>IF(E35&lt;&gt;"",E35,IF(S35&gt;0,S35,0))</f>
        <v>0</v>
      </c>
      <c r="U35" s="301">
        <f>IF(I35&lt;&gt;"",I35,IF(T35&gt;0,T35,0))</f>
        <v>0</v>
      </c>
      <c r="V35" s="301">
        <f>IF(M35&lt;&gt;"",M35,IF(U35&gt;0,U35,0))</f>
        <v>0</v>
      </c>
      <c r="W35" s="475"/>
      <c r="X35" s="146">
        <f>IF(C35&gt;1,1,0)</f>
        <v>0</v>
      </c>
      <c r="Y35" s="301">
        <f t="shared" si="0"/>
        <v>0</v>
      </c>
      <c r="Z35" s="301">
        <f t="shared" si="0"/>
        <v>0</v>
      </c>
      <c r="AA35" s="301">
        <f t="shared" si="0"/>
        <v>0</v>
      </c>
      <c r="AC35" s="478">
        <f>IF(S35=1,0,IF(S35=2,0.17,IF(S35=3,0.25,IF(S35=4,0.35,0))))</f>
        <v>0</v>
      </c>
      <c r="AD35" s="478">
        <f>IF(T35=1,0,IF(T35=2,0.12,IF(T35=3,0.18,IF(T35=4,0.25,0))))</f>
        <v>0</v>
      </c>
      <c r="AE35" s="478">
        <f>IF(U35=1,0,IF(U35=2,0.07,IF(U35=3,0.11,IF(U35=4,0.15,0))))</f>
        <v>0</v>
      </c>
      <c r="AF35" s="478">
        <f>IF(V35=1,0,IF(V35=2,0.05,IF(V35=3,0.07,IF(V35=4,0.1,0))))</f>
        <v>0</v>
      </c>
      <c r="AH35" s="478">
        <f>IF(S35=1,0,IF(S35=2,0.12,IF(S35=3,0.18,IF(S35=4,0.25,0))))</f>
        <v>0</v>
      </c>
      <c r="AI35" s="478">
        <f>IF(T35=1,0,IF(T35=2,0.07,IF(T35=3,0.11,IF(T35=4,0.15,0))))</f>
        <v>0</v>
      </c>
      <c r="AJ35" s="478">
        <f>IF(U35=1,0,IF(U35=2,0.05,IF(U35=3,0.07,IF(U35=4,0.1,0))))</f>
        <v>0</v>
      </c>
      <c r="AL35" s="478">
        <f>IF(S35=1,0,IF(S35=2,0.07,IF(S35=3,0.11,IF(S35=4,0.15,0))))</f>
        <v>0</v>
      </c>
      <c r="AM35" s="478">
        <f>IF(T35=1,0,IF(T35=2,0.05,IF(T35=3,0.07,IF(T35=4,0.1,0))))</f>
        <v>0</v>
      </c>
      <c r="AO35" s="478">
        <f>IF(S35=1,0,IF(S35=2,0.05,IF(S35=3,0.07,IF(S35=4,0.1,0))))</f>
        <v>0</v>
      </c>
      <c r="AP35" s="479"/>
      <c r="AQ35" s="478">
        <f>IF(X35=0,0,IF(OR(Y33=1,Y35=1),AC35-AH35,IF(OR(Z33=1,Z35=1),AC35-AL35,IF(OR(AA33=1,AA35=1),AC35-AO35,AC35))))</f>
        <v>0</v>
      </c>
      <c r="AR35" s="478">
        <f>IF(Y35=0,0,IF(OR(Z33=1,Z35=1),AD35-AI35,IF(OR(AA33=1,AA35=1),AD35-AM35,AD35)))</f>
        <v>0</v>
      </c>
      <c r="AS35" s="478">
        <f>IF(Z35=0,0,IF(OR(AA33=1,AA35=1),AE35-AJ35,AE35))</f>
        <v>0</v>
      </c>
      <c r="AT35" s="478">
        <f>IF(AA35=0,0,AF35)</f>
        <v>0</v>
      </c>
      <c r="AU35" s="479"/>
      <c r="AV35" s="389">
        <f>ROUND(AV34+AW34*(1-AV34),2)</f>
        <v>0</v>
      </c>
      <c r="AW35" s="389">
        <f t="shared" ref="AW35:BB35" si="1">ROUND(AV35+AX34*(1-AV35),2)</f>
        <v>0</v>
      </c>
      <c r="AX35" s="389">
        <f t="shared" si="1"/>
        <v>0</v>
      </c>
      <c r="AY35" s="389">
        <f t="shared" si="1"/>
        <v>0</v>
      </c>
      <c r="AZ35" s="389">
        <f t="shared" si="1"/>
        <v>0</v>
      </c>
      <c r="BA35" s="389">
        <f t="shared" si="1"/>
        <v>0</v>
      </c>
      <c r="BB35" s="389">
        <f t="shared" si="1"/>
        <v>0</v>
      </c>
      <c r="BC35" s="146"/>
    </row>
    <row r="36" spans="1:109" x14ac:dyDescent="0.2">
      <c r="B36" s="926" t="str">
        <f>IF(AA36=1,"ERROR: If radial or ulnar impairment is recorded, do not enter losses for 'both sides.'","")</f>
        <v/>
      </c>
      <c r="C36" s="927"/>
      <c r="D36" s="927"/>
      <c r="E36" s="927"/>
      <c r="F36" s="927"/>
      <c r="G36" s="927"/>
      <c r="H36" s="927"/>
      <c r="I36" s="927"/>
      <c r="J36" s="927"/>
      <c r="K36" s="927"/>
      <c r="L36" s="927"/>
      <c r="M36" s="927"/>
      <c r="N36" s="927"/>
      <c r="O36" s="928"/>
      <c r="P36" s="245">
        <f>IF(B36&lt;&gt;"","ERROR",BB35)</f>
        <v>0</v>
      </c>
      <c r="S36" s="475"/>
      <c r="T36" s="475"/>
      <c r="U36" s="475"/>
      <c r="X36" s="301">
        <f>SUM(X33:AA33)</f>
        <v>0</v>
      </c>
      <c r="Y36" s="301">
        <f>SUM(X34:AA34)</f>
        <v>0</v>
      </c>
      <c r="Z36" s="301">
        <f>SUM(X35:AA35)</f>
        <v>0</v>
      </c>
      <c r="AA36" s="301">
        <f>IF(AND(X36&gt;0,Y36&gt;0),1,IF(AND(X36&gt;0,Z36&gt;0),1,0))</f>
        <v>0</v>
      </c>
    </row>
    <row r="37" spans="1:109" ht="15" customHeight="1" x14ac:dyDescent="0.2">
      <c r="B37" s="350" t="s">
        <v>1208</v>
      </c>
      <c r="C37" s="351"/>
      <c r="D37" s="351"/>
      <c r="E37" s="351"/>
      <c r="F37" s="351"/>
      <c r="G37" s="351"/>
      <c r="H37" s="351"/>
      <c r="I37" s="351"/>
      <c r="J37" s="351"/>
      <c r="K37" s="351"/>
      <c r="L37" s="351"/>
      <c r="M37" s="351"/>
      <c r="N37" s="351"/>
      <c r="O37" s="351"/>
      <c r="P37" s="352"/>
    </row>
    <row r="38" spans="1:109" ht="15" customHeight="1" x14ac:dyDescent="0.2">
      <c r="B38" s="146" t="s">
        <v>1568</v>
      </c>
      <c r="C38" s="925"/>
      <c r="D38" s="925"/>
      <c r="E38" s="925"/>
      <c r="F38" s="925"/>
      <c r="G38" s="910" t="s">
        <v>1901</v>
      </c>
      <c r="H38" s="910"/>
      <c r="I38" s="925"/>
      <c r="J38" s="925"/>
      <c r="K38" s="910" t="s">
        <v>1901</v>
      </c>
      <c r="L38" s="910"/>
      <c r="M38" s="925"/>
      <c r="N38" s="925"/>
      <c r="P38" s="316"/>
      <c r="S38" s="301">
        <f>IF(C38="",0,C38)</f>
        <v>0</v>
      </c>
      <c r="T38" s="301">
        <f>IF(E38&lt;&gt;"",E38,IF(S38&gt;0,S38,0))</f>
        <v>0</v>
      </c>
      <c r="U38" s="301">
        <f>IF(I38&lt;&gt;"",I38,IF(T38&gt;0,T38,0))</f>
        <v>0</v>
      </c>
      <c r="V38" s="301">
        <f>IF(M38&lt;&gt;"",M38,IF(U38&gt;0,U38,0))</f>
        <v>0</v>
      </c>
      <c r="W38" s="475"/>
      <c r="X38" s="146">
        <f>IF(C38&gt;1,1,0)</f>
        <v>0</v>
      </c>
      <c r="Y38" s="301">
        <f t="shared" ref="Y38:AA40" si="2">IF(AND(S38&lt;&gt;T38,T38&gt;0),1,0)</f>
        <v>0</v>
      </c>
      <c r="Z38" s="301">
        <f t="shared" si="2"/>
        <v>0</v>
      </c>
      <c r="AA38" s="301">
        <f t="shared" si="2"/>
        <v>0</v>
      </c>
      <c r="AC38" s="478">
        <f>IF(S38=1,0,IF(S38=2,0.25,IF(S38=3,0.38,IF(S38=4,0.5,0))))</f>
        <v>0</v>
      </c>
      <c r="AD38" s="478">
        <f>IF(T38=1,0,IF(T38=2,0.19,IF(T38=3,0.28,IF(T38=4,0.37,0))))</f>
        <v>0</v>
      </c>
      <c r="AE38" s="478">
        <f>IF(U38=1,0,IF(U38=2,0.12,IF(U38=3,0.17,IF(U38=4,0.23,0))))</f>
        <v>0</v>
      </c>
      <c r="AF38" s="478">
        <f>IF(V38=1,0,IF(V38=2,0.08,IF(V38=3,0.12,IF(V38=4,0.15,0))))</f>
        <v>0</v>
      </c>
      <c r="AH38" s="478">
        <f>IF(S38=1,0,IF(S38=2,0.19,IF(S38=3,0.28,IF(S38=4,0.37,0))))</f>
        <v>0</v>
      </c>
      <c r="AI38" s="478">
        <f>IF(T38=1,0,IF(T38=2,0.12,IF(T38=3,0.17,IF(T38=4,0.23,0))))</f>
        <v>0</v>
      </c>
      <c r="AJ38" s="478">
        <f>IF(U38=1,0,IF(U38=2,0.08,IF(U38=3,0.12,IF(U38=4,0.15,0))))</f>
        <v>0</v>
      </c>
      <c r="AL38" s="478">
        <f>IF(S38=1,0,IF(S38=2,0.12,IF(S38=3,0.17,IF(S38=4,0.23,0))))</f>
        <v>0</v>
      </c>
      <c r="AM38" s="478">
        <f>IF(T38=1,0,IF(T38=2,0.08,IF(T38=3,0.12,IF(T38=4,0.15,0))))</f>
        <v>0</v>
      </c>
      <c r="AO38" s="478">
        <f>IF(S38=1,0,IF(S38=2,0.08,IF(S38=3,0.12,IF(S38=4,0.15,0))))</f>
        <v>0</v>
      </c>
      <c r="AP38" s="479"/>
      <c r="AQ38" s="478">
        <f>IF(X38=0,0,IF(OR(Y38=1,Y39=1,Y40=1),AC38-AH38,IF(OR(Z38=1,Z39=1,Z40=1),AC38-AL38,IF(OR(AA38=1,AA39=1,AA40=1),AC38-AO38,AC38))))</f>
        <v>0</v>
      </c>
      <c r="AR38" s="478">
        <f>IF(Y38=0,0,IF(OR(Z38=1,Z39=1,Z40=1),AD38-AI38,IF(OR(AA38=1,AA39=1,AA40=1),AD38-AM38,AD38)))</f>
        <v>0</v>
      </c>
      <c r="AS38" s="478">
        <f>IF(Z38=0,0,IF(OR(AA38=1,AA39=1,AA40=1),AE38-AJ38,AE38))</f>
        <v>0</v>
      </c>
      <c r="AT38" s="478">
        <f>IF(AA38=0,0,AF38)</f>
        <v>0</v>
      </c>
      <c r="AU38" s="479"/>
      <c r="AV38" s="2" t="s">
        <v>253</v>
      </c>
    </row>
    <row r="39" spans="1:109" ht="15" customHeight="1" x14ac:dyDescent="0.2">
      <c r="B39" s="301" t="s">
        <v>1569</v>
      </c>
      <c r="C39" s="925"/>
      <c r="D39" s="925"/>
      <c r="E39" s="925"/>
      <c r="F39" s="925"/>
      <c r="G39" s="910" t="s">
        <v>1901</v>
      </c>
      <c r="H39" s="910"/>
      <c r="I39" s="925"/>
      <c r="J39" s="925"/>
      <c r="K39" s="910" t="s">
        <v>1901</v>
      </c>
      <c r="L39" s="910"/>
      <c r="M39" s="925"/>
      <c r="N39" s="925"/>
      <c r="P39" s="316"/>
      <c r="S39" s="301">
        <f>IF(C39="",0,C39)</f>
        <v>0</v>
      </c>
      <c r="T39" s="301">
        <f>IF(E39&lt;&gt;"",E39,IF(S39&gt;0,S39,0))</f>
        <v>0</v>
      </c>
      <c r="U39" s="301">
        <f>IF(I39&lt;&gt;"",I39,IF(T39&gt;0,T39,0))</f>
        <v>0</v>
      </c>
      <c r="V39" s="301">
        <f>IF(M39&lt;&gt;"",M39,IF(U39&gt;0,U39,0))</f>
        <v>0</v>
      </c>
      <c r="W39" s="475"/>
      <c r="X39" s="146">
        <f>IF(C39&gt;1,1,0)</f>
        <v>0</v>
      </c>
      <c r="Y39" s="301">
        <f t="shared" si="2"/>
        <v>0</v>
      </c>
      <c r="Z39" s="301">
        <f t="shared" si="2"/>
        <v>0</v>
      </c>
      <c r="AA39" s="301">
        <f t="shared" si="2"/>
        <v>0</v>
      </c>
      <c r="AC39" s="478">
        <f>IF(S39=1,0,IF(S39=2,0.1,IF(S39=3,0.17,IF(S39=4,0.23,0))))</f>
        <v>0</v>
      </c>
      <c r="AD39" s="478">
        <f>IF(T39=1,0,IF(T39=2,0.08,IF(T39=3,0.12,IF(T39=4,0.16,0))))</f>
        <v>0</v>
      </c>
      <c r="AE39" s="478">
        <f>IF(U39=1,0,IF(U39=2,0.05,IF(U39=3,0.07,IF(U39=4,0.09,0))))</f>
        <v>0</v>
      </c>
      <c r="AF39" s="478">
        <f>IF(V39=1,0,IF(V39=2,0.03,IF(V39=3,0.05,IF(V39=4,0.06,0))))</f>
        <v>0</v>
      </c>
      <c r="AH39" s="478">
        <f>IF(S39=1,0,IF(S39=2,0.08,IF(S39=3,0.12,IF(S39=4,0.16,0))))</f>
        <v>0</v>
      </c>
      <c r="AI39" s="478">
        <f>IF(T39=1,0,IF(T39=2,0.05,IF(T39=3,0.07,IF(T39=4,0.09,0))))</f>
        <v>0</v>
      </c>
      <c r="AJ39" s="478">
        <f>IF(U39=1,0,IF(U39=2,0.03,IF(U39=3,0.05,IF(U39=4,0.06,0))))</f>
        <v>0</v>
      </c>
      <c r="AL39" s="478">
        <f>IF(S39=1,0,IF(S39=2,0.05,IF(S39=3,0.07,IF(S39=4,0.09,0))))</f>
        <v>0</v>
      </c>
      <c r="AM39" s="478">
        <f>IF(T39=1,0,IF(T39=2,0.03,IF(T39=3,0.05,IF(T39=4,0.06,0))))</f>
        <v>0</v>
      </c>
      <c r="AO39" s="478">
        <f>IF(S39=1,0,IF(S39=2,0.03,IF(S39=3,0.05,IF(S39=4,0.06,0))))</f>
        <v>0</v>
      </c>
      <c r="AP39" s="479"/>
      <c r="AQ39" s="478">
        <f>IF(X39=0,0,IF(OR(Y38=1,Y39=1),AC39-AH39,IF(OR(Z38=1,Z39=1),AC39-AL39,IF(OR(AA38=1,AA39=1),AC39-AO39,AC39))))</f>
        <v>0</v>
      </c>
      <c r="AR39" s="478">
        <f>IF(Y39=0,0,IF(OR(Z38=1,Z39=1),AD39-AI39,IF(OR(AA38=1,AA39=1),AD39-AM39,AD39)))</f>
        <v>0</v>
      </c>
      <c r="AS39" s="478">
        <f>IF(Z39=0,0,IF(OR(AA38=1,AA39=1),AE39-AJ39,AE39))</f>
        <v>0</v>
      </c>
      <c r="AT39" s="478">
        <f>IF(AA39=0,0,AF39)</f>
        <v>0</v>
      </c>
      <c r="AU39" s="479"/>
      <c r="AV39" s="365">
        <f>LARGE((AQ38,AR38,AS38,AT38,AQ39,AR39,AS39,AT39,AQ40,AR40,AS40,AT40),1)</f>
        <v>0</v>
      </c>
      <c r="AW39" s="365">
        <f>LARGE((AQ38,AR38,AS38,AT38,AQ39,AR39,AS39,AT39,AQ40,AR40,AS40,AT40),2)</f>
        <v>0</v>
      </c>
      <c r="AX39" s="365">
        <f>LARGE((AQ38,AR38,AS38,AT38,AQ39,AR39,AS39,AT39,AQ40,AR40,AS40,AT40),3)</f>
        <v>0</v>
      </c>
      <c r="AY39" s="365">
        <f>LARGE((AQ38,AR38,AS38,AT38,AQ39,AR39,AS39,AT39,AQ40,AR40,AS40,AT40),4)</f>
        <v>0</v>
      </c>
      <c r="AZ39" s="365">
        <f>LARGE((AQ38,AR38,AS38,AT38,AQ39,AR39,AS39,AT39,AQ40,AR40,AS40,AT40),5)</f>
        <v>0</v>
      </c>
      <c r="BA39" s="365">
        <f>LARGE((AQ38,AR38,AS38,AT38,AQ39,AR39,AS39,AT39,AQ40,AR40,AS40,AT40),6)</f>
        <v>0</v>
      </c>
      <c r="BB39" s="365">
        <f>LARGE((AQ38,AR38,AS38,AT38,AQ39,AR39,AS39,AT39,AQ40,AR40,AS40,AT40),7)</f>
        <v>0</v>
      </c>
      <c r="BC39" s="365">
        <f>LARGE((AQ38,AR38,AS38,AT38,AQ39,AR39,AS39,AT39,AQ40,AR40,AS40,AT40),8)</f>
        <v>0</v>
      </c>
    </row>
    <row r="40" spans="1:109" ht="15" customHeight="1" x14ac:dyDescent="0.2">
      <c r="B40" s="482" t="s">
        <v>1570</v>
      </c>
      <c r="C40" s="925"/>
      <c r="D40" s="925"/>
      <c r="E40" s="925"/>
      <c r="F40" s="925"/>
      <c r="G40" s="830" t="s">
        <v>1901</v>
      </c>
      <c r="H40" s="830"/>
      <c r="I40" s="925"/>
      <c r="J40" s="925"/>
      <c r="K40" s="830" t="s">
        <v>1901</v>
      </c>
      <c r="L40" s="830"/>
      <c r="M40" s="925"/>
      <c r="N40" s="925"/>
      <c r="P40" s="316"/>
      <c r="S40" s="301">
        <f>IF(C40="",0,C40)</f>
        <v>0</v>
      </c>
      <c r="T40" s="301">
        <f>IF(E40&lt;&gt;"",E40,IF(S40&gt;0,S40,0))</f>
        <v>0</v>
      </c>
      <c r="U40" s="301">
        <f>IF(I40&lt;&gt;"",I40,IF(T40&gt;0,T40,0))</f>
        <v>0</v>
      </c>
      <c r="V40" s="301">
        <f>IF(M40&lt;&gt;"",M40,IF(U40&gt;0,U40,0))</f>
        <v>0</v>
      </c>
      <c r="W40" s="475"/>
      <c r="X40" s="146">
        <f>IF(C40&gt;1,1,0)</f>
        <v>0</v>
      </c>
      <c r="Y40" s="301">
        <f t="shared" si="2"/>
        <v>0</v>
      </c>
      <c r="Z40" s="301">
        <f t="shared" si="2"/>
        <v>0</v>
      </c>
      <c r="AA40" s="301">
        <f t="shared" si="2"/>
        <v>0</v>
      </c>
      <c r="AC40" s="478">
        <f>IF(S40=1,0,IF(S40=2,0.17,IF(S40=3,0.25,IF(S40=4,0.35,0))))</f>
        <v>0</v>
      </c>
      <c r="AD40" s="478">
        <f>IF(T40=1,0,IF(T40=2,0.12,IF(T40=3,0.18,IF(T40=4,0.25,0))))</f>
        <v>0</v>
      </c>
      <c r="AE40" s="478">
        <f>IF(U40=1,0,IF(U40=2,0.07,IF(U40=3,0.11,IF(U40=4,0.15,0))))</f>
        <v>0</v>
      </c>
      <c r="AF40" s="478">
        <f>IF(V40=1,0,IF(V40=2,0.05,IF(V40=3,0.07,IF(V40=4,0.1,0))))</f>
        <v>0</v>
      </c>
      <c r="AH40" s="478">
        <f>IF(S40=1,0,IF(S40=2,0.12,IF(S40=3,0.18,IF(S40=4,0.25,0))))</f>
        <v>0</v>
      </c>
      <c r="AI40" s="478">
        <f>IF(T40=1,0,IF(T40=2,0.07,IF(T40=3,0.11,IF(T40=4,0.15,0))))</f>
        <v>0</v>
      </c>
      <c r="AJ40" s="478">
        <f>IF(U40=1,0,IF(U40=2,0.05,IF(U40=3,0.07,IF(U40=4,0.1,0))))</f>
        <v>0</v>
      </c>
      <c r="AL40" s="478">
        <f>IF(S40=1,0,IF(S40=2,0.07,IF(S40=3,0.11,IF(S40=4,0.15,0))))</f>
        <v>0</v>
      </c>
      <c r="AM40" s="478">
        <f>IF(T40=1,0,IF(T40=2,0.05,IF(T40=3,0.07,IF(T40=4,0.1,0))))</f>
        <v>0</v>
      </c>
      <c r="AO40" s="478">
        <f>IF(S40=1,0,IF(S40=2,0.05,IF(S40=3,0.07,IF(S40=4,0.1,0))))</f>
        <v>0</v>
      </c>
      <c r="AP40" s="479"/>
      <c r="AQ40" s="478">
        <f>IF(X40=0,0,IF(OR(Y38=1,Y40=1),AC40-AH40,IF(OR(Z38=1,Z40=1),AC40-AL40,IF(OR(AA38=1,AA40=1),AC40-AO40,AC40))))</f>
        <v>0</v>
      </c>
      <c r="AR40" s="478">
        <f>IF(Y40=0,0,IF(OR(Z38=1,Z40=1),AD40-AI40,IF(OR(AA38=1,AA40=1),AD40-AM40,AD40)))</f>
        <v>0</v>
      </c>
      <c r="AS40" s="478">
        <f>IF(Z40=0,0,IF(OR(AA38=1,AA40=1),AE40-AJ40,AE40))</f>
        <v>0</v>
      </c>
      <c r="AT40" s="478">
        <f>IF(AA40=0,0,AF40)</f>
        <v>0</v>
      </c>
      <c r="AU40" s="479"/>
      <c r="AV40" s="389">
        <f>ROUND(AV39+AW39*(1-AV39),2)</f>
        <v>0</v>
      </c>
      <c r="AW40" s="389">
        <f t="shared" ref="AW40:BB40" si="3">ROUND(AV40+AX39*(1-AV40),2)</f>
        <v>0</v>
      </c>
      <c r="AX40" s="389">
        <f t="shared" si="3"/>
        <v>0</v>
      </c>
      <c r="AY40" s="389">
        <f t="shared" si="3"/>
        <v>0</v>
      </c>
      <c r="AZ40" s="389">
        <f t="shared" si="3"/>
        <v>0</v>
      </c>
      <c r="BA40" s="389">
        <f t="shared" si="3"/>
        <v>0</v>
      </c>
      <c r="BB40" s="389">
        <f t="shared" si="3"/>
        <v>0</v>
      </c>
      <c r="BC40" s="146"/>
    </row>
    <row r="41" spans="1:109" x14ac:dyDescent="0.2">
      <c r="B41" s="926" t="str">
        <f>IF(AA41=1,"ERROR: If radial or ulnar impairment is recorded, do not enter losses for 'both sides.'","")</f>
        <v/>
      </c>
      <c r="C41" s="927"/>
      <c r="D41" s="927"/>
      <c r="E41" s="927"/>
      <c r="F41" s="927"/>
      <c r="G41" s="927"/>
      <c r="H41" s="927"/>
      <c r="I41" s="927"/>
      <c r="J41" s="927"/>
      <c r="K41" s="927"/>
      <c r="L41" s="927"/>
      <c r="M41" s="927"/>
      <c r="N41" s="927"/>
      <c r="O41" s="928"/>
      <c r="P41" s="245">
        <f>IF(B41&lt;&gt;"","ERROR",BB40)</f>
        <v>0</v>
      </c>
      <c r="S41" s="475"/>
      <c r="T41" s="475"/>
      <c r="U41" s="475"/>
      <c r="X41" s="301">
        <f>SUM(X38:AA38)</f>
        <v>0</v>
      </c>
      <c r="Y41" s="301">
        <f>SUM(X39:AA39)</f>
        <v>0</v>
      </c>
      <c r="Z41" s="301">
        <f>SUM(X40:AA40)</f>
        <v>0</v>
      </c>
      <c r="AA41" s="301">
        <f>IF(AND(X41&gt;0,Y41&gt;0),1,IF(AND(X41&gt;0,Z41&gt;0),1,0))</f>
        <v>0</v>
      </c>
    </row>
    <row r="42" spans="1:109" ht="10.5" customHeight="1" x14ac:dyDescent="0.2">
      <c r="B42" s="1041"/>
      <c r="C42" s="1041"/>
      <c r="D42" s="1041"/>
      <c r="E42" s="1041"/>
      <c r="F42" s="1041"/>
      <c r="G42" s="1041"/>
      <c r="H42" s="1041"/>
      <c r="I42" s="1041"/>
      <c r="J42" s="1041"/>
      <c r="K42" s="1041"/>
      <c r="L42" s="1041"/>
      <c r="M42" s="1041"/>
      <c r="N42" s="1041"/>
      <c r="O42" s="1041"/>
      <c r="P42" s="73"/>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row>
    <row r="43" spans="1:109" ht="10.5" customHeight="1" x14ac:dyDescent="0.2">
      <c r="B43" s="41"/>
      <c r="C43" s="41"/>
      <c r="D43" s="41"/>
      <c r="E43" s="41"/>
      <c r="F43" s="41"/>
      <c r="G43" s="41"/>
      <c r="H43" s="41"/>
      <c r="I43" s="41"/>
      <c r="J43" s="41"/>
      <c r="K43" s="41"/>
      <c r="L43" s="41"/>
      <c r="M43" s="41"/>
      <c r="N43" s="41"/>
      <c r="O43" s="41"/>
      <c r="P43" s="73"/>
      <c r="R43" s="10"/>
      <c r="S43" s="863" t="s">
        <v>2147</v>
      </c>
      <c r="T43" s="863"/>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row>
    <row r="44" spans="1:109" ht="14.25" customHeight="1" x14ac:dyDescent="0.2">
      <c r="A44" s="15"/>
      <c r="B44" s="982" t="s">
        <v>1209</v>
      </c>
      <c r="C44" s="983"/>
      <c r="D44" s="940"/>
      <c r="E44" s="940"/>
      <c r="F44" s="924" t="s">
        <v>1210</v>
      </c>
      <c r="G44" s="924"/>
      <c r="H44" s="924"/>
      <c r="I44" s="924"/>
      <c r="J44" s="924"/>
      <c r="K44" s="924"/>
      <c r="L44" s="924"/>
      <c r="M44" s="924"/>
      <c r="N44" s="924"/>
      <c r="O44" s="924"/>
      <c r="P44" s="82">
        <f>IF(T44=1,0.1,0)</f>
        <v>0</v>
      </c>
      <c r="R44" s="10"/>
      <c r="S44" s="546" t="b">
        <v>0</v>
      </c>
      <c r="T44" s="50">
        <f>IF(S44=TRUE,1,0)</f>
        <v>0</v>
      </c>
      <c r="W44" s="10"/>
      <c r="X44" s="10"/>
      <c r="Y44" s="10"/>
      <c r="Z44" s="10"/>
      <c r="AA44" s="10"/>
      <c r="AB44" s="10"/>
      <c r="AC44" s="10"/>
      <c r="AD44" s="10"/>
      <c r="AE44" s="10"/>
      <c r="AF44" s="10"/>
      <c r="AG44" s="10">
        <v>1E-4</v>
      </c>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row>
    <row r="45" spans="1:109" x14ac:dyDescent="0.2">
      <c r="B45" s="984"/>
      <c r="C45" s="985"/>
      <c r="D45" s="940"/>
      <c r="E45" s="940"/>
      <c r="F45" s="924" t="s">
        <v>1212</v>
      </c>
      <c r="G45" s="924"/>
      <c r="H45" s="924"/>
      <c r="I45" s="924"/>
      <c r="J45" s="924"/>
      <c r="K45" s="924"/>
      <c r="L45" s="924"/>
      <c r="M45" s="924"/>
      <c r="N45" s="924"/>
      <c r="O45" s="924"/>
      <c r="P45" s="82">
        <f>IF(T45=1,0.1,0)</f>
        <v>0</v>
      </c>
      <c r="R45" s="10"/>
      <c r="S45" s="546" t="b">
        <v>0</v>
      </c>
      <c r="T45" s="50">
        <f>IF(S45=TRUE,1,0)</f>
        <v>0</v>
      </c>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row>
    <row r="46" spans="1:109" x14ac:dyDescent="0.2">
      <c r="B46" s="984"/>
      <c r="C46" s="985"/>
      <c r="D46" s="940"/>
      <c r="E46" s="940"/>
      <c r="F46" s="924" t="s">
        <v>1211</v>
      </c>
      <c r="G46" s="924"/>
      <c r="H46" s="924"/>
      <c r="I46" s="924"/>
      <c r="J46" s="924"/>
      <c r="K46" s="924"/>
      <c r="L46" s="924"/>
      <c r="M46" s="924"/>
      <c r="N46" s="924"/>
      <c r="O46" s="924"/>
      <c r="P46" s="82">
        <f>IF(T46=1,0.1,0)</f>
        <v>0</v>
      </c>
      <c r="R46" s="10"/>
      <c r="S46" s="546" t="b">
        <v>0</v>
      </c>
      <c r="T46" s="50">
        <f>IF(S46=TRUE,1,0)</f>
        <v>0</v>
      </c>
      <c r="U46" s="134"/>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row>
    <row r="47" spans="1:109" x14ac:dyDescent="0.2">
      <c r="B47" s="986"/>
      <c r="C47" s="987"/>
      <c r="D47" s="940"/>
      <c r="E47" s="940"/>
      <c r="F47" s="924" t="s">
        <v>1213</v>
      </c>
      <c r="G47" s="924"/>
      <c r="H47" s="924"/>
      <c r="I47" s="924"/>
      <c r="J47" s="924"/>
      <c r="K47" s="924"/>
      <c r="L47" s="924"/>
      <c r="M47" s="924"/>
      <c r="N47" s="924"/>
      <c r="O47" s="924"/>
      <c r="P47" s="82">
        <f>IF(T47=1,0.1,0)</f>
        <v>0</v>
      </c>
      <c r="R47" s="10"/>
      <c r="S47" s="546" t="b">
        <v>0</v>
      </c>
      <c r="T47" s="50">
        <f>IF(S47=TRUE,1,0)</f>
        <v>0</v>
      </c>
      <c r="U47" s="134"/>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row>
    <row r="48" spans="1:109" ht="10.5" customHeight="1" x14ac:dyDescent="0.2">
      <c r="B48" s="777"/>
      <c r="C48" s="777"/>
      <c r="D48" s="777"/>
      <c r="E48" s="777"/>
      <c r="F48" s="777"/>
      <c r="G48" s="777"/>
      <c r="H48" s="777"/>
      <c r="I48" s="777"/>
      <c r="J48" s="777"/>
      <c r="K48" s="777"/>
      <c r="L48" s="777"/>
      <c r="M48" s="777"/>
      <c r="N48" s="777"/>
      <c r="O48" s="777"/>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row>
    <row r="49" spans="1:109" ht="10.5" customHeight="1" x14ac:dyDescent="0.2">
      <c r="B49" s="1"/>
      <c r="D49" s="1"/>
      <c r="E49" s="1"/>
      <c r="F49" s="1"/>
      <c r="G49" s="1"/>
      <c r="H49" s="1"/>
      <c r="I49" s="1"/>
      <c r="J49" s="1"/>
      <c r="K49" s="1"/>
      <c r="L49" s="1"/>
      <c r="M49" s="1"/>
      <c r="N49" s="1"/>
      <c r="O49" s="1"/>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row>
    <row r="50" spans="1:109" ht="15" customHeight="1" x14ac:dyDescent="0.2">
      <c r="B50" s="50" t="s">
        <v>1214</v>
      </c>
      <c r="C50" s="910" t="s">
        <v>1348</v>
      </c>
      <c r="D50" s="910"/>
      <c r="E50" s="910"/>
      <c r="F50" s="910"/>
      <c r="G50" s="910"/>
      <c r="H50" s="910" t="s">
        <v>1759</v>
      </c>
      <c r="I50" s="910"/>
      <c r="J50" s="910"/>
      <c r="K50" s="18"/>
      <c r="L50" s="910" t="s">
        <v>1215</v>
      </c>
      <c r="M50" s="910"/>
      <c r="N50" s="910"/>
      <c r="O50" s="910"/>
      <c r="P50" s="857">
        <f>U52</f>
        <v>0</v>
      </c>
      <c r="R50" s="10"/>
      <c r="S50" s="559" t="s">
        <v>1565</v>
      </c>
      <c r="T50" s="559" t="s">
        <v>1285</v>
      </c>
      <c r="U50" s="559" t="s">
        <v>2140</v>
      </c>
      <c r="V50" s="10"/>
      <c r="W50" s="863" t="s">
        <v>2147</v>
      </c>
      <c r="X50" s="863"/>
      <c r="Y50" s="863"/>
      <c r="Z50" s="863"/>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row>
    <row r="51" spans="1:109" ht="15" customHeight="1" x14ac:dyDescent="0.2">
      <c r="B51" s="50" t="s">
        <v>1216</v>
      </c>
      <c r="C51" s="922"/>
      <c r="D51" s="922"/>
      <c r="E51" s="922"/>
      <c r="F51" s="922"/>
      <c r="G51" s="922"/>
      <c r="H51" s="914">
        <f>IF(C51=$X$52,0.03,IF(C51=$Y$52,0.06,IF(C51=$Z$52,0.09,0)))</f>
        <v>0</v>
      </c>
      <c r="I51" s="914"/>
      <c r="J51" s="914"/>
      <c r="K51" s="146"/>
      <c r="L51" s="694"/>
      <c r="M51" s="694"/>
      <c r="N51" s="694"/>
      <c r="O51" s="21">
        <f>IF(H51&gt;=S51,H51-S51,0)</f>
        <v>0</v>
      </c>
      <c r="P51" s="961"/>
      <c r="R51" s="10"/>
      <c r="S51" s="147">
        <f>IF(L51=$X$51,0.03,IF(L51=$Y$51,0.06,IF(L51=$Z$51,0.09,0)))</f>
        <v>0</v>
      </c>
      <c r="T51" s="147">
        <f>LARGE(O51:O52,1)</f>
        <v>0</v>
      </c>
      <c r="U51" s="544">
        <f>T51+T52*(1-T51)</f>
        <v>0</v>
      </c>
      <c r="V51" s="10"/>
      <c r="W51" s="50" t="s">
        <v>510</v>
      </c>
      <c r="X51" s="50" t="s">
        <v>899</v>
      </c>
      <c r="Y51" s="147" t="s">
        <v>1764</v>
      </c>
      <c r="Z51" s="50" t="s">
        <v>1639</v>
      </c>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row>
    <row r="52" spans="1:109" ht="15" customHeight="1" x14ac:dyDescent="0.2">
      <c r="B52" s="146" t="s">
        <v>1217</v>
      </c>
      <c r="C52" s="922"/>
      <c r="D52" s="922"/>
      <c r="E52" s="922"/>
      <c r="F52" s="922"/>
      <c r="G52" s="922"/>
      <c r="H52" s="914">
        <f>IF(C52=$X$52,0.02,IF(C52=$Y$52,0.04,IF(C52=$Z$52,0.06,0)))</f>
        <v>0</v>
      </c>
      <c r="I52" s="914"/>
      <c r="J52" s="914"/>
      <c r="K52" s="146"/>
      <c r="L52" s="694"/>
      <c r="M52" s="694"/>
      <c r="N52" s="694"/>
      <c r="O52" s="21">
        <f>IF(H52&gt;=S52,H52-S52,0)</f>
        <v>0</v>
      </c>
      <c r="P52" s="962"/>
      <c r="R52" s="10"/>
      <c r="S52" s="147">
        <f>IF(L52=$X$51,0.02,IF(L52=$Y$51,0.04,IF(L52=$Z$51,0.06,0)))</f>
        <v>0</v>
      </c>
      <c r="T52" s="147">
        <f>LARGE(O51:O52,2)</f>
        <v>0</v>
      </c>
      <c r="U52" s="544">
        <f>ROUND(U51,2)</f>
        <v>0</v>
      </c>
      <c r="V52" s="10"/>
      <c r="W52" s="50"/>
      <c r="X52" s="50" t="s">
        <v>1218</v>
      </c>
      <c r="Y52" s="50" t="s">
        <v>1219</v>
      </c>
      <c r="Z52" s="50" t="s">
        <v>1220</v>
      </c>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row>
    <row r="53" spans="1:109" ht="10.5" customHeight="1" x14ac:dyDescent="0.2">
      <c r="B53" s="777"/>
      <c r="C53" s="777"/>
      <c r="D53" s="777"/>
      <c r="E53" s="777"/>
      <c r="F53" s="777"/>
      <c r="G53" s="777"/>
      <c r="H53" s="777"/>
      <c r="I53" s="777"/>
      <c r="J53" s="777"/>
      <c r="K53" s="777"/>
      <c r="L53" s="777"/>
      <c r="M53" s="777"/>
      <c r="N53" s="777"/>
      <c r="O53" s="777"/>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row>
    <row r="54" spans="1:109" ht="15" customHeight="1" x14ac:dyDescent="0.2">
      <c r="A54" s="15"/>
      <c r="B54" s="749" t="s">
        <v>1221</v>
      </c>
      <c r="C54" s="751"/>
      <c r="D54" s="995"/>
      <c r="E54" s="997"/>
      <c r="F54" s="742" t="s">
        <v>772</v>
      </c>
      <c r="G54" s="743"/>
      <c r="H54" s="743"/>
      <c r="I54" s="743"/>
      <c r="J54" s="743"/>
      <c r="K54" s="743"/>
      <c r="L54" s="743"/>
      <c r="M54" s="743"/>
      <c r="N54" s="743"/>
      <c r="O54" s="744"/>
      <c r="P54" s="245">
        <f>IF(T54=1,0.18,0)</f>
        <v>0</v>
      </c>
      <c r="R54" s="953" t="s">
        <v>2147</v>
      </c>
      <c r="S54" s="561" t="b">
        <v>0</v>
      </c>
      <c r="T54" s="50">
        <f>IF(S54=TRUE,1,0)</f>
        <v>0</v>
      </c>
      <c r="U54" s="10"/>
      <c r="V54" s="10"/>
      <c r="W54" s="10"/>
      <c r="X54" s="10"/>
      <c r="Y54" s="10"/>
      <c r="Z54" s="10"/>
      <c r="AA54" s="10"/>
      <c r="AB54" s="10"/>
      <c r="AC54" s="10"/>
      <c r="AD54" s="10"/>
      <c r="AE54" s="10"/>
      <c r="AF54" s="10"/>
      <c r="AG54" s="10">
        <v>1E-4</v>
      </c>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row>
    <row r="55" spans="1:109" ht="15" customHeight="1" x14ac:dyDescent="0.2">
      <c r="B55" s="752"/>
      <c r="C55" s="754"/>
      <c r="D55" s="995"/>
      <c r="E55" s="997"/>
      <c r="F55" s="742" t="s">
        <v>773</v>
      </c>
      <c r="G55" s="743"/>
      <c r="H55" s="743"/>
      <c r="I55" s="743"/>
      <c r="J55" s="743"/>
      <c r="K55" s="743"/>
      <c r="L55" s="743"/>
      <c r="M55" s="743"/>
      <c r="N55" s="743"/>
      <c r="O55" s="744"/>
      <c r="P55" s="245">
        <f>IF(T55=1,0.22,0)</f>
        <v>0</v>
      </c>
      <c r="R55" s="912"/>
      <c r="S55" s="561" t="b">
        <v>0</v>
      </c>
      <c r="T55" s="50">
        <f>IF(S55=TRUE,1,0)</f>
        <v>0</v>
      </c>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row>
    <row r="56" spans="1:109" ht="12" customHeight="1" x14ac:dyDescent="0.2">
      <c r="B56" s="777"/>
      <c r="C56" s="777"/>
      <c r="D56" s="777"/>
      <c r="E56" s="777"/>
      <c r="F56" s="777"/>
      <c r="G56" s="777"/>
      <c r="H56" s="777"/>
      <c r="I56" s="777"/>
      <c r="J56" s="777"/>
      <c r="K56" s="777"/>
      <c r="L56" s="777"/>
      <c r="M56" s="777"/>
      <c r="N56" s="777"/>
      <c r="O56" s="777"/>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row>
    <row r="57" spans="1:109" ht="15" customHeight="1" x14ac:dyDescent="0.2">
      <c r="B57" s="939" t="s">
        <v>774</v>
      </c>
      <c r="C57" s="939"/>
      <c r="D57" s="939"/>
      <c r="E57" s="939"/>
      <c r="F57" s="939"/>
      <c r="G57" s="939"/>
      <c r="H57" s="939"/>
      <c r="I57" s="939"/>
      <c r="J57" s="939"/>
      <c r="K57" s="939"/>
      <c r="L57" s="939"/>
      <c r="M57" s="939"/>
      <c r="N57" s="939"/>
      <c r="O57" s="312"/>
      <c r="P57" s="21">
        <f>SUMIF(T57:X57,O57,T58:X58)</f>
        <v>0</v>
      </c>
      <c r="R57" s="949" t="s">
        <v>2147</v>
      </c>
      <c r="S57" s="949"/>
      <c r="T57" s="50" t="s">
        <v>1928</v>
      </c>
      <c r="U57" s="50" t="s">
        <v>1929</v>
      </c>
      <c r="V57" s="147" t="s">
        <v>1931</v>
      </c>
      <c r="W57" s="50" t="s">
        <v>929</v>
      </c>
      <c r="X57" s="147" t="s">
        <v>545</v>
      </c>
      <c r="Y57" s="10"/>
      <c r="Z57" s="50" t="s">
        <v>1928</v>
      </c>
      <c r="AA57" s="50" t="s">
        <v>1929</v>
      </c>
      <c r="AB57" s="147" t="s">
        <v>1931</v>
      </c>
      <c r="AC57" s="50" t="s">
        <v>929</v>
      </c>
      <c r="AD57" s="147" t="s">
        <v>545</v>
      </c>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row>
    <row r="58" spans="1:109" ht="15" customHeight="1" x14ac:dyDescent="0.2">
      <c r="B58" s="939" t="s">
        <v>1469</v>
      </c>
      <c r="C58" s="939"/>
      <c r="D58" s="939"/>
      <c r="E58" s="939"/>
      <c r="F58" s="939"/>
      <c r="G58" s="939"/>
      <c r="H58" s="939"/>
      <c r="I58" s="939"/>
      <c r="J58" s="939"/>
      <c r="K58" s="939"/>
      <c r="L58" s="939"/>
      <c r="M58" s="939"/>
      <c r="N58" s="939"/>
      <c r="O58" s="312"/>
      <c r="P58" s="21">
        <f>SUMIF(Z57:AD57,O58,Z58:AD58)</f>
        <v>0</v>
      </c>
      <c r="R58" s="949"/>
      <c r="S58" s="949"/>
      <c r="T58" s="147">
        <v>0.03</v>
      </c>
      <c r="U58" s="147">
        <v>0.15</v>
      </c>
      <c r="V58" s="147">
        <v>0.38</v>
      </c>
      <c r="W58" s="147">
        <v>0.68</v>
      </c>
      <c r="X58" s="147">
        <v>0.9</v>
      </c>
      <c r="Y58" s="10"/>
      <c r="Z58" s="147">
        <v>0.03</v>
      </c>
      <c r="AA58" s="147">
        <v>0.15</v>
      </c>
      <c r="AB58" s="147">
        <v>0.35</v>
      </c>
      <c r="AC58" s="147">
        <v>0.63</v>
      </c>
      <c r="AD58" s="147">
        <v>0.88</v>
      </c>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row>
    <row r="59" spans="1:109" x14ac:dyDescent="0.2">
      <c r="B59" s="777"/>
      <c r="C59" s="777"/>
      <c r="D59" s="777"/>
      <c r="E59" s="777"/>
      <c r="F59" s="777"/>
      <c r="G59" s="777"/>
      <c r="H59" s="777"/>
      <c r="I59" s="777"/>
      <c r="J59" s="777"/>
      <c r="K59" s="777"/>
      <c r="L59" s="777"/>
      <c r="M59" s="777"/>
      <c r="N59" s="777"/>
      <c r="O59" s="777"/>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row>
    <row r="60" spans="1:109" ht="27" customHeight="1" x14ac:dyDescent="0.2">
      <c r="B60" s="864" t="s">
        <v>1897</v>
      </c>
      <c r="C60" s="865"/>
      <c r="D60" s="865"/>
      <c r="E60" s="865"/>
      <c r="F60" s="866"/>
      <c r="G60" s="907" t="s">
        <v>1495</v>
      </c>
      <c r="H60" s="945"/>
      <c r="I60" s="945"/>
      <c r="J60" s="946"/>
      <c r="K60" s="967"/>
      <c r="L60" s="968"/>
      <c r="M60" s="968"/>
      <c r="N60" s="968"/>
      <c r="O60" s="969"/>
      <c r="P60" s="857">
        <f>U76</f>
        <v>0</v>
      </c>
      <c r="R60" s="146" t="s">
        <v>1826</v>
      </c>
      <c r="S60" s="50" t="s">
        <v>1285</v>
      </c>
      <c r="T60" s="50" t="s">
        <v>1286</v>
      </c>
      <c r="U60" s="50" t="s">
        <v>1287</v>
      </c>
      <c r="V60" s="944" t="s">
        <v>786</v>
      </c>
      <c r="W60" s="945"/>
      <c r="X60" s="946"/>
      <c r="Y60" s="10" t="s">
        <v>498</v>
      </c>
      <c r="Z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row>
    <row r="61" spans="1:109" ht="15" customHeight="1" x14ac:dyDescent="0.2">
      <c r="B61" s="776" t="s">
        <v>615</v>
      </c>
      <c r="C61" s="776"/>
      <c r="D61" s="776"/>
      <c r="E61" s="962">
        <f>P6</f>
        <v>0</v>
      </c>
      <c r="F61" s="1054"/>
      <c r="G61" s="977"/>
      <c r="H61" s="977"/>
      <c r="I61" s="914">
        <f t="shared" ref="I61" si="4">IF(AND(Y61&lt;0.01,Y61&gt;0),0.01,ROUND(Y61,2))</f>
        <v>0</v>
      </c>
      <c r="J61" s="914"/>
      <c r="K61" s="970"/>
      <c r="L61" s="971"/>
      <c r="M61" s="971"/>
      <c r="N61" s="971"/>
      <c r="O61" s="972"/>
      <c r="P61" s="961"/>
      <c r="R61" s="548">
        <f t="shared" ref="R61:R76" si="5">IF(I61&gt;0,I61,E61)</f>
        <v>0</v>
      </c>
      <c r="S61" s="147">
        <f>LARGE($R$61:$R$77,1)</f>
        <v>0</v>
      </c>
      <c r="T61" s="544">
        <f>S61+S62*(1-S61)</f>
        <v>0</v>
      </c>
      <c r="U61" s="548">
        <f t="shared" ref="U61:U76" si="6">ROUND(T61,2)</f>
        <v>0</v>
      </c>
      <c r="V61" s="50">
        <f>IF(E61&gt;0,1,0)</f>
        <v>0</v>
      </c>
      <c r="W61" s="50">
        <f>COUNTIF(V61:V77,1)</f>
        <v>0</v>
      </c>
      <c r="X61" s="50">
        <f>IF(AND(W61=0,W62&gt;0),1,IF(W61&gt;0,2,0))</f>
        <v>0</v>
      </c>
      <c r="Y61" s="291">
        <f t="shared" ref="Y61:Y66" si="7">E61*G61</f>
        <v>0</v>
      </c>
      <c r="AA61" s="1"/>
      <c r="AB61" s="1"/>
      <c r="AC61" s="1"/>
      <c r="AD61" s="1"/>
      <c r="AE61" s="1"/>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row>
    <row r="62" spans="1:109" ht="15" customHeight="1" x14ac:dyDescent="0.2">
      <c r="B62" s="791" t="s">
        <v>787</v>
      </c>
      <c r="C62" s="791"/>
      <c r="D62" s="791"/>
      <c r="E62" s="755">
        <f>P11</f>
        <v>0</v>
      </c>
      <c r="F62" s="731"/>
      <c r="G62" s="977"/>
      <c r="H62" s="977"/>
      <c r="I62" s="914">
        <f t="shared" ref="I62:I77" si="8">IF(AND(Y62&lt;0.01,Y62&gt;0),0.01,ROUND(Y62,2))</f>
        <v>0</v>
      </c>
      <c r="J62" s="914"/>
      <c r="K62" s="970"/>
      <c r="L62" s="971"/>
      <c r="M62" s="971"/>
      <c r="N62" s="971"/>
      <c r="O62" s="972"/>
      <c r="P62" s="961"/>
      <c r="R62" s="548">
        <f t="shared" si="5"/>
        <v>0</v>
      </c>
      <c r="S62" s="147">
        <f>LARGE($R$61:$R$77,2)</f>
        <v>0</v>
      </c>
      <c r="T62" s="544">
        <f>U61+S63*(1-U61)</f>
        <v>0</v>
      </c>
      <c r="U62" s="548">
        <f t="shared" si="6"/>
        <v>0</v>
      </c>
      <c r="V62" s="50">
        <f>IF(E62&gt;0,2,0)</f>
        <v>0</v>
      </c>
      <c r="W62" s="50">
        <f>COUNTIF(V61:V77,2)</f>
        <v>0</v>
      </c>
      <c r="X62" s="10"/>
      <c r="Y62" s="291">
        <f t="shared" si="7"/>
        <v>0</v>
      </c>
      <c r="AA62" s="1"/>
      <c r="AB62" s="1"/>
      <c r="AC62" s="1"/>
      <c r="AD62" s="1"/>
      <c r="AE62" s="1"/>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row>
    <row r="63" spans="1:109" ht="15" customHeight="1" x14ac:dyDescent="0.2">
      <c r="B63" s="791" t="s">
        <v>788</v>
      </c>
      <c r="C63" s="791"/>
      <c r="D63" s="791"/>
      <c r="E63" s="755">
        <f>P12</f>
        <v>0</v>
      </c>
      <c r="F63" s="731"/>
      <c r="G63" s="977"/>
      <c r="H63" s="977"/>
      <c r="I63" s="914">
        <f t="shared" si="8"/>
        <v>0</v>
      </c>
      <c r="J63" s="914"/>
      <c r="K63" s="970"/>
      <c r="L63" s="971"/>
      <c r="M63" s="971"/>
      <c r="N63" s="971"/>
      <c r="O63" s="972"/>
      <c r="P63" s="961"/>
      <c r="R63" s="548">
        <f t="shared" si="5"/>
        <v>0</v>
      </c>
      <c r="S63" s="147">
        <f>LARGE($R$61:$R$77,3)</f>
        <v>0</v>
      </c>
      <c r="T63" s="544">
        <f>U62+S64*(1-U62)</f>
        <v>0</v>
      </c>
      <c r="U63" s="548">
        <f t="shared" si="6"/>
        <v>0</v>
      </c>
      <c r="V63" s="50">
        <f>IF(E63&gt;0,2,0)</f>
        <v>0</v>
      </c>
      <c r="W63" s="10"/>
      <c r="X63" s="10"/>
      <c r="Y63" s="291">
        <f t="shared" si="7"/>
        <v>0</v>
      </c>
      <c r="AA63" s="1"/>
      <c r="AB63" s="1"/>
      <c r="AC63" s="1"/>
      <c r="AD63" s="1"/>
      <c r="AE63" s="1"/>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row>
    <row r="64" spans="1:109" ht="15" customHeight="1" x14ac:dyDescent="0.2">
      <c r="B64" s="791" t="s">
        <v>789</v>
      </c>
      <c r="C64" s="791"/>
      <c r="D64" s="791"/>
      <c r="E64" s="755">
        <f>P13</f>
        <v>0</v>
      </c>
      <c r="F64" s="731"/>
      <c r="G64" s="977"/>
      <c r="H64" s="977"/>
      <c r="I64" s="914">
        <f t="shared" si="8"/>
        <v>0</v>
      </c>
      <c r="J64" s="914"/>
      <c r="K64" s="970"/>
      <c r="L64" s="971"/>
      <c r="M64" s="971"/>
      <c r="N64" s="971"/>
      <c r="O64" s="972"/>
      <c r="P64" s="961"/>
      <c r="R64" s="548">
        <f t="shared" si="5"/>
        <v>0</v>
      </c>
      <c r="S64" s="147">
        <f>LARGE($R$61:$R$77,4)</f>
        <v>0</v>
      </c>
      <c r="T64" s="544">
        <f t="shared" ref="T64:T76" si="9">U63+S65*(1-U63)</f>
        <v>0</v>
      </c>
      <c r="U64" s="548">
        <f t="shared" si="6"/>
        <v>0</v>
      </c>
      <c r="V64" s="50">
        <f>IF(E64&gt;0,2,0)</f>
        <v>0</v>
      </c>
      <c r="W64" s="10"/>
      <c r="X64" s="10"/>
      <c r="Y64" s="291">
        <f t="shared" si="7"/>
        <v>0</v>
      </c>
      <c r="AA64" s="1"/>
      <c r="AB64" s="1"/>
      <c r="AC64" s="1"/>
      <c r="AD64" s="1"/>
      <c r="AE64" s="1"/>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row>
    <row r="65" spans="2:109" ht="15" customHeight="1" x14ac:dyDescent="0.2">
      <c r="B65" s="791" t="s">
        <v>790</v>
      </c>
      <c r="C65" s="791"/>
      <c r="D65" s="791"/>
      <c r="E65" s="755">
        <f>P14</f>
        <v>0</v>
      </c>
      <c r="F65" s="731"/>
      <c r="G65" s="977"/>
      <c r="H65" s="977"/>
      <c r="I65" s="914">
        <f t="shared" si="8"/>
        <v>0</v>
      </c>
      <c r="J65" s="914"/>
      <c r="K65" s="970"/>
      <c r="L65" s="971"/>
      <c r="M65" s="971"/>
      <c r="N65" s="971"/>
      <c r="O65" s="972"/>
      <c r="P65" s="961"/>
      <c r="R65" s="548">
        <f t="shared" si="5"/>
        <v>0</v>
      </c>
      <c r="S65" s="147">
        <f>LARGE($R$61:$R$77,5)</f>
        <v>0</v>
      </c>
      <c r="T65" s="544">
        <f t="shared" si="9"/>
        <v>0</v>
      </c>
      <c r="U65" s="548">
        <f t="shared" si="6"/>
        <v>0</v>
      </c>
      <c r="V65" s="50">
        <f>IF(E65&gt;0,2,0)</f>
        <v>0</v>
      </c>
      <c r="W65" s="10"/>
      <c r="X65" s="10"/>
      <c r="Y65" s="291">
        <f t="shared" si="7"/>
        <v>0</v>
      </c>
      <c r="Z65" s="10"/>
      <c r="AA65" s="1"/>
      <c r="AB65" s="1"/>
      <c r="AC65" s="1"/>
      <c r="AD65" s="1"/>
      <c r="AE65" s="1"/>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row>
    <row r="66" spans="2:109" ht="15" customHeight="1" x14ac:dyDescent="0.2">
      <c r="B66" s="791" t="s">
        <v>1918</v>
      </c>
      <c r="C66" s="791"/>
      <c r="D66" s="791"/>
      <c r="E66" s="755">
        <f>IF(E615&gt;0,0,P16)</f>
        <v>0</v>
      </c>
      <c r="F66" s="731"/>
      <c r="G66" s="977"/>
      <c r="H66" s="977"/>
      <c r="I66" s="914">
        <f t="shared" si="8"/>
        <v>0</v>
      </c>
      <c r="J66" s="914"/>
      <c r="K66" s="970"/>
      <c r="L66" s="971"/>
      <c r="M66" s="971"/>
      <c r="N66" s="971"/>
      <c r="O66" s="972"/>
      <c r="P66" s="961"/>
      <c r="R66" s="548">
        <f t="shared" si="5"/>
        <v>0</v>
      </c>
      <c r="S66" s="147">
        <f>LARGE($R$61:$R$77,6)</f>
        <v>0</v>
      </c>
      <c r="T66" s="544">
        <f t="shared" si="9"/>
        <v>0</v>
      </c>
      <c r="U66" s="548">
        <f t="shared" si="6"/>
        <v>0</v>
      </c>
      <c r="V66" s="50">
        <f t="shared" ref="V66:V77" si="10">IF(E66&gt;0,1,0)</f>
        <v>0</v>
      </c>
      <c r="W66" s="10"/>
      <c r="X66" s="10"/>
      <c r="Y66" s="291">
        <f t="shared" si="7"/>
        <v>0</v>
      </c>
      <c r="Z66" s="97"/>
      <c r="AA66" s="1"/>
      <c r="AB66" s="1"/>
      <c r="AC66" s="1"/>
      <c r="AD66" s="1"/>
      <c r="AE66" s="1"/>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row>
    <row r="67" spans="2:109" ht="15" customHeight="1" x14ac:dyDescent="0.2">
      <c r="B67" s="791" t="s">
        <v>1945</v>
      </c>
      <c r="C67" s="791"/>
      <c r="D67" s="791"/>
      <c r="E67" s="755">
        <f>P36</f>
        <v>0</v>
      </c>
      <c r="F67" s="731"/>
      <c r="G67" s="977"/>
      <c r="H67" s="977"/>
      <c r="I67" s="914">
        <f t="shared" si="8"/>
        <v>0</v>
      </c>
      <c r="J67" s="914"/>
      <c r="K67" s="970"/>
      <c r="L67" s="971"/>
      <c r="M67" s="971"/>
      <c r="N67" s="971"/>
      <c r="O67" s="972"/>
      <c r="P67" s="961"/>
      <c r="R67" s="548">
        <f t="shared" si="5"/>
        <v>0</v>
      </c>
      <c r="S67" s="147">
        <f>LARGE($R$61:$R$77,7)</f>
        <v>0</v>
      </c>
      <c r="T67" s="544">
        <f t="shared" si="9"/>
        <v>0</v>
      </c>
      <c r="U67" s="548">
        <f t="shared" si="6"/>
        <v>0</v>
      </c>
      <c r="V67" s="50">
        <f t="shared" si="10"/>
        <v>0</v>
      </c>
      <c r="W67" s="10"/>
      <c r="X67" s="10"/>
      <c r="Y67" s="291">
        <f>E67*G67</f>
        <v>0</v>
      </c>
      <c r="Z67" s="97"/>
      <c r="AA67" s="1"/>
      <c r="AB67" s="1"/>
      <c r="AC67" s="1"/>
      <c r="AD67" s="1"/>
      <c r="AE67" s="1"/>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row>
    <row r="68" spans="2:109" ht="15" customHeight="1" x14ac:dyDescent="0.2">
      <c r="B68" s="791" t="s">
        <v>1208</v>
      </c>
      <c r="C68" s="791"/>
      <c r="D68" s="791"/>
      <c r="E68" s="755">
        <f>P41</f>
        <v>0</v>
      </c>
      <c r="F68" s="731"/>
      <c r="G68" s="977"/>
      <c r="H68" s="977"/>
      <c r="I68" s="914">
        <f t="shared" si="8"/>
        <v>0</v>
      </c>
      <c r="J68" s="914"/>
      <c r="K68" s="970"/>
      <c r="L68" s="971"/>
      <c r="M68" s="971"/>
      <c r="N68" s="971"/>
      <c r="O68" s="972"/>
      <c r="P68" s="961"/>
      <c r="R68" s="548">
        <f t="shared" si="5"/>
        <v>0</v>
      </c>
      <c r="S68" s="147">
        <f>LARGE($R$61:$R$77,8)</f>
        <v>0</v>
      </c>
      <c r="T68" s="544">
        <f t="shared" si="9"/>
        <v>0</v>
      </c>
      <c r="U68" s="548">
        <f t="shared" si="6"/>
        <v>0</v>
      </c>
      <c r="V68" s="50">
        <f t="shared" si="10"/>
        <v>0</v>
      </c>
      <c r="W68" s="10"/>
      <c r="X68" s="10"/>
      <c r="Y68" s="291">
        <f t="shared" ref="Y68:Y75" si="11">E68*G68</f>
        <v>0</v>
      </c>
      <c r="Z68" s="73"/>
      <c r="AA68" s="1"/>
      <c r="AB68" s="1"/>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row>
    <row r="69" spans="2:109" ht="15" customHeight="1" x14ac:dyDescent="0.2">
      <c r="B69" s="791" t="s">
        <v>1389</v>
      </c>
      <c r="C69" s="791"/>
      <c r="D69" s="791"/>
      <c r="E69" s="755">
        <f>P44</f>
        <v>0</v>
      </c>
      <c r="F69" s="755"/>
      <c r="G69" s="977"/>
      <c r="H69" s="977"/>
      <c r="I69" s="914">
        <f t="shared" si="8"/>
        <v>0</v>
      </c>
      <c r="J69" s="914"/>
      <c r="K69" s="970"/>
      <c r="L69" s="971"/>
      <c r="M69" s="971"/>
      <c r="N69" s="971"/>
      <c r="O69" s="972"/>
      <c r="P69" s="961"/>
      <c r="R69" s="548">
        <f t="shared" si="5"/>
        <v>0</v>
      </c>
      <c r="S69" s="147">
        <f>LARGE($R$61:$R$77,9)</f>
        <v>0</v>
      </c>
      <c r="T69" s="544">
        <f t="shared" si="9"/>
        <v>0</v>
      </c>
      <c r="U69" s="548">
        <f t="shared" si="6"/>
        <v>0</v>
      </c>
      <c r="V69" s="50">
        <f t="shared" si="10"/>
        <v>0</v>
      </c>
      <c r="W69" s="10"/>
      <c r="X69" s="10"/>
      <c r="Y69" s="291">
        <f t="shared" si="11"/>
        <v>0</v>
      </c>
      <c r="Z69" s="73"/>
      <c r="AA69" s="1"/>
      <c r="AB69" s="1"/>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row>
    <row r="70" spans="2:109" ht="15" customHeight="1" x14ac:dyDescent="0.2">
      <c r="B70" s="742" t="s">
        <v>1044</v>
      </c>
      <c r="C70" s="743"/>
      <c r="D70" s="744"/>
      <c r="E70" s="755">
        <f>P45</f>
        <v>0</v>
      </c>
      <c r="F70" s="755"/>
      <c r="G70" s="977"/>
      <c r="H70" s="977"/>
      <c r="I70" s="914">
        <f t="shared" si="8"/>
        <v>0</v>
      </c>
      <c r="J70" s="914"/>
      <c r="K70" s="623"/>
      <c r="L70" s="624"/>
      <c r="M70" s="624"/>
      <c r="N70" s="624"/>
      <c r="O70" s="625"/>
      <c r="P70" s="961"/>
      <c r="R70" s="548">
        <f t="shared" si="5"/>
        <v>0</v>
      </c>
      <c r="S70" s="147">
        <f>LARGE($R$61:$R$77,10)</f>
        <v>0</v>
      </c>
      <c r="T70" s="544">
        <f t="shared" si="9"/>
        <v>0</v>
      </c>
      <c r="U70" s="548">
        <f t="shared" si="6"/>
        <v>0</v>
      </c>
      <c r="V70" s="50">
        <f t="shared" si="10"/>
        <v>0</v>
      </c>
      <c r="W70" s="10"/>
      <c r="X70" s="10"/>
      <c r="Y70" s="291">
        <f t="shared" si="11"/>
        <v>0</v>
      </c>
      <c r="Z70" s="73"/>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row>
    <row r="71" spans="2:109" ht="15" customHeight="1" x14ac:dyDescent="0.2">
      <c r="B71" s="742" t="s">
        <v>1391</v>
      </c>
      <c r="C71" s="743"/>
      <c r="D71" s="744"/>
      <c r="E71" s="755">
        <f>P46</f>
        <v>0</v>
      </c>
      <c r="F71" s="755"/>
      <c r="G71" s="977"/>
      <c r="H71" s="977"/>
      <c r="I71" s="914">
        <f t="shared" si="8"/>
        <v>0</v>
      </c>
      <c r="J71" s="914"/>
      <c r="K71" s="623"/>
      <c r="L71" s="624"/>
      <c r="M71" s="624"/>
      <c r="N71" s="624"/>
      <c r="O71" s="625"/>
      <c r="P71" s="961"/>
      <c r="R71" s="548">
        <f t="shared" si="5"/>
        <v>0</v>
      </c>
      <c r="S71" s="147">
        <f>LARGE($R$61:$R$77,11)</f>
        <v>0</v>
      </c>
      <c r="T71" s="544">
        <f t="shared" si="9"/>
        <v>0</v>
      </c>
      <c r="U71" s="548">
        <f t="shared" si="6"/>
        <v>0</v>
      </c>
      <c r="V71" s="50">
        <f t="shared" si="10"/>
        <v>0</v>
      </c>
      <c r="W71" s="10"/>
      <c r="X71" s="10"/>
      <c r="Y71" s="291">
        <f t="shared" si="11"/>
        <v>0</v>
      </c>
      <c r="Z71" s="73"/>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row>
    <row r="72" spans="2:109" ht="15" customHeight="1" x14ac:dyDescent="0.2">
      <c r="B72" s="742" t="s">
        <v>1392</v>
      </c>
      <c r="C72" s="743"/>
      <c r="D72" s="744"/>
      <c r="E72" s="755">
        <f>P47</f>
        <v>0</v>
      </c>
      <c r="F72" s="755"/>
      <c r="G72" s="977"/>
      <c r="H72" s="977"/>
      <c r="I72" s="914">
        <f t="shared" si="8"/>
        <v>0</v>
      </c>
      <c r="J72" s="914"/>
      <c r="K72" s="623"/>
      <c r="L72" s="624"/>
      <c r="M72" s="624"/>
      <c r="N72" s="624"/>
      <c r="O72" s="625"/>
      <c r="P72" s="961"/>
      <c r="R72" s="548">
        <f t="shared" si="5"/>
        <v>0</v>
      </c>
      <c r="S72" s="147">
        <f>LARGE($R$61:$R$77,12)</f>
        <v>0</v>
      </c>
      <c r="T72" s="544">
        <f t="shared" si="9"/>
        <v>0</v>
      </c>
      <c r="U72" s="548">
        <f t="shared" si="6"/>
        <v>0</v>
      </c>
      <c r="V72" s="50">
        <f t="shared" si="10"/>
        <v>0</v>
      </c>
      <c r="W72" s="10"/>
      <c r="X72" s="10"/>
      <c r="Y72" s="291">
        <f t="shared" si="11"/>
        <v>0</v>
      </c>
      <c r="Z72" s="73"/>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row>
    <row r="73" spans="2:109" ht="15" customHeight="1" x14ac:dyDescent="0.2">
      <c r="B73" s="791" t="s">
        <v>1214</v>
      </c>
      <c r="C73" s="791"/>
      <c r="D73" s="791"/>
      <c r="E73" s="755">
        <f>P50</f>
        <v>0</v>
      </c>
      <c r="F73" s="731"/>
      <c r="G73" s="977"/>
      <c r="H73" s="977"/>
      <c r="I73" s="914">
        <f t="shared" si="8"/>
        <v>0</v>
      </c>
      <c r="J73" s="914"/>
      <c r="K73" s="915" t="str">
        <f>IF(AND(P16&gt;0,E615&gt;0),"A value has been granted for motor loss. Additional impairment value is not allowed for reduced range of motion in the same extremity.","")</f>
        <v/>
      </c>
      <c r="L73" s="916"/>
      <c r="M73" s="916"/>
      <c r="N73" s="916"/>
      <c r="O73" s="917"/>
      <c r="P73" s="961"/>
      <c r="R73" s="548">
        <f t="shared" si="5"/>
        <v>0</v>
      </c>
      <c r="S73" s="147">
        <f>LARGE($R$61:$R$77,13)</f>
        <v>0</v>
      </c>
      <c r="T73" s="544">
        <f t="shared" si="9"/>
        <v>0</v>
      </c>
      <c r="U73" s="548">
        <f t="shared" si="6"/>
        <v>0</v>
      </c>
      <c r="V73" s="50">
        <f t="shared" si="10"/>
        <v>0</v>
      </c>
      <c r="W73" s="10"/>
      <c r="X73" s="10"/>
      <c r="Y73" s="291">
        <f t="shared" si="11"/>
        <v>0</v>
      </c>
      <c r="Z73" s="73"/>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row>
    <row r="74" spans="2:109" ht="15" customHeight="1" x14ac:dyDescent="0.2">
      <c r="B74" s="791" t="s">
        <v>791</v>
      </c>
      <c r="C74" s="791"/>
      <c r="D74" s="791"/>
      <c r="E74" s="755">
        <f>P54</f>
        <v>0</v>
      </c>
      <c r="F74" s="731"/>
      <c r="G74" s="977"/>
      <c r="H74" s="977"/>
      <c r="I74" s="914">
        <f t="shared" si="8"/>
        <v>0</v>
      </c>
      <c r="J74" s="914"/>
      <c r="K74" s="915"/>
      <c r="L74" s="916"/>
      <c r="M74" s="916"/>
      <c r="N74" s="916"/>
      <c r="O74" s="917"/>
      <c r="P74" s="961"/>
      <c r="R74" s="548">
        <f t="shared" si="5"/>
        <v>0</v>
      </c>
      <c r="S74" s="147">
        <f>LARGE($R$61:$R$77,14)</f>
        <v>0</v>
      </c>
      <c r="T74" s="544">
        <f t="shared" si="9"/>
        <v>0</v>
      </c>
      <c r="U74" s="548">
        <f t="shared" si="6"/>
        <v>0</v>
      </c>
      <c r="V74" s="50">
        <f t="shared" si="10"/>
        <v>0</v>
      </c>
      <c r="W74" s="10"/>
      <c r="X74" s="10"/>
      <c r="Y74" s="291">
        <f t="shared" si="11"/>
        <v>0</v>
      </c>
      <c r="Z74" s="57"/>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row>
    <row r="75" spans="2:109" ht="15" customHeight="1" x14ac:dyDescent="0.2">
      <c r="B75" s="791" t="s">
        <v>792</v>
      </c>
      <c r="C75" s="791"/>
      <c r="D75" s="791"/>
      <c r="E75" s="755">
        <f>P55</f>
        <v>0</v>
      </c>
      <c r="F75" s="731"/>
      <c r="G75" s="977"/>
      <c r="H75" s="977"/>
      <c r="I75" s="914">
        <f t="shared" si="8"/>
        <v>0</v>
      </c>
      <c r="J75" s="914"/>
      <c r="K75" s="915"/>
      <c r="L75" s="916"/>
      <c r="M75" s="916"/>
      <c r="N75" s="916"/>
      <c r="O75" s="917"/>
      <c r="P75" s="961"/>
      <c r="R75" s="548">
        <f t="shared" si="5"/>
        <v>0</v>
      </c>
      <c r="S75" s="147">
        <f>LARGE($R$61:$R$77,15)</f>
        <v>0</v>
      </c>
      <c r="T75" s="544">
        <f t="shared" si="9"/>
        <v>0</v>
      </c>
      <c r="U75" s="548">
        <f t="shared" si="6"/>
        <v>0</v>
      </c>
      <c r="V75" s="50">
        <f t="shared" si="10"/>
        <v>0</v>
      </c>
      <c r="W75" s="10"/>
      <c r="X75" s="10"/>
      <c r="Y75" s="291">
        <f t="shared" si="11"/>
        <v>0</v>
      </c>
      <c r="Z75" s="57"/>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row>
    <row r="76" spans="2:109" ht="15" customHeight="1" x14ac:dyDescent="0.2">
      <c r="B76" s="791" t="s">
        <v>1419</v>
      </c>
      <c r="C76" s="791"/>
      <c r="D76" s="791"/>
      <c r="E76" s="755">
        <f>P57</f>
        <v>0</v>
      </c>
      <c r="F76" s="731"/>
      <c r="G76" s="977"/>
      <c r="H76" s="977"/>
      <c r="I76" s="914">
        <f t="shared" si="8"/>
        <v>0</v>
      </c>
      <c r="J76" s="914"/>
      <c r="K76" s="915"/>
      <c r="L76" s="916"/>
      <c r="M76" s="916"/>
      <c r="N76" s="916"/>
      <c r="O76" s="917"/>
      <c r="P76" s="961"/>
      <c r="R76" s="548">
        <f t="shared" si="5"/>
        <v>0</v>
      </c>
      <c r="S76" s="147">
        <f>LARGE($R$61:$R$77,16)</f>
        <v>0</v>
      </c>
      <c r="T76" s="544">
        <f t="shared" si="9"/>
        <v>0</v>
      </c>
      <c r="U76" s="548">
        <f t="shared" si="6"/>
        <v>0</v>
      </c>
      <c r="V76" s="50">
        <f t="shared" si="10"/>
        <v>0</v>
      </c>
      <c r="W76" s="10"/>
      <c r="X76" s="10"/>
      <c r="Y76" s="291">
        <f t="shared" ref="Y76:Y77" si="12">E76*G76</f>
        <v>0</v>
      </c>
      <c r="Z76" s="73"/>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row>
    <row r="77" spans="2:109" ht="15" customHeight="1" x14ac:dyDescent="0.2">
      <c r="B77" s="789" t="s">
        <v>1235</v>
      </c>
      <c r="C77" s="789"/>
      <c r="D77" s="789"/>
      <c r="E77" s="1022">
        <f>P58</f>
        <v>0</v>
      </c>
      <c r="F77" s="858"/>
      <c r="G77" s="923"/>
      <c r="H77" s="923"/>
      <c r="I77" s="914">
        <f t="shared" si="8"/>
        <v>0</v>
      </c>
      <c r="J77" s="914"/>
      <c r="K77" s="918"/>
      <c r="L77" s="919"/>
      <c r="M77" s="919"/>
      <c r="N77" s="919"/>
      <c r="O77" s="920"/>
      <c r="P77" s="961"/>
      <c r="R77" s="548">
        <f>IF(I77&gt;0,I77,E77)</f>
        <v>0</v>
      </c>
      <c r="S77" s="147">
        <f>LARGE($R$61:$R$77,17)</f>
        <v>0</v>
      </c>
      <c r="T77" s="562"/>
      <c r="U77" s="544"/>
      <c r="V77" s="50">
        <f t="shared" si="10"/>
        <v>0</v>
      </c>
      <c r="W77" s="10"/>
      <c r="X77" s="10"/>
      <c r="Y77" s="291">
        <f t="shared" si="12"/>
        <v>0</v>
      </c>
      <c r="Z77" s="73"/>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row>
    <row r="78" spans="2:109" ht="15" customHeight="1" x14ac:dyDescent="0.2">
      <c r="B78" s="956" t="s">
        <v>111</v>
      </c>
      <c r="C78" s="956"/>
      <c r="D78" s="956"/>
      <c r="E78" s="956"/>
      <c r="F78" s="956"/>
      <c r="G78" s="956"/>
      <c r="H78" s="956"/>
      <c r="I78" s="956"/>
      <c r="J78" s="956"/>
      <c r="K78" s="956"/>
      <c r="L78" s="956"/>
      <c r="M78" s="956"/>
      <c r="N78" s="956"/>
      <c r="O78" s="956"/>
      <c r="P78" s="962"/>
      <c r="S78" s="14"/>
      <c r="T78" s="142"/>
      <c r="U78" s="96"/>
      <c r="V78" s="10"/>
      <c r="W78" s="10"/>
      <c r="X78" s="10"/>
      <c r="Y78" s="10"/>
      <c r="Z78" s="73"/>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row>
    <row r="79" spans="2:109" x14ac:dyDescent="0.2">
      <c r="B79" s="1097"/>
      <c r="C79" s="831"/>
      <c r="D79" s="831"/>
      <c r="E79" s="831"/>
      <c r="F79" s="831"/>
      <c r="G79" s="831"/>
      <c r="H79" s="831"/>
      <c r="I79" s="831"/>
      <c r="J79" s="831"/>
      <c r="K79" s="831"/>
      <c r="L79" s="831"/>
      <c r="M79" s="831"/>
      <c r="N79" s="831"/>
      <c r="O79" s="831"/>
      <c r="P79" s="1098"/>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row>
    <row r="80" spans="2:109" ht="18" customHeight="1" x14ac:dyDescent="0.2">
      <c r="B80" s="863" t="s">
        <v>112</v>
      </c>
      <c r="C80" s="863"/>
      <c r="D80" s="863"/>
      <c r="E80" s="863"/>
      <c r="F80" s="863"/>
      <c r="G80" s="863"/>
      <c r="H80" s="863"/>
      <c r="I80" s="863"/>
      <c r="J80" s="863"/>
      <c r="K80" s="863"/>
      <c r="L80" s="863"/>
      <c r="M80" s="863"/>
      <c r="N80" s="863"/>
      <c r="O80" s="863"/>
      <c r="P80" s="863"/>
      <c r="R80" s="10"/>
      <c r="S80" s="10"/>
      <c r="T80" s="10"/>
      <c r="U80" s="10"/>
      <c r="V80" s="10"/>
      <c r="W80" s="10"/>
      <c r="X80" s="10"/>
      <c r="Y80" s="10"/>
      <c r="Z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row>
    <row r="81" spans="2:109" ht="18" customHeight="1" x14ac:dyDescent="0.2">
      <c r="B81" s="791" t="s">
        <v>1304</v>
      </c>
      <c r="C81" s="791"/>
      <c r="D81" s="791"/>
      <c r="E81" s="791"/>
      <c r="F81" s="791"/>
      <c r="G81" s="791"/>
      <c r="H81" s="791"/>
      <c r="I81" s="791"/>
      <c r="J81" s="791"/>
      <c r="K81" s="791"/>
      <c r="L81" s="791"/>
      <c r="M81" s="791"/>
      <c r="N81" s="791"/>
      <c r="O81" s="791"/>
      <c r="P81" s="914">
        <f>SUMIF(S81:Y81,B82,S82:Y82)</f>
        <v>0</v>
      </c>
      <c r="R81" s="948" t="s">
        <v>1305</v>
      </c>
      <c r="S81" s="50" t="s">
        <v>511</v>
      </c>
      <c r="T81" s="552" t="s">
        <v>1306</v>
      </c>
      <c r="U81" s="50" t="s">
        <v>513</v>
      </c>
      <c r="V81" s="50" t="s">
        <v>1060</v>
      </c>
      <c r="W81" s="50" t="s">
        <v>1063</v>
      </c>
      <c r="X81" s="50" t="s">
        <v>702</v>
      </c>
      <c r="Y81" s="50" t="s">
        <v>577</v>
      </c>
      <c r="Z81" s="10"/>
      <c r="AA81" s="10"/>
      <c r="AB81" s="10"/>
      <c r="AC81" s="10"/>
      <c r="AD81" s="10"/>
      <c r="AE81" s="10"/>
      <c r="AF81" s="10"/>
      <c r="AG81" s="10"/>
      <c r="AH81" s="10"/>
      <c r="AI81" s="10"/>
      <c r="AJ81" s="10"/>
      <c r="AK81" s="14"/>
      <c r="AL81" s="14"/>
      <c r="AM81" s="14"/>
      <c r="AN81" s="14"/>
      <c r="AO81" s="14"/>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row>
    <row r="82" spans="2:109" ht="15" customHeight="1" x14ac:dyDescent="0.2">
      <c r="B82" s="1012"/>
      <c r="C82" s="1012"/>
      <c r="D82" s="1012"/>
      <c r="E82" s="1012"/>
      <c r="F82" s="1012"/>
      <c r="G82" s="1012"/>
      <c r="H82" s="1012"/>
      <c r="I82" s="1012"/>
      <c r="J82" s="1012"/>
      <c r="K82" s="1012"/>
      <c r="L82" s="1012"/>
      <c r="M82" s="1012"/>
      <c r="N82" s="1012"/>
      <c r="O82" s="1012"/>
      <c r="P82" s="914"/>
      <c r="R82" s="776"/>
      <c r="S82" s="548">
        <v>0</v>
      </c>
      <c r="T82" s="147">
        <v>0.1</v>
      </c>
      <c r="U82" s="147">
        <v>0.3</v>
      </c>
      <c r="V82" s="147">
        <v>0.5</v>
      </c>
      <c r="W82" s="147">
        <v>0.63</v>
      </c>
      <c r="X82" s="147">
        <v>0.75</v>
      </c>
      <c r="Y82" s="147">
        <v>1</v>
      </c>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row>
    <row r="83" spans="2:109" ht="12" customHeight="1" x14ac:dyDescent="0.2">
      <c r="B83" s="958" t="str">
        <f>IF(AND(P81&gt;0.1,B85=""),"Enter specific level of amputation or shortening below.","")</f>
        <v/>
      </c>
      <c r="C83" s="958"/>
      <c r="D83" s="958"/>
      <c r="E83" s="958"/>
      <c r="F83" s="958"/>
      <c r="G83" s="958"/>
      <c r="H83" s="958"/>
      <c r="I83" s="958"/>
      <c r="J83" s="958"/>
      <c r="K83" s="958"/>
      <c r="L83" s="958"/>
      <c r="M83" s="958"/>
      <c r="N83" s="958"/>
      <c r="O83" s="958"/>
      <c r="P83" s="958"/>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row>
    <row r="84" spans="2:109" ht="30" customHeight="1" x14ac:dyDescent="0.2">
      <c r="B84" s="761" t="s">
        <v>1165</v>
      </c>
      <c r="C84" s="761"/>
      <c r="D84" s="761"/>
      <c r="E84" s="761"/>
      <c r="F84" s="761"/>
      <c r="G84" s="761"/>
      <c r="H84" s="761"/>
      <c r="I84" s="761"/>
      <c r="J84" s="761"/>
      <c r="K84" s="761"/>
      <c r="L84" s="761"/>
      <c r="M84" s="761"/>
      <c r="N84" s="761"/>
      <c r="O84" s="761"/>
      <c r="P84" s="914">
        <f>IF(P81=1,0,U11)</f>
        <v>0</v>
      </c>
      <c r="R84" s="564">
        <f>SUMIF(S84:AD84,B85,S85:AD85)</f>
        <v>0</v>
      </c>
      <c r="S84" s="50" t="s">
        <v>1166</v>
      </c>
      <c r="T84" s="50" t="s">
        <v>1167</v>
      </c>
      <c r="U84" s="50" t="s">
        <v>1168</v>
      </c>
      <c r="V84" s="50" t="s">
        <v>1169</v>
      </c>
      <c r="W84" s="50" t="s">
        <v>1883</v>
      </c>
      <c r="X84" s="50" t="s">
        <v>1884</v>
      </c>
      <c r="Y84" s="50" t="s">
        <v>659</v>
      </c>
      <c r="Z84" s="50" t="s">
        <v>660</v>
      </c>
      <c r="AA84" s="50" t="s">
        <v>661</v>
      </c>
      <c r="AB84" s="50" t="s">
        <v>662</v>
      </c>
      <c r="AC84" s="50" t="s">
        <v>663</v>
      </c>
      <c r="AD84" s="50" t="s">
        <v>664</v>
      </c>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row>
    <row r="85" spans="2:109" ht="15" customHeight="1" x14ac:dyDescent="0.2">
      <c r="B85" s="1012"/>
      <c r="C85" s="1012"/>
      <c r="D85" s="1012"/>
      <c r="E85" s="1012"/>
      <c r="F85" s="1012"/>
      <c r="G85" s="1012"/>
      <c r="H85" s="1012"/>
      <c r="I85" s="1012"/>
      <c r="J85" s="1012"/>
      <c r="K85" s="1012"/>
      <c r="L85" s="1012"/>
      <c r="M85" s="1012"/>
      <c r="N85" s="1012"/>
      <c r="O85" s="1012"/>
      <c r="P85" s="914"/>
      <c r="R85" s="761" t="s">
        <v>665</v>
      </c>
      <c r="S85" s="563">
        <v>0</v>
      </c>
      <c r="T85" s="147">
        <v>0.05</v>
      </c>
      <c r="U85" s="147">
        <v>0.05</v>
      </c>
      <c r="V85" s="147">
        <v>0.1</v>
      </c>
      <c r="W85" s="147">
        <v>0.15</v>
      </c>
      <c r="X85" s="147">
        <v>0.2</v>
      </c>
      <c r="Y85" s="147">
        <v>0.2</v>
      </c>
      <c r="Z85" s="147">
        <v>0.25</v>
      </c>
      <c r="AA85" s="147">
        <v>0.25</v>
      </c>
      <c r="AB85" s="147">
        <v>0.25</v>
      </c>
      <c r="AC85" s="147">
        <v>0.25</v>
      </c>
      <c r="AD85" s="147">
        <v>0.3</v>
      </c>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row>
    <row r="86" spans="2:109" ht="18" customHeight="1" x14ac:dyDescent="0.2">
      <c r="B86" s="1013" t="s">
        <v>666</v>
      </c>
      <c r="C86" s="1014"/>
      <c r="D86" s="1014"/>
      <c r="E86" s="1014"/>
      <c r="F86" s="1014"/>
      <c r="G86" s="1014"/>
      <c r="H86" s="1014"/>
      <c r="I86" s="1014"/>
      <c r="J86" s="1014"/>
      <c r="K86" s="1014"/>
      <c r="L86" s="1014"/>
      <c r="M86" s="1014"/>
      <c r="N86" s="1014"/>
      <c r="O86" s="1015"/>
      <c r="P86" s="914"/>
      <c r="R86" s="761"/>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row>
    <row r="87" spans="2:109" ht="12" customHeight="1" x14ac:dyDescent="0.2">
      <c r="B87" s="777"/>
      <c r="C87" s="777"/>
      <c r="D87" s="777"/>
      <c r="E87" s="777"/>
      <c r="F87" s="777"/>
      <c r="G87" s="777"/>
      <c r="H87" s="777"/>
      <c r="I87" s="777"/>
      <c r="J87" s="777"/>
      <c r="K87" s="777"/>
      <c r="L87" s="777"/>
      <c r="M87" s="777"/>
      <c r="N87" s="777"/>
      <c r="O87" s="777"/>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row>
    <row r="88" spans="2:109" ht="15" customHeight="1" x14ac:dyDescent="0.2">
      <c r="B88" s="910" t="s">
        <v>1563</v>
      </c>
      <c r="C88" s="910"/>
      <c r="D88" s="910"/>
      <c r="E88" s="910"/>
      <c r="F88" s="910"/>
      <c r="G88" s="910"/>
      <c r="H88" s="910"/>
      <c r="I88" s="910"/>
      <c r="J88" s="910"/>
      <c r="K88" s="910"/>
      <c r="L88" s="910"/>
      <c r="M88" s="910"/>
      <c r="N88" s="910"/>
      <c r="O88" s="910"/>
      <c r="P88" s="755">
        <f>IF(R101=1,"ERROR",AD100)</f>
        <v>0</v>
      </c>
      <c r="R88" s="10"/>
      <c r="S88" s="10"/>
      <c r="T88" s="761" t="s">
        <v>1238</v>
      </c>
      <c r="U88" s="761" t="s">
        <v>1238</v>
      </c>
      <c r="V88" s="10"/>
      <c r="W88" s="10"/>
      <c r="X88" s="10"/>
      <c r="Z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row>
    <row r="89" spans="2:109" ht="27" customHeight="1" x14ac:dyDescent="0.2">
      <c r="B89" s="18" t="s">
        <v>112</v>
      </c>
      <c r="C89" s="910" t="s">
        <v>1564</v>
      </c>
      <c r="D89" s="910"/>
      <c r="E89" s="910"/>
      <c r="F89" s="910"/>
      <c r="G89" s="912" t="s">
        <v>1064</v>
      </c>
      <c r="H89" s="912"/>
      <c r="I89" s="912"/>
      <c r="J89" s="912"/>
      <c r="K89" s="910"/>
      <c r="L89" s="910"/>
      <c r="M89" s="910"/>
      <c r="N89" s="910"/>
      <c r="O89" s="910"/>
      <c r="P89" s="755"/>
      <c r="R89" s="10"/>
      <c r="S89" s="10"/>
      <c r="T89" s="761"/>
      <c r="U89" s="761"/>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row>
    <row r="90" spans="2:109" ht="18" customHeight="1" x14ac:dyDescent="0.2">
      <c r="B90" s="18"/>
      <c r="C90" s="910" t="s">
        <v>355</v>
      </c>
      <c r="D90" s="910"/>
      <c r="E90" s="910" t="s">
        <v>1759</v>
      </c>
      <c r="F90" s="910"/>
      <c r="G90" s="910" t="s">
        <v>355</v>
      </c>
      <c r="H90" s="910"/>
      <c r="I90" s="910" t="s">
        <v>1759</v>
      </c>
      <c r="J90" s="910"/>
      <c r="K90" s="910"/>
      <c r="L90" s="910"/>
      <c r="M90" s="910"/>
      <c r="N90" s="910"/>
      <c r="O90" s="910"/>
      <c r="P90" s="755"/>
      <c r="R90" s="10"/>
      <c r="S90" s="50" t="s">
        <v>1622</v>
      </c>
      <c r="T90" s="256" t="s">
        <v>1564</v>
      </c>
      <c r="U90" s="256" t="s">
        <v>1565</v>
      </c>
      <c r="V90" s="910" t="s">
        <v>1066</v>
      </c>
      <c r="W90" s="910"/>
      <c r="X90" s="910"/>
      <c r="Y90" s="9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row>
    <row r="91" spans="2:109" ht="13.5" customHeight="1" x14ac:dyDescent="0.2">
      <c r="B91" s="146" t="s">
        <v>667</v>
      </c>
      <c r="C91" s="694"/>
      <c r="D91" s="694"/>
      <c r="E91" s="921">
        <f>UETable!AV12</f>
        <v>0</v>
      </c>
      <c r="F91" s="921"/>
      <c r="G91" s="694"/>
      <c r="H91" s="694"/>
      <c r="I91" s="936">
        <f>IF(C91="",0,IF(OR(C91&lt;=0,G91&lt;=0),E91,IF(G91&lt;C91,0,UETable!BA12)))</f>
        <v>0</v>
      </c>
      <c r="J91" s="936"/>
      <c r="K91" s="930" t="str">
        <f>IF(OR(C91="NA",G91="NA"),"",IF(AND(C91&lt;&gt;"",G91=""),"Enter contralateral or NA.",IF(AND(C91="",G91&lt;&gt;""),"Need data","")))</f>
        <v/>
      </c>
      <c r="L91" s="930"/>
      <c r="M91" s="930"/>
      <c r="N91" s="930"/>
      <c r="O91" s="930"/>
      <c r="P91" s="755"/>
      <c r="R91" s="10"/>
      <c r="S91" s="50">
        <v>70</v>
      </c>
      <c r="T91" s="50" t="str">
        <f>IF(OR(C91="",C91="NA"),"",IF(C91&gt;S91,S91,IF(C91&lt;0,0,C91)))</f>
        <v/>
      </c>
      <c r="U91" s="50" t="str">
        <f>IF(OR(G91="",G91="NA"),"",IF(G91&gt;S91,S91,IF(G91&lt;0,0,G91)))</f>
        <v/>
      </c>
      <c r="V91" s="553" t="str">
        <f>IF(Y91="","",ROUND(Y91,0))</f>
        <v/>
      </c>
      <c r="W91" s="791" t="s">
        <v>1184</v>
      </c>
      <c r="X91" s="791"/>
      <c r="Y91" s="554" t="str">
        <f>IF(T91="","",IF(OR(U91="",U91=0,U91&lt;T91),T91,(T91*70)/U91))</f>
        <v/>
      </c>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row>
    <row r="92" spans="2:109" ht="13.5" customHeight="1" x14ac:dyDescent="0.2">
      <c r="B92" s="146" t="s">
        <v>668</v>
      </c>
      <c r="C92" s="694"/>
      <c r="D92" s="694"/>
      <c r="E92" s="921">
        <f>UETable!AV13</f>
        <v>0</v>
      </c>
      <c r="F92" s="921"/>
      <c r="G92" s="694"/>
      <c r="H92" s="694"/>
      <c r="I92" s="936">
        <f>IF(C92="",0,IF(OR(C92&gt;=70,G92&gt;=70),E92,IF(G92&gt;C92,0,UETable!BA13)))</f>
        <v>0</v>
      </c>
      <c r="J92" s="936"/>
      <c r="K92" s="930" t="str">
        <f>IF(OR(C92="NA",G92="NA"),"",IF(AND(C92&lt;&gt;"",G92=""),"Enter contralateral or NA.",IF(AND(C92="",G92&lt;&gt;""),"Need data","")))</f>
        <v/>
      </c>
      <c r="L92" s="930"/>
      <c r="M92" s="930"/>
      <c r="N92" s="930"/>
      <c r="O92" s="930"/>
      <c r="P92" s="755"/>
      <c r="S92" s="50">
        <v>70</v>
      </c>
      <c r="T92" s="50" t="str">
        <f>IF(OR(C92="",C92="NA"),"",IF(C92&gt;S92,S92,IF(C92&lt;0,0,C92)))</f>
        <v/>
      </c>
      <c r="U92" s="50" t="str">
        <f>IF(OR(G92="",G92="NA"),"",IF(G92&gt;S92,S92,IF(G92&lt;0,0,G92)))</f>
        <v/>
      </c>
      <c r="V92" s="553" t="str">
        <f>IF(Y92="","",ROUND(Y92,0))</f>
        <v/>
      </c>
      <c r="W92" s="50">
        <f>IF(T92="",0,70-T92)</f>
        <v>0</v>
      </c>
      <c r="X92" s="50">
        <f>IF(U92="",0,70-U92)</f>
        <v>0</v>
      </c>
      <c r="Y92" s="554" t="str">
        <f>IF(T92="","",IF(OR(U92="",U92=0,U92&gt;T92),T92,70-(W92*70)/X92))</f>
        <v/>
      </c>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row>
    <row r="93" spans="2:109" ht="15" customHeight="1" x14ac:dyDescent="0.2">
      <c r="B93" s="146" t="s">
        <v>669</v>
      </c>
      <c r="C93" s="694"/>
      <c r="D93" s="694"/>
      <c r="E93" s="921">
        <f>IF(AND(C93&lt;&gt;"",C93&lt;&gt;"NA",C92&lt;&gt;"NA",C92&lt;&gt;""),"ERROR",IF(AND(C93&lt;&gt;"",C93&lt;&gt;"NA",C91&lt;&gt;"",C91&lt;&gt;"NA"),"ERROR",UETable!AV14))</f>
        <v>0</v>
      </c>
      <c r="F93" s="921"/>
      <c r="G93" s="930" t="str">
        <f>IF(AND(C93&lt;&gt;"",C93&lt;&gt;"NA",C92&lt;&gt;"NA",C92&lt;&gt;""),"ERROR: Cannot rate ROM and ankylosis.",IF(AND(C93&lt;&gt;"",C93&lt;&gt;"NA",C91&lt;&gt;"",C91&lt;&gt;"NA"),"ERROR: Cannot rate ROM and ankylosis.",""))</f>
        <v/>
      </c>
      <c r="H93" s="930"/>
      <c r="I93" s="930"/>
      <c r="J93" s="930"/>
      <c r="K93" s="930"/>
      <c r="L93" s="930"/>
      <c r="M93" s="930"/>
      <c r="N93" s="930"/>
      <c r="O93" s="930"/>
      <c r="P93" s="755"/>
      <c r="R93" s="10"/>
      <c r="S93" s="50">
        <v>70</v>
      </c>
      <c r="T93" s="50" t="str">
        <f>IF(OR(C93="",C93="NA"),"",IF(C93&gt;S93,S93,IF(C93&lt;0,0,C93)))</f>
        <v/>
      </c>
      <c r="U93" s="10"/>
      <c r="V93" s="10"/>
      <c r="W93" s="10"/>
      <c r="X93" s="10"/>
      <c r="Y93" s="10"/>
      <c r="Z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row>
    <row r="94" spans="2:109" x14ac:dyDescent="0.2">
      <c r="B94" s="979"/>
      <c r="C94" s="980"/>
      <c r="D94" s="980"/>
      <c r="E94" s="980"/>
      <c r="F94" s="980"/>
      <c r="G94" s="980"/>
      <c r="H94" s="980"/>
      <c r="I94" s="980"/>
      <c r="J94" s="981"/>
      <c r="K94" s="956" t="s">
        <v>1803</v>
      </c>
      <c r="L94" s="956"/>
      <c r="M94" s="956"/>
      <c r="N94" s="956"/>
      <c r="O94" s="65">
        <f>IF(E93="ERROR","ERROR",IF(R94&gt;1,1,R94))</f>
        <v>0</v>
      </c>
      <c r="P94" s="755"/>
      <c r="R94" s="193">
        <f>SUM(I91,I92,E93)</f>
        <v>0</v>
      </c>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row>
    <row r="95" spans="2:109" ht="13.5" customHeight="1" x14ac:dyDescent="0.2">
      <c r="B95" s="146" t="s">
        <v>670</v>
      </c>
      <c r="C95" s="694"/>
      <c r="D95" s="694"/>
      <c r="E95" s="921">
        <f>UETable!AV16</f>
        <v>0</v>
      </c>
      <c r="F95" s="921"/>
      <c r="G95" s="694"/>
      <c r="H95" s="694"/>
      <c r="I95" s="936">
        <f>IF(C95="",0,IF(OR(C95&lt;=0,G95&lt;=0),E95,IF(G95&lt;C95,0,UETable!BA16)))</f>
        <v>0</v>
      </c>
      <c r="J95" s="936"/>
      <c r="K95" s="930" t="str">
        <f>IF(OR(C95="NA",G95="NA"),"",IF(AND(C95&lt;&gt;"",G95=""),"Enter contralateral or NA.",IF(AND(C95="",G95&lt;&gt;""),"Need data","")))</f>
        <v/>
      </c>
      <c r="L95" s="930"/>
      <c r="M95" s="930"/>
      <c r="N95" s="930"/>
      <c r="O95" s="930"/>
      <c r="P95" s="755"/>
      <c r="R95" s="10"/>
      <c r="S95" s="50">
        <v>100</v>
      </c>
      <c r="T95" s="50" t="str">
        <f>IF(OR(C95="",C95="NA"),"",IF(C95&gt;S95,S95,IF(C95&lt;0,0,C95)))</f>
        <v/>
      </c>
      <c r="U95" s="50" t="str">
        <f>IF(OR(G95="",G95="NA"),"",IF(G95&gt;S95,S95,IF(G95&lt;0,0,G95)))</f>
        <v/>
      </c>
      <c r="V95" s="553" t="str">
        <f>IF(Y95="","",ROUND(Y95,0))</f>
        <v/>
      </c>
      <c r="W95" s="791" t="s">
        <v>1184</v>
      </c>
      <c r="X95" s="791"/>
      <c r="Y95" s="554" t="str">
        <f>IF(T95="","",IF(OR(U95="",U95=0,U95&lt;T95),T95,(T95*100)/U95))</f>
        <v/>
      </c>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row>
    <row r="96" spans="2:109" ht="13.5" customHeight="1" x14ac:dyDescent="0.2">
      <c r="B96" s="146" t="s">
        <v>671</v>
      </c>
      <c r="C96" s="694"/>
      <c r="D96" s="694"/>
      <c r="E96" s="921">
        <f>UETable!AV17</f>
        <v>0</v>
      </c>
      <c r="F96" s="921"/>
      <c r="G96" s="694"/>
      <c r="H96" s="694"/>
      <c r="I96" s="936">
        <f>IF(C96="",0,IF(OR(C96&gt;=100,G96&gt;=100),E96,IF(G96&gt;C96,0,UETable!BA17)))</f>
        <v>0</v>
      </c>
      <c r="J96" s="936"/>
      <c r="K96" s="930" t="str">
        <f>IF(OR(C96="NA",G96="NA"),"",IF(AND(C96&lt;&gt;"",G96=""),"Enter contralateral or NA.",IF(AND(C96="",G96&lt;&gt;""),"Need data","")))</f>
        <v/>
      </c>
      <c r="L96" s="930"/>
      <c r="M96" s="930"/>
      <c r="N96" s="930"/>
      <c r="O96" s="930"/>
      <c r="P96" s="755"/>
      <c r="S96" s="50">
        <v>100</v>
      </c>
      <c r="T96" s="50" t="str">
        <f>IF(OR(C96="",C96="NA"),"",IF(C96&gt;S96,S96,IF(C96&lt;0,0,C96)))</f>
        <v/>
      </c>
      <c r="U96" s="50" t="str">
        <f>IF(OR(G96="",G96="NA"),"",IF(G96&gt;S96,S96,IF(G96&lt;0,0,G96)))</f>
        <v/>
      </c>
      <c r="V96" s="553" t="str">
        <f>IF(Y96="","",ROUND(Y96,0))</f>
        <v/>
      </c>
      <c r="W96" s="50">
        <f>IF(T96="",0,100-T96)</f>
        <v>0</v>
      </c>
      <c r="X96" s="50">
        <f>IF(U96="",0,100-U96)</f>
        <v>0</v>
      </c>
      <c r="Y96" s="554" t="str">
        <f>IF(T96="","",IF(OR(U96="",U96=0,U96&gt;T96),T96,100-(W96*100)/X96))</f>
        <v/>
      </c>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row>
    <row r="97" spans="1:109" ht="15" customHeight="1" x14ac:dyDescent="0.2">
      <c r="B97" s="146" t="s">
        <v>672</v>
      </c>
      <c r="C97" s="694"/>
      <c r="D97" s="694"/>
      <c r="E97" s="921">
        <f>IF(AND(C97&lt;&gt;"",C97&lt;&gt;"NA",C96&lt;&gt;"NA",C96&lt;&gt;""),"ERROR",IF(AND(C97&lt;&gt;"",C97&lt;&gt;"NA",C95&lt;&gt;"",C95&lt;&gt;"NA"),"ERROR",UETable!AV18))</f>
        <v>0</v>
      </c>
      <c r="F97" s="921"/>
      <c r="G97" s="930" t="str">
        <f>IF(AND(C97&lt;&gt;"",C97&lt;&gt;"NA",C96&lt;&gt;"NA",C96&lt;&gt;""),"ERROR: Cannot rate ROM and ankylosis.",IF(AND(C97&lt;&gt;"",C97&lt;&gt;"NA",C95&lt;&gt;"",C95&lt;&gt;"NA"),"ERROR: Cannot rate ROM and ankylosis.",""))</f>
        <v/>
      </c>
      <c r="H97" s="930"/>
      <c r="I97" s="930"/>
      <c r="J97" s="930"/>
      <c r="K97" s="930"/>
      <c r="L97" s="930"/>
      <c r="M97" s="930"/>
      <c r="N97" s="930"/>
      <c r="O97" s="930"/>
      <c r="P97" s="755"/>
      <c r="R97" s="10"/>
      <c r="S97" s="50">
        <v>100</v>
      </c>
      <c r="T97" s="50" t="str">
        <f>IF(OR(C97="",C97="NA"),"",IF(C97&gt;S97,S97,IF(C97&lt;0,0,C97)))</f>
        <v/>
      </c>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row>
    <row r="98" spans="1:109" x14ac:dyDescent="0.2">
      <c r="B98" s="979"/>
      <c r="C98" s="980"/>
      <c r="D98" s="980"/>
      <c r="E98" s="980"/>
      <c r="F98" s="980"/>
      <c r="G98" s="980"/>
      <c r="H98" s="980"/>
      <c r="I98" s="980"/>
      <c r="J98" s="981"/>
      <c r="K98" s="956" t="s">
        <v>1803</v>
      </c>
      <c r="L98" s="956"/>
      <c r="M98" s="956"/>
      <c r="N98" s="956"/>
      <c r="O98" s="65">
        <f>IF(E97="ERROR","ERROR",IF(R98&gt;1,1,R98))</f>
        <v>0</v>
      </c>
      <c r="P98" s="755"/>
      <c r="R98" s="193">
        <f>SUM(I95,I96,E97)</f>
        <v>0</v>
      </c>
      <c r="S98" s="10"/>
      <c r="T98" s="10"/>
      <c r="U98" s="10"/>
      <c r="V98" s="10"/>
      <c r="W98" s="10"/>
      <c r="X98" s="10"/>
      <c r="Y98" s="10"/>
      <c r="Z98" s="10"/>
      <c r="AA98" s="146" t="s">
        <v>1287</v>
      </c>
      <c r="AB98" s="146" t="s">
        <v>1285</v>
      </c>
      <c r="AC98" s="50" t="s">
        <v>1286</v>
      </c>
      <c r="AD98" s="50" t="s">
        <v>1287</v>
      </c>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row>
    <row r="99" spans="1:109" ht="13.5" customHeight="1" x14ac:dyDescent="0.2">
      <c r="B99" s="146" t="s">
        <v>1546</v>
      </c>
      <c r="C99" s="694"/>
      <c r="D99" s="694"/>
      <c r="E99" s="921">
        <f>UETable!AV20</f>
        <v>0</v>
      </c>
      <c r="F99" s="921"/>
      <c r="G99" s="694"/>
      <c r="H99" s="694"/>
      <c r="I99" s="936">
        <f>IF(C99="",0,IF(OR(C99&lt;=0,G99&lt;=0),E99,IF(G99&lt;C99,0,UETable!BA20)))</f>
        <v>0</v>
      </c>
      <c r="J99" s="936"/>
      <c r="K99" s="930" t="str">
        <f>IF(OR(C99="NA",G99="NA"),"",IF(AND(C99&lt;&gt;"",G99=""),"Enter contralateral or NA.",IF(AND(C99="",G99&lt;&gt;""),"Need data","")))</f>
        <v/>
      </c>
      <c r="L99" s="930"/>
      <c r="M99" s="930"/>
      <c r="N99" s="930"/>
      <c r="O99" s="930"/>
      <c r="P99" s="755"/>
      <c r="R99" s="10"/>
      <c r="S99" s="50">
        <v>90</v>
      </c>
      <c r="T99" s="50" t="str">
        <f>IF(OR(C99="",C99="NA"),"",IF(C99&gt;S99,S99,IF(C99&lt;0,0,C99)))</f>
        <v/>
      </c>
      <c r="U99" s="50" t="str">
        <f>IF(OR(G99="",G99="NA"),"",IF(G99&gt;S99,S99,IF(G99&lt;0,0,G99)))</f>
        <v/>
      </c>
      <c r="V99" s="553" t="str">
        <f>IF(Y99="","",ROUND(Y99,0))</f>
        <v/>
      </c>
      <c r="W99" s="791" t="s">
        <v>1184</v>
      </c>
      <c r="X99" s="791"/>
      <c r="Y99" s="554" t="str">
        <f>IF(T99="","",IF(OR(U99="",U99=0,U99&lt;T99),T99,(T99*90)/U99))</f>
        <v/>
      </c>
      <c r="Z99" s="10"/>
      <c r="AA99" s="548">
        <f>IF(AND(O94&gt;0,O94&lt;0.01),0.01,ROUND(O94,2))</f>
        <v>0</v>
      </c>
      <c r="AB99" s="147">
        <f>LARGE(AA99:AA101,1)</f>
        <v>0</v>
      </c>
      <c r="AC99" s="548">
        <f>AB99+AB100*(1-AB99)</f>
        <v>0</v>
      </c>
      <c r="AD99" s="548">
        <f>ROUND(AC99,2)</f>
        <v>0</v>
      </c>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row>
    <row r="100" spans="1:109" ht="13.5" customHeight="1" x14ac:dyDescent="0.2">
      <c r="B100" s="146" t="s">
        <v>1547</v>
      </c>
      <c r="C100" s="694"/>
      <c r="D100" s="694"/>
      <c r="E100" s="921">
        <f>UETable!AV21</f>
        <v>0</v>
      </c>
      <c r="F100" s="921"/>
      <c r="G100" s="694"/>
      <c r="H100" s="694"/>
      <c r="I100" s="936">
        <f>IF(C100="",0,IF(OR(C100&gt;=90,G100&gt;=90),E100,IF(G100&gt;C100,0,UETable!BA21)))</f>
        <v>0</v>
      </c>
      <c r="J100" s="936"/>
      <c r="K100" s="930" t="str">
        <f>IF(OR(C100="NA",G100="NA"),"",IF(AND(C100&lt;&gt;"",G100=""),"Enter contralateral or NA.",IF(AND(C100="",G100&lt;&gt;""),"Need data","")))</f>
        <v/>
      </c>
      <c r="L100" s="930"/>
      <c r="M100" s="930"/>
      <c r="N100" s="930"/>
      <c r="O100" s="930"/>
      <c r="P100" s="755"/>
      <c r="R100" s="10"/>
      <c r="S100" s="566">
        <v>90</v>
      </c>
      <c r="T100" s="50" t="str">
        <f>IF(OR(C100="",C100="NA"),"",IF(C100&gt;S100,S100,IF(C100&lt;0,0,C100)))</f>
        <v/>
      </c>
      <c r="U100" s="50" t="str">
        <f>IF(OR(G100="",G100="NA"),"",IF(G100&gt;S100,S100,IF(G100&lt;0,0,G100)))</f>
        <v/>
      </c>
      <c r="V100" s="553" t="str">
        <f>IF(Y100="","",ROUND(Y100,0))</f>
        <v/>
      </c>
      <c r="W100" s="50">
        <f>IF(T100="",0,90-T100)</f>
        <v>0</v>
      </c>
      <c r="X100" s="50">
        <f>IF(U100="",0,90-U100)</f>
        <v>0</v>
      </c>
      <c r="Y100" s="554" t="str">
        <f>IF(T100="","",IF(OR(U100="",U100=0,U100&gt;T100),T100,90-(W100*90)/X100))</f>
        <v/>
      </c>
      <c r="Z100" s="10"/>
      <c r="AA100" s="548">
        <f>IF(AND(O98&gt;0,O98&lt;0.01),0.01,ROUND(O98,2))</f>
        <v>0</v>
      </c>
      <c r="AB100" s="147">
        <f>LARGE(AA99:AA101,2)</f>
        <v>0</v>
      </c>
      <c r="AC100" s="544">
        <f>AD99+AB101*(1-AD99)</f>
        <v>0</v>
      </c>
      <c r="AD100" s="548">
        <f>ROUND(AC100,2)</f>
        <v>0</v>
      </c>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row>
    <row r="101" spans="1:109" ht="15" customHeight="1" x14ac:dyDescent="0.2">
      <c r="B101" s="146" t="s">
        <v>629</v>
      </c>
      <c r="C101" s="694"/>
      <c r="D101" s="694"/>
      <c r="E101" s="921">
        <f>IF(AND(C101&lt;&gt;"",C101&lt;&gt;"NA",C100&lt;&gt;"NA",C100&lt;&gt;""),"ERROR",IF(AND(C101&lt;&gt;"",C101&lt;&gt;"NA",C99&lt;&gt;"",C99&lt;&gt;"NA"),"ERROR",UETable!AV22))</f>
        <v>0</v>
      </c>
      <c r="F101" s="921"/>
      <c r="G101" s="930" t="str">
        <f>IF(AND(C101&lt;&gt;"",C101&lt;&gt;"NA",C100&lt;&gt;"NA",C100&lt;&gt;""),"ERROR: Cannot rate ROM and ankylosis.",IF(AND(C101&lt;&gt;"",C101&lt;&gt;"NA",C99&lt;&gt;"",C99&lt;&gt;"NA"),"ERROR: Cannot rate ROM and ankylosis.",""))</f>
        <v/>
      </c>
      <c r="H101" s="930"/>
      <c r="I101" s="930"/>
      <c r="J101" s="930"/>
      <c r="K101" s="930"/>
      <c r="L101" s="930"/>
      <c r="M101" s="930"/>
      <c r="N101" s="930"/>
      <c r="O101" s="930"/>
      <c r="P101" s="755"/>
      <c r="R101" s="50">
        <f>IF(OR(O94="ERROR",O98="ERROR",O102="ERROR"),1,0)</f>
        <v>0</v>
      </c>
      <c r="S101" s="50">
        <v>90</v>
      </c>
      <c r="T101" s="50" t="str">
        <f>IF(OR(C101="",C101="NA"),"",IF(C101&gt;S101,S101,IF(C101&lt;0,0,C101)))</f>
        <v/>
      </c>
      <c r="U101" s="10"/>
      <c r="V101" s="10"/>
      <c r="W101" s="10"/>
      <c r="X101" s="10"/>
      <c r="Y101" s="10"/>
      <c r="Z101" s="10"/>
      <c r="AA101" s="548">
        <f>IF(AND(O102&gt;0,O102&lt;0.01),0.01,ROUND(O102,2))</f>
        <v>0</v>
      </c>
      <c r="AB101" s="147">
        <f>LARGE(AA99:AA101,3)</f>
        <v>0</v>
      </c>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row>
    <row r="102" spans="1:109" ht="17.25" customHeight="1" x14ac:dyDescent="0.2">
      <c r="B102" s="964"/>
      <c r="C102" s="965"/>
      <c r="D102" s="965"/>
      <c r="E102" s="965"/>
      <c r="F102" s="965"/>
      <c r="G102" s="965"/>
      <c r="H102" s="965"/>
      <c r="I102" s="966"/>
      <c r="J102" s="956" t="s">
        <v>1803</v>
      </c>
      <c r="K102" s="956"/>
      <c r="L102" s="956"/>
      <c r="M102" s="956"/>
      <c r="N102" s="956"/>
      <c r="O102" s="65">
        <f>IF(E101="ERROR","ERROR",IF(R102&gt;1,1,R102))</f>
        <v>0</v>
      </c>
      <c r="P102" s="755"/>
      <c r="R102" s="193">
        <f>SUM(I99,I100,E101)</f>
        <v>0</v>
      </c>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row>
    <row r="103" spans="1:109" ht="18" customHeight="1" x14ac:dyDescent="0.2">
      <c r="B103" s="918"/>
      <c r="C103" s="919"/>
      <c r="D103" s="919"/>
      <c r="E103" s="919"/>
      <c r="F103" s="919"/>
      <c r="G103" s="919"/>
      <c r="H103" s="919"/>
      <c r="I103" s="920"/>
      <c r="J103" s="956" t="s">
        <v>673</v>
      </c>
      <c r="K103" s="956"/>
      <c r="L103" s="956"/>
      <c r="M103" s="956"/>
      <c r="N103" s="956"/>
      <c r="O103" s="956"/>
      <c r="P103" s="755"/>
      <c r="R103" s="10"/>
      <c r="S103" s="10"/>
      <c r="T103" s="10"/>
      <c r="U103" s="10"/>
      <c r="V103" s="10"/>
      <c r="W103" s="10"/>
      <c r="X103" s="10"/>
      <c r="Y103" s="10"/>
      <c r="Z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row>
    <row r="104" spans="1:109" ht="12" customHeight="1" x14ac:dyDescent="0.2">
      <c r="B104" s="777"/>
      <c r="C104" s="777"/>
      <c r="D104" s="777"/>
      <c r="E104" s="777"/>
      <c r="F104" s="777"/>
      <c r="G104" s="777"/>
      <c r="H104" s="777"/>
      <c r="I104" s="777"/>
      <c r="J104" s="777"/>
      <c r="K104" s="777"/>
      <c r="L104" s="777"/>
      <c r="M104" s="777"/>
      <c r="N104" s="777"/>
      <c r="O104" s="777"/>
      <c r="P104" s="777"/>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row>
    <row r="105" spans="1:109" ht="12" customHeight="1" x14ac:dyDescent="0.2">
      <c r="B105" s="777"/>
      <c r="C105" s="777"/>
      <c r="D105" s="777"/>
      <c r="E105" s="777"/>
      <c r="F105" s="777"/>
      <c r="G105" s="777"/>
      <c r="H105" s="777"/>
      <c r="I105" s="777"/>
      <c r="J105" s="777"/>
      <c r="K105" s="777"/>
      <c r="L105" s="777"/>
      <c r="M105" s="777"/>
      <c r="N105" s="777"/>
      <c r="O105" s="777"/>
      <c r="R105" s="10"/>
      <c r="S105" s="863" t="s">
        <v>2147</v>
      </c>
      <c r="T105" s="863"/>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row>
    <row r="106" spans="1:109" ht="14.25" customHeight="1" x14ac:dyDescent="0.2">
      <c r="A106" s="15"/>
      <c r="B106" s="982" t="s">
        <v>951</v>
      </c>
      <c r="C106" s="983"/>
      <c r="D106" s="940"/>
      <c r="E106" s="940"/>
      <c r="F106" s="924" t="s">
        <v>1210</v>
      </c>
      <c r="G106" s="924"/>
      <c r="H106" s="924"/>
      <c r="I106" s="924"/>
      <c r="J106" s="924"/>
      <c r="K106" s="924"/>
      <c r="L106" s="924"/>
      <c r="M106" s="924"/>
      <c r="N106" s="924"/>
      <c r="O106" s="924"/>
      <c r="P106" s="82">
        <f>IF(T106=1,0.1,0)</f>
        <v>0</v>
      </c>
      <c r="R106" s="10"/>
      <c r="S106" s="546" t="b">
        <v>0</v>
      </c>
      <c r="T106" s="50">
        <f>IF(S106=TRUE,1,0)</f>
        <v>0</v>
      </c>
      <c r="W106" s="10"/>
      <c r="X106" s="10"/>
      <c r="Y106" s="10"/>
      <c r="Z106" s="10"/>
      <c r="AA106" s="10"/>
      <c r="AB106" s="10"/>
      <c r="AC106" s="10"/>
      <c r="AD106" s="10"/>
      <c r="AE106" s="10"/>
      <c r="AF106" s="10"/>
      <c r="AG106" s="10">
        <v>1E-4</v>
      </c>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row>
    <row r="107" spans="1:109" x14ac:dyDescent="0.2">
      <c r="B107" s="984"/>
      <c r="C107" s="985"/>
      <c r="D107" s="940"/>
      <c r="E107" s="940"/>
      <c r="F107" s="924" t="s">
        <v>1212</v>
      </c>
      <c r="G107" s="924"/>
      <c r="H107" s="924"/>
      <c r="I107" s="924"/>
      <c r="J107" s="924"/>
      <c r="K107" s="924"/>
      <c r="L107" s="924"/>
      <c r="M107" s="924"/>
      <c r="N107" s="924"/>
      <c r="O107" s="924"/>
      <c r="P107" s="82">
        <f>IF(T107=1,0.1,0)</f>
        <v>0</v>
      </c>
      <c r="R107" s="10"/>
      <c r="S107" s="546" t="b">
        <v>0</v>
      </c>
      <c r="T107" s="50">
        <f>IF(S107=TRUE,1,0)</f>
        <v>0</v>
      </c>
      <c r="W107" s="10"/>
      <c r="X107" s="10"/>
      <c r="Y107" s="10"/>
      <c r="Z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row>
    <row r="108" spans="1:109" x14ac:dyDescent="0.2">
      <c r="B108" s="984"/>
      <c r="C108" s="985"/>
      <c r="D108" s="940"/>
      <c r="E108" s="940"/>
      <c r="F108" s="924" t="s">
        <v>1211</v>
      </c>
      <c r="G108" s="924"/>
      <c r="H108" s="924"/>
      <c r="I108" s="924"/>
      <c r="J108" s="924"/>
      <c r="K108" s="924"/>
      <c r="L108" s="924"/>
      <c r="M108" s="924"/>
      <c r="N108" s="924"/>
      <c r="O108" s="924"/>
      <c r="P108" s="82">
        <f>IF(T108=1,0.1,0)</f>
        <v>0</v>
      </c>
      <c r="R108" s="10"/>
      <c r="S108" s="546" t="b">
        <v>0</v>
      </c>
      <c r="T108" s="50">
        <f>IF(S108=TRUE,1,0)</f>
        <v>0</v>
      </c>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row>
    <row r="109" spans="1:109" x14ac:dyDescent="0.2">
      <c r="B109" s="986"/>
      <c r="C109" s="987"/>
      <c r="D109" s="940"/>
      <c r="E109" s="940"/>
      <c r="F109" s="924" t="s">
        <v>1213</v>
      </c>
      <c r="G109" s="924"/>
      <c r="H109" s="924"/>
      <c r="I109" s="924"/>
      <c r="J109" s="924"/>
      <c r="K109" s="924"/>
      <c r="L109" s="924"/>
      <c r="M109" s="924"/>
      <c r="N109" s="924"/>
      <c r="O109" s="924"/>
      <c r="P109" s="82">
        <f>IF(T109=1,0.1,0)</f>
        <v>0</v>
      </c>
      <c r="R109" s="10"/>
      <c r="S109" s="546" t="b">
        <v>0</v>
      </c>
      <c r="T109" s="50">
        <f>IF(S109=TRUE,1,0)</f>
        <v>0</v>
      </c>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row>
    <row r="110" spans="1:109" ht="12" customHeight="1" x14ac:dyDescent="0.2">
      <c r="B110" s="777"/>
      <c r="C110" s="777"/>
      <c r="D110" s="777"/>
      <c r="E110" s="777"/>
      <c r="F110" s="777"/>
      <c r="G110" s="777"/>
      <c r="H110" s="777"/>
      <c r="I110" s="777"/>
      <c r="J110" s="777"/>
      <c r="K110" s="777"/>
      <c r="L110" s="777"/>
      <c r="M110" s="777"/>
      <c r="N110" s="777"/>
      <c r="O110" s="777"/>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row>
    <row r="111" spans="1:109" ht="12" customHeight="1" x14ac:dyDescent="0.2">
      <c r="B111" s="480"/>
      <c r="C111" s="978" t="s">
        <v>239</v>
      </c>
      <c r="D111" s="975"/>
      <c r="E111" s="976" t="s">
        <v>240</v>
      </c>
      <c r="F111" s="975"/>
      <c r="G111" s="350"/>
      <c r="H111" s="352"/>
      <c r="I111" s="974" t="s">
        <v>241</v>
      </c>
      <c r="J111" s="975"/>
      <c r="K111" s="472"/>
      <c r="L111" s="352"/>
      <c r="M111" s="976" t="s">
        <v>240</v>
      </c>
      <c r="N111" s="975"/>
      <c r="O111" s="351"/>
      <c r="P111" s="487"/>
      <c r="Z111" s="477"/>
      <c r="AE111" s="476"/>
      <c r="AF111" s="476"/>
      <c r="AG111" s="476"/>
      <c r="AH111" s="476"/>
      <c r="AI111" s="476"/>
      <c r="AJ111" s="476"/>
      <c r="AK111" s="476"/>
      <c r="AL111" s="476"/>
      <c r="AM111" s="476"/>
      <c r="AN111" s="476"/>
    </row>
    <row r="112" spans="1:109" ht="12" customHeight="1" x14ac:dyDescent="0.2">
      <c r="B112" s="481"/>
      <c r="C112" s="959" t="s">
        <v>242</v>
      </c>
      <c r="D112" s="960"/>
      <c r="E112" s="959" t="s">
        <v>243</v>
      </c>
      <c r="F112" s="960"/>
      <c r="G112" s="959" t="s">
        <v>244</v>
      </c>
      <c r="H112" s="960"/>
      <c r="I112" s="973" t="s">
        <v>245</v>
      </c>
      <c r="J112" s="960"/>
      <c r="K112" s="959" t="s">
        <v>246</v>
      </c>
      <c r="L112" s="960"/>
      <c r="M112" s="959" t="s">
        <v>247</v>
      </c>
      <c r="N112" s="960"/>
      <c r="P112" s="488"/>
      <c r="Z112" s="327"/>
      <c r="AE112" s="476"/>
      <c r="AF112" s="476"/>
      <c r="AG112" s="476"/>
      <c r="AH112" s="476"/>
      <c r="AI112" s="476"/>
      <c r="AJ112" s="476"/>
      <c r="AK112" s="476"/>
      <c r="AL112" s="476"/>
      <c r="AM112" s="476"/>
      <c r="AN112" s="476"/>
    </row>
    <row r="113" spans="2:109" ht="12" customHeight="1" x14ac:dyDescent="0.2">
      <c r="B113" s="481"/>
      <c r="C113" s="934" t="s">
        <v>248</v>
      </c>
      <c r="D113" s="935"/>
      <c r="E113" s="934" t="s">
        <v>249</v>
      </c>
      <c r="F113" s="935"/>
      <c r="G113" s="934" t="s">
        <v>250</v>
      </c>
      <c r="H113" s="935"/>
      <c r="I113" s="963" t="s">
        <v>251</v>
      </c>
      <c r="J113" s="935"/>
      <c r="K113" s="934" t="s">
        <v>250</v>
      </c>
      <c r="L113" s="935"/>
      <c r="M113" s="934" t="s">
        <v>249</v>
      </c>
      <c r="N113" s="935"/>
      <c r="P113" s="488"/>
      <c r="AH113" s="231">
        <v>1</v>
      </c>
      <c r="AI113" s="231">
        <v>2</v>
      </c>
      <c r="AJ113" s="231">
        <v>3</v>
      </c>
      <c r="AK113" s="231">
        <v>4</v>
      </c>
      <c r="AM113" s="476"/>
      <c r="AN113" s="476"/>
      <c r="AO113" s="476"/>
      <c r="AP113" s="476"/>
      <c r="AQ113" s="476"/>
      <c r="AR113" s="476"/>
      <c r="AS113" s="476"/>
      <c r="AT113" s="476"/>
      <c r="AU113" s="476"/>
      <c r="AV113" s="476"/>
    </row>
    <row r="114" spans="2:109" ht="12" customHeight="1" x14ac:dyDescent="0.2">
      <c r="B114" s="539" t="s">
        <v>1945</v>
      </c>
      <c r="C114" s="932" t="s">
        <v>252</v>
      </c>
      <c r="D114" s="933"/>
      <c r="E114" s="932" t="s">
        <v>252</v>
      </c>
      <c r="F114" s="933"/>
      <c r="G114" s="932" t="s">
        <v>252</v>
      </c>
      <c r="H114" s="933"/>
      <c r="I114" s="932" t="s">
        <v>252</v>
      </c>
      <c r="J114" s="933"/>
      <c r="K114" s="932" t="s">
        <v>252</v>
      </c>
      <c r="L114" s="933"/>
      <c r="M114" s="932" t="s">
        <v>252</v>
      </c>
      <c r="N114" s="933"/>
      <c r="P114" s="488"/>
      <c r="S114" s="892" t="s">
        <v>2147</v>
      </c>
      <c r="T114" s="893"/>
      <c r="U114" s="893"/>
      <c r="V114" s="893"/>
      <c r="W114" s="893"/>
      <c r="X114" s="894"/>
      <c r="Y114" s="475"/>
      <c r="Z114" s="475"/>
      <c r="AA114" s="950" t="s">
        <v>2147</v>
      </c>
      <c r="AB114" s="951"/>
      <c r="AC114" s="951"/>
      <c r="AD114" s="951"/>
      <c r="AE114" s="951"/>
      <c r="AF114" s="952"/>
      <c r="AG114" s="475"/>
      <c r="AH114" s="895" t="s">
        <v>2147</v>
      </c>
      <c r="AI114" s="896"/>
      <c r="AJ114" s="896"/>
      <c r="AK114" s="896"/>
      <c r="AL114" s="896"/>
      <c r="AM114" s="897"/>
      <c r="AO114" s="892" t="s">
        <v>2147</v>
      </c>
      <c r="AP114" s="893"/>
      <c r="AQ114" s="893"/>
      <c r="AR114" s="893"/>
      <c r="AS114" s="894"/>
      <c r="AU114" s="892" t="s">
        <v>2147</v>
      </c>
      <c r="AV114" s="893"/>
      <c r="AW114" s="893"/>
      <c r="AX114" s="894"/>
      <c r="AZ114" s="892" t="s">
        <v>2147</v>
      </c>
      <c r="BA114" s="893"/>
      <c r="BB114" s="893"/>
      <c r="BC114" s="893"/>
      <c r="BD114" s="893"/>
      <c r="BE114" s="893"/>
      <c r="BF114" s="893"/>
      <c r="BG114" s="894"/>
      <c r="BI114" s="892" t="s">
        <v>2147</v>
      </c>
      <c r="BJ114" s="893"/>
      <c r="BK114" s="893"/>
      <c r="BL114" s="893"/>
      <c r="BM114" s="893"/>
      <c r="BN114" s="894"/>
    </row>
    <row r="115" spans="2:109" customFormat="1" ht="15" customHeight="1" x14ac:dyDescent="0.2">
      <c r="B115" s="146" t="s">
        <v>1574</v>
      </c>
      <c r="C115" s="925"/>
      <c r="D115" s="925"/>
      <c r="E115" s="925"/>
      <c r="F115" s="925"/>
      <c r="G115" s="925"/>
      <c r="H115" s="925"/>
      <c r="I115" s="925"/>
      <c r="J115" s="925"/>
      <c r="K115" s="925"/>
      <c r="L115" s="925"/>
      <c r="M115" s="925"/>
      <c r="N115" s="925"/>
      <c r="P115" s="489"/>
      <c r="S115" s="301">
        <f>IF(C115="",0,C115)</f>
        <v>0</v>
      </c>
      <c r="T115" s="301">
        <f>IF(E115&lt;&gt;"",E115,IF(S115&gt;0,S115,0))</f>
        <v>0</v>
      </c>
      <c r="U115" s="301">
        <f>IF(G115&lt;&gt;"",G115,IF(T115&gt;0,T115,0))</f>
        <v>0</v>
      </c>
      <c r="V115" s="301">
        <f>IF(I115&lt;&gt;"",I115,IF(U115&gt;0,U115,0))</f>
        <v>0</v>
      </c>
      <c r="W115" s="301">
        <f>IF(K115&lt;&gt;"",K115,IF(V115&gt;0,V115,0))</f>
        <v>0</v>
      </c>
      <c r="X115" s="301">
        <f>IF(M115&lt;&gt;"",M115,IF(W115&gt;0,W115,0))</f>
        <v>0</v>
      </c>
      <c r="Z115" s="475"/>
      <c r="AA115" s="483">
        <f>IF(C115&gt;1,1,0)</f>
        <v>0</v>
      </c>
      <c r="AB115" s="301">
        <f t="shared" ref="AB115:AF117" si="13">IF(AND(S115&lt;&gt;T115,T115&gt;0),1,0)</f>
        <v>0</v>
      </c>
      <c r="AC115" s="301">
        <f t="shared" si="13"/>
        <v>0</v>
      </c>
      <c r="AD115" s="301">
        <f t="shared" si="13"/>
        <v>0</v>
      </c>
      <c r="AE115" s="301">
        <f t="shared" si="13"/>
        <v>0</v>
      </c>
      <c r="AF115" s="301">
        <f t="shared" si="13"/>
        <v>0</v>
      </c>
      <c r="AH115" s="478">
        <f>IF(S115=1,0,IF(S115=2,0.25,IF(S115=3,0.38,IF(S115=4,0.5,0))))</f>
        <v>0</v>
      </c>
      <c r="AI115" s="478">
        <f>IF(T115=1,0,IF(T115=2,0.23,IF(T115=3,0.35,IF(T115=4,0.45,0))))</f>
        <v>0</v>
      </c>
      <c r="AJ115" s="478">
        <f>IF(U115=1,0,IF(U115=2,0.2,IF(U115=3,0.3,IF(U115=4,0.39,0))))</f>
        <v>0</v>
      </c>
      <c r="AK115" s="478">
        <f>IF(V115=1,0,IF(V115=2,0.17,IF(V115=3,0.25,IF(V115=4,0.33,0))))</f>
        <v>0</v>
      </c>
      <c r="AL115" s="478">
        <f>IF(W115=1,0,IF(W115=2,0.13,IF(W115=3,0.19,IF(W115=4,0.24,0))))</f>
        <v>0</v>
      </c>
      <c r="AM115" s="478">
        <f>IF(X115=1,0,IF(X115=2,0.08,IF(X115=3,0.12,IF(X115=4,0.15,0))))</f>
        <v>0</v>
      </c>
      <c r="AN115" s="479"/>
      <c r="AO115" s="478">
        <f>IF(S115=1,0,IF(S115=2,0.23,IF(S115=3,0.35,IF(S115=4,0.45,0))))</f>
        <v>0</v>
      </c>
      <c r="AP115" s="478">
        <f>IF(T115=1,0,IF(T115=2,0.2,IF(T115=3,0.3,IF(T115=4,0.39,0))))</f>
        <v>0</v>
      </c>
      <c r="AQ115" s="478">
        <f>IF(U115=1,0,IF(U115=2,0.17,IF(U115=3,0.25,IF(U115=4,0.33,0))))</f>
        <v>0</v>
      </c>
      <c r="AR115" s="478">
        <f>IF(V115=1,0,IF(V115=2,0.13,IF(V115=3,0.19,IF(V115=4,0.24,0))))</f>
        <v>0</v>
      </c>
      <c r="AS115" s="478">
        <f>IF(W115=1,0,IF(W115=2,0.08,IF(W115=3,0.12,IF(W115=4,0.15,0))))</f>
        <v>0</v>
      </c>
      <c r="AU115" s="478">
        <f>IF(S115=1,0,IF(S115=2,0.2,IF(S115=3,0.3,IF(S115=4,0.39,0))))</f>
        <v>0</v>
      </c>
      <c r="AV115" s="478">
        <f>IF(T115=1,0,IF(T115=2,0.17,IF(T115=3,0.25,IF(T115=4,0.33,0))))</f>
        <v>0</v>
      </c>
      <c r="AW115" s="478">
        <f>IF(U115=1,0,IF(U115=2,0.13,IF(U115=3,0.19,IF(U115=4,0.24,0))))</f>
        <v>0</v>
      </c>
      <c r="AX115" s="478">
        <f>IF(V115=1,0,IF(V115=2,0.08,IF(V115=3,0.12,IF(V115=4,0.15,0))))</f>
        <v>0</v>
      </c>
      <c r="AZ115" s="557">
        <f>IF(S115=1,0,IF(S115=2,0.17,IF(S115=3,0.25,IF(S115=4,0.33,0))))</f>
        <v>0</v>
      </c>
      <c r="BA115" s="557">
        <f>IF(T115=1,0,IF(T115=2,0.13,IF(T115=3,0.19,IF(T115=4,0.24,0))))</f>
        <v>0</v>
      </c>
      <c r="BB115" s="557">
        <f>IF(U115=1,0,IF(U115=2,0.08,IF(U115=3,0.12,IF(U115=4,0.15,0))))</f>
        <v>0</v>
      </c>
      <c r="BD115" s="557">
        <f>IF(S115=1,0,IF(S115=2,0.13,IF(S115=3,0.19,IF(S115=4,0.24,0))))</f>
        <v>0</v>
      </c>
      <c r="BE115" s="557">
        <f>IF(T115=1,0,IF(T115=2,0.08,IF(T115=3,0.12,IF(T115=4,0.15,0))))</f>
        <v>0</v>
      </c>
      <c r="BG115" s="557">
        <f>IF(S115=1,0,IF(S115=2,0.08,IF(S115=3,0.12,IF(S115=4,0.15,0))))</f>
        <v>0</v>
      </c>
      <c r="BI115" s="478">
        <f>IF(AA115=0,0,IF(OR(AB115=1,AB116=1,AB117=1),AH115-AO115,IF(OR(AC115=1,AC116=1,AC117=1),AH115-AU115,IF(OR(AD115=1,AD116=1,AD117=1),AH115-AZ115,IF(OR(AE115=1,AE116=1,AE117=1),AH115-BD115,IF(OR(AF115=1,AF116=1,AF117=1),AH115-BG115,AH115))))))</f>
        <v>0</v>
      </c>
      <c r="BJ115" s="478">
        <f>IF(AB115=0,0,IF(OR(AC115=1,AC116=1,AC117=1),AI115-AP115,IF(OR(AD115=1,AD116=1,AD117=1),AI115-AV115,IF(OR(AE115=1,AE116=1,AE117=1),AI115-BA115,IF(OR(AF115=1,AF116=1,AF117=1),AI115-BE115,AI115)))))</f>
        <v>0</v>
      </c>
      <c r="BK115" s="478">
        <f>IF(AC115=0,0,IF(OR(AD115=1,AD116=1,AD117=1),AJ115-AQ115,IF(OR(AE115=1,AE116=1,AE117=1),AJ115-AW115,IF(OR(AF115=1,AF116=1,AF117=1),AJ115-BB115,AJ115))))</f>
        <v>0</v>
      </c>
      <c r="BL115" s="478">
        <f>IF(AD115=0,0,IF(OR(AE115=1,AE116=1,AE117=1),AK115-AR115,IF(OR(AF115=1,AF116=1,AF117=1),AK115-AX115,AK115)))</f>
        <v>0</v>
      </c>
      <c r="BM115" s="478">
        <f>IF(AE115=0,0,IF(OR(AF115=1,AF116=1,AF117=1),AL115-AS115,AL115))</f>
        <v>0</v>
      </c>
      <c r="BN115" s="478">
        <f>IF(AF115=0,0,AM115)</f>
        <v>0</v>
      </c>
      <c r="BP115" t="s">
        <v>253</v>
      </c>
      <c r="BR115" s="892" t="s">
        <v>2147</v>
      </c>
      <c r="BS115" s="893"/>
      <c r="BT115" s="893"/>
      <c r="BU115" s="893"/>
      <c r="BV115" s="893"/>
      <c r="BW115" s="893"/>
      <c r="BX115" s="893"/>
      <c r="BY115" s="893"/>
      <c r="BZ115" s="893"/>
      <c r="CA115" s="894"/>
    </row>
    <row r="116" spans="2:109" customFormat="1" ht="15" customHeight="1" x14ac:dyDescent="0.2">
      <c r="B116" s="301" t="s">
        <v>1577</v>
      </c>
      <c r="C116" s="925"/>
      <c r="D116" s="925"/>
      <c r="E116" s="925"/>
      <c r="F116" s="925"/>
      <c r="G116" s="925"/>
      <c r="H116" s="925"/>
      <c r="I116" s="925"/>
      <c r="J116" s="925"/>
      <c r="K116" s="925"/>
      <c r="L116" s="925"/>
      <c r="M116" s="925"/>
      <c r="N116" s="925"/>
      <c r="P116" s="495"/>
      <c r="S116" s="301">
        <f>IF(C116="",0,C116)</f>
        <v>0</v>
      </c>
      <c r="T116" s="301">
        <f>IF(E116&lt;&gt;"",E116,IF(S116&gt;0,S116,0))</f>
        <v>0</v>
      </c>
      <c r="U116" s="301">
        <f>IF(G116&lt;&gt;"",G116,IF(T116&gt;0,T116,0))</f>
        <v>0</v>
      </c>
      <c r="V116" s="301">
        <f>IF(I116&lt;&gt;"",I116,IF(U116&gt;0,U116,0))</f>
        <v>0</v>
      </c>
      <c r="W116" s="301">
        <f>IF(K116&lt;&gt;"",K116,IF(V116&gt;0,V116,0))</f>
        <v>0</v>
      </c>
      <c r="X116" s="301">
        <f>IF(M116&lt;&gt;"",M116,IF(W116&gt;0,W116,0))</f>
        <v>0</v>
      </c>
      <c r="Z116" s="475"/>
      <c r="AA116" s="483">
        <f>IF(C116&gt;1,1,0)</f>
        <v>0</v>
      </c>
      <c r="AB116" s="301">
        <f t="shared" si="13"/>
        <v>0</v>
      </c>
      <c r="AC116" s="301">
        <f t="shared" si="13"/>
        <v>0</v>
      </c>
      <c r="AD116" s="301">
        <f t="shared" si="13"/>
        <v>0</v>
      </c>
      <c r="AE116" s="301">
        <f t="shared" si="13"/>
        <v>0</v>
      </c>
      <c r="AF116" s="301">
        <f t="shared" si="13"/>
        <v>0</v>
      </c>
      <c r="AH116" s="478">
        <f>IF(S116=1,0,IF(S116=2,0.17,IF(S116=3,0.25,IF(S116=4,0.35,0))))</f>
        <v>0</v>
      </c>
      <c r="AI116" s="478">
        <f>IF(T116=1,0,IF(T116=2,0.15,IF(T116=3,0.23,IF(T116=4,0.31,0))))</f>
        <v>0</v>
      </c>
      <c r="AJ116" s="478">
        <f>IF(U116=1,0,IF(U116=2,0.13,IF(U116=3,0.2,IF(U116=4,0.27,0))))</f>
        <v>0</v>
      </c>
      <c r="AK116" s="478">
        <f>IF(V116=1,0,IF(V116=2,0.11,IF(V116=3,0.17,IF(V116=4,0.22,0))))</f>
        <v>0</v>
      </c>
      <c r="AL116" s="478">
        <f>IF(W116=1,0,IF(W116=2,0.08,IF(W116=3,0.12,IF(W116=4,0.16,0))))</f>
        <v>0</v>
      </c>
      <c r="AM116" s="478">
        <f>IF(X116=1,0,IF(X116=2,0.05,IF(X116=3,0.07,IF(X116=4,0.1,0))))</f>
        <v>0</v>
      </c>
      <c r="AN116" s="479"/>
      <c r="AO116" s="478">
        <f>IF(S116=1,0,IF(S116=2,0.15,IF(S116=3,0.23,IF(S116=4,0.31,0))))</f>
        <v>0</v>
      </c>
      <c r="AP116" s="478">
        <f>IF(T116=1,0,IF(T116=2,0.13,IF(T116=3,0.2,IF(T116=4,0.27,0))))</f>
        <v>0</v>
      </c>
      <c r="AQ116" s="478">
        <f>IF(U116=1,0,IF(U116=2,0.11,IF(U116=3,0.17,IF(U116=4,0.22,0))))</f>
        <v>0</v>
      </c>
      <c r="AR116" s="478">
        <f>IF(V116=1,0,IF(V116=2,0.08,IF(V116=3,0.12,IF(V116=4,0.16,0))))</f>
        <v>0</v>
      </c>
      <c r="AS116" s="478">
        <f>IF(W116=1,0,IF(W116=2,0.05,IF(W116=3,0.07,IF(W116=4,0.1,0))))</f>
        <v>0</v>
      </c>
      <c r="AU116" s="478">
        <f>IF(S116=1,0,IF(S116=2,0.13,IF(S116=3,0.2,IF(S116=4,0.27,0))))</f>
        <v>0</v>
      </c>
      <c r="AV116" s="478">
        <f>IF(T116=1,0,IF(T116=2,0.11,IF(T116=3,0.17,IF(T116=4,0.22,0))))</f>
        <v>0</v>
      </c>
      <c r="AW116" s="478">
        <f>IF(U116=1,0,IF(U116=2,0.08,IF(U116=3,0.12,IF(U116=4,0.16,0))))</f>
        <v>0</v>
      </c>
      <c r="AX116" s="478">
        <f>IF(V116=1,0,IF(V116=2,0.05,IF(V116=3,0.07,IF(V116=4,0.1,0))))</f>
        <v>0</v>
      </c>
      <c r="AZ116" s="478">
        <f>IF(S116=1,0,IF(S116=2,0.11,IF(S116=3,0.17,IF(S116=4,0.22,0))))</f>
        <v>0</v>
      </c>
      <c r="BA116" s="478">
        <f>IF(T116=1,0,IF(T116=2,0.08,IF(T116=3,0.12,IF(T116=4,0.16,0))))</f>
        <v>0</v>
      </c>
      <c r="BB116" s="478">
        <f>IF(U116=1,0,IF(U116=2,0.05,IF(U116=3,0.07,IF(U116=4,0.1,0))))</f>
        <v>0</v>
      </c>
      <c r="BD116" s="478">
        <f>IF(S116=1,0,IF(S116=2,0.08,IF(S116=3,0.12,IF(S116=4,0.16,0))))</f>
        <v>0</v>
      </c>
      <c r="BE116" s="478">
        <f>IF(T116=1,0,IF(T116=2,0.05,IF(T116=3,0.07,IF(T116=4,0.1,0))))</f>
        <v>0</v>
      </c>
      <c r="BG116" s="478">
        <f>IF(S116=1,0,IF(S116=2,0.05,IF(S116=3,0.07,IF(S116=4,0.1,0))))</f>
        <v>0</v>
      </c>
      <c r="BI116" s="478">
        <f>IF(AA116=0,0,IF(OR(AB115=1,AB116=1),AH116-AO116,IF(OR(AC115=1,AC116=1),AH116-AU116,IF(OR(AD115=1,AD116=1),AH116-AZ116,IF(OR(AE115=1,AE116=1),AH116-BD116,IF(OR(AF115=1,AF116=1),AH116-BG116,AH116))))))</f>
        <v>0</v>
      </c>
      <c r="BJ116" s="478">
        <f>IF(AB116=0,0,IF(OR(AC115=1,AC116=1),AI116-AP116,IF(OR(AD115=1,AD116=1),AI116-AV116,IF(OR(AE115=1,AE116=1),AI116-BA116,IF(OR(AF115=1,AF116=1),AI116-BE116,AI116)))))</f>
        <v>0</v>
      </c>
      <c r="BK116" s="478">
        <f>IF(AC116=0,0,IF(OR(AD115=1,AD116=1),AJ116-AQ116,IF(OR(AE115=1,AE116=1),AJ116-AW116,IF(OR(AF115=1,AF116=1),AJ116-BB116,AJ116))))</f>
        <v>0</v>
      </c>
      <c r="BL116" s="478">
        <f>IF(AD116=0,0,IF(OR(AE115=1,AE116=1),AK116-AR116,IF(OR(AF115=1,AF116=1),AK116-AX116,AK116)))</f>
        <v>0</v>
      </c>
      <c r="BM116" s="478">
        <f>IF(AE116=0,0,IF(OR(AF115=1,AF116=1),AL116-AS116,AL116))</f>
        <v>0</v>
      </c>
      <c r="BN116" s="478">
        <f>IF(AF116=0,0,AM116)</f>
        <v>0</v>
      </c>
      <c r="BP116" s="484">
        <f>LARGE((BI115,BJ115,BK115,BL115,BM115,BN115,BI116,BJ116,BK116,BL116,BM116,BN116,BI117,BJ117,BK117,BL117,BM117,BN117),1)</f>
        <v>0</v>
      </c>
      <c r="BQ116" s="485">
        <f>LARGE((BI115,BJ115,BK115,BL115,BM115,BN115,BI116,BJ116,BK116,BL116,BM116,BN116,BI117,BJ117,BK117,BL117,BM117,BN117),2)</f>
        <v>0</v>
      </c>
      <c r="BR116" s="485">
        <f>LARGE((BI115,BJ115,BK115,BL115,BM115,BN115,BI116,BJ116,BK116,BL116,BM116,BN116,BI117,BJ117,BK117,BL117,BM117,BN117),3)</f>
        <v>0</v>
      </c>
      <c r="BS116" s="485">
        <f>LARGE((BI115,BJ115,BK115,BL115,BM115,BN115,BI116,BJ116,BK116,BL116,BM116,BN116,BI117,BJ117,BK117,BL117,BM117,BN117),4)</f>
        <v>0</v>
      </c>
      <c r="BT116" s="485">
        <f>LARGE((BI115,BJ115,BK115,BL115,BM115,BN115,BI116,BJ116,BK116,BL116,BM116,BN116,BI117,BJ117,BK117,BL117,BM117,BN117),5)</f>
        <v>0</v>
      </c>
      <c r="BU116" s="485">
        <f>LARGE((BI115,BJ115,BK115,BL115,BM115,BN115,BI116,BJ116,BK116,BL116,BM116,BN116,BI117,BJ117,BK117,BL117,BM117,BN117),6)</f>
        <v>0</v>
      </c>
      <c r="BV116" s="485">
        <f>LARGE((BI115,BJ115,BK115,BL115,BM115,BN115,BI116,BJ116,BK116,BL116,BM116,BN116,BI117,BJ117,BK117,BL117,BM117,BN117),7)</f>
        <v>0</v>
      </c>
      <c r="BW116" s="485">
        <f>LARGE((BI115,BJ115,BK115,BL115,BM115,BN115,BI116,BJ116,BK116,BL116,BM116,BN116,BI117,BJ117,BK117,BL117,BM117,BN117),8)</f>
        <v>0</v>
      </c>
      <c r="BX116" s="485">
        <f>LARGE((BI115,BJ115,BK115,BL115,BM115,BN115,BI116,BJ116,BK116,BL116,BM116,BN116,BI117,BJ117,BK117,BL117,BM117,BN117),9)</f>
        <v>0</v>
      </c>
      <c r="BY116" s="485">
        <f>LARGE((BI115,BJ115,BK115,BL115,BM115,BN115,BI116,BJ116,BK116,BL116,BM116,BN116,BI117,BJ117,BK117,BL117,BM117,BN117),10)</f>
        <v>0</v>
      </c>
      <c r="BZ116" s="485">
        <f>LARGE((BI115,BJ115,BK115,BL115,BM115,BN115,BI116,BJ116,BK116,BL116,BM116,BN116,BI117,BJ117,BK117,BL117,BM117,BN117),11)</f>
        <v>0</v>
      </c>
      <c r="CA116" s="485">
        <f>LARGE((BI115,BJ115,BK115,BL115,BM115,BN115,BI116,BJ116,BK116,BL116,BM116,BN116,BI117,BJ117,BK117,BL117,BM117,BN117),12)</f>
        <v>0</v>
      </c>
    </row>
    <row r="117" spans="2:109" customFormat="1" ht="15" customHeight="1" x14ac:dyDescent="0.2">
      <c r="B117" s="482" t="s">
        <v>1580</v>
      </c>
      <c r="C117" s="925"/>
      <c r="D117" s="925"/>
      <c r="E117" s="925"/>
      <c r="F117" s="925"/>
      <c r="G117" s="925"/>
      <c r="H117" s="925"/>
      <c r="I117" s="925"/>
      <c r="J117" s="925"/>
      <c r="K117" s="925"/>
      <c r="L117" s="925"/>
      <c r="M117" s="925"/>
      <c r="N117" s="925"/>
      <c r="P117" s="495"/>
      <c r="S117" s="301">
        <f>IF(C117="",0,C117)</f>
        <v>0</v>
      </c>
      <c r="T117" s="301">
        <f>IF(E117&lt;&gt;"",E117,IF(S117&gt;0,S117,0))</f>
        <v>0</v>
      </c>
      <c r="U117" s="301">
        <f>IF(G117&lt;&gt;"",G117,IF(T117&gt;0,T117,0))</f>
        <v>0</v>
      </c>
      <c r="V117" s="301">
        <f>IF(I117&lt;&gt;"",I117,IF(U117&gt;0,U117,0))</f>
        <v>0</v>
      </c>
      <c r="W117" s="301">
        <f>IF(K117&lt;&gt;"",K117,IF(V117&gt;0,V117,0))</f>
        <v>0</v>
      </c>
      <c r="X117" s="301">
        <f>IF(M117&lt;&gt;"",M117,IF(W117&gt;0,W117,0))</f>
        <v>0</v>
      </c>
      <c r="AA117" s="483">
        <f>IF(C117&gt;1,1,0)</f>
        <v>0</v>
      </c>
      <c r="AB117" s="301">
        <f t="shared" si="13"/>
        <v>0</v>
      </c>
      <c r="AC117" s="301">
        <f t="shared" si="13"/>
        <v>0</v>
      </c>
      <c r="AD117" s="301">
        <f t="shared" si="13"/>
        <v>0</v>
      </c>
      <c r="AE117" s="301">
        <f t="shared" si="13"/>
        <v>0</v>
      </c>
      <c r="AF117" s="301">
        <f t="shared" si="13"/>
        <v>0</v>
      </c>
      <c r="AH117" s="478">
        <f>IF(S117=1,0,IF(S117=2,0.1,IF(S117=3,0.17,IF(S117=4,0.23,0))))</f>
        <v>0</v>
      </c>
      <c r="AI117" s="478">
        <f>IF(T117=1,0,IF(T117=2,0.09,IF(T117=3,0.15,IF(T117=4,0.2,0))))</f>
        <v>0</v>
      </c>
      <c r="AJ117" s="478">
        <f>IF(U117=1,0,IF(U117=2,0.08,IF(U117=3,0.13,IF(U117=4,0.17,0))))</f>
        <v>0</v>
      </c>
      <c r="AK117" s="478">
        <f>IF(V117=1,0,IF(V117=2,0.07,IF(V117=3,0.1,IF(V117=4,0.14,0))))</f>
        <v>0</v>
      </c>
      <c r="AL117" s="478">
        <f>IF(W117=1,0,IF(W117=2,0.05,IF(W117=3,0.08,IF(W117=4,0.1,0))))</f>
        <v>0</v>
      </c>
      <c r="AM117" s="478">
        <f>IF(X117=1,0,IF(X117=2,0.03,IF(X117=3,0.05,IF(X117=4,0.06,0))))</f>
        <v>0</v>
      </c>
      <c r="AN117" s="479"/>
      <c r="AO117" s="478">
        <f>IF(S117=1,0,IF(S117=2,0.09,IF(S117=3,0.15,IF(S117=4,0.2,0))))</f>
        <v>0</v>
      </c>
      <c r="AP117" s="478">
        <f>IF(T117=1,0,IF(T117=2,0.08,IF(T117=3,0.13,IF(T117=4,0.17,0))))</f>
        <v>0</v>
      </c>
      <c r="AQ117" s="478">
        <f>IF(U117=1,0,IF(U117=2,0.07,IF(U117=3,0.1,IF(U117=4,0.14,0))))</f>
        <v>0</v>
      </c>
      <c r="AR117" s="478">
        <f>IF(V117=1,0,IF(V117=2,0.05,IF(V117=3,0.08,IF(V117=4,0.1,0))))</f>
        <v>0</v>
      </c>
      <c r="AS117" s="478">
        <f>IF(W117=1,0,IF(W117=2,0.03,IF(W117=3,0.05,IF(W117=4,0.06,0))))</f>
        <v>0</v>
      </c>
      <c r="AU117" s="478">
        <f>IF(S117=1,0,IF(S117=2,0.08,IF(S117=3,0.13,IF(S117=4,0.17,0))))</f>
        <v>0</v>
      </c>
      <c r="AV117" s="478">
        <f>IF(T117=1,0,IF(T117=2,0.07,IF(T117=3,0.1,IF(T117=4,0.14,0))))</f>
        <v>0</v>
      </c>
      <c r="AW117" s="478">
        <f>IF(U117=1,0,IF(U117=2,0.05,IF(U117=3,0.08,IF(U117=4,0.1,0))))</f>
        <v>0</v>
      </c>
      <c r="AX117" s="478">
        <f>IF(V117=1,0,IF(V117=2,0.03,IF(V117=3,0.05,IF(V117=4,0.06,0))))</f>
        <v>0</v>
      </c>
      <c r="AZ117" s="478">
        <f>IF(S117=1,0,IF(S117=2,0.07,IF(S117=3,0.1,IF(S117=4,0.14,0))))</f>
        <v>0</v>
      </c>
      <c r="BA117" s="478">
        <f>IF(T117=1,0,IF(T117=2,0.05,IF(T117=3,0.08,IF(T117=4,0.1,0))))</f>
        <v>0</v>
      </c>
      <c r="BB117" s="478">
        <f>IF(U117=1,0,IF(U117=2,0.03,IF(U117=3,0.05,IF(U117=4,0.06,0))))</f>
        <v>0</v>
      </c>
      <c r="BD117" s="478">
        <f>IF(S117=1,0,IF(S117=2,0.05,IF(S117=3,0.08,IF(S117=4,0.1,0))))</f>
        <v>0</v>
      </c>
      <c r="BE117" s="478">
        <f>IF(T117=1,0,IF(T117=2,0.03,IF(T117=3,0.05,IF(T117=4,0.06,0))))</f>
        <v>0</v>
      </c>
      <c r="BG117" s="478">
        <f>IF(S117=1,0,IF(S117=2,0.03,IF(S117=3,0.05,IF(S117=4,0.06,0))))</f>
        <v>0</v>
      </c>
      <c r="BI117" s="478">
        <f>IF(AA117=0,0,IF(OR(AB115=1,AB117=1),AH117-AO117,IF(OR(AC115=1,AC117=1),AH117-AU117,IF(OR(AD115=1,AD117=1),AH117-AZ117,IF(OR(AE115=1,AE117=1),AH117-BD117,IF(OR(AF115=1,AF117=1),AH117-BG117,AH117))))))</f>
        <v>0</v>
      </c>
      <c r="BJ117" s="478">
        <f>IF(AB117=0,0,IF(OR(AC115=1,AC117=1),AI117-AP117,IF(OR(AD115=1,AD117=1),AI117-AV117,IF(OR(AE115=1,AE117=1),AI117-BA117,IF(OR(AF115=1,AF117=1),AI117-BE117,AI117)))))</f>
        <v>0</v>
      </c>
      <c r="BK117" s="478">
        <f>IF(AC117=0,0,IF(OR(AD115=1,AD117=1),AJ117-AQ117,IF(OR(AE115=1,AE117=1),AJ117-AW117,IF(OR(AF115=1,AF117=1),AJ117-BB117,AJ117))))</f>
        <v>0</v>
      </c>
      <c r="BL117" s="478">
        <f>IF(AD117=0,0,IF(OR(AE115=1,AE117=1),AK117-AR117,IF(OR(AF115=1,AF117=1),AK117-AX117,AK117)))</f>
        <v>0</v>
      </c>
      <c r="BM117" s="478">
        <f>IF(AE117=0,0,IF(OR(AF115=1,AF117=1),AL117-AS117,AL117))</f>
        <v>0</v>
      </c>
      <c r="BN117" s="478">
        <f>IF(AF117=0,0,AM117)</f>
        <v>0</v>
      </c>
      <c r="BP117" s="486">
        <f>ROUND(BP116+BQ116*(1-BP116),2)</f>
        <v>0</v>
      </c>
      <c r="BQ117" s="486">
        <f t="shared" ref="BQ117:BZ117" si="14">ROUND(BP117+BR116*(1-BP117),2)</f>
        <v>0</v>
      </c>
      <c r="BR117" s="486">
        <f t="shared" si="14"/>
        <v>0</v>
      </c>
      <c r="BS117" s="486">
        <f t="shared" si="14"/>
        <v>0</v>
      </c>
      <c r="BT117" s="486">
        <f t="shared" si="14"/>
        <v>0</v>
      </c>
      <c r="BU117" s="486">
        <f t="shared" si="14"/>
        <v>0</v>
      </c>
      <c r="BV117" s="486">
        <f t="shared" si="14"/>
        <v>0</v>
      </c>
      <c r="BW117" s="486">
        <f t="shared" si="14"/>
        <v>0</v>
      </c>
      <c r="BX117" s="486">
        <f t="shared" si="14"/>
        <v>0</v>
      </c>
      <c r="BY117" s="486">
        <f t="shared" si="14"/>
        <v>0</v>
      </c>
      <c r="BZ117" s="486">
        <f t="shared" si="14"/>
        <v>0</v>
      </c>
      <c r="CA117" s="483"/>
    </row>
    <row r="118" spans="2:109" customFormat="1" ht="15" customHeight="1" x14ac:dyDescent="0.2">
      <c r="B118" s="926" t="str">
        <f>IF(AD118=1,"ERROR: If radial or ulnar impairment is recorded, do not enter losses for 'both sides.'","")</f>
        <v/>
      </c>
      <c r="C118" s="927"/>
      <c r="D118" s="927"/>
      <c r="E118" s="927"/>
      <c r="F118" s="927"/>
      <c r="G118" s="927"/>
      <c r="H118" s="927"/>
      <c r="I118" s="927"/>
      <c r="J118" s="927"/>
      <c r="K118" s="927"/>
      <c r="L118" s="927"/>
      <c r="M118" s="927"/>
      <c r="N118" s="927"/>
      <c r="O118" s="928"/>
      <c r="P118" s="245">
        <f>IF(B118&lt;&gt;"","ERROR",BZ117)</f>
        <v>0</v>
      </c>
      <c r="S118" s="475"/>
      <c r="T118" s="475"/>
      <c r="U118" s="475"/>
      <c r="V118" s="475"/>
      <c r="W118" s="475"/>
      <c r="AA118" s="301">
        <f>SUM(AA115:AF115)</f>
        <v>0</v>
      </c>
      <c r="AB118" s="301">
        <f>SUM(AA116:AF116)</f>
        <v>0</v>
      </c>
      <c r="AC118" s="301">
        <f>SUM(AA117:AF117)</f>
        <v>0</v>
      </c>
      <c r="AD118" s="301">
        <f>IF(AND(AA118&gt;0,AB118&gt;0),1,IF(AND(AA118&gt;0,AC118&gt;0),1,0))</f>
        <v>0</v>
      </c>
      <c r="AE118" s="301"/>
      <c r="AF118" s="301"/>
    </row>
    <row r="119" spans="2:109" customFormat="1" ht="15" customHeight="1" x14ac:dyDescent="0.2">
      <c r="B119" s="350" t="s">
        <v>1208</v>
      </c>
      <c r="C119" s="474"/>
      <c r="D119" s="474"/>
      <c r="E119" s="474"/>
      <c r="F119" s="474"/>
      <c r="G119" s="474"/>
      <c r="H119" s="474"/>
      <c r="I119" s="474"/>
      <c r="J119" s="474"/>
      <c r="K119" s="474"/>
      <c r="L119" s="474"/>
      <c r="M119" s="474"/>
      <c r="N119" s="474"/>
      <c r="O119" s="491"/>
      <c r="P119" s="492"/>
      <c r="S119" s="475"/>
      <c r="T119" s="475"/>
      <c r="U119" s="475"/>
      <c r="V119" s="475"/>
      <c r="W119" s="475"/>
      <c r="AA119" s="475"/>
      <c r="AB119" s="475"/>
      <c r="AC119" s="475"/>
      <c r="AD119" s="475"/>
      <c r="AE119" s="475"/>
      <c r="AF119" s="475"/>
    </row>
    <row r="120" spans="2:109" customFormat="1" ht="15" customHeight="1" x14ac:dyDescent="0.2">
      <c r="B120" s="146" t="s">
        <v>1574</v>
      </c>
      <c r="C120" s="925"/>
      <c r="D120" s="925"/>
      <c r="E120" s="925"/>
      <c r="F120" s="925"/>
      <c r="G120" s="925"/>
      <c r="H120" s="925"/>
      <c r="I120" s="925"/>
      <c r="J120" s="925"/>
      <c r="K120" s="925"/>
      <c r="L120" s="925"/>
      <c r="M120" s="925"/>
      <c r="N120" s="925"/>
      <c r="P120" s="489"/>
      <c r="S120" s="301">
        <f>IF(C120="",0,C120)</f>
        <v>0</v>
      </c>
      <c r="T120" s="301">
        <f>IF(E120&lt;&gt;"",E120,IF(S120&gt;0,S120,0))</f>
        <v>0</v>
      </c>
      <c r="U120" s="301">
        <f>IF(G120&lt;&gt;"",G120,IF(T120&gt;0,T120,0))</f>
        <v>0</v>
      </c>
      <c r="V120" s="301">
        <f>IF(I120&lt;&gt;"",I120,IF(U120&gt;0,U120,0))</f>
        <v>0</v>
      </c>
      <c r="W120" s="301">
        <f>IF(K120&lt;&gt;"",K120,IF(V120&gt;0,V120,0))</f>
        <v>0</v>
      </c>
      <c r="X120" s="301">
        <f>IF(M120&lt;&gt;"",M120,IF(W120&gt;0,W120,0))</f>
        <v>0</v>
      </c>
      <c r="Z120" s="475"/>
      <c r="AA120" s="483">
        <f>IF(C120&gt;1,1,0)</f>
        <v>0</v>
      </c>
      <c r="AB120" s="301">
        <f t="shared" ref="AB120:AF122" si="15">IF(AND(S120&lt;&gt;T120,T120&gt;0),1,0)</f>
        <v>0</v>
      </c>
      <c r="AC120" s="301">
        <f t="shared" si="15"/>
        <v>0</v>
      </c>
      <c r="AD120" s="301">
        <f t="shared" si="15"/>
        <v>0</v>
      </c>
      <c r="AE120" s="301">
        <f t="shared" si="15"/>
        <v>0</v>
      </c>
      <c r="AF120" s="301">
        <f t="shared" si="15"/>
        <v>0</v>
      </c>
      <c r="AH120" s="478">
        <f>IF(S120=1,0,IF(S120=2,0.25,IF(S120=3,0.38,IF(S120=4,0.5,0))))</f>
        <v>0</v>
      </c>
      <c r="AI120" s="478">
        <f>IF(T120=1,0,IF(T120=2,0.23,IF(T120=3,0.35,IF(T120=4,0.45,0))))</f>
        <v>0</v>
      </c>
      <c r="AJ120" s="478">
        <f>IF(U120=1,0,IF(U120=2,0.2,IF(U120=3,0.3,IF(U120=4,0.39,0))))</f>
        <v>0</v>
      </c>
      <c r="AK120" s="478">
        <f>IF(V120=1,0,IF(V120=2,0.17,IF(V120=3,0.25,IF(V120=4,0.33,0))))</f>
        <v>0</v>
      </c>
      <c r="AL120" s="478">
        <f>IF(W120=1,0,IF(W120=2,0.13,IF(W120=3,0.19,IF(W120=4,0.24,0))))</f>
        <v>0</v>
      </c>
      <c r="AM120" s="478">
        <f>IF(X120=1,0,IF(X120=2,0.08,IF(X120=3,0.12,IF(X120=4,0.15,0))))</f>
        <v>0</v>
      </c>
      <c r="AN120" s="479"/>
      <c r="AO120" s="478">
        <f>IF(S120=1,0,IF(S120=2,0.23,IF(S120=3,0.35,IF(S120=4,0.45,0))))</f>
        <v>0</v>
      </c>
      <c r="AP120" s="478">
        <f>IF(T120=1,0,IF(T120=2,0.2,IF(T120=3,0.3,IF(T120=4,0.39,0))))</f>
        <v>0</v>
      </c>
      <c r="AQ120" s="478">
        <f>IF(U120=1,0,IF(U120=2,0.17,IF(U120=3,0.25,IF(U120=4,0.33,0))))</f>
        <v>0</v>
      </c>
      <c r="AR120" s="478">
        <f>IF(V120=1,0,IF(V120=2,0.13,IF(V120=3,0.19,IF(V120=4,0.24,0))))</f>
        <v>0</v>
      </c>
      <c r="AS120" s="478">
        <f>IF(W120=1,0,IF(W120=2,0.08,IF(W120=3,0.12,IF(W120=4,0.15,0))))</f>
        <v>0</v>
      </c>
      <c r="AU120" s="478">
        <f>IF(S120=1,0,IF(S120=2,0.2,IF(S120=3,0.3,IF(S120=4,0.39,0))))</f>
        <v>0</v>
      </c>
      <c r="AV120" s="478">
        <f>IF(T120=1,0,IF(T120=2,0.17,IF(T120=3,0.25,IF(T120=4,0.33,0))))</f>
        <v>0</v>
      </c>
      <c r="AW120" s="478">
        <f>IF(U120=1,0,IF(U120=2,0.13,IF(U120=3,0.19,IF(U120=4,0.24,0))))</f>
        <v>0</v>
      </c>
      <c r="AX120" s="478">
        <f>IF(V120=1,0,IF(V120=2,0.08,IF(V120=3,0.12,IF(V120=4,0.15,0))))</f>
        <v>0</v>
      </c>
      <c r="AZ120" s="478">
        <f>IF(S120=1,0,IF(S120=2,0.17,IF(S120=3,0.25,IF(S120=4,0.33,0))))</f>
        <v>0</v>
      </c>
      <c r="BA120" s="478">
        <f>IF(T120=1,0,IF(T120=2,0.13,IF(T120=3,0.19,IF(T120=4,0.24,0))))</f>
        <v>0</v>
      </c>
      <c r="BB120" s="478">
        <f>IF(U120=1,0,IF(U120=2,0.08,IF(U120=3,0.12,IF(U120=4,0.15,0))))</f>
        <v>0</v>
      </c>
      <c r="BD120" s="478">
        <f>IF(S120=1,0,IF(S120=2,0.13,IF(S120=3,0.19,IF(S120=4,0.24,0))))</f>
        <v>0</v>
      </c>
      <c r="BE120" s="478">
        <f>IF(T120=1,0,IF(T120=2,0.08,IF(T120=3,0.12,IF(T120=4,0.15,0))))</f>
        <v>0</v>
      </c>
      <c r="BG120" s="478">
        <f>IF(S120=1,0,IF(S120=2,0.08,IF(S120=3,0.12,IF(S120=4,0.15,0))))</f>
        <v>0</v>
      </c>
      <c r="BI120" s="478">
        <f>IF(AA120=0,0,IF(OR(AB120=1,AB121=1,AB122=1),AH120-AO120,IF(OR(AC120=1,AC121=1,AC122=1),AH120-AU120,IF(OR(AD120=1,AD121=1,AD122=1),AH120-AZ120,IF(OR(AE120=1,AE121=1,AE122=1),AH120-BD120,IF(OR(AF120=1,AF121=1,AF122=1),AH120-BG120,AH120))))))</f>
        <v>0</v>
      </c>
      <c r="BJ120" s="478">
        <f>IF(AB120=0,0,IF(OR(AC120=1,AC121=1,AC122=1),AI120-AP120,IF(OR(AD120=1,AD121=1,AD122=1),AI120-AV120,IF(OR(AE120=1,AE121=1,AE122=1),AI120-BA120,IF(OR(AF120=1,AF121=1,AF122=1),AI120-BE120,AI120)))))</f>
        <v>0</v>
      </c>
      <c r="BK120" s="478">
        <f>IF(AC120=0,0,IF(OR(AD120=1,AD121=1,AD122=1),AJ120-AQ120,IF(OR(AE120=1,AE121=1,AE122=1),AJ120-AW120,IF(OR(AF120=1,AF121=1,AF122=1),AJ120-BB120,AJ120))))</f>
        <v>0</v>
      </c>
      <c r="BL120" s="478">
        <f>IF(AD120=0,0,IF(OR(AE120=1,AE121=1,AE122=1),AK120-AR120,IF(OR(AF120=1,AF121=1,AF122=1),AK120-AX120,AK120)))</f>
        <v>0</v>
      </c>
      <c r="BM120" s="478">
        <f>IF(AE120=0,0,IF(OR(AF120=1,AF121=1,AF122=1),AL120-AS120,AL120))</f>
        <v>0</v>
      </c>
      <c r="BN120" s="478">
        <f>IF(AF120=0,0,AM120)</f>
        <v>0</v>
      </c>
      <c r="BP120" t="s">
        <v>253</v>
      </c>
    </row>
    <row r="121" spans="2:109" customFormat="1" ht="15" customHeight="1" x14ac:dyDescent="0.2">
      <c r="B121" s="301" t="s">
        <v>1577</v>
      </c>
      <c r="C121" s="925"/>
      <c r="D121" s="925"/>
      <c r="E121" s="925"/>
      <c r="F121" s="925"/>
      <c r="G121" s="925"/>
      <c r="H121" s="925"/>
      <c r="I121" s="925"/>
      <c r="J121" s="925"/>
      <c r="K121" s="925"/>
      <c r="L121" s="925"/>
      <c r="M121" s="925"/>
      <c r="N121" s="925"/>
      <c r="P121" s="495"/>
      <c r="S121" s="301">
        <f>IF(C121="",0,C121)</f>
        <v>0</v>
      </c>
      <c r="T121" s="301">
        <f>IF(E121&lt;&gt;"",E121,IF(S121&gt;0,S121,0))</f>
        <v>0</v>
      </c>
      <c r="U121" s="301">
        <f>IF(G121&lt;&gt;"",G121,IF(T121&gt;0,T121,0))</f>
        <v>0</v>
      </c>
      <c r="V121" s="301">
        <f>IF(I121&lt;&gt;"",I121,IF(U121&gt;0,U121,0))</f>
        <v>0</v>
      </c>
      <c r="W121" s="301">
        <f>IF(K121&lt;&gt;"",K121,IF(V121&gt;0,V121,0))</f>
        <v>0</v>
      </c>
      <c r="X121" s="301">
        <f>IF(M121&lt;&gt;"",M121,IF(W121&gt;0,W121,0))</f>
        <v>0</v>
      </c>
      <c r="Z121" s="475"/>
      <c r="AA121" s="483">
        <f>IF(C121&gt;1,1,0)</f>
        <v>0</v>
      </c>
      <c r="AB121" s="301">
        <f t="shared" si="15"/>
        <v>0</v>
      </c>
      <c r="AC121" s="301">
        <f t="shared" si="15"/>
        <v>0</v>
      </c>
      <c r="AD121" s="301">
        <f t="shared" si="15"/>
        <v>0</v>
      </c>
      <c r="AE121" s="301">
        <f t="shared" si="15"/>
        <v>0</v>
      </c>
      <c r="AF121" s="301">
        <f t="shared" si="15"/>
        <v>0</v>
      </c>
      <c r="AH121" s="478">
        <f>IF(S121=1,0,IF(S121=2,0.17,IF(S121=3,0.25,IF(S121=4,0.35,0))))</f>
        <v>0</v>
      </c>
      <c r="AI121" s="478">
        <f>IF(T121=1,0,IF(T121=2,0.15,IF(T121=3,0.23,IF(T121=4,0.31,0))))</f>
        <v>0</v>
      </c>
      <c r="AJ121" s="478">
        <f>IF(U121=1,0,IF(U121=2,0.13,IF(U121=3,0.2,IF(U121=4,0.27,0))))</f>
        <v>0</v>
      </c>
      <c r="AK121" s="478">
        <f>IF(V121=1,0,IF(V121=2,0.11,IF(V121=3,0.17,IF(V121=4,0.22,0))))</f>
        <v>0</v>
      </c>
      <c r="AL121" s="478">
        <f>IF(W121=1,0,IF(W121=2,0.08,IF(W121=3,0.12,IF(W121=4,0.16,0))))</f>
        <v>0</v>
      </c>
      <c r="AM121" s="478">
        <f>IF(X121=1,0,IF(X121=2,0.05,IF(X121=3,0.07,IF(X121=4,0.1,0))))</f>
        <v>0</v>
      </c>
      <c r="AN121" s="479"/>
      <c r="AO121" s="478">
        <f>IF(S121=1,0,IF(S121=2,0.15,IF(S121=3,0.23,IF(S121=4,0.31,0))))</f>
        <v>0</v>
      </c>
      <c r="AP121" s="478">
        <f>IF(T121=1,0,IF(T121=2,0.13,IF(T121=3,0.2,IF(T121=4,0.27,0))))</f>
        <v>0</v>
      </c>
      <c r="AQ121" s="478">
        <f>IF(U121=1,0,IF(U121=2,0.11,IF(U121=3,0.17,IF(U121=4,0.22,0))))</f>
        <v>0</v>
      </c>
      <c r="AR121" s="478">
        <f>IF(V121=1,0,IF(V121=2,0.08,IF(V121=3,0.12,IF(V121=4,0.16,0))))</f>
        <v>0</v>
      </c>
      <c r="AS121" s="478">
        <f>IF(W121=1,0,IF(W121=2,0.05,IF(W121=3,0.07,IF(W121=4,0.1,0))))</f>
        <v>0</v>
      </c>
      <c r="AU121" s="478">
        <f>IF(S121=1,0,IF(S121=2,0.13,IF(S121=3,0.2,IF(S121=4,0.27,0))))</f>
        <v>0</v>
      </c>
      <c r="AV121" s="478">
        <f>IF(T121=1,0,IF(T121=2,0.11,IF(T121=3,0.17,IF(T121=4,0.22,0))))</f>
        <v>0</v>
      </c>
      <c r="AW121" s="478">
        <f>IF(U121=1,0,IF(U121=2,0.08,IF(U121=3,0.12,IF(U121=4,0.16,0))))</f>
        <v>0</v>
      </c>
      <c r="AX121" s="478">
        <f>IF(V121=1,0,IF(V121=2,0.05,IF(V121=3,0.07,IF(V121=4,0.1,0))))</f>
        <v>0</v>
      </c>
      <c r="AZ121" s="478">
        <f>IF(S121=1,0,IF(S121=2,0.11,IF(S121=3,0.17,IF(S121=4,0.22,0))))</f>
        <v>0</v>
      </c>
      <c r="BA121" s="478">
        <f>IF(T121=1,0,IF(T121=2,0.08,IF(T121=3,0.12,IF(T121=4,0.16,0))))</f>
        <v>0</v>
      </c>
      <c r="BB121" s="478">
        <f>IF(U121=1,0,IF(U121=2,0.05,IF(U121=3,0.07,IF(U121=4,0.1,0))))</f>
        <v>0</v>
      </c>
      <c r="BD121" s="478">
        <f>IF(S121=1,0,IF(S121=2,0.08,IF(S121=3,0.12,IF(S121=4,0.16,0))))</f>
        <v>0</v>
      </c>
      <c r="BE121" s="478">
        <f>IF(T121=1,0,IF(T121=2,0.05,IF(T121=3,0.07,IF(T121=4,0.1,0))))</f>
        <v>0</v>
      </c>
      <c r="BG121" s="478">
        <f>IF(S121=1,0,IF(S121=2,0.05,IF(S121=3,0.07,IF(S121=4,0.1,0))))</f>
        <v>0</v>
      </c>
      <c r="BI121" s="478">
        <f>IF(AA121=0,0,IF(OR(AB120=1,AB121=1),AH121-AO121,IF(OR(AC120=1,AC121=1),AH121-AU121,IF(OR(AD120=1,AD121=1),AH121-AZ121,IF(OR(AE120=1,AE121=1),AH121-BD121,IF(OR(AF120=1,AF121=1),AH121-BG121,AH121))))))</f>
        <v>0</v>
      </c>
      <c r="BJ121" s="478">
        <f>IF(AB121=0,0,IF(OR(AC120=1,AC121=1),AI121-AP121,IF(OR(AD120=1,AD121=1),AI121-AV121,IF(OR(AE120=1,AE121=1),AI121-BA121,IF(OR(AF120=1,AF121=1),AI121-BE121,AI121)))))</f>
        <v>0</v>
      </c>
      <c r="BK121" s="478">
        <f>IF(AC121=0,0,IF(OR(AD120=1,AD121=1),AJ121-AQ121,IF(OR(AE120=1,AE121=1),AJ121-AW121,IF(OR(AF120=1,AF121=1),AJ121-BB121,AJ121))))</f>
        <v>0</v>
      </c>
      <c r="BL121" s="478">
        <f>IF(AD121=0,0,IF(OR(AE120=1,AE121=1),AK121-AR121,IF(OR(AF120=1,AF121=1),AK121-AX121,AK121)))</f>
        <v>0</v>
      </c>
      <c r="BM121" s="478">
        <f>IF(AE121=0,0,IF(OR(AF120=1,AF121=1),AL121-AS121,AL121))</f>
        <v>0</v>
      </c>
      <c r="BN121" s="478">
        <f>IF(AF121=0,0,AM121)</f>
        <v>0</v>
      </c>
      <c r="BP121" s="484">
        <f>LARGE((BI120,BJ120,BK120,BL120,BM120,BN120,BI121,BJ121,BK121,BL121,BM121,BN121,BI122,BJ122,BK122,BL122,BM122,BN122),1)</f>
        <v>0</v>
      </c>
      <c r="BQ121" s="485">
        <f>LARGE((BI120,BJ120,BK120,BL120,BM120,BN120,BI121,BJ121,BK121,BL121,BM121,BN121,BI122,BJ122,BK122,BL122,BM122,BN122),2)</f>
        <v>0</v>
      </c>
      <c r="BR121" s="485">
        <f>LARGE((BI120,BJ120,BK120,BL120,BM120,BN120,BI121,BJ121,BK121,BL121,BM121,BN121,BI122,BJ122,BK122,BL122,BM122,BN122),3)</f>
        <v>0</v>
      </c>
      <c r="BS121" s="485">
        <f>LARGE((BI120,BJ120,BK120,BL120,BM120,BN120,BI121,BJ121,BK121,BL121,BM121,BN121,BI122,BJ122,BK122,BL122,BM122,BN122),4)</f>
        <v>0</v>
      </c>
      <c r="BT121" s="485">
        <f>LARGE((BI120,BJ120,BK120,BL120,BM120,BN120,BI121,BJ121,BK121,BL121,BM121,BN121,BI122,BJ122,BK122,BL122,BM122,BN122),5)</f>
        <v>0</v>
      </c>
      <c r="BU121" s="485">
        <f>LARGE((BI120,BJ120,BK120,BL120,BM120,BN120,BI121,BJ121,BK121,BL121,BM121,BN121,BI122,BJ122,BK122,BL122,BM122,BN122),6)</f>
        <v>0</v>
      </c>
      <c r="BV121" s="485">
        <f>LARGE((BI120,BJ120,BK120,BL120,BM120,BN120,BI121,BJ121,BK121,BL121,BM121,BN121,BI122,BJ122,BK122,BL122,BM122,BN122),7)</f>
        <v>0</v>
      </c>
      <c r="BW121" s="485">
        <f>LARGE((BI120,BJ120,BK120,BL120,BM120,BN120,BI121,BJ121,BK121,BL121,BM121,BN121,BI122,BJ122,BK122,BL122,BM122,BN122),8)</f>
        <v>0</v>
      </c>
      <c r="BX121" s="485">
        <f>LARGE((BI120,BJ120,BK120,BL120,BM120,BN120,BI121,BJ121,BK121,BL121,BM121,BN121,BI122,BJ122,BK122,BL122,BM122,BN122),9)</f>
        <v>0</v>
      </c>
      <c r="BY121" s="485">
        <f>LARGE((BI120,BJ120,BK120,BL120,BM120,BN120,BI121,BJ121,BK121,BL121,BM121,BN121,BI122,BJ122,BK122,BL122,BM122,BN122),10)</f>
        <v>0</v>
      </c>
      <c r="BZ121" s="485">
        <f>LARGE((BI120,BJ120,BK120,BL120,BM120,BN120,BI121,BJ121,BK121,BL121,BM121,BN121,BI122,BJ122,BK122,BL122,BM122,BN122),11)</f>
        <v>0</v>
      </c>
      <c r="CA121" s="485">
        <f>LARGE((BI120,BJ120,BK120,BL120,BM120,BN120,BI121,BJ121,BK121,BL121,BM121,BN121,BI122,BJ122,BK122,BL122,BM122,BN122),12)</f>
        <v>0</v>
      </c>
    </row>
    <row r="122" spans="2:109" customFormat="1" ht="15" customHeight="1" x14ac:dyDescent="0.2">
      <c r="B122" s="482" t="s">
        <v>1580</v>
      </c>
      <c r="C122" s="925"/>
      <c r="D122" s="925"/>
      <c r="E122" s="925"/>
      <c r="F122" s="925"/>
      <c r="G122" s="925"/>
      <c r="H122" s="925"/>
      <c r="I122" s="925"/>
      <c r="J122" s="925"/>
      <c r="K122" s="925"/>
      <c r="L122" s="925"/>
      <c r="M122" s="925"/>
      <c r="N122" s="925"/>
      <c r="P122" s="495"/>
      <c r="S122" s="301">
        <f>IF(C122="",0,C122)</f>
        <v>0</v>
      </c>
      <c r="T122" s="301">
        <f>IF(E122&lt;&gt;"",E122,IF(S122&gt;0,S122,0))</f>
        <v>0</v>
      </c>
      <c r="U122" s="301">
        <f>IF(G122&lt;&gt;"",G122,IF(T122&gt;0,T122,0))</f>
        <v>0</v>
      </c>
      <c r="V122" s="301">
        <f>IF(I122&lt;&gt;"",I122,IF(U122&gt;0,U122,0))</f>
        <v>0</v>
      </c>
      <c r="W122" s="301">
        <f>IF(K122&lt;&gt;"",K122,IF(V122&gt;0,V122,0))</f>
        <v>0</v>
      </c>
      <c r="X122" s="301">
        <f>IF(M122&lt;&gt;"",M122,IF(W122&gt;0,W122,0))</f>
        <v>0</v>
      </c>
      <c r="AA122" s="483">
        <f>IF(C122&gt;1,1,0)</f>
        <v>0</v>
      </c>
      <c r="AB122" s="301">
        <f t="shared" si="15"/>
        <v>0</v>
      </c>
      <c r="AC122" s="301">
        <f t="shared" si="15"/>
        <v>0</v>
      </c>
      <c r="AD122" s="301">
        <f t="shared" si="15"/>
        <v>0</v>
      </c>
      <c r="AE122" s="301">
        <f t="shared" si="15"/>
        <v>0</v>
      </c>
      <c r="AF122" s="301">
        <f t="shared" si="15"/>
        <v>0</v>
      </c>
      <c r="AH122" s="478">
        <f>IF(S122=1,0,IF(S122=2,0.1,IF(S122=3,0.17,IF(S122=4,0.23,0))))</f>
        <v>0</v>
      </c>
      <c r="AI122" s="478">
        <f>IF(T122=1,0,IF(T122=2,0.09,IF(T122=3,0.15,IF(T122=4,0.2,0))))</f>
        <v>0</v>
      </c>
      <c r="AJ122" s="478">
        <f>IF(U122=1,0,IF(U122=2,0.08,IF(U122=3,0.13,IF(U122=4,0.17,0))))</f>
        <v>0</v>
      </c>
      <c r="AK122" s="478">
        <f>IF(V122=1,0,IF(V122=2,0.07,IF(V122=3,0.1,IF(V122=4,0.14,0))))</f>
        <v>0</v>
      </c>
      <c r="AL122" s="478">
        <f>IF(W122=1,0,IF(W122=2,0.05,IF(W122=3,0.08,IF(W122=4,0.1,0))))</f>
        <v>0</v>
      </c>
      <c r="AM122" s="478">
        <f>IF(X122=1,0,IF(X122=2,0.03,IF(X122=3,0.05,IF(X122=4,0.06,0))))</f>
        <v>0</v>
      </c>
      <c r="AN122" s="479"/>
      <c r="AO122" s="478">
        <f>IF(S122=1,0,IF(S122=2,0.09,IF(S122=3,0.15,IF(S122=4,0.2,0))))</f>
        <v>0</v>
      </c>
      <c r="AP122" s="478">
        <f>IF(T122=1,0,IF(T122=2,0.08,IF(T122=3,0.13,IF(T122=4,0.17,0))))</f>
        <v>0</v>
      </c>
      <c r="AQ122" s="478">
        <f>IF(U122=1,0,IF(U122=2,0.07,IF(U122=3,0.1,IF(U122=4,0.14,0))))</f>
        <v>0</v>
      </c>
      <c r="AR122" s="478">
        <f>IF(V122=1,0,IF(V122=2,0.05,IF(V122=3,0.08,IF(V122=4,0.1,0))))</f>
        <v>0</v>
      </c>
      <c r="AS122" s="478">
        <f>IF(W122=1,0,IF(W122=2,0.03,IF(W122=3,0.05,IF(W122=4,0.06,0))))</f>
        <v>0</v>
      </c>
      <c r="AU122" s="478">
        <f>IF(S122=1,0,IF(S122=2,0.08,IF(S122=3,0.13,IF(S122=4,0.17,0))))</f>
        <v>0</v>
      </c>
      <c r="AV122" s="478">
        <f>IF(T122=1,0,IF(T122=2,0.07,IF(T122=3,0.1,IF(T122=4,0.14,0))))</f>
        <v>0</v>
      </c>
      <c r="AW122" s="478">
        <f>IF(U122=1,0,IF(U122=2,0.05,IF(U122=3,0.08,IF(U122=4,0.1,0))))</f>
        <v>0</v>
      </c>
      <c r="AX122" s="478">
        <f>IF(V122=1,0,IF(V122=2,0.03,IF(V122=3,0.05,IF(V122=4,0.06,0))))</f>
        <v>0</v>
      </c>
      <c r="AZ122" s="478">
        <f>IF(S122=1,0,IF(S122=2,0.07,IF(S122=3,0.1,IF(S122=4,0.14,0))))</f>
        <v>0</v>
      </c>
      <c r="BA122" s="478">
        <f>IF(T122=1,0,IF(T122=2,0.05,IF(T122=3,0.08,IF(T122=4,0.1,0))))</f>
        <v>0</v>
      </c>
      <c r="BB122" s="478">
        <f>IF(U122=1,0,IF(U122=2,0.03,IF(U122=3,0.05,IF(U122=4,0.06,0))))</f>
        <v>0</v>
      </c>
      <c r="BD122" s="478">
        <f>IF(S122=1,0,IF(S122=2,0.05,IF(S122=3,0.08,IF(S122=4,0.1,0))))</f>
        <v>0</v>
      </c>
      <c r="BE122" s="478">
        <f>IF(T122=1,0,IF(T122=2,0.03,IF(T122=3,0.05,IF(T122=4,0.06,0))))</f>
        <v>0</v>
      </c>
      <c r="BG122" s="478">
        <f>IF(S122=1,0,IF(S122=2,0.03,IF(S122=3,0.05,IF(S122=4,0.06,0))))</f>
        <v>0</v>
      </c>
      <c r="BI122" s="478">
        <f>IF(AA122=0,0,IF(OR(AB120=1,AB122=1),AH122-AO122,IF(OR(AC120=1,AC122=1),AH122-AU122,IF(OR(AD120=1,AD122=1),AH122-AZ122,IF(OR(AE120=1,AE122=1),AH122-BD122,IF(OR(AF120=1,AF122=1),AH122-BG122,AH122))))))</f>
        <v>0</v>
      </c>
      <c r="BJ122" s="478">
        <f>IF(AB122=0,0,IF(OR(AC120=1,AC122=1),AI122-AP122,IF(OR(AD120=1,AD122=1),AI122-AV122,IF(OR(AE120=1,AE122=1),AI122-BA122,IF(OR(AF120=1,AF122=1),AI122-BE122,AI122)))))</f>
        <v>0</v>
      </c>
      <c r="BK122" s="478">
        <f>IF(AC122=0,0,IF(OR(AD120=1,AD122=1),AJ122-AQ122,IF(OR(AE120=1,AE122=1),AJ122-AW122,IF(OR(AF120=1,AF122=1),AJ122-BB122,AJ122))))</f>
        <v>0</v>
      </c>
      <c r="BL122" s="478">
        <f>IF(AD122=0,0,IF(OR(AE120=1,AE122=1),AK122-AR122,IF(OR(AF120=1,AF122=1),AK122-AX122,AK122)))</f>
        <v>0</v>
      </c>
      <c r="BM122" s="478">
        <f>IF(AE122=0,0,IF(OR(AF120=1,AF122=1),AL122-AS122,AL122))</f>
        <v>0</v>
      </c>
      <c r="BN122" s="478">
        <f>IF(AF122=0,0,AM122)</f>
        <v>0</v>
      </c>
      <c r="BP122" s="486">
        <f>ROUND(BP121+BQ121*(1-BP121),2)</f>
        <v>0</v>
      </c>
      <c r="BQ122" s="486">
        <f t="shared" ref="BQ122:BZ122" si="16">ROUND(BP122+BR121*(1-BP122),2)</f>
        <v>0</v>
      </c>
      <c r="BR122" s="486">
        <f t="shared" si="16"/>
        <v>0</v>
      </c>
      <c r="BS122" s="486">
        <f t="shared" si="16"/>
        <v>0</v>
      </c>
      <c r="BT122" s="486">
        <f t="shared" si="16"/>
        <v>0</v>
      </c>
      <c r="BU122" s="486">
        <f t="shared" si="16"/>
        <v>0</v>
      </c>
      <c r="BV122" s="486">
        <f t="shared" si="16"/>
        <v>0</v>
      </c>
      <c r="BW122" s="486">
        <f t="shared" si="16"/>
        <v>0</v>
      </c>
      <c r="BX122" s="486">
        <f t="shared" si="16"/>
        <v>0</v>
      </c>
      <c r="BY122" s="486">
        <f t="shared" si="16"/>
        <v>0</v>
      </c>
      <c r="BZ122" s="486">
        <f t="shared" si="16"/>
        <v>0</v>
      </c>
      <c r="CA122" s="483"/>
    </row>
    <row r="123" spans="2:109" customFormat="1" ht="15" customHeight="1" x14ac:dyDescent="0.2">
      <c r="B123" s="926" t="str">
        <f>IF(AD123=1,"ERROR: If radial or ulnar impairment is recorded, do not enter losses for 'both sides.'","")</f>
        <v/>
      </c>
      <c r="C123" s="927"/>
      <c r="D123" s="927"/>
      <c r="E123" s="927"/>
      <c r="F123" s="927"/>
      <c r="G123" s="927"/>
      <c r="H123" s="927"/>
      <c r="I123" s="927"/>
      <c r="J123" s="927"/>
      <c r="K123" s="927"/>
      <c r="L123" s="927"/>
      <c r="M123" s="927"/>
      <c r="N123" s="927"/>
      <c r="O123" s="928"/>
      <c r="P123" s="245">
        <f>IF(B123&lt;&gt;"","ERROR",BZ122)</f>
        <v>0</v>
      </c>
      <c r="S123" s="475"/>
      <c r="T123" s="475"/>
      <c r="U123" s="475"/>
      <c r="V123" s="475"/>
      <c r="W123" s="475"/>
      <c r="AA123" s="301">
        <f>SUM(AA120:AF120)</f>
        <v>0</v>
      </c>
      <c r="AB123" s="301">
        <f>SUM(AA121:AF121)</f>
        <v>0</v>
      </c>
      <c r="AC123" s="301">
        <f>SUM(AA122:AF122)</f>
        <v>0</v>
      </c>
      <c r="AD123" s="301">
        <f>IF(AND(AA123&gt;0,AB123&gt;0),1,IF(AND(AA123&gt;0,AC123&gt;0),1,0))</f>
        <v>0</v>
      </c>
      <c r="AE123" s="475"/>
      <c r="AF123" s="475"/>
    </row>
    <row r="124" spans="2:109" ht="12" customHeight="1" x14ac:dyDescent="0.2">
      <c r="B124" s="1"/>
      <c r="D124" s="1"/>
      <c r="E124" s="1"/>
      <c r="F124" s="1"/>
      <c r="G124" s="1"/>
      <c r="H124" s="1"/>
      <c r="I124" s="1"/>
      <c r="J124" s="1"/>
      <c r="K124" s="1"/>
      <c r="L124" s="1"/>
      <c r="M124" s="1"/>
      <c r="N124" s="1"/>
      <c r="O124" s="1"/>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row>
    <row r="125" spans="2:109" x14ac:dyDescent="0.2">
      <c r="B125" s="50" t="s">
        <v>1214</v>
      </c>
      <c r="C125" s="910" t="s">
        <v>1348</v>
      </c>
      <c r="D125" s="910"/>
      <c r="E125" s="910"/>
      <c r="F125" s="910"/>
      <c r="G125" s="910"/>
      <c r="H125" s="910" t="s">
        <v>1759</v>
      </c>
      <c r="I125" s="910"/>
      <c r="J125" s="910"/>
      <c r="K125" s="18"/>
      <c r="L125" s="910" t="s">
        <v>1215</v>
      </c>
      <c r="M125" s="910"/>
      <c r="N125" s="910"/>
      <c r="O125" s="910"/>
      <c r="P125" s="755">
        <f>V127</f>
        <v>0</v>
      </c>
      <c r="R125" s="10"/>
      <c r="S125" s="560" t="s">
        <v>1565</v>
      </c>
      <c r="T125" s="560" t="s">
        <v>1285</v>
      </c>
      <c r="U125" s="560" t="s">
        <v>1286</v>
      </c>
      <c r="V125" s="559" t="s">
        <v>1287</v>
      </c>
      <c r="W125" s="955" t="s">
        <v>2147</v>
      </c>
      <c r="X125" s="955"/>
      <c r="Y125" s="955"/>
      <c r="Z125" s="955"/>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row>
    <row r="126" spans="2:109" ht="15" customHeight="1" x14ac:dyDescent="0.2">
      <c r="B126" s="146" t="s">
        <v>1620</v>
      </c>
      <c r="C126" s="922"/>
      <c r="D126" s="922"/>
      <c r="E126" s="922"/>
      <c r="F126" s="922"/>
      <c r="G126" s="922"/>
      <c r="H126" s="914">
        <f>IF(C126=$X$127,0.09,IF(C126=$Y$127,0.18,IF(C126=$Z$127,0.27,0)))</f>
        <v>0</v>
      </c>
      <c r="I126" s="914"/>
      <c r="J126" s="914"/>
      <c r="K126" s="146"/>
      <c r="L126" s="922"/>
      <c r="M126" s="922"/>
      <c r="N126" s="922"/>
      <c r="O126" s="21">
        <f>IF(H126&gt;=S126,H126-S126,0)</f>
        <v>0</v>
      </c>
      <c r="P126" s="755"/>
      <c r="R126" s="10"/>
      <c r="S126" s="147">
        <f>IF(L126=$Y$128,0.09,IF(L126=$Z$128,0.18,IF(L126=$AA$128,0.27,0)))</f>
        <v>0</v>
      </c>
      <c r="T126" s="147">
        <f>LARGE(O126:O128,1)</f>
        <v>0</v>
      </c>
      <c r="U126" s="544">
        <f>T126+T127*(1-T126)</f>
        <v>0</v>
      </c>
      <c r="V126" s="544">
        <f>ROUND(U126,2)</f>
        <v>0</v>
      </c>
      <c r="W126" s="50"/>
      <c r="X126" s="50"/>
      <c r="Y126" s="50"/>
      <c r="Z126" s="50"/>
      <c r="AA126" s="5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row>
    <row r="127" spans="2:109" ht="15" customHeight="1" x14ac:dyDescent="0.2">
      <c r="B127" s="50" t="s">
        <v>558</v>
      </c>
      <c r="C127" s="922"/>
      <c r="D127" s="922"/>
      <c r="E127" s="922"/>
      <c r="F127" s="922"/>
      <c r="G127" s="922"/>
      <c r="H127" s="914">
        <f>IF(C127=$X$127,0.16,IF(C127=$Y$127,0.32,IF(C127=$Z$127,0.48,0)))</f>
        <v>0</v>
      </c>
      <c r="I127" s="914"/>
      <c r="J127" s="914"/>
      <c r="K127" s="146"/>
      <c r="L127" s="922"/>
      <c r="M127" s="922"/>
      <c r="N127" s="922"/>
      <c r="O127" s="21">
        <f>IF(H127&gt;=S127,H127-S127,0)</f>
        <v>0</v>
      </c>
      <c r="P127" s="755"/>
      <c r="R127" s="10"/>
      <c r="S127" s="147">
        <f>IF(L127=$Y$128,0.16,IF(L127=$Z$128,0.32,IF(L127=$AA$128,0.48,0)))</f>
        <v>0</v>
      </c>
      <c r="T127" s="147">
        <f>LARGE(O126:O128,2)</f>
        <v>0</v>
      </c>
      <c r="U127" s="544">
        <f>V126+T128*(1-V126)</f>
        <v>0</v>
      </c>
      <c r="V127" s="544">
        <f>ROUND(U127,2)</f>
        <v>0</v>
      </c>
      <c r="W127" s="50"/>
      <c r="X127" s="50" t="s">
        <v>1218</v>
      </c>
      <c r="Y127" s="50" t="s">
        <v>1219</v>
      </c>
      <c r="Z127" s="50" t="s">
        <v>1220</v>
      </c>
      <c r="AA127" s="5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row>
    <row r="128" spans="2:109" ht="15" customHeight="1" x14ac:dyDescent="0.2">
      <c r="B128" s="50" t="s">
        <v>559</v>
      </c>
      <c r="C128" s="922"/>
      <c r="D128" s="922"/>
      <c r="E128" s="922"/>
      <c r="F128" s="922"/>
      <c r="G128" s="922"/>
      <c r="H128" s="914">
        <f>IF(C128=$X$127,0.2,IF(C128=$Y$127,0.4,IF(C128=$Z$127,0.6,0)))</f>
        <v>0</v>
      </c>
      <c r="I128" s="914"/>
      <c r="J128" s="914"/>
      <c r="K128" s="146"/>
      <c r="L128" s="922"/>
      <c r="M128" s="922"/>
      <c r="N128" s="922"/>
      <c r="O128" s="21">
        <f>IF(H128&gt;=S128,H128-S128,0)</f>
        <v>0</v>
      </c>
      <c r="P128" s="755"/>
      <c r="R128" s="10"/>
      <c r="S128" s="147">
        <f>IF(L128=$Y$128,0.2,IF(L128=$Z$128,0.4,IF(L128=$AA$128,0.6,0)))</f>
        <v>0</v>
      </c>
      <c r="T128" s="147">
        <f>LARGE(O126:O128,3)</f>
        <v>0</v>
      </c>
      <c r="U128" s="50"/>
      <c r="V128" s="50"/>
      <c r="W128" s="50"/>
      <c r="X128" s="50" t="s">
        <v>510</v>
      </c>
      <c r="Y128" s="50" t="s">
        <v>899</v>
      </c>
      <c r="Z128" s="147" t="s">
        <v>1764</v>
      </c>
      <c r="AA128" s="50" t="s">
        <v>1639</v>
      </c>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row>
    <row r="129" spans="1:109" ht="12" customHeight="1" x14ac:dyDescent="0.2">
      <c r="B129" s="1003"/>
      <c r="C129" s="1003"/>
      <c r="D129" s="1003"/>
      <c r="E129" s="1003"/>
      <c r="F129" s="1003"/>
      <c r="G129" s="1003"/>
      <c r="H129" s="1003"/>
      <c r="I129" s="1003"/>
      <c r="J129" s="1003"/>
      <c r="K129" s="1003"/>
      <c r="L129" s="1003"/>
      <c r="M129" s="1003"/>
      <c r="N129" s="1003"/>
      <c r="O129" s="1003"/>
      <c r="P129" s="151"/>
      <c r="R129" s="10"/>
      <c r="S129" s="14"/>
      <c r="T129" s="14"/>
      <c r="U129" s="10"/>
      <c r="V129" s="10"/>
      <c r="W129" s="10"/>
      <c r="X129" s="10"/>
      <c r="Y129" s="10"/>
      <c r="Z129" s="14"/>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row>
    <row r="130" spans="1:109" ht="15" customHeight="1" x14ac:dyDescent="0.2">
      <c r="A130" s="15"/>
      <c r="B130" s="761" t="s">
        <v>952</v>
      </c>
      <c r="C130" s="937"/>
      <c r="D130" s="938"/>
      <c r="E130" s="742" t="s">
        <v>560</v>
      </c>
      <c r="F130" s="743"/>
      <c r="G130" s="743"/>
      <c r="H130" s="743"/>
      <c r="I130" s="743"/>
      <c r="J130" s="743"/>
      <c r="K130" s="743"/>
      <c r="L130" s="743"/>
      <c r="M130" s="743"/>
      <c r="N130" s="743"/>
      <c r="O130" s="744"/>
      <c r="P130" s="245">
        <f>IF(T130=1,0.15,0)</f>
        <v>0</v>
      </c>
      <c r="R130" s="947" t="s">
        <v>2147</v>
      </c>
      <c r="S130" s="561" t="b">
        <v>0</v>
      </c>
      <c r="T130" s="50">
        <f>IF(S130=TRUE,1,0)</f>
        <v>0</v>
      </c>
      <c r="U130" s="10"/>
      <c r="V130" s="10"/>
      <c r="W130" s="10"/>
      <c r="X130" s="10"/>
      <c r="Y130" s="10"/>
      <c r="Z130" s="10"/>
      <c r="AA130" s="10"/>
      <c r="AB130" s="10"/>
      <c r="AC130" s="10"/>
      <c r="AD130" s="10"/>
      <c r="AE130" s="10"/>
      <c r="AF130" s="10"/>
      <c r="AG130" s="10">
        <v>1E-4</v>
      </c>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row>
    <row r="131" spans="1:109" ht="15" customHeight="1" x14ac:dyDescent="0.2">
      <c r="B131" s="761"/>
      <c r="C131" s="937"/>
      <c r="D131" s="938"/>
      <c r="E131" s="742" t="s">
        <v>561</v>
      </c>
      <c r="F131" s="743"/>
      <c r="G131" s="743"/>
      <c r="H131" s="743"/>
      <c r="I131" s="743"/>
      <c r="J131" s="743"/>
      <c r="K131" s="743"/>
      <c r="L131" s="743"/>
      <c r="M131" s="743"/>
      <c r="N131" s="743"/>
      <c r="O131" s="744"/>
      <c r="P131" s="245">
        <f>IF(T131=1,0.25,0)</f>
        <v>0</v>
      </c>
      <c r="R131" s="947"/>
      <c r="S131" s="561" t="b">
        <v>0</v>
      </c>
      <c r="T131" s="50">
        <f>IF(S131=TRUE,1,0)</f>
        <v>0</v>
      </c>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row>
    <row r="132" spans="1:109" ht="15" customHeight="1" x14ac:dyDescent="0.2">
      <c r="B132" s="761"/>
      <c r="C132" s="937"/>
      <c r="D132" s="938"/>
      <c r="E132" s="742" t="s">
        <v>773</v>
      </c>
      <c r="F132" s="743"/>
      <c r="G132" s="743"/>
      <c r="H132" s="743"/>
      <c r="I132" s="743"/>
      <c r="J132" s="743"/>
      <c r="K132" s="743"/>
      <c r="L132" s="743"/>
      <c r="M132" s="743"/>
      <c r="N132" s="743"/>
      <c r="O132" s="744"/>
      <c r="P132" s="245">
        <f>IF(T132=1,0.23,0)</f>
        <v>0</v>
      </c>
      <c r="R132" s="947"/>
      <c r="S132" s="561" t="b">
        <v>0</v>
      </c>
      <c r="T132" s="50">
        <f>IF(S132=TRUE,1,0)</f>
        <v>0</v>
      </c>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row>
    <row r="133" spans="1:109" ht="12" customHeight="1" x14ac:dyDescent="0.2">
      <c r="B133" s="777"/>
      <c r="C133" s="777"/>
      <c r="D133" s="777"/>
      <c r="E133" s="777"/>
      <c r="F133" s="777"/>
      <c r="G133" s="777"/>
      <c r="H133" s="777"/>
      <c r="I133" s="777"/>
      <c r="J133" s="777"/>
      <c r="K133" s="777"/>
      <c r="L133" s="777"/>
      <c r="M133" s="777"/>
      <c r="N133" s="777"/>
      <c r="O133" s="777"/>
      <c r="P133" s="1"/>
      <c r="R133" s="10"/>
      <c r="S133" s="133"/>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row>
    <row r="134" spans="1:109" ht="15" customHeight="1" x14ac:dyDescent="0.2">
      <c r="B134" s="939" t="s">
        <v>370</v>
      </c>
      <c r="C134" s="939"/>
      <c r="D134" s="939"/>
      <c r="E134" s="939"/>
      <c r="F134" s="939"/>
      <c r="G134" s="939"/>
      <c r="H134" s="939"/>
      <c r="I134" s="939"/>
      <c r="J134" s="939"/>
      <c r="K134" s="939"/>
      <c r="L134" s="939"/>
      <c r="M134" s="939"/>
      <c r="N134" s="939"/>
      <c r="O134" s="312"/>
      <c r="P134" s="21">
        <f>SUMIF(T134:X134,O134,T135:X135)</f>
        <v>0</v>
      </c>
      <c r="R134" s="949" t="s">
        <v>2147</v>
      </c>
      <c r="S134" s="949"/>
      <c r="T134" s="50" t="s">
        <v>1928</v>
      </c>
      <c r="U134" s="50" t="s">
        <v>1929</v>
      </c>
      <c r="V134" s="147" t="s">
        <v>1931</v>
      </c>
      <c r="W134" s="50" t="s">
        <v>929</v>
      </c>
      <c r="X134" s="147" t="s">
        <v>545</v>
      </c>
      <c r="Y134" s="10"/>
      <c r="Z134" s="50" t="s">
        <v>1928</v>
      </c>
      <c r="AA134" s="50" t="s">
        <v>1929</v>
      </c>
      <c r="AB134" s="147" t="s">
        <v>1931</v>
      </c>
      <c r="AC134" s="50" t="s">
        <v>929</v>
      </c>
      <c r="AD134" s="147" t="s">
        <v>545</v>
      </c>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row>
    <row r="135" spans="1:109" ht="15" customHeight="1" x14ac:dyDescent="0.2">
      <c r="B135" s="939" t="s">
        <v>1469</v>
      </c>
      <c r="C135" s="939"/>
      <c r="D135" s="939"/>
      <c r="E135" s="939"/>
      <c r="F135" s="939"/>
      <c r="G135" s="939"/>
      <c r="H135" s="939"/>
      <c r="I135" s="939"/>
      <c r="J135" s="939"/>
      <c r="K135" s="939"/>
      <c r="L135" s="939"/>
      <c r="M135" s="939"/>
      <c r="N135" s="939"/>
      <c r="O135" s="312"/>
      <c r="P135" s="21">
        <f>SUMIF(Z134:AD134,O135,Z135:AD135)</f>
        <v>0</v>
      </c>
      <c r="R135" s="949"/>
      <c r="S135" s="949"/>
      <c r="T135" s="147">
        <v>0.03</v>
      </c>
      <c r="U135" s="147">
        <v>0.15</v>
      </c>
      <c r="V135" s="147">
        <v>0.38</v>
      </c>
      <c r="W135" s="147">
        <v>0.68</v>
      </c>
      <c r="X135" s="147">
        <v>0.9</v>
      </c>
      <c r="Y135" s="10"/>
      <c r="Z135" s="147">
        <v>0.03</v>
      </c>
      <c r="AA135" s="147">
        <v>0.15</v>
      </c>
      <c r="AB135" s="147">
        <v>0.35</v>
      </c>
      <c r="AC135" s="147">
        <v>0.63</v>
      </c>
      <c r="AD135" s="147">
        <v>0.88</v>
      </c>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row>
    <row r="136" spans="1:109" ht="12" customHeight="1" x14ac:dyDescent="0.2">
      <c r="B136" s="777"/>
      <c r="C136" s="777"/>
      <c r="D136" s="777"/>
      <c r="E136" s="777"/>
      <c r="F136" s="777"/>
      <c r="G136" s="777"/>
      <c r="H136" s="777"/>
      <c r="I136" s="777"/>
      <c r="J136" s="777"/>
      <c r="K136" s="777"/>
      <c r="L136" s="777"/>
      <c r="M136" s="777"/>
      <c r="N136" s="777"/>
      <c r="O136" s="777"/>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row>
    <row r="137" spans="1:109" ht="27" customHeight="1" x14ac:dyDescent="0.2">
      <c r="B137" s="864" t="s">
        <v>113</v>
      </c>
      <c r="C137" s="865"/>
      <c r="D137" s="865"/>
      <c r="E137" s="865"/>
      <c r="F137" s="866"/>
      <c r="G137" s="907" t="s">
        <v>1495</v>
      </c>
      <c r="H137" s="945"/>
      <c r="I137" s="945"/>
      <c r="J137" s="946"/>
      <c r="K137" s="967"/>
      <c r="L137" s="968"/>
      <c r="M137" s="968"/>
      <c r="N137" s="968"/>
      <c r="O137" s="969"/>
      <c r="P137" s="857">
        <f>U151</f>
        <v>0</v>
      </c>
      <c r="R137" s="146" t="s">
        <v>1826</v>
      </c>
      <c r="S137" s="50" t="s">
        <v>1285</v>
      </c>
      <c r="T137" s="50" t="s">
        <v>1286</v>
      </c>
      <c r="U137" s="50" t="s">
        <v>1287</v>
      </c>
      <c r="V137" s="944" t="s">
        <v>786</v>
      </c>
      <c r="W137" s="945"/>
      <c r="X137" s="946"/>
      <c r="Y137" s="50" t="s">
        <v>498</v>
      </c>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row>
    <row r="138" spans="1:109" ht="14.45" customHeight="1" x14ac:dyDescent="0.2">
      <c r="B138" s="941" t="s">
        <v>615</v>
      </c>
      <c r="C138" s="942"/>
      <c r="D138" s="943"/>
      <c r="E138" s="1069">
        <f>P81</f>
        <v>0</v>
      </c>
      <c r="F138" s="1070"/>
      <c r="G138" s="923"/>
      <c r="H138" s="923"/>
      <c r="I138" s="929">
        <f t="shared" ref="I138:I151" si="17">IF(AND(Y138&lt;0.01,Y138&gt;0),0.01,ROUND(Y138,2))</f>
        <v>0</v>
      </c>
      <c r="J138" s="929"/>
      <c r="K138" s="970"/>
      <c r="L138" s="971"/>
      <c r="M138" s="971"/>
      <c r="N138" s="971"/>
      <c r="O138" s="972"/>
      <c r="P138" s="961"/>
      <c r="R138" s="548">
        <f t="shared" ref="R138:R151" si="18">IF(I138&gt;0,I138,E138)</f>
        <v>0</v>
      </c>
      <c r="S138" s="147">
        <f>LARGE($R$138:$R$152,1)</f>
        <v>0</v>
      </c>
      <c r="T138" s="544">
        <f>S138+S139*(1-S138)</f>
        <v>0</v>
      </c>
      <c r="U138" s="548">
        <f t="shared" ref="U138:U151" si="19">ROUND(T138,2)</f>
        <v>0</v>
      </c>
      <c r="V138" s="50">
        <f>IF(E138&gt;0,1,0)</f>
        <v>0</v>
      </c>
      <c r="W138" s="50">
        <f>COUNTIF(V138:V152,1)</f>
        <v>0</v>
      </c>
      <c r="X138" s="50">
        <f>IF(AND(W138=0,W139&gt;0),1,IF(W138&gt;0,2,0))</f>
        <v>0</v>
      </c>
      <c r="Y138" s="291">
        <f t="shared" ref="Y138:Y150" si="20">E138*G138</f>
        <v>0</v>
      </c>
      <c r="AA138" s="10"/>
      <c r="AD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row>
    <row r="139" spans="1:109" ht="14.45" customHeight="1" x14ac:dyDescent="0.2">
      <c r="B139" s="742" t="s">
        <v>372</v>
      </c>
      <c r="C139" s="743"/>
      <c r="D139" s="744"/>
      <c r="E139" s="755">
        <f>P84</f>
        <v>0</v>
      </c>
      <c r="F139" s="727"/>
      <c r="G139" s="923"/>
      <c r="H139" s="923"/>
      <c r="I139" s="929">
        <f t="shared" ref="I139" si="21">IF(AND(Y139&lt;0.01,Y139&gt;0),0.01,ROUND(Y139,2))</f>
        <v>0</v>
      </c>
      <c r="J139" s="929"/>
      <c r="K139" s="970"/>
      <c r="L139" s="971"/>
      <c r="M139" s="971"/>
      <c r="N139" s="971"/>
      <c r="O139" s="972"/>
      <c r="P139" s="961"/>
      <c r="R139" s="548">
        <f t="shared" si="18"/>
        <v>0</v>
      </c>
      <c r="S139" s="147">
        <f>LARGE($R$138:$R$152,2)</f>
        <v>0</v>
      </c>
      <c r="T139" s="544">
        <f>U138+S140*(1-U138)</f>
        <v>0</v>
      </c>
      <c r="U139" s="548">
        <f t="shared" si="19"/>
        <v>0</v>
      </c>
      <c r="V139" s="50">
        <f>IF(E139&gt;0,2,0)</f>
        <v>0</v>
      </c>
      <c r="W139" s="50">
        <f>COUNTIF(V138:V152,2)</f>
        <v>0</v>
      </c>
      <c r="X139" s="10"/>
      <c r="Y139" s="291">
        <f t="shared" si="20"/>
        <v>0</v>
      </c>
      <c r="AD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row>
    <row r="140" spans="1:109" ht="14.45" customHeight="1" x14ac:dyDescent="0.2">
      <c r="B140" s="742" t="s">
        <v>1918</v>
      </c>
      <c r="C140" s="743"/>
      <c r="D140" s="744"/>
      <c r="E140" s="755">
        <f>IF(E615&gt;0,0,P88)</f>
        <v>0</v>
      </c>
      <c r="F140" s="727"/>
      <c r="G140" s="923"/>
      <c r="H140" s="923"/>
      <c r="I140" s="929">
        <f t="shared" si="17"/>
        <v>0</v>
      </c>
      <c r="J140" s="929"/>
      <c r="K140" s="970"/>
      <c r="L140" s="971"/>
      <c r="M140" s="971"/>
      <c r="N140" s="971"/>
      <c r="O140" s="972"/>
      <c r="P140" s="961"/>
      <c r="R140" s="548">
        <f t="shared" si="18"/>
        <v>0</v>
      </c>
      <c r="S140" s="147">
        <f>LARGE($R$138:$R$152,3)</f>
        <v>0</v>
      </c>
      <c r="T140" s="544">
        <f>U139+S141*(1-U139)</f>
        <v>0</v>
      </c>
      <c r="U140" s="548">
        <f t="shared" si="19"/>
        <v>0</v>
      </c>
      <c r="V140" s="50">
        <f t="shared" ref="V140:V152" si="22">IF(E140&gt;0,1,0)</f>
        <v>0</v>
      </c>
      <c r="W140" s="10"/>
      <c r="X140" s="10"/>
      <c r="Y140" s="291">
        <f t="shared" si="20"/>
        <v>0</v>
      </c>
      <c r="Z140" s="10"/>
      <c r="AD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row>
    <row r="141" spans="1:109" ht="14.45" customHeight="1" x14ac:dyDescent="0.2">
      <c r="B141" s="791" t="s">
        <v>1389</v>
      </c>
      <c r="C141" s="791"/>
      <c r="D141" s="791"/>
      <c r="E141" s="727">
        <f>P106</f>
        <v>0</v>
      </c>
      <c r="F141" s="728"/>
      <c r="G141" s="923"/>
      <c r="H141" s="923"/>
      <c r="I141" s="929">
        <f t="shared" si="17"/>
        <v>0</v>
      </c>
      <c r="J141" s="929"/>
      <c r="K141" s="970"/>
      <c r="L141" s="971"/>
      <c r="M141" s="971"/>
      <c r="N141" s="971"/>
      <c r="O141" s="972"/>
      <c r="P141" s="961"/>
      <c r="R141" s="548">
        <f t="shared" si="18"/>
        <v>0</v>
      </c>
      <c r="S141" s="147">
        <f>LARGE($R$138:$R$152,4)</f>
        <v>0</v>
      </c>
      <c r="T141" s="544">
        <f t="shared" ref="T141:T151" si="23">U140+S142*(1-U140)</f>
        <v>0</v>
      </c>
      <c r="U141" s="548">
        <f t="shared" si="19"/>
        <v>0</v>
      </c>
      <c r="V141" s="50">
        <f t="shared" si="22"/>
        <v>0</v>
      </c>
      <c r="W141" s="10"/>
      <c r="X141" s="10"/>
      <c r="Y141" s="291">
        <f t="shared" si="20"/>
        <v>0</v>
      </c>
      <c r="Z141" s="597"/>
      <c r="AD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row>
    <row r="142" spans="1:109" ht="14.45" customHeight="1" x14ac:dyDescent="0.2">
      <c r="B142" s="742" t="s">
        <v>1390</v>
      </c>
      <c r="C142" s="743"/>
      <c r="D142" s="744"/>
      <c r="E142" s="727">
        <f>P107</f>
        <v>0</v>
      </c>
      <c r="F142" s="728"/>
      <c r="G142" s="923"/>
      <c r="H142" s="923"/>
      <c r="I142" s="929">
        <f t="shared" si="17"/>
        <v>0</v>
      </c>
      <c r="J142" s="929"/>
      <c r="K142" s="970"/>
      <c r="L142" s="971"/>
      <c r="M142" s="971"/>
      <c r="N142" s="971"/>
      <c r="O142" s="972"/>
      <c r="P142" s="961"/>
      <c r="R142" s="548">
        <f t="shared" si="18"/>
        <v>0</v>
      </c>
      <c r="S142" s="147">
        <f>LARGE($R$138:$R$152,5)</f>
        <v>0</v>
      </c>
      <c r="T142" s="544">
        <f t="shared" si="23"/>
        <v>0</v>
      </c>
      <c r="U142" s="548">
        <f t="shared" si="19"/>
        <v>0</v>
      </c>
      <c r="V142" s="50">
        <f t="shared" si="22"/>
        <v>0</v>
      </c>
      <c r="W142" s="10"/>
      <c r="X142" s="10"/>
      <c r="Y142" s="291">
        <f t="shared" si="20"/>
        <v>0</v>
      </c>
      <c r="Z142" s="597"/>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row>
    <row r="143" spans="1:109" ht="14.45" customHeight="1" x14ac:dyDescent="0.2">
      <c r="B143" s="742" t="s">
        <v>1391</v>
      </c>
      <c r="C143" s="743"/>
      <c r="D143" s="744"/>
      <c r="E143" s="727">
        <f>P108</f>
        <v>0</v>
      </c>
      <c r="F143" s="728"/>
      <c r="G143" s="923"/>
      <c r="H143" s="923"/>
      <c r="I143" s="929">
        <f t="shared" si="17"/>
        <v>0</v>
      </c>
      <c r="J143" s="929"/>
      <c r="K143" s="970"/>
      <c r="L143" s="971"/>
      <c r="M143" s="971"/>
      <c r="N143" s="971"/>
      <c r="O143" s="972"/>
      <c r="P143" s="961"/>
      <c r="R143" s="548">
        <f t="shared" si="18"/>
        <v>0</v>
      </c>
      <c r="S143" s="147">
        <f>LARGE($R$138:$R$152,6)</f>
        <v>0</v>
      </c>
      <c r="T143" s="544">
        <f t="shared" si="23"/>
        <v>0</v>
      </c>
      <c r="U143" s="548">
        <f t="shared" si="19"/>
        <v>0</v>
      </c>
      <c r="V143" s="50">
        <f t="shared" si="22"/>
        <v>0</v>
      </c>
      <c r="W143" s="10"/>
      <c r="X143" s="10"/>
      <c r="Y143" s="291">
        <f t="shared" si="20"/>
        <v>0</v>
      </c>
      <c r="Z143" s="597"/>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row>
    <row r="144" spans="1:109" ht="14.45" customHeight="1" x14ac:dyDescent="0.2">
      <c r="B144" s="742" t="s">
        <v>1392</v>
      </c>
      <c r="C144" s="743"/>
      <c r="D144" s="744"/>
      <c r="E144" s="727">
        <f>P109</f>
        <v>0</v>
      </c>
      <c r="F144" s="728"/>
      <c r="G144" s="923"/>
      <c r="H144" s="923"/>
      <c r="I144" s="929">
        <f t="shared" si="17"/>
        <v>0</v>
      </c>
      <c r="J144" s="929"/>
      <c r="K144" s="970"/>
      <c r="L144" s="971"/>
      <c r="M144" s="971"/>
      <c r="N144" s="971"/>
      <c r="O144" s="972"/>
      <c r="P144" s="961"/>
      <c r="R144" s="548">
        <f t="shared" si="18"/>
        <v>0</v>
      </c>
      <c r="S144" s="147">
        <f>LARGE($R$138:$R$152,7)</f>
        <v>0</v>
      </c>
      <c r="T144" s="544">
        <f t="shared" si="23"/>
        <v>0</v>
      </c>
      <c r="U144" s="548">
        <f t="shared" si="19"/>
        <v>0</v>
      </c>
      <c r="V144" s="50">
        <f t="shared" si="22"/>
        <v>0</v>
      </c>
      <c r="W144" s="10"/>
      <c r="X144" s="10"/>
      <c r="Y144" s="291">
        <f t="shared" si="20"/>
        <v>0</v>
      </c>
      <c r="Z144" s="597"/>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row>
    <row r="145" spans="2:109" ht="14.45" customHeight="1" x14ac:dyDescent="0.2">
      <c r="B145" s="742" t="s">
        <v>1945</v>
      </c>
      <c r="C145" s="743"/>
      <c r="D145" s="744"/>
      <c r="E145" s="755">
        <f>P118</f>
        <v>0</v>
      </c>
      <c r="F145" s="727"/>
      <c r="G145" s="923"/>
      <c r="H145" s="923"/>
      <c r="I145" s="929">
        <f t="shared" si="17"/>
        <v>0</v>
      </c>
      <c r="J145" s="929"/>
      <c r="K145" s="970"/>
      <c r="L145" s="971"/>
      <c r="M145" s="971"/>
      <c r="N145" s="971"/>
      <c r="O145" s="972"/>
      <c r="P145" s="961"/>
      <c r="R145" s="548">
        <f t="shared" si="18"/>
        <v>0</v>
      </c>
      <c r="S145" s="147">
        <f>LARGE($R$138:$R$152,8)</f>
        <v>0</v>
      </c>
      <c r="T145" s="544">
        <f t="shared" si="23"/>
        <v>0</v>
      </c>
      <c r="U145" s="548">
        <f t="shared" si="19"/>
        <v>0</v>
      </c>
      <c r="V145" s="50">
        <f t="shared" si="22"/>
        <v>0</v>
      </c>
      <c r="W145" s="10"/>
      <c r="X145" s="10"/>
      <c r="Y145" s="291">
        <f t="shared" si="20"/>
        <v>0</v>
      </c>
      <c r="Z145" s="597"/>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row>
    <row r="146" spans="2:109" ht="14.45" customHeight="1" x14ac:dyDescent="0.2">
      <c r="B146" s="742" t="s">
        <v>1208</v>
      </c>
      <c r="C146" s="743"/>
      <c r="D146" s="744"/>
      <c r="E146" s="755">
        <f>P123</f>
        <v>0</v>
      </c>
      <c r="F146" s="727"/>
      <c r="G146" s="923"/>
      <c r="H146" s="923"/>
      <c r="I146" s="929">
        <f t="shared" si="17"/>
        <v>0</v>
      </c>
      <c r="J146" s="929"/>
      <c r="K146" s="623"/>
      <c r="L146" s="624"/>
      <c r="M146" s="624"/>
      <c r="N146" s="624"/>
      <c r="O146" s="625"/>
      <c r="P146" s="961"/>
      <c r="R146" s="548">
        <f t="shared" si="18"/>
        <v>0</v>
      </c>
      <c r="S146" s="147">
        <f>LARGE($R$138:$R$152,9)</f>
        <v>0</v>
      </c>
      <c r="T146" s="544">
        <f t="shared" si="23"/>
        <v>0</v>
      </c>
      <c r="U146" s="548">
        <f t="shared" si="19"/>
        <v>0</v>
      </c>
      <c r="V146" s="50">
        <f t="shared" si="22"/>
        <v>0</v>
      </c>
      <c r="W146" s="10"/>
      <c r="X146" s="10"/>
      <c r="Y146" s="291">
        <f t="shared" si="20"/>
        <v>0</v>
      </c>
      <c r="Z146" s="73"/>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row>
    <row r="147" spans="2:109" ht="14.45" customHeight="1" x14ac:dyDescent="0.2">
      <c r="B147" s="742" t="s">
        <v>1214</v>
      </c>
      <c r="C147" s="743"/>
      <c r="D147" s="744"/>
      <c r="E147" s="755">
        <f>P125</f>
        <v>0</v>
      </c>
      <c r="F147" s="727"/>
      <c r="G147" s="923"/>
      <c r="H147" s="923"/>
      <c r="I147" s="929">
        <f t="shared" si="17"/>
        <v>0</v>
      </c>
      <c r="J147" s="929"/>
      <c r="K147" s="623"/>
      <c r="L147" s="624"/>
      <c r="M147" s="624"/>
      <c r="N147" s="624"/>
      <c r="O147" s="625"/>
      <c r="P147" s="961"/>
      <c r="R147" s="548">
        <f t="shared" si="18"/>
        <v>0</v>
      </c>
      <c r="S147" s="147">
        <f>LARGE($R$138:$R$152,10)</f>
        <v>0</v>
      </c>
      <c r="T147" s="544">
        <f t="shared" si="23"/>
        <v>0</v>
      </c>
      <c r="U147" s="548">
        <f t="shared" si="19"/>
        <v>0</v>
      </c>
      <c r="V147" s="50">
        <f t="shared" si="22"/>
        <v>0</v>
      </c>
      <c r="W147" s="10"/>
      <c r="X147" s="10"/>
      <c r="Y147" s="291">
        <f t="shared" si="20"/>
        <v>0</v>
      </c>
      <c r="Z147" s="73"/>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row>
    <row r="148" spans="2:109" ht="14.45" customHeight="1" x14ac:dyDescent="0.2">
      <c r="B148" s="742" t="s">
        <v>373</v>
      </c>
      <c r="C148" s="743"/>
      <c r="D148" s="744"/>
      <c r="E148" s="755">
        <f>P130</f>
        <v>0</v>
      </c>
      <c r="F148" s="727"/>
      <c r="G148" s="923"/>
      <c r="H148" s="923"/>
      <c r="I148" s="929">
        <f t="shared" si="17"/>
        <v>0</v>
      </c>
      <c r="J148" s="929"/>
      <c r="K148" s="915" t="str">
        <f>IF(AND(P88&gt;0,E615&gt;0),"A value has been granted for motor loss. Additional impairment value is not allowed for reduced ROM in the same extremity.","")</f>
        <v/>
      </c>
      <c r="L148" s="916"/>
      <c r="M148" s="916"/>
      <c r="N148" s="916"/>
      <c r="O148" s="917"/>
      <c r="P148" s="961"/>
      <c r="R148" s="548">
        <f t="shared" si="18"/>
        <v>0</v>
      </c>
      <c r="S148" s="147">
        <f>LARGE($R$138:$R$152,11)</f>
        <v>0</v>
      </c>
      <c r="T148" s="544">
        <f t="shared" si="23"/>
        <v>0</v>
      </c>
      <c r="U148" s="548">
        <f t="shared" si="19"/>
        <v>0</v>
      </c>
      <c r="V148" s="50">
        <f t="shared" si="22"/>
        <v>0</v>
      </c>
      <c r="W148" s="10"/>
      <c r="X148" s="10"/>
      <c r="Y148" s="291">
        <f t="shared" si="20"/>
        <v>0</v>
      </c>
      <c r="Z148" s="73"/>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row>
    <row r="149" spans="2:109" ht="14.45" customHeight="1" x14ac:dyDescent="0.2">
      <c r="B149" s="742" t="s">
        <v>374</v>
      </c>
      <c r="C149" s="743"/>
      <c r="D149" s="744"/>
      <c r="E149" s="755">
        <f>P131</f>
        <v>0</v>
      </c>
      <c r="F149" s="727"/>
      <c r="G149" s="923"/>
      <c r="H149" s="923"/>
      <c r="I149" s="929">
        <f t="shared" si="17"/>
        <v>0</v>
      </c>
      <c r="J149" s="929"/>
      <c r="K149" s="915"/>
      <c r="L149" s="916"/>
      <c r="M149" s="916"/>
      <c r="N149" s="916"/>
      <c r="O149" s="917"/>
      <c r="P149" s="961"/>
      <c r="R149" s="548">
        <f t="shared" si="18"/>
        <v>0</v>
      </c>
      <c r="S149" s="147">
        <f>LARGE($R$138:$R$152,12)</f>
        <v>0</v>
      </c>
      <c r="T149" s="544">
        <f t="shared" si="23"/>
        <v>0</v>
      </c>
      <c r="U149" s="548">
        <f t="shared" si="19"/>
        <v>0</v>
      </c>
      <c r="V149" s="50">
        <f t="shared" si="22"/>
        <v>0</v>
      </c>
      <c r="W149" s="10"/>
      <c r="X149" s="10"/>
      <c r="Y149" s="291">
        <f t="shared" si="20"/>
        <v>0</v>
      </c>
      <c r="Z149" s="97"/>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row>
    <row r="150" spans="2:109" ht="14.45" customHeight="1" x14ac:dyDescent="0.2">
      <c r="B150" s="742" t="s">
        <v>792</v>
      </c>
      <c r="C150" s="743"/>
      <c r="D150" s="744"/>
      <c r="E150" s="755">
        <f>P132</f>
        <v>0</v>
      </c>
      <c r="F150" s="727"/>
      <c r="G150" s="923"/>
      <c r="H150" s="923"/>
      <c r="I150" s="929">
        <f t="shared" si="17"/>
        <v>0</v>
      </c>
      <c r="J150" s="929"/>
      <c r="K150" s="915"/>
      <c r="L150" s="916"/>
      <c r="M150" s="916"/>
      <c r="N150" s="916"/>
      <c r="O150" s="917"/>
      <c r="P150" s="961"/>
      <c r="R150" s="548">
        <f t="shared" si="18"/>
        <v>0</v>
      </c>
      <c r="S150" s="147">
        <f>LARGE($R$138:$R$152,13)</f>
        <v>0</v>
      </c>
      <c r="T150" s="544">
        <f t="shared" si="23"/>
        <v>0</v>
      </c>
      <c r="U150" s="548">
        <f t="shared" si="19"/>
        <v>0</v>
      </c>
      <c r="V150" s="50">
        <f t="shared" si="22"/>
        <v>0</v>
      </c>
      <c r="W150" s="10"/>
      <c r="X150" s="10"/>
      <c r="Y150" s="291">
        <f t="shared" si="20"/>
        <v>0</v>
      </c>
      <c r="Z150" s="97"/>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row>
    <row r="151" spans="2:109" ht="14.45" customHeight="1" x14ac:dyDescent="0.2">
      <c r="B151" s="742" t="s">
        <v>1419</v>
      </c>
      <c r="C151" s="743"/>
      <c r="D151" s="744"/>
      <c r="E151" s="755">
        <f>P134</f>
        <v>0</v>
      </c>
      <c r="F151" s="727"/>
      <c r="G151" s="923"/>
      <c r="H151" s="923"/>
      <c r="I151" s="929">
        <f t="shared" si="17"/>
        <v>0</v>
      </c>
      <c r="J151" s="929"/>
      <c r="K151" s="915"/>
      <c r="L151" s="916"/>
      <c r="M151" s="916"/>
      <c r="N151" s="916"/>
      <c r="O151" s="917"/>
      <c r="P151" s="961"/>
      <c r="R151" s="548">
        <f t="shared" si="18"/>
        <v>0</v>
      </c>
      <c r="S151" s="147">
        <f>LARGE($R$138:$R$152,14)</f>
        <v>0</v>
      </c>
      <c r="T151" s="544">
        <f t="shared" si="23"/>
        <v>0</v>
      </c>
      <c r="U151" s="548">
        <f t="shared" si="19"/>
        <v>0</v>
      </c>
      <c r="V151" s="50">
        <f t="shared" si="22"/>
        <v>0</v>
      </c>
      <c r="W151" s="10"/>
      <c r="X151" s="10"/>
      <c r="Y151" s="291">
        <f t="shared" ref="Y151:Y152" si="24">E151*G151</f>
        <v>0</v>
      </c>
      <c r="Z151" s="73"/>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row>
    <row r="152" spans="2:109" ht="14.45" customHeight="1" x14ac:dyDescent="0.2">
      <c r="B152" s="789" t="s">
        <v>1235</v>
      </c>
      <c r="C152" s="789"/>
      <c r="D152" s="789"/>
      <c r="E152" s="1022">
        <f>P135</f>
        <v>0</v>
      </c>
      <c r="F152" s="1022"/>
      <c r="G152" s="923"/>
      <c r="H152" s="923"/>
      <c r="I152" s="929">
        <f>IF(AND(Y152&lt;0.01,Y152&gt;0),0.01,ROUND(Y152,2))</f>
        <v>0</v>
      </c>
      <c r="J152" s="929"/>
      <c r="K152" s="918"/>
      <c r="L152" s="919"/>
      <c r="M152" s="919"/>
      <c r="N152" s="919"/>
      <c r="O152" s="920"/>
      <c r="P152" s="961"/>
      <c r="R152" s="548">
        <f>IF(I152&gt;0,I152,E152)</f>
        <v>0</v>
      </c>
      <c r="S152" s="147">
        <f>LARGE($R$138:$R$152,15)</f>
        <v>0</v>
      </c>
      <c r="T152" s="562"/>
      <c r="U152" s="548"/>
      <c r="V152" s="50">
        <f t="shared" si="22"/>
        <v>0</v>
      </c>
      <c r="W152" s="10"/>
      <c r="X152" s="10"/>
      <c r="Y152" s="291">
        <f t="shared" si="24"/>
        <v>0</v>
      </c>
      <c r="Z152" s="73"/>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row>
    <row r="153" spans="2:109" ht="14.45" customHeight="1" x14ac:dyDescent="0.2">
      <c r="B153" s="957" t="s">
        <v>2200</v>
      </c>
      <c r="C153" s="957"/>
      <c r="D153" s="957"/>
      <c r="E153" s="957"/>
      <c r="F153" s="957"/>
      <c r="G153" s="957"/>
      <c r="H153" s="957"/>
      <c r="I153" s="957"/>
      <c r="J153" s="957"/>
      <c r="K153" s="957"/>
      <c r="L153" s="957"/>
      <c r="M153" s="957"/>
      <c r="N153" s="957"/>
      <c r="O153" s="957"/>
      <c r="P153" s="962"/>
      <c r="S153" s="14"/>
      <c r="T153" s="142"/>
      <c r="U153" s="128"/>
      <c r="V153" s="10"/>
      <c r="W153" s="10"/>
      <c r="X153" s="10"/>
      <c r="Y153" s="73"/>
      <c r="Z153" s="73"/>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row>
    <row r="154" spans="2:109" ht="12" customHeight="1" x14ac:dyDescent="0.25">
      <c r="B154" s="777"/>
      <c r="C154" s="777"/>
      <c r="D154" s="777"/>
      <c r="E154" s="777"/>
      <c r="F154" s="777"/>
      <c r="G154" s="777"/>
      <c r="H154" s="777"/>
      <c r="I154" s="777"/>
      <c r="J154" s="777"/>
      <c r="K154" s="777"/>
      <c r="L154" s="777"/>
      <c r="M154" s="777"/>
      <c r="N154" s="777"/>
      <c r="O154" s="777"/>
      <c r="P154" s="777"/>
      <c r="R154" s="203"/>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row>
    <row r="155" spans="2:109" ht="12" customHeight="1" x14ac:dyDescent="0.2">
      <c r="B155" s="1"/>
      <c r="D155" s="1"/>
      <c r="E155" s="1"/>
      <c r="F155" s="1"/>
      <c r="G155" s="1"/>
      <c r="H155" s="1"/>
      <c r="I155" s="1"/>
      <c r="J155" s="1"/>
      <c r="K155" s="1"/>
      <c r="L155" s="1"/>
      <c r="M155" s="1"/>
      <c r="N155" s="1"/>
      <c r="O155" s="1"/>
      <c r="P155" s="1"/>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row>
    <row r="156" spans="2:109" ht="16.5" customHeight="1" x14ac:dyDescent="0.2">
      <c r="B156" s="892" t="s">
        <v>114</v>
      </c>
      <c r="C156" s="893"/>
      <c r="D156" s="893"/>
      <c r="E156" s="893"/>
      <c r="F156" s="893"/>
      <c r="G156" s="893"/>
      <c r="H156" s="893"/>
      <c r="I156" s="893"/>
      <c r="J156" s="893"/>
      <c r="K156" s="893"/>
      <c r="L156" s="893"/>
      <c r="M156" s="893"/>
      <c r="N156" s="893"/>
      <c r="O156" s="893"/>
      <c r="P156" s="894"/>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row>
    <row r="157" spans="2:109" ht="15" customHeight="1" x14ac:dyDescent="0.2">
      <c r="B157" s="791" t="s">
        <v>1777</v>
      </c>
      <c r="C157" s="791"/>
      <c r="D157" s="791"/>
      <c r="E157" s="791"/>
      <c r="F157" s="791"/>
      <c r="G157" s="791"/>
      <c r="H157" s="791"/>
      <c r="I157" s="791"/>
      <c r="J157" s="791"/>
      <c r="K157" s="791"/>
      <c r="L157" s="791"/>
      <c r="M157" s="791"/>
      <c r="N157" s="791"/>
      <c r="O157" s="791"/>
      <c r="P157" s="914">
        <f>SUMIF(S157:Y157,B158,S158:Y158)</f>
        <v>0</v>
      </c>
      <c r="R157" s="948" t="s">
        <v>1305</v>
      </c>
      <c r="S157" s="50" t="s">
        <v>511</v>
      </c>
      <c r="T157" s="552" t="s">
        <v>1306</v>
      </c>
      <c r="U157" s="50" t="s">
        <v>513</v>
      </c>
      <c r="V157" s="50" t="s">
        <v>1060</v>
      </c>
      <c r="W157" s="50" t="s">
        <v>1063</v>
      </c>
      <c r="X157" s="50" t="s">
        <v>702</v>
      </c>
      <c r="Y157" s="50" t="s">
        <v>577</v>
      </c>
      <c r="Z157" s="10"/>
      <c r="AA157" s="10"/>
      <c r="AB157" s="10"/>
      <c r="AC157" s="10"/>
      <c r="AD157" s="10"/>
      <c r="AE157" s="10"/>
      <c r="AF157" s="10"/>
      <c r="AG157" s="10"/>
      <c r="AH157" s="10"/>
      <c r="AI157" s="10"/>
      <c r="AJ157" s="10"/>
      <c r="AK157" s="14"/>
      <c r="AL157" s="14"/>
      <c r="AM157" s="14"/>
      <c r="AN157" s="14"/>
      <c r="AO157" s="14"/>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row>
    <row r="158" spans="2:109" ht="15" customHeight="1" x14ac:dyDescent="0.2">
      <c r="B158" s="1012"/>
      <c r="C158" s="1012"/>
      <c r="D158" s="1012"/>
      <c r="E158" s="1012"/>
      <c r="F158" s="1012"/>
      <c r="G158" s="1012"/>
      <c r="H158" s="1012"/>
      <c r="I158" s="1012"/>
      <c r="J158" s="1012"/>
      <c r="K158" s="1012"/>
      <c r="L158" s="1012"/>
      <c r="M158" s="1012"/>
      <c r="N158" s="1012"/>
      <c r="O158" s="1012"/>
      <c r="P158" s="914"/>
      <c r="R158" s="776"/>
      <c r="S158" s="548">
        <v>0</v>
      </c>
      <c r="T158" s="147">
        <v>0.1</v>
      </c>
      <c r="U158" s="147">
        <v>0.3</v>
      </c>
      <c r="V158" s="147">
        <v>0.5</v>
      </c>
      <c r="W158" s="147">
        <v>0.63</v>
      </c>
      <c r="X158" s="147">
        <v>0.75</v>
      </c>
      <c r="Y158" s="147">
        <v>1</v>
      </c>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row>
    <row r="159" spans="2:109" ht="15" customHeight="1" x14ac:dyDescent="0.2">
      <c r="B159" s="958" t="str">
        <f>IF(AND(P157&gt;0.1,B161=""),"Enter specific level of amputation or shortening below.","")</f>
        <v/>
      </c>
      <c r="C159" s="958"/>
      <c r="D159" s="958"/>
      <c r="E159" s="958"/>
      <c r="F159" s="958"/>
      <c r="G159" s="958"/>
      <c r="H159" s="958"/>
      <c r="I159" s="958"/>
      <c r="J159" s="958"/>
      <c r="K159" s="958"/>
      <c r="L159" s="958"/>
      <c r="M159" s="958"/>
      <c r="N159" s="958"/>
      <c r="O159" s="958"/>
      <c r="P159" s="958"/>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row>
    <row r="160" spans="2:109" ht="27" customHeight="1" x14ac:dyDescent="0.2">
      <c r="B160" s="761" t="s">
        <v>575</v>
      </c>
      <c r="C160" s="761"/>
      <c r="D160" s="761"/>
      <c r="E160" s="761"/>
      <c r="F160" s="761"/>
      <c r="G160" s="761"/>
      <c r="H160" s="761"/>
      <c r="I160" s="761"/>
      <c r="J160" s="761"/>
      <c r="K160" s="761"/>
      <c r="L160" s="761"/>
      <c r="M160" s="761"/>
      <c r="N160" s="761"/>
      <c r="O160" s="761"/>
      <c r="P160" s="914">
        <f>IF(P157=1,0,U12)</f>
        <v>0</v>
      </c>
      <c r="R160" s="514">
        <f>SUMIF(S160:AD160,B161,S161:AD161)</f>
        <v>0</v>
      </c>
      <c r="S160" s="50" t="s">
        <v>1166</v>
      </c>
      <c r="T160" s="50" t="s">
        <v>1167</v>
      </c>
      <c r="U160" s="50" t="s">
        <v>1168</v>
      </c>
      <c r="V160" s="50" t="s">
        <v>1169</v>
      </c>
      <c r="W160" s="50" t="s">
        <v>1883</v>
      </c>
      <c r="X160" s="50" t="s">
        <v>1884</v>
      </c>
      <c r="Y160" s="50" t="s">
        <v>659</v>
      </c>
      <c r="Z160" s="50" t="s">
        <v>660</v>
      </c>
      <c r="AA160" s="50" t="s">
        <v>661</v>
      </c>
      <c r="AB160" s="50" t="s">
        <v>662</v>
      </c>
      <c r="AC160" s="50" t="s">
        <v>663</v>
      </c>
      <c r="AD160" s="50" t="s">
        <v>664</v>
      </c>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row>
    <row r="161" spans="2:109" ht="15" customHeight="1" x14ac:dyDescent="0.2">
      <c r="B161" s="1012"/>
      <c r="C161" s="1012"/>
      <c r="D161" s="1012"/>
      <c r="E161" s="1012"/>
      <c r="F161" s="1012"/>
      <c r="G161" s="1012"/>
      <c r="H161" s="1012"/>
      <c r="I161" s="1012"/>
      <c r="J161" s="1012"/>
      <c r="K161" s="1012"/>
      <c r="L161" s="1012"/>
      <c r="M161" s="1012"/>
      <c r="N161" s="1012"/>
      <c r="O161" s="1012"/>
      <c r="P161" s="914"/>
      <c r="R161" s="761" t="s">
        <v>665</v>
      </c>
      <c r="S161" s="147">
        <v>0</v>
      </c>
      <c r="T161" s="147">
        <v>0.05</v>
      </c>
      <c r="U161" s="147">
        <v>0.05</v>
      </c>
      <c r="V161" s="147">
        <v>0.1</v>
      </c>
      <c r="W161" s="147">
        <v>0.15</v>
      </c>
      <c r="X161" s="147">
        <v>0.2</v>
      </c>
      <c r="Y161" s="147">
        <v>0.2</v>
      </c>
      <c r="Z161" s="147">
        <v>0.25</v>
      </c>
      <c r="AA161" s="147">
        <v>0.25</v>
      </c>
      <c r="AB161" s="147">
        <v>0.25</v>
      </c>
      <c r="AC161" s="147">
        <v>0.25</v>
      </c>
      <c r="AD161" s="147">
        <v>0.3</v>
      </c>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row>
    <row r="162" spans="2:109" ht="15" customHeight="1" x14ac:dyDescent="0.2">
      <c r="B162" s="1068" t="s">
        <v>666</v>
      </c>
      <c r="C162" s="1068"/>
      <c r="D162" s="1068"/>
      <c r="E162" s="1068"/>
      <c r="F162" s="1068"/>
      <c r="G162" s="1068"/>
      <c r="H162" s="1068"/>
      <c r="I162" s="1068"/>
      <c r="J162" s="1068"/>
      <c r="K162" s="1068"/>
      <c r="L162" s="1068"/>
      <c r="M162" s="1068"/>
      <c r="N162" s="1068"/>
      <c r="O162" s="1068"/>
      <c r="P162" s="914"/>
      <c r="R162" s="761"/>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row>
    <row r="163" spans="2:109" ht="7.5" customHeight="1" x14ac:dyDescent="0.2">
      <c r="B163" s="777"/>
      <c r="C163" s="777"/>
      <c r="D163" s="777"/>
      <c r="E163" s="777"/>
      <c r="F163" s="777"/>
      <c r="G163" s="777"/>
      <c r="H163" s="777"/>
      <c r="I163" s="777"/>
      <c r="J163" s="777"/>
      <c r="K163" s="777"/>
      <c r="L163" s="777"/>
      <c r="M163" s="777"/>
      <c r="N163" s="777"/>
      <c r="O163" s="777"/>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row>
    <row r="164" spans="2:109" ht="9.75" customHeight="1" x14ac:dyDescent="0.2">
      <c r="B164" s="777"/>
      <c r="C164" s="777"/>
      <c r="D164" s="777"/>
      <c r="E164" s="777"/>
      <c r="F164" s="777"/>
      <c r="G164" s="777"/>
      <c r="H164" s="777"/>
      <c r="I164" s="777"/>
      <c r="J164" s="777"/>
      <c r="K164" s="777"/>
      <c r="L164" s="777"/>
      <c r="M164" s="777"/>
      <c r="N164" s="777"/>
      <c r="O164" s="777"/>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row>
    <row r="165" spans="2:109" ht="15" customHeight="1" x14ac:dyDescent="0.2">
      <c r="B165" s="910" t="s">
        <v>1563</v>
      </c>
      <c r="C165" s="910"/>
      <c r="D165" s="910"/>
      <c r="E165" s="910"/>
      <c r="F165" s="910"/>
      <c r="G165" s="910"/>
      <c r="H165" s="910"/>
      <c r="I165" s="910"/>
      <c r="J165" s="910"/>
      <c r="K165" s="910"/>
      <c r="L165" s="910"/>
      <c r="M165" s="910"/>
      <c r="N165" s="910"/>
      <c r="O165" s="910"/>
      <c r="P165" s="755">
        <f>IF(R178=1,"ERROR",AD177)</f>
        <v>0</v>
      </c>
      <c r="R165" s="10"/>
      <c r="S165" s="10"/>
      <c r="T165" s="761" t="s">
        <v>1238</v>
      </c>
      <c r="U165" s="761" t="s">
        <v>1238</v>
      </c>
      <c r="V165" s="10"/>
      <c r="W165" s="10"/>
      <c r="X165" s="10"/>
      <c r="Y165" s="10"/>
      <c r="Z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row>
    <row r="166" spans="2:109" ht="27" customHeight="1" x14ac:dyDescent="0.2">
      <c r="B166" s="18" t="s">
        <v>1535</v>
      </c>
      <c r="C166" s="910" t="s">
        <v>1564</v>
      </c>
      <c r="D166" s="910"/>
      <c r="E166" s="910"/>
      <c r="F166" s="910"/>
      <c r="G166" s="912" t="s">
        <v>1064</v>
      </c>
      <c r="H166" s="912"/>
      <c r="I166" s="912"/>
      <c r="J166" s="912"/>
      <c r="K166" s="910"/>
      <c r="L166" s="910"/>
      <c r="M166" s="910"/>
      <c r="N166" s="910"/>
      <c r="O166" s="910"/>
      <c r="P166" s="755"/>
      <c r="R166" s="10"/>
      <c r="S166" s="10"/>
      <c r="T166" s="761"/>
      <c r="U166" s="761"/>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row>
    <row r="167" spans="2:109" ht="18" customHeight="1" x14ac:dyDescent="0.2">
      <c r="B167" s="18"/>
      <c r="C167" s="910" t="s">
        <v>355</v>
      </c>
      <c r="D167" s="910"/>
      <c r="E167" s="910" t="s">
        <v>1759</v>
      </c>
      <c r="F167" s="910"/>
      <c r="G167" s="910" t="s">
        <v>355</v>
      </c>
      <c r="H167" s="910"/>
      <c r="I167" s="910" t="s">
        <v>1759</v>
      </c>
      <c r="J167" s="910"/>
      <c r="K167" s="910"/>
      <c r="L167" s="910"/>
      <c r="M167" s="910"/>
      <c r="N167" s="910"/>
      <c r="O167" s="910"/>
      <c r="P167" s="755"/>
      <c r="R167" s="10"/>
      <c r="S167" s="50" t="s">
        <v>1622</v>
      </c>
      <c r="T167" s="256" t="s">
        <v>1564</v>
      </c>
      <c r="U167" s="256" t="s">
        <v>1565</v>
      </c>
      <c r="V167" s="910" t="s">
        <v>1066</v>
      </c>
      <c r="W167" s="910"/>
      <c r="X167" s="910"/>
      <c r="Y167" s="9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row>
    <row r="168" spans="2:109" ht="13.5" customHeight="1" x14ac:dyDescent="0.2">
      <c r="B168" s="146" t="s">
        <v>667</v>
      </c>
      <c r="C168" s="694"/>
      <c r="D168" s="694"/>
      <c r="E168" s="921">
        <f>UETable!AV25</f>
        <v>0</v>
      </c>
      <c r="F168" s="921"/>
      <c r="G168" s="694"/>
      <c r="H168" s="694"/>
      <c r="I168" s="936">
        <f>IF(C168="",0,IF(OR(C168&lt;=0,G168&lt;=0),E168,IF(G168&lt;C168,0,UETable!BA25)))</f>
        <v>0</v>
      </c>
      <c r="J168" s="936"/>
      <c r="K168" s="930" t="str">
        <f>IF(OR(C168="NA",G168="NA"),"",IF(AND(C168&lt;&gt;"",G168=""),"Enter contralateral or NA.",IF(AND(C168="",G168&lt;&gt;""),"Need data","")))</f>
        <v/>
      </c>
      <c r="L168" s="930"/>
      <c r="M168" s="930"/>
      <c r="N168" s="930"/>
      <c r="O168" s="930"/>
      <c r="P168" s="755"/>
      <c r="R168" s="10"/>
      <c r="S168" s="50">
        <v>70</v>
      </c>
      <c r="T168" s="50" t="str">
        <f>IF(OR(C168="",C168="NA"),"",IF(C168&gt;S168,S168,IF(C168&lt;0,0,C168)))</f>
        <v/>
      </c>
      <c r="U168" s="50" t="str">
        <f>IF(OR(G168="",G168="NA"),"",IF(G168&gt;S168,S168,IF(G168&lt;0,0,G168)))</f>
        <v/>
      </c>
      <c r="V168" s="553" t="str">
        <f>IF(Y168="","",ROUND(Y168,0))</f>
        <v/>
      </c>
      <c r="W168" s="791" t="s">
        <v>1184</v>
      </c>
      <c r="X168" s="791"/>
      <c r="Y168" s="554" t="str">
        <f>IF(T168="","",IF(OR(U168="",U168=0,U168&lt;T168),T168,(T168*70)/U168))</f>
        <v/>
      </c>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row>
    <row r="169" spans="2:109" ht="13.5" customHeight="1" x14ac:dyDescent="0.2">
      <c r="B169" s="146" t="s">
        <v>668</v>
      </c>
      <c r="C169" s="694"/>
      <c r="D169" s="694"/>
      <c r="E169" s="921">
        <f>UETable!AV26</f>
        <v>0</v>
      </c>
      <c r="F169" s="921"/>
      <c r="G169" s="694"/>
      <c r="H169" s="694"/>
      <c r="I169" s="936">
        <f>IF(C169="",0,IF(OR(C169&gt;=70,G169&gt;=70),E169,IF(G169&gt;C169,0,UETable!BA26)))</f>
        <v>0</v>
      </c>
      <c r="J169" s="936"/>
      <c r="K169" s="930" t="str">
        <f>IF(OR(C169="NA",G169="NA"),"",IF(AND(C169&lt;&gt;"",G169=""),"Enter contralateral or NA.",IF(AND(C169="",G169&lt;&gt;""),"Need data","")))</f>
        <v/>
      </c>
      <c r="L169" s="930"/>
      <c r="M169" s="930"/>
      <c r="N169" s="930"/>
      <c r="O169" s="930"/>
      <c r="P169" s="755"/>
      <c r="S169" s="50">
        <v>70</v>
      </c>
      <c r="T169" s="50" t="str">
        <f>IF(OR(C169="",C169="NA"),"",IF(C169&gt;S169,S169,IF(C169&lt;0,0,C169)))</f>
        <v/>
      </c>
      <c r="U169" s="50" t="str">
        <f>IF(OR(G169="",G169="NA"),"",IF(G169&gt;S169,S169,IF(G169&lt;0,0,G169)))</f>
        <v/>
      </c>
      <c r="V169" s="553" t="str">
        <f>IF(Y169="","",ROUND(Y169,0))</f>
        <v/>
      </c>
      <c r="W169" s="50">
        <f>IF(T169="",0,70-T169)</f>
        <v>0</v>
      </c>
      <c r="X169" s="50">
        <f>IF(U169="",0,70-U169)</f>
        <v>0</v>
      </c>
      <c r="Y169" s="554" t="str">
        <f>IF(T169="","",IF(OR(U169="",U169=0,U169&gt;T169),T169,70-(W169*70)/X169))</f>
        <v/>
      </c>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row>
    <row r="170" spans="2:109" ht="15" customHeight="1" x14ac:dyDescent="0.2">
      <c r="B170" s="146" t="s">
        <v>669</v>
      </c>
      <c r="C170" s="694"/>
      <c r="D170" s="694"/>
      <c r="E170" s="921">
        <f>IF(AND(C170&lt;&gt;"",C170&lt;&gt;"NA",C169&lt;&gt;"NA",C169&lt;&gt;""),"ERROR",IF(AND(C170&lt;&gt;"",C170&lt;&gt;"NA",C168&lt;&gt;"",C168&lt;&gt;"NA"),"ERROR",UETable!AV27))</f>
        <v>0</v>
      </c>
      <c r="F170" s="921"/>
      <c r="G170" s="930" t="str">
        <f>IF(AND(C170&lt;&gt;"",C170&lt;&gt;"NA",C169&lt;&gt;"NA",C169&lt;&gt;""),"ERROR: Cannot rate ROM and ankylosis.",IF(AND(C170&lt;&gt;"",C170&lt;&gt;"NA",C168&lt;&gt;"",C168&lt;&gt;"NA"),"ERROR: Cannot rate ROM and ankylosis.",""))</f>
        <v/>
      </c>
      <c r="H170" s="930"/>
      <c r="I170" s="930"/>
      <c r="J170" s="930"/>
      <c r="K170" s="930"/>
      <c r="L170" s="930"/>
      <c r="M170" s="930"/>
      <c r="N170" s="930"/>
      <c r="O170" s="930"/>
      <c r="P170" s="755"/>
      <c r="R170" s="10"/>
      <c r="S170" s="50">
        <v>70</v>
      </c>
      <c r="T170" s="50" t="str">
        <f>IF(OR(C170="",C170="NA"),"",IF(C170&gt;S170,S170,IF(C170&lt;0,0,C170)))</f>
        <v/>
      </c>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row>
    <row r="171" spans="2:109" x14ac:dyDescent="0.2">
      <c r="B171" s="979"/>
      <c r="C171" s="980"/>
      <c r="D171" s="980"/>
      <c r="E171" s="980"/>
      <c r="F171" s="980"/>
      <c r="G171" s="980"/>
      <c r="H171" s="980"/>
      <c r="I171" s="980"/>
      <c r="J171" s="981"/>
      <c r="K171" s="956" t="s">
        <v>1803</v>
      </c>
      <c r="L171" s="956"/>
      <c r="M171" s="956"/>
      <c r="N171" s="956"/>
      <c r="O171" s="65">
        <f>IF(E170="ERROR","ERROR",IF(R171&gt;1,1,R171))</f>
        <v>0</v>
      </c>
      <c r="P171" s="755"/>
      <c r="R171" s="193">
        <f>SUM(I168,I169,E170)</f>
        <v>0</v>
      </c>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row>
    <row r="172" spans="2:109" ht="13.5" customHeight="1" x14ac:dyDescent="0.2">
      <c r="B172" s="146" t="s">
        <v>670</v>
      </c>
      <c r="C172" s="694"/>
      <c r="D172" s="694"/>
      <c r="E172" s="921">
        <f>UETable!AV29</f>
        <v>0</v>
      </c>
      <c r="F172" s="921"/>
      <c r="G172" s="694"/>
      <c r="H172" s="694"/>
      <c r="I172" s="936">
        <f>IF(C172="",0,IF(OR(C172&lt;=0,G172&lt;=0),E172,IF(G172&lt;C172,0,UETable!BA29)))</f>
        <v>0</v>
      </c>
      <c r="J172" s="936"/>
      <c r="K172" s="930" t="str">
        <f>IF(OR(C172="NA",G172="NA"),"",IF(AND(C172&lt;&gt;"",G172=""),"Enter contralateral or NA.",IF(AND(C172="",G172&lt;&gt;""),"Need data","")))</f>
        <v/>
      </c>
      <c r="L172" s="930"/>
      <c r="M172" s="930"/>
      <c r="N172" s="930"/>
      <c r="O172" s="930"/>
      <c r="P172" s="755"/>
      <c r="R172" s="10"/>
      <c r="S172" s="50">
        <v>100</v>
      </c>
      <c r="T172" s="50" t="str">
        <f>IF(OR(C172="",C172="NA"),"",IF(C172&gt;S172,S172,IF(C172&lt;0,0,C172)))</f>
        <v/>
      </c>
      <c r="U172" s="50" t="str">
        <f>IF(OR(G172="",G172="NA"),"",IF(G172&gt;S172,S172,IF(G172&lt;0,0,G172)))</f>
        <v/>
      </c>
      <c r="V172" s="553" t="str">
        <f>IF(Y172="","",ROUND(Y172,0))</f>
        <v/>
      </c>
      <c r="W172" s="791" t="s">
        <v>1184</v>
      </c>
      <c r="X172" s="791"/>
      <c r="Y172" s="554" t="str">
        <f>IF(T172="","",IF(OR(U172="",U172=0,U172&lt;T172),T172,(T172*100)/U172))</f>
        <v/>
      </c>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row>
    <row r="173" spans="2:109" ht="13.5" customHeight="1" x14ac:dyDescent="0.2">
      <c r="B173" s="146" t="s">
        <v>671</v>
      </c>
      <c r="C173" s="694"/>
      <c r="D173" s="694"/>
      <c r="E173" s="921">
        <f>UETable!AV30</f>
        <v>0</v>
      </c>
      <c r="F173" s="921"/>
      <c r="G173" s="694"/>
      <c r="H173" s="694"/>
      <c r="I173" s="936">
        <f>IF(C173="",0,IF(OR(C173&gt;=100,G173&gt;=100),E173,IF(G173&gt;C173,0,UETable!BA30)))</f>
        <v>0</v>
      </c>
      <c r="J173" s="936"/>
      <c r="K173" s="930" t="str">
        <f>IF(OR(C173="NA",G173="NA"),"",IF(AND(C173&lt;&gt;"",G173=""),"Enter contralateral or NA.",IF(AND(C173="",G173&lt;&gt;""),"Need data","")))</f>
        <v/>
      </c>
      <c r="L173" s="930"/>
      <c r="M173" s="930"/>
      <c r="N173" s="930"/>
      <c r="O173" s="930"/>
      <c r="P173" s="755"/>
      <c r="S173" s="50">
        <v>100</v>
      </c>
      <c r="T173" s="50" t="str">
        <f>IF(OR(C173="",C173="NA"),"",IF(C173&gt;S173,S173,IF(C173&lt;0,0,C173)))</f>
        <v/>
      </c>
      <c r="U173" s="50" t="str">
        <f>IF(OR(G173="",G173="NA"),"",IF(G173&gt;S173,S173,IF(G173&lt;0,0,G173)))</f>
        <v/>
      </c>
      <c r="V173" s="553" t="str">
        <f>IF(Y173="","",ROUND(Y173,0))</f>
        <v/>
      </c>
      <c r="W173" s="50">
        <f>IF(T173="",0,100-T173)</f>
        <v>0</v>
      </c>
      <c r="X173" s="50">
        <f>IF(U173="",0,100-U173)</f>
        <v>0</v>
      </c>
      <c r="Y173" s="554" t="str">
        <f>IF(T173="","",IF(OR(U173="",U173=0,U173&gt;T173),T173,100-(W173*100)/X173))</f>
        <v/>
      </c>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row>
    <row r="174" spans="2:109" ht="15" customHeight="1" x14ac:dyDescent="0.2">
      <c r="B174" s="146" t="s">
        <v>672</v>
      </c>
      <c r="C174" s="694"/>
      <c r="D174" s="694"/>
      <c r="E174" s="921">
        <f>IF(AND(C174&lt;&gt;"",C174&lt;&gt;"NA",C173&lt;&gt;"NA",C173&lt;&gt;""),"ERROR",IF(AND(C174&lt;&gt;"",C174&lt;&gt;"NA",C172&lt;&gt;"",C172&lt;&gt;"NA"),"ERROR",UETable!AV31))</f>
        <v>0</v>
      </c>
      <c r="F174" s="921"/>
      <c r="G174" s="930" t="str">
        <f>IF(AND(C174&lt;&gt;"",C174&lt;&gt;"NA",C173&lt;&gt;"NA",C173&lt;&gt;""),"ERROR: Cannot rate ROM and ankylosis.",IF(AND(C174&lt;&gt;"",C174&lt;&gt;"NA",C172&lt;&gt;"",C172&lt;&gt;"NA"),"ERROR: Cannot rate ROM and ankylosis.",""))</f>
        <v/>
      </c>
      <c r="H174" s="930"/>
      <c r="I174" s="930"/>
      <c r="J174" s="930"/>
      <c r="K174" s="930"/>
      <c r="L174" s="930"/>
      <c r="M174" s="930"/>
      <c r="N174" s="930"/>
      <c r="O174" s="930"/>
      <c r="P174" s="755"/>
      <c r="R174" s="10"/>
      <c r="S174" s="50">
        <v>100</v>
      </c>
      <c r="T174" s="50" t="str">
        <f>IF(OR(C174="",C174="NA"),"",IF(C174&gt;S174,S174,IF(C174&lt;0,0,C174)))</f>
        <v/>
      </c>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row>
    <row r="175" spans="2:109" x14ac:dyDescent="0.2">
      <c r="B175" s="979"/>
      <c r="C175" s="980"/>
      <c r="D175" s="980"/>
      <c r="E175" s="980"/>
      <c r="F175" s="980"/>
      <c r="G175" s="980"/>
      <c r="H175" s="980"/>
      <c r="I175" s="980"/>
      <c r="J175" s="981"/>
      <c r="K175" s="956" t="s">
        <v>1803</v>
      </c>
      <c r="L175" s="956"/>
      <c r="M175" s="956"/>
      <c r="N175" s="956"/>
      <c r="O175" s="65">
        <f>IF(E174="ERROR","ERROR",IF(R175&gt;1,1,R175))</f>
        <v>0</v>
      </c>
      <c r="P175" s="755"/>
      <c r="R175" s="193">
        <f>SUM(I172,I173,E174)</f>
        <v>0</v>
      </c>
      <c r="S175" s="10"/>
      <c r="T175" s="10"/>
      <c r="U175" s="10"/>
      <c r="V175" s="10"/>
      <c r="W175" s="10"/>
      <c r="X175" s="10"/>
      <c r="Y175" s="10"/>
      <c r="Z175" s="10"/>
      <c r="AA175" s="146" t="s">
        <v>1287</v>
      </c>
      <c r="AB175" s="146" t="s">
        <v>1285</v>
      </c>
      <c r="AC175" s="50" t="s">
        <v>1286</v>
      </c>
      <c r="AD175" s="50" t="s">
        <v>1287</v>
      </c>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row>
    <row r="176" spans="2:109" ht="13.5" customHeight="1" x14ac:dyDescent="0.2">
      <c r="B176" s="146" t="s">
        <v>1546</v>
      </c>
      <c r="C176" s="694"/>
      <c r="D176" s="694"/>
      <c r="E176" s="921">
        <f>UETable!AV33</f>
        <v>0</v>
      </c>
      <c r="F176" s="921"/>
      <c r="G176" s="694"/>
      <c r="H176" s="694"/>
      <c r="I176" s="936">
        <f>IF(C176="",0,IF(OR(C176&lt;=0,G176&lt;=0),E176,IF(G176&lt;C176,0,UETable!BA33)))</f>
        <v>0</v>
      </c>
      <c r="J176" s="936"/>
      <c r="K176" s="930" t="str">
        <f>IF(OR(C176="NA",G176="NA"),"",IF(AND(C176&lt;&gt;"",G176=""),"Enter contralateral or NA.",IF(AND(C176="",G176&lt;&gt;""),"Need data","")))</f>
        <v/>
      </c>
      <c r="L176" s="930"/>
      <c r="M176" s="930"/>
      <c r="N176" s="930"/>
      <c r="O176" s="930"/>
      <c r="P176" s="755"/>
      <c r="R176" s="10"/>
      <c r="S176" s="50">
        <v>90</v>
      </c>
      <c r="T176" s="50" t="str">
        <f>IF(OR(C176="",C176="NA"),"",IF(C176&gt;S176,S176,IF(C176&lt;0,0,C176)))</f>
        <v/>
      </c>
      <c r="U176" s="50" t="str">
        <f>IF(OR(G176="",G176="NA"),"",IF(G176&gt;S176,S176,IF(G176&lt;0,0,G176)))</f>
        <v/>
      </c>
      <c r="V176" s="553" t="str">
        <f>IF(Y176="","",ROUND(Y176,0))</f>
        <v/>
      </c>
      <c r="W176" s="791" t="s">
        <v>1184</v>
      </c>
      <c r="X176" s="791"/>
      <c r="Y176" s="554" t="str">
        <f>IF(T176="","",IF(OR(U176="",U176=0,U176&lt;T176),T176,(T176*90)/U176))</f>
        <v/>
      </c>
      <c r="Z176" s="10"/>
      <c r="AA176" s="548">
        <f>IF(AND(O171&gt;0,O171&lt;0.01),0.01,ROUND(O171,2))</f>
        <v>0</v>
      </c>
      <c r="AB176" s="147">
        <f>LARGE(AA176:AA178,1)</f>
        <v>0</v>
      </c>
      <c r="AC176" s="548">
        <f>AB176+AB177*(1-AB176)</f>
        <v>0</v>
      </c>
      <c r="AD176" s="548">
        <f>ROUND(AC176,2)</f>
        <v>0</v>
      </c>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row>
    <row r="177" spans="1:109" ht="13.5" customHeight="1" x14ac:dyDescent="0.2">
      <c r="B177" s="146" t="s">
        <v>1547</v>
      </c>
      <c r="C177" s="694"/>
      <c r="D177" s="694"/>
      <c r="E177" s="921">
        <f>UETable!AV34</f>
        <v>0</v>
      </c>
      <c r="F177" s="921"/>
      <c r="G177" s="694"/>
      <c r="H177" s="694"/>
      <c r="I177" s="936">
        <f>IF(C177="",0,IF(OR(C177&gt;=90,G177&gt;=90),E177,IF(G177&gt;C177,0,UETable!BA34)))</f>
        <v>0</v>
      </c>
      <c r="J177" s="936"/>
      <c r="K177" s="930" t="str">
        <f>IF(OR(C177="NA",G177="NA"),"",IF(AND(C177&lt;&gt;"",G177=""),"Enter contralateral or NA.",IF(AND(C177="",G177&lt;&gt;""),"Need data","")))</f>
        <v/>
      </c>
      <c r="L177" s="930"/>
      <c r="M177" s="930"/>
      <c r="N177" s="930"/>
      <c r="O177" s="930"/>
      <c r="P177" s="755"/>
      <c r="R177" s="10"/>
      <c r="S177" s="50">
        <v>90</v>
      </c>
      <c r="T177" s="50" t="str">
        <f>IF(OR(C177="",C177="NA"),"",IF(C177&gt;S177,S177,IF(C177&lt;0,0,C177)))</f>
        <v/>
      </c>
      <c r="U177" s="50" t="str">
        <f>IF(OR(G177="",G177="NA"),"",IF(G177&gt;S177,S177,IF(G177&lt;0,0,G177)))</f>
        <v/>
      </c>
      <c r="V177" s="553" t="str">
        <f>IF(Y177="","",ROUND(Y177,0))</f>
        <v/>
      </c>
      <c r="W177" s="50">
        <f>IF(T177="",0,90-T177)</f>
        <v>0</v>
      </c>
      <c r="X177" s="50">
        <f>IF(U177="",0,90-U177)</f>
        <v>0</v>
      </c>
      <c r="Y177" s="554" t="str">
        <f>IF(T177="","",IF(OR(U177="",U177=0,U177&gt;T177),T177,90-(W177*90)/X177))</f>
        <v/>
      </c>
      <c r="Z177" s="10"/>
      <c r="AA177" s="548">
        <f>IF(AND(O175&gt;0,O175&lt;0.01),0.01,ROUND(O175,2))</f>
        <v>0</v>
      </c>
      <c r="AB177" s="147">
        <f>LARGE(AA176:AA178,2)</f>
        <v>0</v>
      </c>
      <c r="AC177" s="544">
        <f>AD176+AB178*(1-AD176)</f>
        <v>0</v>
      </c>
      <c r="AD177" s="548">
        <f>ROUND(AC177,2)</f>
        <v>0</v>
      </c>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row>
    <row r="178" spans="1:109" ht="15" customHeight="1" x14ac:dyDescent="0.2">
      <c r="B178" s="146" t="s">
        <v>629</v>
      </c>
      <c r="C178" s="694"/>
      <c r="D178" s="694"/>
      <c r="E178" s="921">
        <f>IF(AND(C178&lt;&gt;"",C178&lt;&gt;"NA",C177&lt;&gt;"NA",C177&lt;&gt;""),"ERROR",IF(AND(C178&lt;&gt;"",C178&lt;&gt;"NA",C176&lt;&gt;"",C176&lt;&gt;"NA"),"ERROR",UETable!AV35))</f>
        <v>0</v>
      </c>
      <c r="F178" s="921"/>
      <c r="G178" s="930" t="str">
        <f>IF(AND(C178&lt;&gt;"",C178&lt;&gt;"NA",C177&lt;&gt;"NA",C177&lt;&gt;""),"ERROR: Cannot rate ROM and ankylosis.",IF(AND(C178&lt;&gt;"",C178&lt;&gt;"NA",C176&lt;&gt;"",C176&lt;&gt;"NA"),"ERROR: Cannot rate ROM and ankylosis.",""))</f>
        <v/>
      </c>
      <c r="H178" s="930"/>
      <c r="I178" s="930"/>
      <c r="J178" s="930"/>
      <c r="K178" s="930"/>
      <c r="L178" s="930"/>
      <c r="M178" s="930"/>
      <c r="N178" s="930"/>
      <c r="O178" s="930"/>
      <c r="P178" s="755"/>
      <c r="R178" s="50">
        <f>IF(OR(O171="ERROR",O175="ERROR",O179="ERROR"),1,0)</f>
        <v>0</v>
      </c>
      <c r="S178" s="50">
        <v>90</v>
      </c>
      <c r="T178" s="50" t="str">
        <f>IF(OR(C178="",C178="NA"),"",IF(C178&gt;S178,S178,IF(C178&lt;0,0,C178)))</f>
        <v/>
      </c>
      <c r="U178" s="10"/>
      <c r="V178" s="10"/>
      <c r="W178" s="10"/>
      <c r="X178" s="10"/>
      <c r="Y178" s="10"/>
      <c r="Z178" s="10"/>
      <c r="AA178" s="548">
        <f>IF(AND(O179&gt;0,O179&lt;0.01),0.01,ROUND(O179,2))</f>
        <v>0</v>
      </c>
      <c r="AB178" s="147">
        <f>LARGE(AA176:AA178,3)</f>
        <v>0</v>
      </c>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row>
    <row r="179" spans="1:109" ht="12.75" customHeight="1" x14ac:dyDescent="0.2">
      <c r="B179" s="964"/>
      <c r="C179" s="965"/>
      <c r="D179" s="965"/>
      <c r="E179" s="965"/>
      <c r="F179" s="965"/>
      <c r="G179" s="965"/>
      <c r="H179" s="965"/>
      <c r="I179" s="966"/>
      <c r="J179" s="956" t="s">
        <v>1803</v>
      </c>
      <c r="K179" s="956"/>
      <c r="L179" s="956"/>
      <c r="M179" s="956"/>
      <c r="N179" s="956"/>
      <c r="O179" s="65">
        <f>IF(E178="ERROR","ERROR",IF(R179&gt;1,1,R179))</f>
        <v>0</v>
      </c>
      <c r="P179" s="755"/>
      <c r="R179" s="193">
        <f>SUM(I176,I177,E178)</f>
        <v>0</v>
      </c>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row>
    <row r="180" spans="1:109" ht="18" customHeight="1" x14ac:dyDescent="0.2">
      <c r="B180" s="918"/>
      <c r="C180" s="919"/>
      <c r="D180" s="919"/>
      <c r="E180" s="919"/>
      <c r="F180" s="919"/>
      <c r="G180" s="919"/>
      <c r="H180" s="919"/>
      <c r="I180" s="920"/>
      <c r="J180" s="956" t="s">
        <v>576</v>
      </c>
      <c r="K180" s="956"/>
      <c r="L180" s="956"/>
      <c r="M180" s="956"/>
      <c r="N180" s="956"/>
      <c r="O180" s="956"/>
      <c r="P180" s="755"/>
      <c r="R180" s="10"/>
      <c r="S180" s="10"/>
      <c r="T180" s="10"/>
      <c r="U180" s="10"/>
      <c r="V180" s="10"/>
      <c r="W180" s="10"/>
      <c r="X180" s="10"/>
      <c r="Y180" s="10"/>
      <c r="Z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row>
    <row r="181" spans="1:109" ht="12" customHeight="1" x14ac:dyDescent="0.2">
      <c r="B181" s="777"/>
      <c r="C181" s="777"/>
      <c r="D181" s="777"/>
      <c r="E181" s="777"/>
      <c r="F181" s="777"/>
      <c r="G181" s="777"/>
      <c r="H181" s="777"/>
      <c r="I181" s="777"/>
      <c r="J181" s="777"/>
      <c r="K181" s="777"/>
      <c r="L181" s="777"/>
      <c r="M181" s="777"/>
      <c r="N181" s="777"/>
      <c r="O181" s="777"/>
      <c r="R181" s="10"/>
      <c r="S181" s="863" t="s">
        <v>2147</v>
      </c>
      <c r="T181" s="863"/>
      <c r="U181" s="10"/>
      <c r="V181" s="10"/>
      <c r="W181" s="10"/>
      <c r="X181" s="10"/>
      <c r="Y181" s="10"/>
      <c r="Z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row>
    <row r="182" spans="1:109" ht="14.25" customHeight="1" x14ac:dyDescent="0.2">
      <c r="A182" s="15"/>
      <c r="B182" s="982" t="s">
        <v>953</v>
      </c>
      <c r="C182" s="983"/>
      <c r="D182" s="940"/>
      <c r="E182" s="940"/>
      <c r="F182" s="924" t="s">
        <v>1210</v>
      </c>
      <c r="G182" s="924"/>
      <c r="H182" s="924"/>
      <c r="I182" s="924"/>
      <c r="J182" s="924"/>
      <c r="K182" s="924"/>
      <c r="L182" s="924"/>
      <c r="M182" s="924"/>
      <c r="N182" s="924"/>
      <c r="O182" s="924"/>
      <c r="P182" s="82">
        <f>IF(T182=1,0.1,0)</f>
        <v>0</v>
      </c>
      <c r="R182" s="10"/>
      <c r="S182" s="546" t="b">
        <v>0</v>
      </c>
      <c r="T182" s="50">
        <f>IF(S182=TRUE,1,0)</f>
        <v>0</v>
      </c>
      <c r="W182" s="10"/>
      <c r="X182" s="10"/>
      <c r="Y182" s="10"/>
      <c r="Z182" s="10"/>
      <c r="AA182" s="10"/>
      <c r="AB182" s="10"/>
      <c r="AC182" s="10"/>
      <c r="AD182" s="10"/>
      <c r="AE182" s="10"/>
      <c r="AF182" s="10"/>
      <c r="AG182" s="10">
        <v>1E-4</v>
      </c>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row>
    <row r="183" spans="1:109" x14ac:dyDescent="0.2">
      <c r="B183" s="984"/>
      <c r="C183" s="985"/>
      <c r="D183" s="940"/>
      <c r="E183" s="940"/>
      <c r="F183" s="924" t="s">
        <v>1212</v>
      </c>
      <c r="G183" s="924"/>
      <c r="H183" s="924"/>
      <c r="I183" s="924"/>
      <c r="J183" s="924"/>
      <c r="K183" s="924"/>
      <c r="L183" s="924"/>
      <c r="M183" s="924"/>
      <c r="N183" s="924"/>
      <c r="O183" s="924"/>
      <c r="P183" s="82">
        <f>IF(T183=1,0.1,0)</f>
        <v>0</v>
      </c>
      <c r="R183" s="10"/>
      <c r="S183" s="546" t="b">
        <v>0</v>
      </c>
      <c r="T183" s="50">
        <f>IF(S183=TRUE,1,0)</f>
        <v>0</v>
      </c>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row>
    <row r="184" spans="1:109" x14ac:dyDescent="0.2">
      <c r="B184" s="984"/>
      <c r="C184" s="985"/>
      <c r="D184" s="940"/>
      <c r="E184" s="940"/>
      <c r="F184" s="924" t="s">
        <v>1211</v>
      </c>
      <c r="G184" s="924"/>
      <c r="H184" s="924"/>
      <c r="I184" s="924"/>
      <c r="J184" s="924"/>
      <c r="K184" s="924"/>
      <c r="L184" s="924"/>
      <c r="M184" s="924"/>
      <c r="N184" s="924"/>
      <c r="O184" s="924"/>
      <c r="P184" s="82">
        <f>IF(T184=1,0.1,0)</f>
        <v>0</v>
      </c>
      <c r="R184" s="10"/>
      <c r="S184" s="546" t="b">
        <v>0</v>
      </c>
      <c r="T184" s="50">
        <f>IF(S184=TRUE,1,0)</f>
        <v>0</v>
      </c>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row>
    <row r="185" spans="1:109" x14ac:dyDescent="0.2">
      <c r="B185" s="986"/>
      <c r="C185" s="987"/>
      <c r="D185" s="940"/>
      <c r="E185" s="940"/>
      <c r="F185" s="924" t="s">
        <v>1213</v>
      </c>
      <c r="G185" s="924"/>
      <c r="H185" s="924"/>
      <c r="I185" s="924"/>
      <c r="J185" s="924"/>
      <c r="K185" s="924"/>
      <c r="L185" s="924"/>
      <c r="M185" s="924"/>
      <c r="N185" s="924"/>
      <c r="O185" s="924"/>
      <c r="P185" s="82">
        <f>IF(T185=1,0.1,0)</f>
        <v>0</v>
      </c>
      <c r="R185" s="10"/>
      <c r="S185" s="546" t="b">
        <v>0</v>
      </c>
      <c r="T185" s="50">
        <f>IF(S185=TRUE,1,0)</f>
        <v>0</v>
      </c>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row>
    <row r="186" spans="1:109" ht="12" customHeight="1" x14ac:dyDescent="0.2">
      <c r="B186" s="777"/>
      <c r="C186" s="777"/>
      <c r="D186" s="777"/>
      <c r="E186" s="777"/>
      <c r="F186" s="777"/>
      <c r="G186" s="777"/>
      <c r="H186" s="777"/>
      <c r="I186" s="777"/>
      <c r="J186" s="777"/>
      <c r="K186" s="777"/>
      <c r="L186" s="777"/>
      <c r="M186" s="777"/>
      <c r="N186" s="777"/>
      <c r="O186" s="777"/>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row>
    <row r="187" spans="1:109" ht="12" customHeight="1" x14ac:dyDescent="0.2">
      <c r="B187" s="480"/>
      <c r="C187" s="978" t="s">
        <v>239</v>
      </c>
      <c r="D187" s="975"/>
      <c r="E187" s="976" t="s">
        <v>240</v>
      </c>
      <c r="F187" s="975"/>
      <c r="G187" s="350"/>
      <c r="H187" s="352"/>
      <c r="I187" s="974" t="s">
        <v>241</v>
      </c>
      <c r="J187" s="975"/>
      <c r="K187" s="472"/>
      <c r="L187" s="352"/>
      <c r="M187" s="976" t="s">
        <v>240</v>
      </c>
      <c r="N187" s="975"/>
      <c r="O187" s="351"/>
      <c r="P187" s="487"/>
      <c r="Z187" s="477"/>
      <c r="AE187" s="476"/>
      <c r="AF187" s="476"/>
      <c r="AG187" s="476"/>
      <c r="AH187" s="476"/>
      <c r="AI187" s="476"/>
      <c r="AJ187" s="476"/>
      <c r="AK187" s="476"/>
      <c r="AL187" s="476"/>
      <c r="AM187" s="476"/>
      <c r="AN187" s="476"/>
    </row>
    <row r="188" spans="1:109" ht="12" customHeight="1" x14ac:dyDescent="0.2">
      <c r="B188" s="481"/>
      <c r="C188" s="959" t="s">
        <v>242</v>
      </c>
      <c r="D188" s="960"/>
      <c r="E188" s="959" t="s">
        <v>243</v>
      </c>
      <c r="F188" s="960"/>
      <c r="G188" s="959" t="s">
        <v>244</v>
      </c>
      <c r="H188" s="960"/>
      <c r="I188" s="973" t="s">
        <v>245</v>
      </c>
      <c r="J188" s="960"/>
      <c r="K188" s="959" t="s">
        <v>246</v>
      </c>
      <c r="L188" s="960"/>
      <c r="M188" s="959" t="s">
        <v>247</v>
      </c>
      <c r="N188" s="960"/>
      <c r="P188" s="488"/>
      <c r="Z188" s="327"/>
      <c r="AE188" s="476"/>
      <c r="AF188" s="476"/>
      <c r="AG188" s="476"/>
      <c r="AH188" s="476"/>
      <c r="AI188" s="476"/>
      <c r="AJ188" s="476"/>
      <c r="AK188" s="476"/>
      <c r="AL188" s="476"/>
      <c r="AM188" s="476"/>
      <c r="AN188" s="476"/>
    </row>
    <row r="189" spans="1:109" ht="12" customHeight="1" x14ac:dyDescent="0.2">
      <c r="B189" s="481"/>
      <c r="C189" s="934" t="s">
        <v>248</v>
      </c>
      <c r="D189" s="935"/>
      <c r="E189" s="934" t="s">
        <v>249</v>
      </c>
      <c r="F189" s="935"/>
      <c r="G189" s="934" t="s">
        <v>250</v>
      </c>
      <c r="H189" s="935"/>
      <c r="I189" s="963" t="s">
        <v>251</v>
      </c>
      <c r="J189" s="935"/>
      <c r="K189" s="934" t="s">
        <v>250</v>
      </c>
      <c r="L189" s="935"/>
      <c r="M189" s="934" t="s">
        <v>249</v>
      </c>
      <c r="N189" s="935"/>
      <c r="P189" s="488"/>
      <c r="AH189" s="146">
        <v>1</v>
      </c>
      <c r="AI189" s="146">
        <v>2</v>
      </c>
      <c r="AJ189" s="146">
        <v>3</v>
      </c>
      <c r="AK189" s="146">
        <v>4</v>
      </c>
      <c r="AM189" s="476"/>
      <c r="AN189" s="476"/>
      <c r="AO189" s="476"/>
      <c r="AP189" s="476"/>
      <c r="AQ189" s="476"/>
      <c r="AR189" s="476"/>
      <c r="AS189" s="476"/>
      <c r="AT189" s="476"/>
      <c r="AU189" s="476"/>
      <c r="AV189" s="476"/>
    </row>
    <row r="190" spans="1:109" ht="12" customHeight="1" x14ac:dyDescent="0.2">
      <c r="B190" s="539" t="s">
        <v>1945</v>
      </c>
      <c r="C190" s="932" t="s">
        <v>252</v>
      </c>
      <c r="D190" s="933"/>
      <c r="E190" s="932" t="s">
        <v>252</v>
      </c>
      <c r="F190" s="933"/>
      <c r="G190" s="932" t="s">
        <v>252</v>
      </c>
      <c r="H190" s="933"/>
      <c r="I190" s="932" t="s">
        <v>252</v>
      </c>
      <c r="J190" s="933"/>
      <c r="K190" s="932" t="s">
        <v>252</v>
      </c>
      <c r="L190" s="933"/>
      <c r="M190" s="932" t="s">
        <v>252</v>
      </c>
      <c r="N190" s="933"/>
      <c r="P190" s="488"/>
      <c r="S190" s="892" t="s">
        <v>2147</v>
      </c>
      <c r="T190" s="893"/>
      <c r="U190" s="893"/>
      <c r="V190" s="893"/>
      <c r="W190" s="893"/>
      <c r="X190" s="894"/>
      <c r="Y190" s="475"/>
      <c r="Z190" s="475"/>
      <c r="AA190" s="950" t="s">
        <v>2147</v>
      </c>
      <c r="AB190" s="951"/>
      <c r="AC190" s="951"/>
      <c r="AD190" s="951"/>
      <c r="AE190" s="951"/>
      <c r="AF190" s="952"/>
      <c r="AG190" s="475"/>
      <c r="AH190" s="895" t="s">
        <v>2147</v>
      </c>
      <c r="AI190" s="896"/>
      <c r="AJ190" s="896"/>
      <c r="AK190" s="896"/>
      <c r="AL190" s="896"/>
      <c r="AM190" s="897"/>
      <c r="AO190" s="892" t="s">
        <v>2147</v>
      </c>
      <c r="AP190" s="893"/>
      <c r="AQ190" s="893"/>
      <c r="AR190" s="893"/>
      <c r="AS190" s="894"/>
      <c r="AU190" s="892" t="s">
        <v>2147</v>
      </c>
      <c r="AV190" s="893"/>
      <c r="AW190" s="893"/>
      <c r="AX190" s="894"/>
      <c r="AZ190" s="892" t="s">
        <v>2147</v>
      </c>
      <c r="BA190" s="893"/>
      <c r="BB190" s="893"/>
      <c r="BC190" s="893"/>
      <c r="BD190" s="893"/>
      <c r="BE190" s="893"/>
      <c r="BF190" s="893"/>
      <c r="BG190" s="894"/>
      <c r="BI190" s="892" t="s">
        <v>2147</v>
      </c>
      <c r="BJ190" s="893"/>
      <c r="BK190" s="893"/>
      <c r="BL190" s="893"/>
      <c r="BM190" s="893"/>
      <c r="BN190" s="894"/>
    </row>
    <row r="191" spans="1:109" customFormat="1" ht="15" customHeight="1" x14ac:dyDescent="0.2">
      <c r="B191" s="146" t="s">
        <v>1575</v>
      </c>
      <c r="C191" s="925"/>
      <c r="D191" s="925"/>
      <c r="E191" s="925"/>
      <c r="F191" s="925"/>
      <c r="G191" s="925"/>
      <c r="H191" s="925"/>
      <c r="I191" s="925"/>
      <c r="J191" s="925"/>
      <c r="K191" s="925"/>
      <c r="L191" s="925"/>
      <c r="M191" s="925"/>
      <c r="N191" s="925"/>
      <c r="P191" s="489"/>
      <c r="S191" s="301">
        <f>IF(C191="",0,C191)</f>
        <v>0</v>
      </c>
      <c r="T191" s="301">
        <f>IF(E191&lt;&gt;"",E191,IF(S191&gt;0,S191,0))</f>
        <v>0</v>
      </c>
      <c r="U191" s="301">
        <f>IF(G191&lt;&gt;"",G191,IF(T191&gt;0,T191,0))</f>
        <v>0</v>
      </c>
      <c r="V191" s="301">
        <f>IF(I191&lt;&gt;"",I191,IF(U191&gt;0,U191,0))</f>
        <v>0</v>
      </c>
      <c r="W191" s="301">
        <f>IF(K191&lt;&gt;"",K191,IF(V191&gt;0,V191,0))</f>
        <v>0</v>
      </c>
      <c r="X191" s="301">
        <f>IF(M191&lt;&gt;"",M191,IF(W191&gt;0,W191,0))</f>
        <v>0</v>
      </c>
      <c r="Z191" s="475"/>
      <c r="AA191" s="483">
        <f>IF(C191&gt;1,1,0)</f>
        <v>0</v>
      </c>
      <c r="AB191" s="301">
        <f t="shared" ref="AB191:AF193" si="25">IF(AND(S191&lt;&gt;T191,T191&gt;0),1,0)</f>
        <v>0</v>
      </c>
      <c r="AC191" s="301">
        <f t="shared" si="25"/>
        <v>0</v>
      </c>
      <c r="AD191" s="301">
        <f t="shared" si="25"/>
        <v>0</v>
      </c>
      <c r="AE191" s="301">
        <f t="shared" si="25"/>
        <v>0</v>
      </c>
      <c r="AF191" s="301">
        <f t="shared" si="25"/>
        <v>0</v>
      </c>
      <c r="AH191" s="478">
        <f>IF(S191=1,0,IF(S191=2,0.25,IF(S191=3,0.38,IF(S191=4,0.5,0))))</f>
        <v>0</v>
      </c>
      <c r="AI191" s="478">
        <f>IF(T191=1,0,IF(T191=2,0.23,IF(T191=3,0.35,IF(T191=4,0.45,0))))</f>
        <v>0</v>
      </c>
      <c r="AJ191" s="478">
        <f>IF(U191=1,0,IF(U191=2,0.2,IF(U191=3,0.3,IF(U191=4,0.39,0))))</f>
        <v>0</v>
      </c>
      <c r="AK191" s="478">
        <f>IF(V191=1,0,IF(V191=2,0.17,IF(V191=3,0.25,IF(V191=4,0.33,0))))</f>
        <v>0</v>
      </c>
      <c r="AL191" s="478">
        <f>IF(W191=1,0,IF(W191=2,0.13,IF(W191=3,0.19,IF(W191=4,0.24,0))))</f>
        <v>0</v>
      </c>
      <c r="AM191" s="478">
        <f>IF(X191=1,0,IF(X191=2,0.08,IF(X191=3,0.12,IF(X191=4,0.15,0))))</f>
        <v>0</v>
      </c>
      <c r="AN191" s="479"/>
      <c r="AO191" s="478">
        <f>IF(S191=1,0,IF(S191=2,0.23,IF(S191=3,0.35,IF(S191=4,0.45,0))))</f>
        <v>0</v>
      </c>
      <c r="AP191" s="478">
        <f>IF(T191=1,0,IF(T191=2,0.2,IF(T191=3,0.3,IF(T191=4,0.39,0))))</f>
        <v>0</v>
      </c>
      <c r="AQ191" s="478">
        <f>IF(U191=1,0,IF(U191=2,0.17,IF(U191=3,0.25,IF(U191=4,0.33,0))))</f>
        <v>0</v>
      </c>
      <c r="AR191" s="478">
        <f>IF(V191=1,0,IF(V191=2,0.13,IF(V191=3,0.19,IF(V191=4,0.24,0))))</f>
        <v>0</v>
      </c>
      <c r="AS191" s="478">
        <f>IF(W191=1,0,IF(W191=2,0.08,IF(W191=3,0.12,IF(W191=4,0.15,0))))</f>
        <v>0</v>
      </c>
      <c r="AU191" s="478">
        <f>IF(S191=1,0,IF(S191=2,0.2,IF(S191=3,0.3,IF(S191=4,0.39,0))))</f>
        <v>0</v>
      </c>
      <c r="AV191" s="478">
        <f>IF(T191=1,0,IF(T191=2,0.17,IF(T191=3,0.25,IF(T191=4,0.33,0))))</f>
        <v>0</v>
      </c>
      <c r="AW191" s="478">
        <f>IF(U191=1,0,IF(U191=2,0.13,IF(U191=3,0.19,IF(U191=4,0.24,0))))</f>
        <v>0</v>
      </c>
      <c r="AX191" s="478">
        <f>IF(V191=1,0,IF(V191=2,0.08,IF(V191=3,0.12,IF(V191=4,0.15,0))))</f>
        <v>0</v>
      </c>
      <c r="AZ191" s="478">
        <f>IF(S191=1,0,IF(S191=2,0.17,IF(S191=3,0.25,IF(S191=4,0.33,0))))</f>
        <v>0</v>
      </c>
      <c r="BA191" s="478">
        <f>IF(T191=1,0,IF(T191=2,0.13,IF(T191=3,0.19,IF(T191=4,0.24,0))))</f>
        <v>0</v>
      </c>
      <c r="BB191" s="478">
        <f>IF(U191=1,0,IF(U191=2,0.08,IF(U191=3,0.12,IF(U191=4,0.15,0))))</f>
        <v>0</v>
      </c>
      <c r="BD191" s="478">
        <f>IF(S191=1,0,IF(S191=2,0.13,IF(S191=3,0.19,IF(S191=4,0.24,0))))</f>
        <v>0</v>
      </c>
      <c r="BE191" s="478">
        <f>IF(T191=1,0,IF(T191=2,0.08,IF(T191=3,0.12,IF(T191=4,0.15,0))))</f>
        <v>0</v>
      </c>
      <c r="BG191" s="478">
        <f>IF(S191=1,0,IF(S191=2,0.08,IF(S191=3,0.12,IF(S191=4,0.15,0))))</f>
        <v>0</v>
      </c>
      <c r="BI191" s="478">
        <f>IF(AA191=0,0,IF(OR(AB191=1,AB192=1,AB193=1),AH191-AO191,IF(OR(AC191=1,AC192=1,AC193=1),AH191-AU191,IF(OR(AD191=1,AD192=1,AD193=1),AH191-AZ191,IF(OR(AE191=1,AE192=1,AE193=1),AH191-BD191,IF(OR(AF191=1,AF192=1,AF193=1),AH191-BG191,AH191))))))</f>
        <v>0</v>
      </c>
      <c r="BJ191" s="478">
        <f>IF(AB191=0,0,IF(OR(AC191=1,AC192=1,AC193=1),AI191-AP191,IF(OR(AD191=1,AD192=1,AD193=1),AI191-AV191,IF(OR(AE191=1,AE192=1,AE193=1),AI191-BA191,IF(OR(AF191=1,AF192=1,AF193=1),AI191-BE191,AI191)))))</f>
        <v>0</v>
      </c>
      <c r="BK191" s="478">
        <f>IF(AC191=0,0,IF(OR(AD191=1,AD192=1,AD193=1),AJ191-AQ191,IF(OR(AE191=1,AE192=1,AE193=1),AJ191-AW191,IF(OR(AF191=1,AF192=1,AF193=1),AJ191-BB191,AJ191))))</f>
        <v>0</v>
      </c>
      <c r="BL191" s="478">
        <f>IF(AD191=0,0,IF(OR(AE191=1,AE192=1,AE193=1),AK191-AR191,IF(OR(AF191=1,AF192=1,AF193=1),AK191-AX191,AK191)))</f>
        <v>0</v>
      </c>
      <c r="BM191" s="478">
        <f>IF(AE191=0,0,IF(OR(AF191=1,AF192=1,AF193=1),AL191-AS191,AL191))</f>
        <v>0</v>
      </c>
      <c r="BN191" s="478">
        <f>IF(AF191=0,0,AM191)</f>
        <v>0</v>
      </c>
      <c r="BP191" t="s">
        <v>253</v>
      </c>
      <c r="BR191" s="892" t="s">
        <v>2147</v>
      </c>
      <c r="BS191" s="893"/>
      <c r="BT191" s="893"/>
      <c r="BU191" s="893"/>
      <c r="BV191" s="893"/>
      <c r="BW191" s="893"/>
      <c r="BX191" s="893"/>
      <c r="BY191" s="893"/>
      <c r="BZ191" s="893"/>
      <c r="CA191" s="894"/>
    </row>
    <row r="192" spans="1:109" customFormat="1" ht="15" customHeight="1" x14ac:dyDescent="0.2">
      <c r="B192" s="301" t="s">
        <v>1578</v>
      </c>
      <c r="C192" s="925"/>
      <c r="D192" s="925"/>
      <c r="E192" s="925"/>
      <c r="F192" s="925"/>
      <c r="G192" s="925"/>
      <c r="H192" s="925"/>
      <c r="I192" s="925"/>
      <c r="J192" s="925"/>
      <c r="K192" s="925"/>
      <c r="L192" s="925"/>
      <c r="M192" s="925"/>
      <c r="N192" s="925"/>
      <c r="P192" s="495"/>
      <c r="S192" s="301">
        <f>IF(C192="",0,C192)</f>
        <v>0</v>
      </c>
      <c r="T192" s="301">
        <f>IF(E192&lt;&gt;"",E192,IF(S192&gt;0,S192,0))</f>
        <v>0</v>
      </c>
      <c r="U192" s="301">
        <f>IF(G192&lt;&gt;"",G192,IF(T192&gt;0,T192,0))</f>
        <v>0</v>
      </c>
      <c r="V192" s="301">
        <f>IF(I192&lt;&gt;"",I192,IF(U192&gt;0,U192,0))</f>
        <v>0</v>
      </c>
      <c r="W192" s="301">
        <f>IF(K192&lt;&gt;"",K192,IF(V192&gt;0,V192,0))</f>
        <v>0</v>
      </c>
      <c r="X192" s="301">
        <f>IF(M192&lt;&gt;"",M192,IF(W192&gt;0,W192,0))</f>
        <v>0</v>
      </c>
      <c r="Z192" s="475"/>
      <c r="AA192" s="483">
        <f>IF(C192&gt;1,1,0)</f>
        <v>0</v>
      </c>
      <c r="AB192" s="301">
        <f t="shared" si="25"/>
        <v>0</v>
      </c>
      <c r="AC192" s="301">
        <f t="shared" si="25"/>
        <v>0</v>
      </c>
      <c r="AD192" s="301">
        <f t="shared" si="25"/>
        <v>0</v>
      </c>
      <c r="AE192" s="301">
        <f t="shared" si="25"/>
        <v>0</v>
      </c>
      <c r="AF192" s="301">
        <f t="shared" si="25"/>
        <v>0</v>
      </c>
      <c r="AH192" s="478">
        <f>IF(S192=1,0,IF(S192=2,0.17,IF(S192=3,0.25,IF(S192=4,0.35,0))))</f>
        <v>0</v>
      </c>
      <c r="AI192" s="478">
        <f>IF(T192=1,0,IF(T192=2,0.15,IF(T192=3,0.23,IF(T192=4,0.31,0))))</f>
        <v>0</v>
      </c>
      <c r="AJ192" s="478">
        <f>IF(U192=1,0,IF(U192=2,0.13,IF(U192=3,0.2,IF(U192=4,0.27,0))))</f>
        <v>0</v>
      </c>
      <c r="AK192" s="478">
        <f>IF(V192=1,0,IF(V192=2,0.11,IF(V192=3,0.17,IF(V192=4,0.22,0))))</f>
        <v>0</v>
      </c>
      <c r="AL192" s="478">
        <f>IF(W192=1,0,IF(W192=2,0.08,IF(W192=3,0.12,IF(W192=4,0.16,0))))</f>
        <v>0</v>
      </c>
      <c r="AM192" s="478">
        <f>IF(X192=1,0,IF(X192=2,0.05,IF(X192=3,0.07,IF(X192=4,0.1,0))))</f>
        <v>0</v>
      </c>
      <c r="AN192" s="479"/>
      <c r="AO192" s="478">
        <f>IF(S192=1,0,IF(S192=2,0.15,IF(S192=3,0.23,IF(S192=4,0.31,0))))</f>
        <v>0</v>
      </c>
      <c r="AP192" s="478">
        <f>IF(T192=1,0,IF(T192=2,0.13,IF(T192=3,0.2,IF(T192=4,0.27,0))))</f>
        <v>0</v>
      </c>
      <c r="AQ192" s="478">
        <f>IF(U192=1,0,IF(U192=2,0.11,IF(U192=3,0.17,IF(U192=4,0.22,0))))</f>
        <v>0</v>
      </c>
      <c r="AR192" s="478">
        <f>IF(V192=1,0,IF(V192=2,0.08,IF(V192=3,0.12,IF(V192=4,0.16,0))))</f>
        <v>0</v>
      </c>
      <c r="AS192" s="478">
        <f>IF(W192=1,0,IF(W192=2,0.05,IF(W192=3,0.07,IF(W192=4,0.1,0))))</f>
        <v>0</v>
      </c>
      <c r="AU192" s="478">
        <f>IF(S192=1,0,IF(S192=2,0.13,IF(S192=3,0.2,IF(S192=4,0.27,0))))</f>
        <v>0</v>
      </c>
      <c r="AV192" s="478">
        <f>IF(T192=1,0,IF(T192=2,0.11,IF(T192=3,0.17,IF(T192=4,0.22,0))))</f>
        <v>0</v>
      </c>
      <c r="AW192" s="478">
        <f>IF(U192=1,0,IF(U192=2,0.08,IF(U192=3,0.12,IF(U192=4,0.16,0))))</f>
        <v>0</v>
      </c>
      <c r="AX192" s="478">
        <f>IF(V192=1,0,IF(V192=2,0.05,IF(V192=3,0.07,IF(V192=4,0.1,0))))</f>
        <v>0</v>
      </c>
      <c r="AZ192" s="478">
        <f>IF(S192=1,0,IF(S192=2,0.11,IF(S192=3,0.17,IF(S192=4,0.22,0))))</f>
        <v>0</v>
      </c>
      <c r="BA192" s="478">
        <f>IF(T192=1,0,IF(T192=2,0.08,IF(T192=3,0.12,IF(T192=4,0.16,0))))</f>
        <v>0</v>
      </c>
      <c r="BB192" s="478">
        <f>IF(U192=1,0,IF(U192=2,0.05,IF(U192=3,0.07,IF(U192=4,0.1,0))))</f>
        <v>0</v>
      </c>
      <c r="BD192" s="478">
        <f>IF(S192=1,0,IF(S192=2,0.08,IF(S192=3,0.12,IF(S192=4,0.16,0))))</f>
        <v>0</v>
      </c>
      <c r="BE192" s="478">
        <f>IF(T192=1,0,IF(T192=2,0.05,IF(T192=3,0.07,IF(T192=4,0.1,0))))</f>
        <v>0</v>
      </c>
      <c r="BG192" s="478">
        <f>IF(S192=1,0,IF(S192=2,0.05,IF(S192=3,0.07,IF(S192=4,0.1,0))))</f>
        <v>0</v>
      </c>
      <c r="BI192" s="478">
        <f>IF(AA192=0,0,IF(OR(AB191=1,AB192=1),AH192-AO192,IF(OR(AC191=1,AC192=1),AH192-AU192,IF(OR(AD191=1,AD192=1),AH192-AZ192,IF(OR(AE191=1,AE192=1),AH192-BD192,IF(OR(AF191=1,AF192=1),AH192-BG192,AH192))))))</f>
        <v>0</v>
      </c>
      <c r="BJ192" s="478">
        <f>IF(AB192=0,0,IF(OR(AC191=1,AC192=1),AI192-AP192,IF(OR(AD191=1,AD192=1),AI192-AV192,IF(OR(AE191=1,AE192=1),AI192-BA192,IF(OR(AF191=1,AF192=1),AI192-BE192,AI192)))))</f>
        <v>0</v>
      </c>
      <c r="BK192" s="478">
        <f>IF(AC192=0,0,IF(OR(AD191=1,AD192=1),AJ192-AQ192,IF(OR(AE191=1,AE192=1),AJ192-AW192,IF(OR(AF191=1,AF192=1),AJ192-BB192,AJ192))))</f>
        <v>0</v>
      </c>
      <c r="BL192" s="478">
        <f>IF(AD192=0,0,IF(OR(AE191=1,AE192=1),AK192-AR192,IF(OR(AF191=1,AF192=1),AK192-AX192,AK192)))</f>
        <v>0</v>
      </c>
      <c r="BM192" s="478">
        <f>IF(AE192=0,0,IF(OR(AF191=1,AF192=1),AL192-AS192,AL192))</f>
        <v>0</v>
      </c>
      <c r="BN192" s="478">
        <f>IF(AF192=0,0,AM192)</f>
        <v>0</v>
      </c>
      <c r="BP192" s="484">
        <f>LARGE((BI191,BJ191,BK191,BL191,BM191,BN191,BI192,BJ192,BK192,BL192,BM192,BN192,BI193,BJ193,BK193,BL193,BM193,BN193),1)</f>
        <v>0</v>
      </c>
      <c r="BQ192" s="485">
        <f>LARGE((BI191,BJ191,BK191,BL191,BM191,BN191,BI192,BJ192,BK192,BL192,BM192,BN192,BI193,BJ193,BK193,BL193,BM193,BN193),2)</f>
        <v>0</v>
      </c>
      <c r="BR192" s="485">
        <f>LARGE((BI191,BJ191,BK191,BL191,BM191,BN191,BI192,BJ192,BK192,BL192,BM192,BN192,BI193,BJ193,BK193,BL193,BM193,BN193),3)</f>
        <v>0</v>
      </c>
      <c r="BS192" s="485">
        <f>LARGE((BI191,BJ191,BK191,BL191,BM191,BN191,BI192,BJ192,BK192,BL192,BM192,BN192,BI193,BJ193,BK193,BL193,BM193,BN193),4)</f>
        <v>0</v>
      </c>
      <c r="BT192" s="485">
        <f>LARGE((BI191,BJ191,BK191,BL191,BM191,BN191,BI192,BJ192,BK192,BL192,BM192,BN192,BI193,BJ193,BK193,BL193,BM193,BN193),5)</f>
        <v>0</v>
      </c>
      <c r="BU192" s="485">
        <f>LARGE((BI191,BJ191,BK191,BL191,BM191,BN191,BI192,BJ192,BK192,BL192,BM192,BN192,BI193,BJ193,BK193,BL193,BM193,BN193),6)</f>
        <v>0</v>
      </c>
      <c r="BV192" s="485">
        <f>LARGE((BI191,BJ191,BK191,BL191,BM191,BN191,BI192,BJ192,BK192,BL192,BM192,BN192,BI193,BJ193,BK193,BL193,BM193,BN193),7)</f>
        <v>0</v>
      </c>
      <c r="BW192" s="485">
        <f>LARGE((BI191,BJ191,BK191,BL191,BM191,BN191,BI192,BJ192,BK192,BL192,BM192,BN192,BI193,BJ193,BK193,BL193,BM193,BN193),8)</f>
        <v>0</v>
      </c>
      <c r="BX192" s="485">
        <f>LARGE((BI191,BJ191,BK191,BL191,BM191,BN191,BI192,BJ192,BK192,BL192,BM192,BN192,BI193,BJ193,BK193,BL193,BM193,BN193),9)</f>
        <v>0</v>
      </c>
      <c r="BY192" s="485">
        <f>LARGE((BI191,BJ191,BK191,BL191,BM191,BN191,BI192,BJ192,BK192,BL192,BM192,BN192,BI193,BJ193,BK193,BL193,BM193,BN193),10)</f>
        <v>0</v>
      </c>
      <c r="BZ192" s="485">
        <f>LARGE((BI191,BJ191,BK191,BL191,BM191,BN191,BI192,BJ192,BK192,BL192,BM192,BN192,BI193,BJ193,BK193,BL193,BM193,BN193),11)</f>
        <v>0</v>
      </c>
      <c r="CA192" s="485">
        <f>LARGE((BI191,BJ191,BK191,BL191,BM191,BN191,BI192,BJ192,BK192,BL192,BM192,BN192,BI193,BJ193,BK193,BL193,BM193,BN193),12)</f>
        <v>0</v>
      </c>
    </row>
    <row r="193" spans="1:109" customFormat="1" ht="15" customHeight="1" x14ac:dyDescent="0.2">
      <c r="B193" s="482" t="s">
        <v>1581</v>
      </c>
      <c r="C193" s="925"/>
      <c r="D193" s="925"/>
      <c r="E193" s="925"/>
      <c r="F193" s="925"/>
      <c r="G193" s="925"/>
      <c r="H193" s="925"/>
      <c r="I193" s="925"/>
      <c r="J193" s="925"/>
      <c r="K193" s="925"/>
      <c r="L193" s="925"/>
      <c r="M193" s="925"/>
      <c r="N193" s="925"/>
      <c r="P193" s="495"/>
      <c r="S193" s="301">
        <f>IF(C193="",0,C193)</f>
        <v>0</v>
      </c>
      <c r="T193" s="301">
        <f>IF(E193&lt;&gt;"",E193,IF(S193&gt;0,S193,0))</f>
        <v>0</v>
      </c>
      <c r="U193" s="301">
        <f>IF(G193&lt;&gt;"",G193,IF(T193&gt;0,T193,0))</f>
        <v>0</v>
      </c>
      <c r="V193" s="301">
        <f>IF(I193&lt;&gt;"",I193,IF(U193&gt;0,U193,0))</f>
        <v>0</v>
      </c>
      <c r="W193" s="301">
        <f>IF(K193&lt;&gt;"",K193,IF(V193&gt;0,V193,0))</f>
        <v>0</v>
      </c>
      <c r="X193" s="301">
        <f>IF(M193&lt;&gt;"",M193,IF(W193&gt;0,W193,0))</f>
        <v>0</v>
      </c>
      <c r="AA193" s="483">
        <f>IF(C193&gt;1,1,0)</f>
        <v>0</v>
      </c>
      <c r="AB193" s="301">
        <f t="shared" si="25"/>
        <v>0</v>
      </c>
      <c r="AC193" s="301">
        <f t="shared" si="25"/>
        <v>0</v>
      </c>
      <c r="AD193" s="301">
        <f t="shared" si="25"/>
        <v>0</v>
      </c>
      <c r="AE193" s="301">
        <f t="shared" si="25"/>
        <v>0</v>
      </c>
      <c r="AF193" s="301">
        <f t="shared" si="25"/>
        <v>0</v>
      </c>
      <c r="AH193" s="478">
        <f>IF(S193=1,0,IF(S193=2,0.1,IF(S193=3,0.17,IF(S193=4,0.23,0))))</f>
        <v>0</v>
      </c>
      <c r="AI193" s="478">
        <f>IF(T193=1,0,IF(T193=2,0.09,IF(T193=3,0.15,IF(T193=4,0.2,0))))</f>
        <v>0</v>
      </c>
      <c r="AJ193" s="478">
        <f>IF(U193=1,0,IF(U193=2,0.08,IF(U193=3,0.13,IF(U193=4,0.17,0))))</f>
        <v>0</v>
      </c>
      <c r="AK193" s="478">
        <f>IF(V193=1,0,IF(V193=2,0.07,IF(V193=3,0.1,IF(V193=4,0.14,0))))</f>
        <v>0</v>
      </c>
      <c r="AL193" s="478">
        <f>IF(W193=1,0,IF(W193=2,0.05,IF(W193=3,0.08,IF(W193=4,0.1,0))))</f>
        <v>0</v>
      </c>
      <c r="AM193" s="478">
        <f>IF(X193=1,0,IF(X193=2,0.03,IF(X193=3,0.05,IF(X193=4,0.06,0))))</f>
        <v>0</v>
      </c>
      <c r="AN193" s="479"/>
      <c r="AO193" s="478">
        <f>IF(S193=1,0,IF(S193=2,0.09,IF(S193=3,0.15,IF(S193=4,0.2,0))))</f>
        <v>0</v>
      </c>
      <c r="AP193" s="478">
        <f>IF(T193=1,0,IF(T193=2,0.08,IF(T193=3,0.13,IF(T193=4,0.17,0))))</f>
        <v>0</v>
      </c>
      <c r="AQ193" s="478">
        <f>IF(U193=1,0,IF(U193=2,0.07,IF(U193=3,0.1,IF(U193=4,0.14,0))))</f>
        <v>0</v>
      </c>
      <c r="AR193" s="478">
        <f>IF(V193=1,0,IF(V193=2,0.05,IF(V193=3,0.08,IF(V193=4,0.1,0))))</f>
        <v>0</v>
      </c>
      <c r="AS193" s="478">
        <f>IF(W193=1,0,IF(W193=2,0.03,IF(W193=3,0.05,IF(W193=4,0.06,0))))</f>
        <v>0</v>
      </c>
      <c r="AU193" s="478">
        <f>IF(S193=1,0,IF(S193=2,0.08,IF(S193=3,0.13,IF(S193=4,0.17,0))))</f>
        <v>0</v>
      </c>
      <c r="AV193" s="478">
        <f>IF(T193=1,0,IF(T193=2,0.07,IF(T193=3,0.1,IF(T193=4,0.14,0))))</f>
        <v>0</v>
      </c>
      <c r="AW193" s="478">
        <f>IF(U193=1,0,IF(U193=2,0.05,IF(U193=3,0.08,IF(U193=4,0.1,0))))</f>
        <v>0</v>
      </c>
      <c r="AX193" s="478">
        <f>IF(V193=1,0,IF(V193=2,0.03,IF(V193=3,0.05,IF(V193=4,0.06,0))))</f>
        <v>0</v>
      </c>
      <c r="AZ193" s="478">
        <f>IF(S193=1,0,IF(S193=2,0.07,IF(S193=3,0.1,IF(S193=4,0.14,0))))</f>
        <v>0</v>
      </c>
      <c r="BA193" s="478">
        <f>IF(T193=1,0,IF(T193=2,0.05,IF(T193=3,0.08,IF(T193=4,0.1,0))))</f>
        <v>0</v>
      </c>
      <c r="BB193" s="478">
        <f>IF(U193=1,0,IF(U193=2,0.03,IF(U193=3,0.05,IF(U193=4,0.06,0))))</f>
        <v>0</v>
      </c>
      <c r="BD193" s="478">
        <f>IF(S193=1,0,IF(S193=2,0.05,IF(S193=3,0.08,IF(S193=4,0.1,0))))</f>
        <v>0</v>
      </c>
      <c r="BE193" s="478">
        <f>IF(T193=1,0,IF(T193=2,0.03,IF(T193=3,0.05,IF(T193=4,0.06,0))))</f>
        <v>0</v>
      </c>
      <c r="BG193" s="478">
        <f>IF(S193=1,0,IF(S193=2,0.03,IF(S193=3,0.05,IF(S193=4,0.06,0))))</f>
        <v>0</v>
      </c>
      <c r="BI193" s="478">
        <f>IF(AA193=0,0,IF(OR(AB191=1,AB193=1),AH193-AO193,IF(OR(AC191=1,AC193=1),AH193-AU193,IF(OR(AD191=1,AD193=1),AH193-AZ193,IF(OR(AE191=1,AE193=1),AH193-BD193,IF(OR(AF191=1,AF193=1),AH193-BG193,AH193))))))</f>
        <v>0</v>
      </c>
      <c r="BJ193" s="478">
        <f>IF(AB193=0,0,IF(OR(AC191=1,AC193=1),AI193-AP193,IF(OR(AD191=1,AD193=1),AI193-AV193,IF(OR(AE191=1,AE193=1),AI193-BA193,IF(OR(AF191=1,AF193=1),AI193-BE193,AI193)))))</f>
        <v>0</v>
      </c>
      <c r="BK193" s="478">
        <f>IF(AC193=0,0,IF(OR(AD191=1,AD193=1),AJ193-AQ193,IF(OR(AE191=1,AE193=1),AJ193-AW193,IF(OR(AF191=1,AF193=1),AJ193-BB193,AJ193))))</f>
        <v>0</v>
      </c>
      <c r="BL193" s="478">
        <f>IF(AD193=0,0,IF(OR(AE191=1,AE193=1),AK193-AR193,IF(OR(AF191=1,AF193=1),AK193-AX193,AK193)))</f>
        <v>0</v>
      </c>
      <c r="BM193" s="478">
        <f>IF(AE193=0,0,IF(OR(AF191=1,AF193=1),AL193-AS193,AL193))</f>
        <v>0</v>
      </c>
      <c r="BN193" s="478">
        <f>IF(AF193=0,0,AM193)</f>
        <v>0</v>
      </c>
      <c r="BP193" s="486">
        <f>ROUND(BP192+BQ192*(1-BP192),2)</f>
        <v>0</v>
      </c>
      <c r="BQ193" s="486">
        <f t="shared" ref="BQ193:BZ193" si="26">ROUND(BP193+BR192*(1-BP193),2)</f>
        <v>0</v>
      </c>
      <c r="BR193" s="486">
        <f t="shared" si="26"/>
        <v>0</v>
      </c>
      <c r="BS193" s="486">
        <f t="shared" si="26"/>
        <v>0</v>
      </c>
      <c r="BT193" s="486">
        <f t="shared" si="26"/>
        <v>0</v>
      </c>
      <c r="BU193" s="486">
        <f t="shared" si="26"/>
        <v>0</v>
      </c>
      <c r="BV193" s="486">
        <f t="shared" si="26"/>
        <v>0</v>
      </c>
      <c r="BW193" s="486">
        <f t="shared" si="26"/>
        <v>0</v>
      </c>
      <c r="BX193" s="486">
        <f t="shared" si="26"/>
        <v>0</v>
      </c>
      <c r="BY193" s="486">
        <f t="shared" si="26"/>
        <v>0</v>
      </c>
      <c r="BZ193" s="486">
        <f t="shared" si="26"/>
        <v>0</v>
      </c>
      <c r="CA193" s="483"/>
    </row>
    <row r="194" spans="1:109" customFormat="1" ht="15" customHeight="1" x14ac:dyDescent="0.2">
      <c r="B194" s="926" t="str">
        <f>IF(AD194=1,"ERROR: If radial or ulnar impairment is recorded, do not enter losses for 'both sides.'","")</f>
        <v/>
      </c>
      <c r="C194" s="927"/>
      <c r="D194" s="927"/>
      <c r="E194" s="927"/>
      <c r="F194" s="927"/>
      <c r="G194" s="927"/>
      <c r="H194" s="927"/>
      <c r="I194" s="927"/>
      <c r="J194" s="927"/>
      <c r="K194" s="927"/>
      <c r="L194" s="927"/>
      <c r="M194" s="927"/>
      <c r="N194" s="927"/>
      <c r="O194" s="928"/>
      <c r="P194" s="245">
        <f>IF(B194&lt;&gt;"","ERROR",BZ193)</f>
        <v>0</v>
      </c>
      <c r="S194" s="475"/>
      <c r="T194" s="475"/>
      <c r="U194" s="475"/>
      <c r="V194" s="475"/>
      <c r="W194" s="475"/>
      <c r="AA194" s="301">
        <f>SUM(AA191:AF191)</f>
        <v>0</v>
      </c>
      <c r="AB194" s="301">
        <f>SUM(AA192:AF192)</f>
        <v>0</v>
      </c>
      <c r="AC194" s="301">
        <f>SUM(AA193:AF193)</f>
        <v>0</v>
      </c>
      <c r="AD194" s="301">
        <f>IF(AND(AA194&gt;0,AB194&gt;0),1,IF(AND(AA194&gt;0,AC194&gt;0),1,0))</f>
        <v>0</v>
      </c>
      <c r="AE194" s="475"/>
      <c r="AF194" s="475"/>
    </row>
    <row r="195" spans="1:109" customFormat="1" ht="15" customHeight="1" x14ac:dyDescent="0.2">
      <c r="B195" s="350" t="s">
        <v>1208</v>
      </c>
      <c r="C195" s="474"/>
      <c r="D195" s="474"/>
      <c r="E195" s="474"/>
      <c r="F195" s="474"/>
      <c r="G195" s="474"/>
      <c r="H195" s="474"/>
      <c r="I195" s="474"/>
      <c r="J195" s="474"/>
      <c r="K195" s="474"/>
      <c r="L195" s="474"/>
      <c r="M195" s="474"/>
      <c r="N195" s="474"/>
      <c r="O195" s="491"/>
      <c r="P195" s="492"/>
      <c r="S195" s="475"/>
      <c r="T195" s="475"/>
      <c r="U195" s="475"/>
      <c r="V195" s="475"/>
      <c r="W195" s="475"/>
      <c r="AA195" s="475"/>
      <c r="AB195" s="475"/>
      <c r="AC195" s="475"/>
      <c r="AD195" s="475"/>
      <c r="AE195" s="475"/>
      <c r="AF195" s="475"/>
    </row>
    <row r="196" spans="1:109" customFormat="1" ht="15" customHeight="1" x14ac:dyDescent="0.2">
      <c r="B196" s="146" t="s">
        <v>1575</v>
      </c>
      <c r="C196" s="925"/>
      <c r="D196" s="925"/>
      <c r="E196" s="925"/>
      <c r="F196" s="925"/>
      <c r="G196" s="925"/>
      <c r="H196" s="925"/>
      <c r="I196" s="925"/>
      <c r="J196" s="925"/>
      <c r="K196" s="925"/>
      <c r="L196" s="925"/>
      <c r="M196" s="925"/>
      <c r="N196" s="925"/>
      <c r="P196" s="489"/>
      <c r="S196" s="301">
        <f>IF(C196="",0,C196)</f>
        <v>0</v>
      </c>
      <c r="T196" s="301">
        <f>IF(E196&lt;&gt;"",E196,IF(S196&gt;0,S196,0))</f>
        <v>0</v>
      </c>
      <c r="U196" s="301">
        <f>IF(G196&lt;&gt;"",G196,IF(T196&gt;0,T196,0))</f>
        <v>0</v>
      </c>
      <c r="V196" s="301">
        <f>IF(I196&lt;&gt;"",I196,IF(U196&gt;0,U196,0))</f>
        <v>0</v>
      </c>
      <c r="W196" s="301">
        <f>IF(K196&lt;&gt;"",K196,IF(V196&gt;0,V196,0))</f>
        <v>0</v>
      </c>
      <c r="X196" s="301">
        <f>IF(M196&lt;&gt;"",M196,IF(W196&gt;0,W196,0))</f>
        <v>0</v>
      </c>
      <c r="Z196" s="475"/>
      <c r="AA196" s="483">
        <f>IF(C196&gt;1,1,0)</f>
        <v>0</v>
      </c>
      <c r="AB196" s="301">
        <f t="shared" ref="AB196:AF198" si="27">IF(AND(S196&lt;&gt;T196,T196&gt;0),1,0)</f>
        <v>0</v>
      </c>
      <c r="AC196" s="301">
        <f t="shared" si="27"/>
        <v>0</v>
      </c>
      <c r="AD196" s="301">
        <f t="shared" si="27"/>
        <v>0</v>
      </c>
      <c r="AE196" s="301">
        <f t="shared" si="27"/>
        <v>0</v>
      </c>
      <c r="AF196" s="301">
        <f t="shared" si="27"/>
        <v>0</v>
      </c>
      <c r="AH196" s="478">
        <f>IF(S196=1,0,IF(S196=2,0.25,IF(S196=3,0.38,IF(S196=4,0.5,0))))</f>
        <v>0</v>
      </c>
      <c r="AI196" s="478">
        <f>IF(T196=1,0,IF(T196=2,0.23,IF(T196=3,0.35,IF(T196=4,0.45,0))))</f>
        <v>0</v>
      </c>
      <c r="AJ196" s="478">
        <f>IF(U196=1,0,IF(U196=2,0.2,IF(U196=3,0.3,IF(U196=4,0.39,0))))</f>
        <v>0</v>
      </c>
      <c r="AK196" s="478">
        <f>IF(V196=1,0,IF(V196=2,0.17,IF(V196=3,0.25,IF(V196=4,0.33,0))))</f>
        <v>0</v>
      </c>
      <c r="AL196" s="478">
        <f>IF(W196=1,0,IF(W196=2,0.13,IF(W196=3,0.19,IF(W196=4,0.24,0))))</f>
        <v>0</v>
      </c>
      <c r="AM196" s="478">
        <f>IF(X196=1,0,IF(X196=2,0.08,IF(X196=3,0.12,IF(X196=4,0.15,0))))</f>
        <v>0</v>
      </c>
      <c r="AN196" s="479"/>
      <c r="AO196" s="478">
        <f>IF(S196=1,0,IF(S196=2,0.23,IF(S196=3,0.35,IF(S196=4,0.45,0))))</f>
        <v>0</v>
      </c>
      <c r="AP196" s="478">
        <f>IF(T196=1,0,IF(T196=2,0.2,IF(T196=3,0.3,IF(T196=4,0.39,0))))</f>
        <v>0</v>
      </c>
      <c r="AQ196" s="478">
        <f>IF(U196=1,0,IF(U196=2,0.17,IF(U196=3,0.25,IF(U196=4,0.33,0))))</f>
        <v>0</v>
      </c>
      <c r="AR196" s="478">
        <f>IF(V196=1,0,IF(V196=2,0.13,IF(V196=3,0.19,IF(V196=4,0.24,0))))</f>
        <v>0</v>
      </c>
      <c r="AS196" s="478">
        <f>IF(W196=1,0,IF(W196=2,0.08,IF(W196=3,0.12,IF(W196=4,0.15,0))))</f>
        <v>0</v>
      </c>
      <c r="AU196" s="478">
        <f>IF(S196=1,0,IF(S196=2,0.2,IF(S196=3,0.3,IF(S196=4,0.39,0))))</f>
        <v>0</v>
      </c>
      <c r="AV196" s="478">
        <f>IF(T196=1,0,IF(T196=2,0.17,IF(T196=3,0.25,IF(T196=4,0.33,0))))</f>
        <v>0</v>
      </c>
      <c r="AW196" s="478">
        <f>IF(U196=1,0,IF(U196=2,0.13,IF(U196=3,0.19,IF(U196=4,0.24,0))))</f>
        <v>0</v>
      </c>
      <c r="AX196" s="478">
        <f>IF(V196=1,0,IF(V196=2,0.08,IF(V196=3,0.12,IF(V196=4,0.15,0))))</f>
        <v>0</v>
      </c>
      <c r="AZ196" s="478">
        <f>IF(S196=1,0,IF(S196=2,0.17,IF(S196=3,0.25,IF(S196=4,0.33,0))))</f>
        <v>0</v>
      </c>
      <c r="BA196" s="478">
        <f>IF(T196=1,0,IF(T196=2,0.13,IF(T196=3,0.19,IF(T196=4,0.24,0))))</f>
        <v>0</v>
      </c>
      <c r="BB196" s="478">
        <f>IF(U196=1,0,IF(U196=2,0.08,IF(U196=3,0.12,IF(U196=4,0.15,0))))</f>
        <v>0</v>
      </c>
      <c r="BD196" s="478">
        <f>IF(S196=1,0,IF(S196=2,0.13,IF(S196=3,0.19,IF(S196=4,0.24,0))))</f>
        <v>0</v>
      </c>
      <c r="BE196" s="478">
        <f>IF(T196=1,0,IF(T196=2,0.08,IF(T196=3,0.12,IF(T196=4,0.15,0))))</f>
        <v>0</v>
      </c>
      <c r="BG196" s="478">
        <f>IF(S196=1,0,IF(S196=2,0.08,IF(S196=3,0.12,IF(S196=4,0.15,0))))</f>
        <v>0</v>
      </c>
      <c r="BI196" s="478">
        <f>IF(AA196=0,0,IF(OR(AB196=1,AB197=1,AB198=1),AH196-AO196,IF(OR(AC196=1,AC197=1,AC198=1),AH196-AU196,IF(OR(AD196=1,AD197=1,AD198=1),AH196-AZ196,IF(OR(AE196=1,AE197=1,AE198=1),AH196-BD196,IF(OR(AF196=1,AF197=1,AF198=1),AH196-BG196,AH196))))))</f>
        <v>0</v>
      </c>
      <c r="BJ196" s="478">
        <f>IF(AB196=0,0,IF(OR(AC196=1,AC197=1,AC198=1),AI196-AP196,IF(OR(AD196=1,AD197=1,AD198=1),AI196-AV196,IF(OR(AE196=1,AE197=1,AE198=1),AI196-BA196,IF(OR(AF196=1,AF197=1,AF198=1),AI196-BE196,AI196)))))</f>
        <v>0</v>
      </c>
      <c r="BK196" s="478">
        <f>IF(AC196=0,0,IF(OR(AD196=1,AD197=1,AD198=1),AJ196-AQ196,IF(OR(AE196=1,AE197=1,AE198=1),AJ196-AW196,IF(OR(AF196=1,AF197=1,AF198=1),AJ196-BB196,AJ196))))</f>
        <v>0</v>
      </c>
      <c r="BL196" s="478">
        <f>IF(AD196=0,0,IF(OR(AE196=1,AE197=1,AE198=1),AK196-AR196,IF(OR(AF196=1,AF197=1,AF198=1),AK196-AX196,AK196)))</f>
        <v>0</v>
      </c>
      <c r="BM196" s="478">
        <f>IF(AE196=0,0,IF(OR(AF196=1,AF197=1,AF198=1),AL196-AS196,AL196))</f>
        <v>0</v>
      </c>
      <c r="BN196" s="478">
        <f>IF(AF196=0,0,AM196)</f>
        <v>0</v>
      </c>
      <c r="BP196" t="s">
        <v>253</v>
      </c>
    </row>
    <row r="197" spans="1:109" customFormat="1" ht="15" customHeight="1" x14ac:dyDescent="0.2">
      <c r="B197" s="301" t="s">
        <v>1578</v>
      </c>
      <c r="C197" s="925"/>
      <c r="D197" s="925"/>
      <c r="E197" s="925"/>
      <c r="F197" s="925"/>
      <c r="G197" s="925"/>
      <c r="H197" s="925"/>
      <c r="I197" s="925"/>
      <c r="J197" s="925"/>
      <c r="K197" s="925"/>
      <c r="L197" s="925"/>
      <c r="M197" s="925"/>
      <c r="N197" s="925"/>
      <c r="P197" s="495"/>
      <c r="S197" s="301">
        <f>IF(C197="",0,C197)</f>
        <v>0</v>
      </c>
      <c r="T197" s="301">
        <f>IF(E197&lt;&gt;"",E197,IF(S197&gt;0,S197,0))</f>
        <v>0</v>
      </c>
      <c r="U197" s="301">
        <f>IF(G197&lt;&gt;"",G197,IF(T197&gt;0,T197,0))</f>
        <v>0</v>
      </c>
      <c r="V197" s="301">
        <f>IF(I197&lt;&gt;"",I197,IF(U197&gt;0,U197,0))</f>
        <v>0</v>
      </c>
      <c r="W197" s="301">
        <f>IF(K197&lt;&gt;"",K197,IF(V197&gt;0,V197,0))</f>
        <v>0</v>
      </c>
      <c r="X197" s="301">
        <f>IF(M197&lt;&gt;"",M197,IF(W197&gt;0,W197,0))</f>
        <v>0</v>
      </c>
      <c r="Z197" s="475"/>
      <c r="AA197" s="483">
        <f>IF(C197&gt;1,1,0)</f>
        <v>0</v>
      </c>
      <c r="AB197" s="301">
        <f t="shared" si="27"/>
        <v>0</v>
      </c>
      <c r="AC197" s="301">
        <f t="shared" si="27"/>
        <v>0</v>
      </c>
      <c r="AD197" s="301">
        <f t="shared" si="27"/>
        <v>0</v>
      </c>
      <c r="AE197" s="301">
        <f t="shared" si="27"/>
        <v>0</v>
      </c>
      <c r="AF197" s="301">
        <f t="shared" si="27"/>
        <v>0</v>
      </c>
      <c r="AH197" s="478">
        <f>IF(S197=1,0,IF(S197=2,0.17,IF(S197=3,0.25,IF(S197=4,0.35,0))))</f>
        <v>0</v>
      </c>
      <c r="AI197" s="478">
        <f>IF(T197=1,0,IF(T197=2,0.15,IF(T197=3,0.23,IF(T197=4,0.31,0))))</f>
        <v>0</v>
      </c>
      <c r="AJ197" s="478">
        <f>IF(U197=1,0,IF(U197=2,0.13,IF(U197=3,0.2,IF(U197=4,0.27,0))))</f>
        <v>0</v>
      </c>
      <c r="AK197" s="478">
        <f>IF(V197=1,0,IF(V197=2,0.11,IF(V197=3,0.17,IF(V197=4,0.22,0))))</f>
        <v>0</v>
      </c>
      <c r="AL197" s="478">
        <f>IF(W197=1,0,IF(W197=2,0.08,IF(W197=3,0.12,IF(W197=4,0.16,0))))</f>
        <v>0</v>
      </c>
      <c r="AM197" s="478">
        <f>IF(X197=1,0,IF(X197=2,0.05,IF(X197=3,0.07,IF(X197=4,0.1,0))))</f>
        <v>0</v>
      </c>
      <c r="AN197" s="479"/>
      <c r="AO197" s="478">
        <f>IF(S197=1,0,IF(S197=2,0.15,IF(S197=3,0.23,IF(S197=4,0.31,0))))</f>
        <v>0</v>
      </c>
      <c r="AP197" s="478">
        <f>IF(T197=1,0,IF(T197=2,0.13,IF(T197=3,0.2,IF(T197=4,0.27,0))))</f>
        <v>0</v>
      </c>
      <c r="AQ197" s="478">
        <f>IF(U197=1,0,IF(U197=2,0.11,IF(U197=3,0.17,IF(U197=4,0.22,0))))</f>
        <v>0</v>
      </c>
      <c r="AR197" s="478">
        <f>IF(V197=1,0,IF(V197=2,0.08,IF(V197=3,0.12,IF(V197=4,0.16,0))))</f>
        <v>0</v>
      </c>
      <c r="AS197" s="478">
        <f>IF(W197=1,0,IF(W197=2,0.05,IF(W197=3,0.07,IF(W197=4,0.1,0))))</f>
        <v>0</v>
      </c>
      <c r="AU197" s="478">
        <f>IF(S197=1,0,IF(S197=2,0.13,IF(S197=3,0.2,IF(S197=4,0.27,0))))</f>
        <v>0</v>
      </c>
      <c r="AV197" s="478">
        <f>IF(T197=1,0,IF(T197=2,0.11,IF(T197=3,0.17,IF(T197=4,0.22,0))))</f>
        <v>0</v>
      </c>
      <c r="AW197" s="478">
        <f>IF(U197=1,0,IF(U197=2,0.08,IF(U197=3,0.12,IF(U197=4,0.16,0))))</f>
        <v>0</v>
      </c>
      <c r="AX197" s="478">
        <f>IF(V197=1,0,IF(V197=2,0.05,IF(V197=3,0.07,IF(V197=4,0.1,0))))</f>
        <v>0</v>
      </c>
      <c r="AZ197" s="478">
        <f>IF(S197=1,0,IF(S197=2,0.11,IF(S197=3,0.17,IF(S197=4,0.22,0))))</f>
        <v>0</v>
      </c>
      <c r="BA197" s="478">
        <f>IF(T197=1,0,IF(T197=2,0.08,IF(T197=3,0.12,IF(T197=4,0.16,0))))</f>
        <v>0</v>
      </c>
      <c r="BB197" s="478">
        <f>IF(U197=1,0,IF(U197=2,0.05,IF(U197=3,0.07,IF(U197=4,0.1,0))))</f>
        <v>0</v>
      </c>
      <c r="BD197" s="478">
        <f>IF(S197=1,0,IF(S197=2,0.08,IF(S197=3,0.12,IF(S197=4,0.16,0))))</f>
        <v>0</v>
      </c>
      <c r="BE197" s="478">
        <f>IF(T197=1,0,IF(T197=2,0.05,IF(T197=3,0.07,IF(T197=4,0.1,0))))</f>
        <v>0</v>
      </c>
      <c r="BG197" s="478">
        <f>IF(S197=1,0,IF(S197=2,0.05,IF(S197=3,0.07,IF(S197=4,0.1,0))))</f>
        <v>0</v>
      </c>
      <c r="BI197" s="478">
        <f>IF(AA197=0,0,IF(OR(AB196=1,AB197=1),AH197-AO197,IF(OR(AC196=1,AC197=1),AH197-AU197,IF(OR(AD196=1,AD197=1),AH197-AZ197,IF(OR(AE196=1,AE197=1),AH197-BD197,IF(OR(AF196=1,AF197=1),AH197-BG197,AH197))))))</f>
        <v>0</v>
      </c>
      <c r="BJ197" s="478">
        <f>IF(AB197=0,0,IF(OR(AC196=1,AC197=1),AI197-AP197,IF(OR(AD196=1,AD197=1),AI197-AV197,IF(OR(AE196=1,AE197=1),AI197-BA197,IF(OR(AF196=1,AF197=1),AI197-BE197,AI197)))))</f>
        <v>0</v>
      </c>
      <c r="BK197" s="478">
        <f>IF(AC197=0,0,IF(OR(AD196=1,AD197=1),AJ197-AQ197,IF(OR(AE196=1,AE197=1),AJ197-AW197,IF(OR(AF196=1,AF197=1),AJ197-BB197,AJ197))))</f>
        <v>0</v>
      </c>
      <c r="BL197" s="478">
        <f>IF(AD197=0,0,IF(OR(AE196=1,AE197=1),AK197-AR197,IF(OR(AF196=1,AF197=1),AK197-AX197,AK197)))</f>
        <v>0</v>
      </c>
      <c r="BM197" s="478">
        <f>IF(AE197=0,0,IF(OR(AF196=1,AF197=1),AL197-AS197,AL197))</f>
        <v>0</v>
      </c>
      <c r="BN197" s="478">
        <f>IF(AF197=0,0,AM197)</f>
        <v>0</v>
      </c>
      <c r="BP197" s="484">
        <f>LARGE((BI196,BJ196,BK196,BL196,BM196,BN196,BI197,BJ197,BK197,BL197,BM197,BN197,BI198,BJ198,BK198,BL198,BM198,BN198),1)</f>
        <v>0</v>
      </c>
      <c r="BQ197" s="485">
        <f>LARGE((BI196,BJ196,BK196,BL196,BM196,BN196,BI197,BJ197,BK197,BL197,BM197,BN197,BI198,BJ198,BK198,BL198,BM198,BN198),2)</f>
        <v>0</v>
      </c>
      <c r="BR197" s="485">
        <f>LARGE((BI196,BJ196,BK196,BL196,BM196,BN196,BI197,BJ197,BK197,BL197,BM197,BN197,BI198,BJ198,BK198,BL198,BM198,BN198),3)</f>
        <v>0</v>
      </c>
      <c r="BS197" s="485">
        <f>LARGE((BI196,BJ196,BK196,BL196,BM196,BN196,BI197,BJ197,BK197,BL197,BM197,BN197,BI198,BJ198,BK198,BL198,BM198,BN198),4)</f>
        <v>0</v>
      </c>
      <c r="BT197" s="485">
        <f>LARGE((BI196,BJ196,BK196,BL196,BM196,BN196,BI197,BJ197,BK197,BL197,BM197,BN197,BI198,BJ198,BK198,BL198,BM198,BN198),5)</f>
        <v>0</v>
      </c>
      <c r="BU197" s="485">
        <f>LARGE((BI196,BJ196,BK196,BL196,BM196,BN196,BI197,BJ197,BK197,BL197,BM197,BN197,BI198,BJ198,BK198,BL198,BM198,BN198),6)</f>
        <v>0</v>
      </c>
      <c r="BV197" s="485">
        <f>LARGE((BI196,BJ196,BK196,BL196,BM196,BN196,BI197,BJ197,BK197,BL197,BM197,BN197,BI198,BJ198,BK198,BL198,BM198,BN198),7)</f>
        <v>0</v>
      </c>
      <c r="BW197" s="485">
        <f>LARGE((BI196,BJ196,BK196,BL196,BM196,BN196,BI197,BJ197,BK197,BL197,BM197,BN197,BI198,BJ198,BK198,BL198,BM198,BN198),8)</f>
        <v>0</v>
      </c>
      <c r="BX197" s="485">
        <f>LARGE((BI196,BJ196,BK196,BL196,BM196,BN196,BI197,BJ197,BK197,BL197,BM197,BN197,BI198,BJ198,BK198,BL198,BM198,BN198),9)</f>
        <v>0</v>
      </c>
      <c r="BY197" s="485">
        <f>LARGE((BI196,BJ196,BK196,BL196,BM196,BN196,BI197,BJ197,BK197,BL197,BM197,BN197,BI198,BJ198,BK198,BL198,BM198,BN198),10)</f>
        <v>0</v>
      </c>
      <c r="BZ197" s="485">
        <f>LARGE((BI196,BJ196,BK196,BL196,BM196,BN196,BI197,BJ197,BK197,BL197,BM197,BN197,BI198,BJ198,BK198,BL198,BM198,BN198),11)</f>
        <v>0</v>
      </c>
      <c r="CA197" s="485">
        <f>LARGE((BI196,BJ196,BK196,BL196,BM196,BN196,BI197,BJ197,BK197,BL197,BM197,BN197,BI198,BJ198,BK198,BL198,BM198,BN198),12)</f>
        <v>0</v>
      </c>
    </row>
    <row r="198" spans="1:109" customFormat="1" ht="15" customHeight="1" x14ac:dyDescent="0.2">
      <c r="B198" s="482" t="s">
        <v>1581</v>
      </c>
      <c r="C198" s="925"/>
      <c r="D198" s="925"/>
      <c r="E198" s="925"/>
      <c r="F198" s="925"/>
      <c r="G198" s="925"/>
      <c r="H198" s="925"/>
      <c r="I198" s="925"/>
      <c r="J198" s="925"/>
      <c r="K198" s="925"/>
      <c r="L198" s="925"/>
      <c r="M198" s="925"/>
      <c r="N198" s="925"/>
      <c r="P198" s="495"/>
      <c r="S198" s="301">
        <f>IF(C198="",0,C198)</f>
        <v>0</v>
      </c>
      <c r="T198" s="301">
        <f>IF(E198&lt;&gt;"",E198,IF(S198&gt;0,S198,0))</f>
        <v>0</v>
      </c>
      <c r="U198" s="301">
        <f>IF(G198&lt;&gt;"",G198,IF(T198&gt;0,T198,0))</f>
        <v>0</v>
      </c>
      <c r="V198" s="301">
        <f>IF(I198&lt;&gt;"",I198,IF(U198&gt;0,U198,0))</f>
        <v>0</v>
      </c>
      <c r="W198" s="301">
        <f>IF(K198&lt;&gt;"",K198,IF(V198&gt;0,V198,0))</f>
        <v>0</v>
      </c>
      <c r="X198" s="301">
        <f>IF(M198&lt;&gt;"",M198,IF(W198&gt;0,W198,0))</f>
        <v>0</v>
      </c>
      <c r="AA198" s="483">
        <f>IF(C198&gt;1,1,0)</f>
        <v>0</v>
      </c>
      <c r="AB198" s="301">
        <f t="shared" si="27"/>
        <v>0</v>
      </c>
      <c r="AC198" s="301">
        <f t="shared" si="27"/>
        <v>0</v>
      </c>
      <c r="AD198" s="301">
        <f t="shared" si="27"/>
        <v>0</v>
      </c>
      <c r="AE198" s="301">
        <f t="shared" si="27"/>
        <v>0</v>
      </c>
      <c r="AF198" s="301">
        <f t="shared" si="27"/>
        <v>0</v>
      </c>
      <c r="AH198" s="478">
        <f>IF(S198=1,0,IF(S198=2,0.1,IF(S198=3,0.17,IF(S198=4,0.23,0))))</f>
        <v>0</v>
      </c>
      <c r="AI198" s="478">
        <f>IF(T198=1,0,IF(T198=2,0.09,IF(T198=3,0.15,IF(T198=4,0.2,0))))</f>
        <v>0</v>
      </c>
      <c r="AJ198" s="478">
        <f>IF(U198=1,0,IF(U198=2,0.08,IF(U198=3,0.13,IF(U198=4,0.17,0))))</f>
        <v>0</v>
      </c>
      <c r="AK198" s="478">
        <f>IF(V198=1,0,IF(V198=2,0.07,IF(V198=3,0.1,IF(V198=4,0.14,0))))</f>
        <v>0</v>
      </c>
      <c r="AL198" s="478">
        <f>IF(W198=1,0,IF(W198=2,0.05,IF(W198=3,0.08,IF(W198=4,0.1,0))))</f>
        <v>0</v>
      </c>
      <c r="AM198" s="478">
        <f>IF(X198=1,0,IF(X198=2,0.03,IF(X198=3,0.05,IF(X198=4,0.06,0))))</f>
        <v>0</v>
      </c>
      <c r="AN198" s="479"/>
      <c r="AO198" s="478">
        <f>IF(S198=1,0,IF(S198=2,0.09,IF(S198=3,0.15,IF(S198=4,0.2,0))))</f>
        <v>0</v>
      </c>
      <c r="AP198" s="478">
        <f>IF(T198=1,0,IF(T198=2,0.08,IF(T198=3,0.13,IF(T198=4,0.17,0))))</f>
        <v>0</v>
      </c>
      <c r="AQ198" s="478">
        <f>IF(U198=1,0,IF(U198=2,0.07,IF(U198=3,0.1,IF(U198=4,0.14,0))))</f>
        <v>0</v>
      </c>
      <c r="AR198" s="478">
        <f>IF(V198=1,0,IF(V198=2,0.05,IF(V198=3,0.08,IF(V198=4,0.1,0))))</f>
        <v>0</v>
      </c>
      <c r="AS198" s="478">
        <f>IF(W198=1,0,IF(W198=2,0.03,IF(W198=3,0.05,IF(W198=4,0.06,0))))</f>
        <v>0</v>
      </c>
      <c r="AU198" s="478">
        <f>IF(S198=1,0,IF(S198=2,0.08,IF(S198=3,0.13,IF(S198=4,0.17,0))))</f>
        <v>0</v>
      </c>
      <c r="AV198" s="478">
        <f>IF(T198=1,0,IF(T198=2,0.07,IF(T198=3,0.1,IF(T198=4,0.14,0))))</f>
        <v>0</v>
      </c>
      <c r="AW198" s="478">
        <f>IF(U198=1,0,IF(U198=2,0.05,IF(U198=3,0.08,IF(U198=4,0.1,0))))</f>
        <v>0</v>
      </c>
      <c r="AX198" s="478">
        <f>IF(V198=1,0,IF(V198=2,0.03,IF(V198=3,0.05,IF(V198=4,0.06,0))))</f>
        <v>0</v>
      </c>
      <c r="AZ198" s="478">
        <f>IF(S198=1,0,IF(S198=2,0.07,IF(S198=3,0.1,IF(S198=4,0.14,0))))</f>
        <v>0</v>
      </c>
      <c r="BA198" s="478">
        <f>IF(T198=1,0,IF(T198=2,0.05,IF(T198=3,0.08,IF(T198=4,0.1,0))))</f>
        <v>0</v>
      </c>
      <c r="BB198" s="478">
        <f>IF(U198=1,0,IF(U198=2,0.03,IF(U198=3,0.05,IF(U198=4,0.06,0))))</f>
        <v>0</v>
      </c>
      <c r="BD198" s="478">
        <f>IF(S198=1,0,IF(S198=2,0.05,IF(S198=3,0.08,IF(S198=4,0.1,0))))</f>
        <v>0</v>
      </c>
      <c r="BE198" s="478">
        <f>IF(T198=1,0,IF(T198=2,0.03,IF(T198=3,0.05,IF(T198=4,0.06,0))))</f>
        <v>0</v>
      </c>
      <c r="BG198" s="478">
        <f>IF(S198=1,0,IF(S198=2,0.03,IF(S198=3,0.05,IF(S198=4,0.06,0))))</f>
        <v>0</v>
      </c>
      <c r="BI198" s="478">
        <f>IF(AA198=0,0,IF(OR(AB196=1,AB198=1),AH198-AO198,IF(OR(AC196=1,AC198=1),AH198-AU198,IF(OR(AD196=1,AD198=1),AH198-AZ198,IF(OR(AE196=1,AE198=1),AH198-BD198,IF(OR(AF196=1,AF198=1),AH198-BG198,AH198))))))</f>
        <v>0</v>
      </c>
      <c r="BJ198" s="478">
        <f>IF(AB198=0,0,IF(OR(AC196=1,AC198=1),AI198-AP198,IF(OR(AD196=1,AD198=1),AI198-AV198,IF(OR(AE196=1,AE198=1),AI198-BA198,IF(OR(AF196=1,AF198=1),AI198-BE198,AI198)))))</f>
        <v>0</v>
      </c>
      <c r="BK198" s="478">
        <f>IF(AC198=0,0,IF(OR(AD196=1,AD198=1),AJ198-AQ198,IF(OR(AE196=1,AE198=1),AJ198-AW198,IF(OR(AF196=1,AF198=1),AJ198-BB198,AJ198))))</f>
        <v>0</v>
      </c>
      <c r="BL198" s="478">
        <f>IF(AD198=0,0,IF(OR(AE196=1,AE198=1),AK198-AR198,IF(OR(AF196=1,AF198=1),AK198-AX198,AK198)))</f>
        <v>0</v>
      </c>
      <c r="BM198" s="478">
        <f>IF(AE198=0,0,IF(OR(AF196=1,AF198=1),AL198-AS198,AL198))</f>
        <v>0</v>
      </c>
      <c r="BN198" s="478">
        <f>IF(AF198=0,0,AM198)</f>
        <v>0</v>
      </c>
      <c r="BP198" s="486">
        <f>ROUND(BP197+BQ197*(1-BP197),2)</f>
        <v>0</v>
      </c>
      <c r="BQ198" s="486">
        <f t="shared" ref="BQ198:BZ198" si="28">ROUND(BP198+BR197*(1-BP198),2)</f>
        <v>0</v>
      </c>
      <c r="BR198" s="486">
        <f t="shared" si="28"/>
        <v>0</v>
      </c>
      <c r="BS198" s="486">
        <f t="shared" si="28"/>
        <v>0</v>
      </c>
      <c r="BT198" s="486">
        <f t="shared" si="28"/>
        <v>0</v>
      </c>
      <c r="BU198" s="486">
        <f t="shared" si="28"/>
        <v>0</v>
      </c>
      <c r="BV198" s="486">
        <f t="shared" si="28"/>
        <v>0</v>
      </c>
      <c r="BW198" s="486">
        <f t="shared" si="28"/>
        <v>0</v>
      </c>
      <c r="BX198" s="486">
        <f t="shared" si="28"/>
        <v>0</v>
      </c>
      <c r="BY198" s="486">
        <f t="shared" si="28"/>
        <v>0</v>
      </c>
      <c r="BZ198" s="486">
        <f t="shared" si="28"/>
        <v>0</v>
      </c>
      <c r="CA198" s="483"/>
    </row>
    <row r="199" spans="1:109" customFormat="1" ht="15" customHeight="1" x14ac:dyDescent="0.2">
      <c r="B199" s="926" t="str">
        <f>IF(AD199=1,"ERROR: If radial or ulnar impairment is recorded, do not enter losses for 'both sides.'","")</f>
        <v/>
      </c>
      <c r="C199" s="927"/>
      <c r="D199" s="927"/>
      <c r="E199" s="927"/>
      <c r="F199" s="927"/>
      <c r="G199" s="927"/>
      <c r="H199" s="927"/>
      <c r="I199" s="927"/>
      <c r="J199" s="927"/>
      <c r="K199" s="927"/>
      <c r="L199" s="927"/>
      <c r="M199" s="927"/>
      <c r="N199" s="927"/>
      <c r="O199" s="928"/>
      <c r="P199" s="245">
        <f>IF(B199&lt;&gt;"","ERROR",BZ198)</f>
        <v>0</v>
      </c>
      <c r="S199" s="475"/>
      <c r="T199" s="475"/>
      <c r="U199" s="475"/>
      <c r="V199" s="475"/>
      <c r="W199" s="475"/>
      <c r="AA199" s="301">
        <f>SUM(AA196:AF196)</f>
        <v>0</v>
      </c>
      <c r="AB199" s="301">
        <f>SUM(AA197:AF197)</f>
        <v>0</v>
      </c>
      <c r="AC199" s="301">
        <f>SUM(AA198:AF198)</f>
        <v>0</v>
      </c>
      <c r="AD199" s="301">
        <f>IF(AND(AA199&gt;0,AB199&gt;0),1,IF(AND(AA199&gt;0,AC199&gt;0),1,0))</f>
        <v>0</v>
      </c>
      <c r="AE199" s="475"/>
      <c r="AF199" s="475"/>
    </row>
    <row r="200" spans="1:109" ht="12" customHeight="1" x14ac:dyDescent="0.2">
      <c r="B200" s="1"/>
      <c r="D200" s="1"/>
      <c r="E200" s="1"/>
      <c r="F200" s="1"/>
      <c r="G200" s="1"/>
      <c r="H200" s="1"/>
      <c r="I200" s="1"/>
      <c r="J200" s="1"/>
      <c r="K200" s="1"/>
      <c r="L200" s="1"/>
      <c r="M200" s="1"/>
      <c r="N200" s="1"/>
      <c r="O200" s="1"/>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row>
    <row r="201" spans="1:109" x14ac:dyDescent="0.2">
      <c r="B201" s="50" t="s">
        <v>1214</v>
      </c>
      <c r="C201" s="910" t="s">
        <v>1348</v>
      </c>
      <c r="D201" s="910"/>
      <c r="E201" s="910"/>
      <c r="F201" s="910"/>
      <c r="G201" s="910"/>
      <c r="H201" s="910" t="s">
        <v>1759</v>
      </c>
      <c r="I201" s="910"/>
      <c r="J201" s="910"/>
      <c r="K201" s="18"/>
      <c r="L201" s="910" t="s">
        <v>1215</v>
      </c>
      <c r="M201" s="910"/>
      <c r="N201" s="910"/>
      <c r="O201" s="910"/>
      <c r="P201" s="755">
        <f>V203</f>
        <v>0</v>
      </c>
      <c r="R201" s="10"/>
      <c r="S201" s="560" t="s">
        <v>1565</v>
      </c>
      <c r="T201" s="560" t="s">
        <v>1285</v>
      </c>
      <c r="U201" s="560" t="s">
        <v>1286</v>
      </c>
      <c r="V201" s="559" t="s">
        <v>1287</v>
      </c>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row>
    <row r="202" spans="1:109" ht="15" customHeight="1" x14ac:dyDescent="0.2">
      <c r="B202" s="146" t="s">
        <v>533</v>
      </c>
      <c r="C202" s="922"/>
      <c r="D202" s="922"/>
      <c r="E202" s="922"/>
      <c r="F202" s="922"/>
      <c r="G202" s="922"/>
      <c r="H202" s="914">
        <f>IF(C202=$X$127,0.09,IF(C202=$Y$127,0.18,IF(C202=$Z$127,0.27,0)))</f>
        <v>0</v>
      </c>
      <c r="I202" s="914"/>
      <c r="J202" s="914"/>
      <c r="K202" s="146"/>
      <c r="L202" s="922"/>
      <c r="M202" s="922"/>
      <c r="N202" s="922"/>
      <c r="O202" s="21">
        <f>IF(H202&gt;=S202,H202-S202,0)</f>
        <v>0</v>
      </c>
      <c r="P202" s="755"/>
      <c r="R202" s="10"/>
      <c r="S202" s="147">
        <f>IF(L202=$Y$128,0.09,IF(L202=$Z$128,0.18,IF(L202=$AA$128,0.27,0)))</f>
        <v>0</v>
      </c>
      <c r="T202" s="147">
        <f>LARGE(O202:O204,1)</f>
        <v>0</v>
      </c>
      <c r="U202" s="544">
        <f>T202+T203*(1-T202)</f>
        <v>0</v>
      </c>
      <c r="V202" s="544">
        <f>ROUND(U202,2)</f>
        <v>0</v>
      </c>
      <c r="W202" s="863" t="s">
        <v>2147</v>
      </c>
      <c r="X202" s="863"/>
      <c r="Y202" s="863"/>
      <c r="Z202" s="863"/>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row>
    <row r="203" spans="1:109" ht="15" customHeight="1" x14ac:dyDescent="0.2">
      <c r="B203" s="50" t="s">
        <v>534</v>
      </c>
      <c r="C203" s="922"/>
      <c r="D203" s="922"/>
      <c r="E203" s="922"/>
      <c r="F203" s="922"/>
      <c r="G203" s="922"/>
      <c r="H203" s="914">
        <f>IF(C203=$X$127,0.16,IF(C203=$Y$127,0.32,IF(C203=$Z$127,0.48,0)))</f>
        <v>0</v>
      </c>
      <c r="I203" s="914"/>
      <c r="J203" s="914"/>
      <c r="K203" s="146"/>
      <c r="L203" s="922"/>
      <c r="M203" s="922"/>
      <c r="N203" s="922"/>
      <c r="O203" s="21">
        <f>IF(H203&gt;=S203,H203-S203,0)</f>
        <v>0</v>
      </c>
      <c r="P203" s="755"/>
      <c r="R203" s="10"/>
      <c r="S203" s="147">
        <f>IF(L203=$Y$128,0.16,IF(L203=$Z$128,0.32,IF(L203=$AA$128,0.48,0)))</f>
        <v>0</v>
      </c>
      <c r="T203" s="147">
        <f>LARGE(O202:O204,2)</f>
        <v>0</v>
      </c>
      <c r="U203" s="544">
        <f>V202+T204*(1-V202)</f>
        <v>0</v>
      </c>
      <c r="V203" s="544">
        <f>ROUND(U203,2)</f>
        <v>0</v>
      </c>
      <c r="W203" s="50"/>
      <c r="X203" s="50" t="s">
        <v>1218</v>
      </c>
      <c r="Y203" s="50" t="s">
        <v>1219</v>
      </c>
      <c r="Z203" s="50" t="s">
        <v>1220</v>
      </c>
      <c r="AA203" s="5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row>
    <row r="204" spans="1:109" ht="15" customHeight="1" x14ac:dyDescent="0.2">
      <c r="B204" s="50" t="s">
        <v>535</v>
      </c>
      <c r="C204" s="922"/>
      <c r="D204" s="922"/>
      <c r="E204" s="922"/>
      <c r="F204" s="922"/>
      <c r="G204" s="922"/>
      <c r="H204" s="914">
        <f>IF(C204=$X$127,0.2,IF(C204=$Y$127,0.4,IF(C204=$Z$127,0.6,0)))</f>
        <v>0</v>
      </c>
      <c r="I204" s="914"/>
      <c r="J204" s="914"/>
      <c r="K204" s="146"/>
      <c r="L204" s="922"/>
      <c r="M204" s="922"/>
      <c r="N204" s="922"/>
      <c r="O204" s="21">
        <f>IF(H204&gt;=S204,H204-S204,0)</f>
        <v>0</v>
      </c>
      <c r="P204" s="755"/>
      <c r="R204" s="10"/>
      <c r="S204" s="147">
        <f>IF(L204=$Y$128,0.2,IF(L204=$Z$128,0.4,IF(L204=$AA$128,0.6,0)))</f>
        <v>0</v>
      </c>
      <c r="T204" s="147">
        <f>LARGE(O202:O204,3)</f>
        <v>0</v>
      </c>
      <c r="U204" s="50"/>
      <c r="V204" s="50"/>
      <c r="W204" s="50"/>
      <c r="X204" s="50" t="s">
        <v>510</v>
      </c>
      <c r="Y204" s="50" t="s">
        <v>899</v>
      </c>
      <c r="Z204" s="147" t="s">
        <v>1764</v>
      </c>
      <c r="AA204" s="50" t="s">
        <v>1639</v>
      </c>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row>
    <row r="205" spans="1:109" ht="12" customHeight="1" x14ac:dyDescent="0.2">
      <c r="B205" s="1003"/>
      <c r="C205" s="1003"/>
      <c r="D205" s="1003"/>
      <c r="E205" s="1003"/>
      <c r="F205" s="1003"/>
      <c r="G205" s="1003"/>
      <c r="H205" s="1003"/>
      <c r="I205" s="1003"/>
      <c r="J205" s="1003"/>
      <c r="K205" s="1003"/>
      <c r="L205" s="1003"/>
      <c r="M205" s="1003"/>
      <c r="N205" s="1003"/>
      <c r="O205" s="1003"/>
      <c r="P205" s="151"/>
      <c r="R205" s="10"/>
      <c r="S205" s="14"/>
      <c r="T205" s="14"/>
      <c r="U205" s="10"/>
      <c r="V205" s="10"/>
      <c r="W205" s="10"/>
      <c r="X205" s="10"/>
      <c r="Y205" s="10"/>
      <c r="Z205" s="14"/>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row>
    <row r="206" spans="1:109" ht="15" customHeight="1" x14ac:dyDescent="0.2">
      <c r="A206" s="15"/>
      <c r="B206" s="761" t="s">
        <v>952</v>
      </c>
      <c r="C206" s="937"/>
      <c r="D206" s="938"/>
      <c r="E206" s="742" t="s">
        <v>560</v>
      </c>
      <c r="F206" s="743"/>
      <c r="G206" s="743"/>
      <c r="H206" s="743"/>
      <c r="I206" s="743"/>
      <c r="J206" s="743"/>
      <c r="K206" s="743"/>
      <c r="L206" s="743"/>
      <c r="M206" s="743"/>
      <c r="N206" s="743"/>
      <c r="O206" s="744"/>
      <c r="P206" s="245">
        <f>IF(T206=1,0.15,0)</f>
        <v>0</v>
      </c>
      <c r="R206" s="947" t="s">
        <v>2147</v>
      </c>
      <c r="S206" s="561" t="b">
        <v>0</v>
      </c>
      <c r="T206" s="50">
        <f>IF(S206=TRUE,1,0)</f>
        <v>0</v>
      </c>
      <c r="U206" s="10"/>
      <c r="V206" s="10"/>
      <c r="W206" s="10"/>
      <c r="X206" s="10"/>
      <c r="Y206" s="10"/>
      <c r="Z206" s="10"/>
      <c r="AA206" s="10"/>
      <c r="AB206" s="10"/>
      <c r="AC206" s="10"/>
      <c r="AD206" s="10"/>
      <c r="AE206" s="10"/>
      <c r="AF206" s="10"/>
      <c r="AG206" s="10">
        <v>1E-4</v>
      </c>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row>
    <row r="207" spans="1:109" ht="15" customHeight="1" x14ac:dyDescent="0.2">
      <c r="B207" s="761"/>
      <c r="C207" s="937"/>
      <c r="D207" s="938"/>
      <c r="E207" s="742" t="s">
        <v>561</v>
      </c>
      <c r="F207" s="743"/>
      <c r="G207" s="743"/>
      <c r="H207" s="743"/>
      <c r="I207" s="743"/>
      <c r="J207" s="743"/>
      <c r="K207" s="743"/>
      <c r="L207" s="743"/>
      <c r="M207" s="743"/>
      <c r="N207" s="743"/>
      <c r="O207" s="744"/>
      <c r="P207" s="245">
        <f>IF(T207=1,0.25,0)</f>
        <v>0</v>
      </c>
      <c r="R207" s="947"/>
      <c r="S207" s="561" t="b">
        <v>0</v>
      </c>
      <c r="T207" s="50">
        <f>IF(S207=TRUE,1,0)</f>
        <v>0</v>
      </c>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row>
    <row r="208" spans="1:109" ht="15" customHeight="1" x14ac:dyDescent="0.2">
      <c r="B208" s="761"/>
      <c r="C208" s="937"/>
      <c r="D208" s="938"/>
      <c r="E208" s="742" t="s">
        <v>773</v>
      </c>
      <c r="F208" s="743"/>
      <c r="G208" s="743"/>
      <c r="H208" s="743"/>
      <c r="I208" s="743"/>
      <c r="J208" s="743"/>
      <c r="K208" s="743"/>
      <c r="L208" s="743"/>
      <c r="M208" s="743"/>
      <c r="N208" s="743"/>
      <c r="O208" s="744"/>
      <c r="P208" s="245">
        <f>IF(T208=1,0.23,0)</f>
        <v>0</v>
      </c>
      <c r="R208" s="947"/>
      <c r="S208" s="561" t="b">
        <v>0</v>
      </c>
      <c r="T208" s="50">
        <f>IF(S208=TRUE,1,0)</f>
        <v>0</v>
      </c>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row>
    <row r="209" spans="2:109" ht="12" customHeight="1" x14ac:dyDescent="0.2">
      <c r="B209" s="777"/>
      <c r="C209" s="777"/>
      <c r="D209" s="777"/>
      <c r="E209" s="777"/>
      <c r="F209" s="777"/>
      <c r="G209" s="777"/>
      <c r="H209" s="777"/>
      <c r="I209" s="777"/>
      <c r="J209" s="777"/>
      <c r="K209" s="777"/>
      <c r="L209" s="777"/>
      <c r="M209" s="777"/>
      <c r="N209" s="777"/>
      <c r="O209" s="777"/>
      <c r="P209" s="1"/>
      <c r="R209" s="10"/>
      <c r="S209" s="133"/>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row>
    <row r="210" spans="2:109" ht="15" customHeight="1" x14ac:dyDescent="0.2">
      <c r="B210" s="939" t="s">
        <v>1424</v>
      </c>
      <c r="C210" s="939"/>
      <c r="D210" s="939"/>
      <c r="E210" s="939"/>
      <c r="F210" s="939"/>
      <c r="G210" s="939"/>
      <c r="H210" s="939"/>
      <c r="I210" s="939"/>
      <c r="J210" s="939"/>
      <c r="K210" s="939"/>
      <c r="L210" s="939"/>
      <c r="M210" s="939"/>
      <c r="N210" s="939"/>
      <c r="O210" s="312"/>
      <c r="P210" s="21">
        <f>SUMIF(T210:X210,O210,T211:X211)</f>
        <v>0</v>
      </c>
      <c r="R210" s="949" t="s">
        <v>2147</v>
      </c>
      <c r="S210" s="949"/>
      <c r="T210" s="50" t="s">
        <v>1928</v>
      </c>
      <c r="U210" s="50" t="s">
        <v>1929</v>
      </c>
      <c r="V210" s="147" t="s">
        <v>1931</v>
      </c>
      <c r="W210" s="50" t="s">
        <v>929</v>
      </c>
      <c r="X210" s="147" t="s">
        <v>545</v>
      </c>
      <c r="Y210" s="10"/>
      <c r="Z210" s="50" t="s">
        <v>1928</v>
      </c>
      <c r="AA210" s="50" t="s">
        <v>1929</v>
      </c>
      <c r="AB210" s="147" t="s">
        <v>1931</v>
      </c>
      <c r="AC210" s="50" t="s">
        <v>929</v>
      </c>
      <c r="AD210" s="147" t="s">
        <v>545</v>
      </c>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row>
    <row r="211" spans="2:109" ht="15" customHeight="1" x14ac:dyDescent="0.2">
      <c r="B211" s="939" t="s">
        <v>1469</v>
      </c>
      <c r="C211" s="939"/>
      <c r="D211" s="939"/>
      <c r="E211" s="939"/>
      <c r="F211" s="939"/>
      <c r="G211" s="939"/>
      <c r="H211" s="939"/>
      <c r="I211" s="939"/>
      <c r="J211" s="939"/>
      <c r="K211" s="939"/>
      <c r="L211" s="939"/>
      <c r="M211" s="939"/>
      <c r="N211" s="939"/>
      <c r="O211" s="312"/>
      <c r="P211" s="21">
        <f>SUMIF(Z210:AD210,O211,Z211:AD211)</f>
        <v>0</v>
      </c>
      <c r="R211" s="949"/>
      <c r="S211" s="949"/>
      <c r="T211" s="147">
        <v>0.03</v>
      </c>
      <c r="U211" s="147">
        <v>0.15</v>
      </c>
      <c r="V211" s="147">
        <v>0.38</v>
      </c>
      <c r="W211" s="147">
        <v>0.68</v>
      </c>
      <c r="X211" s="147">
        <v>0.9</v>
      </c>
      <c r="Y211" s="10"/>
      <c r="Z211" s="147">
        <v>0.03</v>
      </c>
      <c r="AA211" s="147">
        <v>0.15</v>
      </c>
      <c r="AB211" s="147">
        <v>0.35</v>
      </c>
      <c r="AC211" s="147">
        <v>0.63</v>
      </c>
      <c r="AD211" s="147">
        <v>0.88</v>
      </c>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row>
    <row r="212" spans="2:109" ht="6" customHeight="1" x14ac:dyDescent="0.2">
      <c r="B212" s="777"/>
      <c r="C212" s="777"/>
      <c r="D212" s="777"/>
      <c r="E212" s="777"/>
      <c r="F212" s="777"/>
      <c r="G212" s="777"/>
      <c r="H212" s="777"/>
      <c r="I212" s="777"/>
      <c r="J212" s="777"/>
      <c r="K212" s="777"/>
      <c r="L212" s="777"/>
      <c r="M212" s="777"/>
      <c r="N212" s="777"/>
      <c r="O212" s="777"/>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row>
    <row r="213" spans="2:109" ht="6" customHeight="1" x14ac:dyDescent="0.2">
      <c r="B213" s="777"/>
      <c r="C213" s="777"/>
      <c r="D213" s="777"/>
      <c r="E213" s="777"/>
      <c r="F213" s="777"/>
      <c r="G213" s="777"/>
      <c r="H213" s="777"/>
      <c r="I213" s="777"/>
      <c r="J213" s="777"/>
      <c r="K213" s="777"/>
      <c r="L213" s="777"/>
      <c r="M213" s="777"/>
      <c r="N213" s="777"/>
      <c r="O213" s="777"/>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row>
    <row r="214" spans="2:109" ht="27" customHeight="1" x14ac:dyDescent="0.2">
      <c r="B214" s="864" t="s">
        <v>115</v>
      </c>
      <c r="C214" s="865"/>
      <c r="D214" s="865"/>
      <c r="E214" s="865"/>
      <c r="F214" s="865"/>
      <c r="G214" s="907" t="s">
        <v>1495</v>
      </c>
      <c r="H214" s="945"/>
      <c r="I214" s="945"/>
      <c r="J214" s="946"/>
      <c r="K214" s="967"/>
      <c r="L214" s="968"/>
      <c r="M214" s="968"/>
      <c r="N214" s="968"/>
      <c r="O214" s="969"/>
      <c r="P214" s="857">
        <f>U228</f>
        <v>0</v>
      </c>
      <c r="R214" s="146" t="s">
        <v>1826</v>
      </c>
      <c r="S214" s="50" t="s">
        <v>1285</v>
      </c>
      <c r="T214" s="50" t="s">
        <v>1286</v>
      </c>
      <c r="U214" s="50" t="s">
        <v>1287</v>
      </c>
      <c r="V214" s="944" t="s">
        <v>786</v>
      </c>
      <c r="W214" s="945"/>
      <c r="X214" s="946"/>
      <c r="Y214" s="50" t="s">
        <v>498</v>
      </c>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row>
    <row r="215" spans="2:109" ht="15" customHeight="1" x14ac:dyDescent="0.2">
      <c r="B215" s="941" t="s">
        <v>615</v>
      </c>
      <c r="C215" s="942"/>
      <c r="D215" s="943"/>
      <c r="E215" s="1069">
        <f>P157</f>
        <v>0</v>
      </c>
      <c r="F215" s="1091"/>
      <c r="G215" s="923"/>
      <c r="H215" s="923"/>
      <c r="I215" s="929">
        <f t="shared" ref="I215:I228" si="29">IF(AND(Y215&lt;0.01,Y215&gt;0),0.01,ROUND(Y215,2))</f>
        <v>0</v>
      </c>
      <c r="J215" s="929"/>
      <c r="K215" s="970"/>
      <c r="L215" s="971"/>
      <c r="M215" s="971"/>
      <c r="N215" s="971"/>
      <c r="O215" s="972"/>
      <c r="P215" s="961"/>
      <c r="R215" s="548">
        <f t="shared" ref="R215:R228" si="30">IF(I215&gt;0,I215,E215)</f>
        <v>0</v>
      </c>
      <c r="S215" s="147">
        <f>LARGE($R$215:$R$229,1)</f>
        <v>0</v>
      </c>
      <c r="T215" s="544">
        <f>S215+S216*(1-S215)</f>
        <v>0</v>
      </c>
      <c r="U215" s="548">
        <f t="shared" ref="U215:U228" si="31">ROUND(T215,2)</f>
        <v>0</v>
      </c>
      <c r="V215" s="50">
        <f>IF(E215&gt;0,1,0)</f>
        <v>0</v>
      </c>
      <c r="W215" s="50">
        <f>COUNTIF(V215:V229,1)</f>
        <v>0</v>
      </c>
      <c r="X215" s="50">
        <f>IF(AND(W215=0,W216&gt;0),1,IF(W215&gt;0,2,0))</f>
        <v>0</v>
      </c>
      <c r="Y215" s="291">
        <f t="shared" ref="Y215:Y228" si="32">E215*G215</f>
        <v>0</v>
      </c>
      <c r="AA215" s="10"/>
      <c r="AD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row>
    <row r="216" spans="2:109" ht="15" customHeight="1" x14ac:dyDescent="0.2">
      <c r="B216" s="742" t="s">
        <v>372</v>
      </c>
      <c r="C216" s="743"/>
      <c r="D216" s="744"/>
      <c r="E216" s="755">
        <f>P160</f>
        <v>0</v>
      </c>
      <c r="F216" s="755"/>
      <c r="G216" s="923"/>
      <c r="H216" s="923"/>
      <c r="I216" s="929">
        <f t="shared" ref="I216" si="33">IF(AND(Y216&lt;0.01,Y216&gt;0),0.01,ROUND(Y216,2))</f>
        <v>0</v>
      </c>
      <c r="J216" s="929"/>
      <c r="K216" s="970"/>
      <c r="L216" s="971"/>
      <c r="M216" s="971"/>
      <c r="N216" s="971"/>
      <c r="O216" s="972"/>
      <c r="P216" s="961"/>
      <c r="R216" s="548">
        <f t="shared" si="30"/>
        <v>0</v>
      </c>
      <c r="S216" s="147">
        <f>LARGE($R$215:$R$229,2)</f>
        <v>0</v>
      </c>
      <c r="T216" s="544">
        <f>U215+S217*(1-U215)</f>
        <v>0</v>
      </c>
      <c r="U216" s="548">
        <f t="shared" si="31"/>
        <v>0</v>
      </c>
      <c r="V216" s="50">
        <f>IF(E216&gt;0,2,0)</f>
        <v>0</v>
      </c>
      <c r="W216" s="50">
        <f>COUNTIF(V215:V229,2)</f>
        <v>0</v>
      </c>
      <c r="X216" s="10"/>
      <c r="Y216" s="291">
        <f t="shared" si="32"/>
        <v>0</v>
      </c>
      <c r="AA216" s="777"/>
      <c r="AB216" s="777"/>
      <c r="AC216" s="777"/>
      <c r="AD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row>
    <row r="217" spans="2:109" ht="15" customHeight="1" x14ac:dyDescent="0.2">
      <c r="B217" s="742" t="s">
        <v>1918</v>
      </c>
      <c r="C217" s="743"/>
      <c r="D217" s="744"/>
      <c r="E217" s="755">
        <f>IF(E615&gt;0,0,P165)</f>
        <v>0</v>
      </c>
      <c r="F217" s="755"/>
      <c r="G217" s="923"/>
      <c r="H217" s="923"/>
      <c r="I217" s="929">
        <f t="shared" si="29"/>
        <v>0</v>
      </c>
      <c r="J217" s="929"/>
      <c r="K217" s="970"/>
      <c r="L217" s="971"/>
      <c r="M217" s="971"/>
      <c r="N217" s="971"/>
      <c r="O217" s="972"/>
      <c r="P217" s="961"/>
      <c r="R217" s="548">
        <f t="shared" si="30"/>
        <v>0</v>
      </c>
      <c r="S217" s="147">
        <f>LARGE($R$215:$R$229,3)</f>
        <v>0</v>
      </c>
      <c r="T217" s="544">
        <f>U216+S218*(1-U216)</f>
        <v>0</v>
      </c>
      <c r="U217" s="548">
        <f t="shared" si="31"/>
        <v>0</v>
      </c>
      <c r="V217" s="50">
        <f t="shared" ref="V217:V229" si="34">IF(E217&gt;0,1,0)</f>
        <v>0</v>
      </c>
      <c r="W217" s="10"/>
      <c r="X217" s="10"/>
      <c r="Y217" s="291">
        <f t="shared" si="32"/>
        <v>0</v>
      </c>
      <c r="Z217" s="10"/>
      <c r="AA217" s="777"/>
      <c r="AB217" s="777"/>
      <c r="AC217" s="777"/>
      <c r="AD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row>
    <row r="218" spans="2:109" ht="15" customHeight="1" x14ac:dyDescent="0.2">
      <c r="B218" s="791" t="s">
        <v>1389</v>
      </c>
      <c r="C218" s="791"/>
      <c r="D218" s="791"/>
      <c r="E218" s="727">
        <f>P182</f>
        <v>0</v>
      </c>
      <c r="F218" s="729"/>
      <c r="G218" s="923"/>
      <c r="H218" s="923"/>
      <c r="I218" s="929">
        <f t="shared" si="29"/>
        <v>0</v>
      </c>
      <c r="J218" s="929"/>
      <c r="K218" s="970"/>
      <c r="L218" s="971"/>
      <c r="M218" s="971"/>
      <c r="N218" s="971"/>
      <c r="O218" s="972"/>
      <c r="P218" s="961"/>
      <c r="R218" s="548">
        <f t="shared" si="30"/>
        <v>0</v>
      </c>
      <c r="S218" s="147">
        <f>LARGE($R$215:$R$229,4)</f>
        <v>0</v>
      </c>
      <c r="T218" s="544">
        <f t="shared" ref="T218:T228" si="35">U217+S219*(1-U217)</f>
        <v>0</v>
      </c>
      <c r="U218" s="548">
        <f t="shared" si="31"/>
        <v>0</v>
      </c>
      <c r="V218" s="50">
        <f t="shared" si="34"/>
        <v>0</v>
      </c>
      <c r="W218" s="10"/>
      <c r="X218" s="10"/>
      <c r="Y218" s="291">
        <f t="shared" si="32"/>
        <v>0</v>
      </c>
      <c r="Z218" s="597"/>
      <c r="AA218" s="777"/>
      <c r="AB218" s="777"/>
      <c r="AC218" s="777"/>
      <c r="AD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row>
    <row r="219" spans="2:109" ht="15" customHeight="1" x14ac:dyDescent="0.2">
      <c r="B219" s="742" t="s">
        <v>1390</v>
      </c>
      <c r="C219" s="743"/>
      <c r="D219" s="744"/>
      <c r="E219" s="727">
        <f>P183</f>
        <v>0</v>
      </c>
      <c r="F219" s="729"/>
      <c r="G219" s="923"/>
      <c r="H219" s="923"/>
      <c r="I219" s="929">
        <f t="shared" si="29"/>
        <v>0</v>
      </c>
      <c r="J219" s="929"/>
      <c r="K219" s="970"/>
      <c r="L219" s="971"/>
      <c r="M219" s="971"/>
      <c r="N219" s="971"/>
      <c r="O219" s="972"/>
      <c r="P219" s="961"/>
      <c r="R219" s="548">
        <f t="shared" si="30"/>
        <v>0</v>
      </c>
      <c r="S219" s="147">
        <f>LARGE($R$215:$R$229,5)</f>
        <v>0</v>
      </c>
      <c r="T219" s="544">
        <f t="shared" si="35"/>
        <v>0</v>
      </c>
      <c r="U219" s="548">
        <f t="shared" si="31"/>
        <v>0</v>
      </c>
      <c r="V219" s="50">
        <f t="shared" si="34"/>
        <v>0</v>
      </c>
      <c r="W219" s="10"/>
      <c r="X219" s="10"/>
      <c r="Y219" s="291">
        <f t="shared" si="32"/>
        <v>0</v>
      </c>
      <c r="Z219" s="597"/>
      <c r="AA219" s="777"/>
      <c r="AB219" s="777"/>
      <c r="AC219" s="777"/>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row>
    <row r="220" spans="2:109" ht="15" customHeight="1" x14ac:dyDescent="0.2">
      <c r="B220" s="742" t="s">
        <v>1391</v>
      </c>
      <c r="C220" s="743"/>
      <c r="D220" s="744"/>
      <c r="E220" s="727">
        <f>P184</f>
        <v>0</v>
      </c>
      <c r="F220" s="729"/>
      <c r="G220" s="923"/>
      <c r="H220" s="923"/>
      <c r="I220" s="929">
        <f t="shared" si="29"/>
        <v>0</v>
      </c>
      <c r="J220" s="929"/>
      <c r="K220" s="970"/>
      <c r="L220" s="971"/>
      <c r="M220" s="971"/>
      <c r="N220" s="971"/>
      <c r="O220" s="972"/>
      <c r="P220" s="961"/>
      <c r="R220" s="548">
        <f t="shared" si="30"/>
        <v>0</v>
      </c>
      <c r="S220" s="147">
        <f>LARGE($R$215:$R$229,6)</f>
        <v>0</v>
      </c>
      <c r="T220" s="544">
        <f t="shared" si="35"/>
        <v>0</v>
      </c>
      <c r="U220" s="548">
        <f t="shared" si="31"/>
        <v>0</v>
      </c>
      <c r="V220" s="50">
        <f t="shared" si="34"/>
        <v>0</v>
      </c>
      <c r="W220" s="10"/>
      <c r="X220" s="10"/>
      <c r="Y220" s="291">
        <f t="shared" si="32"/>
        <v>0</v>
      </c>
      <c r="Z220" s="597"/>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row>
    <row r="221" spans="2:109" ht="15" customHeight="1" x14ac:dyDescent="0.2">
      <c r="B221" s="742" t="s">
        <v>1392</v>
      </c>
      <c r="C221" s="743"/>
      <c r="D221" s="744"/>
      <c r="E221" s="727">
        <f>P185</f>
        <v>0</v>
      </c>
      <c r="F221" s="729"/>
      <c r="G221" s="923"/>
      <c r="H221" s="923"/>
      <c r="I221" s="929">
        <f t="shared" si="29"/>
        <v>0</v>
      </c>
      <c r="J221" s="929"/>
      <c r="K221" s="970"/>
      <c r="L221" s="971"/>
      <c r="M221" s="971"/>
      <c r="N221" s="971"/>
      <c r="O221" s="972"/>
      <c r="P221" s="961"/>
      <c r="R221" s="548">
        <f t="shared" si="30"/>
        <v>0</v>
      </c>
      <c r="S221" s="147">
        <f>LARGE($R$215:$R$229,7)</f>
        <v>0</v>
      </c>
      <c r="T221" s="544">
        <f t="shared" si="35"/>
        <v>0</v>
      </c>
      <c r="U221" s="548">
        <f t="shared" si="31"/>
        <v>0</v>
      </c>
      <c r="V221" s="50">
        <f t="shared" si="34"/>
        <v>0</v>
      </c>
      <c r="W221" s="10"/>
      <c r="X221" s="10"/>
      <c r="Y221" s="291">
        <f t="shared" si="32"/>
        <v>0</v>
      </c>
      <c r="Z221" s="597"/>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row>
    <row r="222" spans="2:109" ht="15" customHeight="1" x14ac:dyDescent="0.2">
      <c r="B222" s="742" t="s">
        <v>1945</v>
      </c>
      <c r="C222" s="743"/>
      <c r="D222" s="744"/>
      <c r="E222" s="755">
        <f>P194</f>
        <v>0</v>
      </c>
      <c r="F222" s="755"/>
      <c r="G222" s="923"/>
      <c r="H222" s="923"/>
      <c r="I222" s="929">
        <f t="shared" si="29"/>
        <v>0</v>
      </c>
      <c r="J222" s="929"/>
      <c r="K222" s="970"/>
      <c r="L222" s="971"/>
      <c r="M222" s="971"/>
      <c r="N222" s="971"/>
      <c r="O222" s="972"/>
      <c r="P222" s="961"/>
      <c r="R222" s="548">
        <f t="shared" si="30"/>
        <v>0</v>
      </c>
      <c r="S222" s="147">
        <f>LARGE($R$215:$R$229,8)</f>
        <v>0</v>
      </c>
      <c r="T222" s="544">
        <f t="shared" si="35"/>
        <v>0</v>
      </c>
      <c r="U222" s="548">
        <f t="shared" si="31"/>
        <v>0</v>
      </c>
      <c r="V222" s="50">
        <f t="shared" si="34"/>
        <v>0</v>
      </c>
      <c r="W222" s="10"/>
      <c r="X222" s="10"/>
      <c r="Y222" s="291">
        <f t="shared" si="32"/>
        <v>0</v>
      </c>
      <c r="Z222" s="597"/>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row>
    <row r="223" spans="2:109" ht="15" customHeight="1" x14ac:dyDescent="0.2">
      <c r="B223" s="742" t="s">
        <v>1208</v>
      </c>
      <c r="C223" s="743"/>
      <c r="D223" s="744"/>
      <c r="E223" s="755">
        <f>P199</f>
        <v>0</v>
      </c>
      <c r="F223" s="755"/>
      <c r="G223" s="923"/>
      <c r="H223" s="923"/>
      <c r="I223" s="929">
        <f t="shared" si="29"/>
        <v>0</v>
      </c>
      <c r="J223" s="929"/>
      <c r="K223" s="623"/>
      <c r="L223" s="624"/>
      <c r="M223" s="624"/>
      <c r="N223" s="624"/>
      <c r="O223" s="625"/>
      <c r="P223" s="961"/>
      <c r="R223" s="548">
        <f t="shared" si="30"/>
        <v>0</v>
      </c>
      <c r="S223" s="147">
        <f>LARGE($R$215:$R$229,9)</f>
        <v>0</v>
      </c>
      <c r="T223" s="544">
        <f t="shared" si="35"/>
        <v>0</v>
      </c>
      <c r="U223" s="548">
        <f t="shared" si="31"/>
        <v>0</v>
      </c>
      <c r="V223" s="50">
        <f t="shared" si="34"/>
        <v>0</v>
      </c>
      <c r="W223" s="10"/>
      <c r="X223" s="10"/>
      <c r="Y223" s="291">
        <f t="shared" si="32"/>
        <v>0</v>
      </c>
      <c r="Z223" s="73"/>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row>
    <row r="224" spans="2:109" ht="15" customHeight="1" x14ac:dyDescent="0.2">
      <c r="B224" s="742" t="s">
        <v>1214</v>
      </c>
      <c r="C224" s="743"/>
      <c r="D224" s="744"/>
      <c r="E224" s="755">
        <f>P201</f>
        <v>0</v>
      </c>
      <c r="F224" s="755"/>
      <c r="G224" s="923"/>
      <c r="H224" s="923"/>
      <c r="I224" s="929">
        <f t="shared" si="29"/>
        <v>0</v>
      </c>
      <c r="J224" s="929"/>
      <c r="K224" s="623"/>
      <c r="L224" s="624"/>
      <c r="M224" s="624"/>
      <c r="N224" s="624"/>
      <c r="O224" s="625"/>
      <c r="P224" s="961"/>
      <c r="R224" s="548">
        <f t="shared" si="30"/>
        <v>0</v>
      </c>
      <c r="S224" s="147">
        <f>LARGE($R$215:$R$229,10)</f>
        <v>0</v>
      </c>
      <c r="T224" s="544">
        <f t="shared" si="35"/>
        <v>0</v>
      </c>
      <c r="U224" s="548">
        <f t="shared" si="31"/>
        <v>0</v>
      </c>
      <c r="V224" s="50">
        <f t="shared" si="34"/>
        <v>0</v>
      </c>
      <c r="W224" s="10"/>
      <c r="X224" s="10"/>
      <c r="Y224" s="291">
        <f t="shared" si="32"/>
        <v>0</v>
      </c>
      <c r="Z224" s="73"/>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row>
    <row r="225" spans="2:109" ht="15" customHeight="1" x14ac:dyDescent="0.2">
      <c r="B225" s="742" t="s">
        <v>373</v>
      </c>
      <c r="C225" s="743"/>
      <c r="D225" s="744"/>
      <c r="E225" s="755">
        <f>P206</f>
        <v>0</v>
      </c>
      <c r="F225" s="755"/>
      <c r="G225" s="923"/>
      <c r="H225" s="923"/>
      <c r="I225" s="929">
        <f t="shared" si="29"/>
        <v>0</v>
      </c>
      <c r="J225" s="929"/>
      <c r="K225" s="915" t="str">
        <f>IF(AND(P165&gt;0,E615&gt;0),"A value has been granted for motor loss. Additional impairment value is not allowed for reduced ROM in the same extremity.","")</f>
        <v/>
      </c>
      <c r="L225" s="916"/>
      <c r="M225" s="916"/>
      <c r="N225" s="916"/>
      <c r="O225" s="917"/>
      <c r="P225" s="961"/>
      <c r="R225" s="548">
        <f t="shared" si="30"/>
        <v>0</v>
      </c>
      <c r="S225" s="147">
        <f>LARGE($R$215:$R$229,11)</f>
        <v>0</v>
      </c>
      <c r="T225" s="544">
        <f t="shared" si="35"/>
        <v>0</v>
      </c>
      <c r="U225" s="548">
        <f t="shared" si="31"/>
        <v>0</v>
      </c>
      <c r="V225" s="50">
        <f t="shared" si="34"/>
        <v>0</v>
      </c>
      <c r="W225" s="10"/>
      <c r="X225" s="10"/>
      <c r="Y225" s="291">
        <f t="shared" si="32"/>
        <v>0</v>
      </c>
      <c r="Z225" s="73"/>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row>
    <row r="226" spans="2:109" ht="15" customHeight="1" x14ac:dyDescent="0.2">
      <c r="B226" s="742" t="s">
        <v>374</v>
      </c>
      <c r="C226" s="743"/>
      <c r="D226" s="744"/>
      <c r="E226" s="755">
        <f>P207</f>
        <v>0</v>
      </c>
      <c r="F226" s="755"/>
      <c r="G226" s="923"/>
      <c r="H226" s="923"/>
      <c r="I226" s="929">
        <f t="shared" si="29"/>
        <v>0</v>
      </c>
      <c r="J226" s="929"/>
      <c r="K226" s="915"/>
      <c r="L226" s="916"/>
      <c r="M226" s="916"/>
      <c r="N226" s="916"/>
      <c r="O226" s="917"/>
      <c r="P226" s="961"/>
      <c r="R226" s="548">
        <f t="shared" si="30"/>
        <v>0</v>
      </c>
      <c r="S226" s="147">
        <f>LARGE($R$215:$R$229,12)</f>
        <v>0</v>
      </c>
      <c r="T226" s="544">
        <f t="shared" si="35"/>
        <v>0</v>
      </c>
      <c r="U226" s="548">
        <f t="shared" si="31"/>
        <v>0</v>
      </c>
      <c r="V226" s="50">
        <f t="shared" si="34"/>
        <v>0</v>
      </c>
      <c r="W226" s="10"/>
      <c r="X226" s="10"/>
      <c r="Y226" s="291">
        <f t="shared" si="32"/>
        <v>0</v>
      </c>
      <c r="Z226" s="57"/>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row>
    <row r="227" spans="2:109" ht="15" customHeight="1" x14ac:dyDescent="0.2">
      <c r="B227" s="742" t="s">
        <v>792</v>
      </c>
      <c r="C227" s="743"/>
      <c r="D227" s="744"/>
      <c r="E227" s="755">
        <f>P208</f>
        <v>0</v>
      </c>
      <c r="F227" s="755"/>
      <c r="G227" s="923"/>
      <c r="H227" s="923"/>
      <c r="I227" s="929">
        <f t="shared" si="29"/>
        <v>0</v>
      </c>
      <c r="J227" s="929"/>
      <c r="K227" s="915"/>
      <c r="L227" s="916"/>
      <c r="M227" s="916"/>
      <c r="N227" s="916"/>
      <c r="O227" s="917"/>
      <c r="P227" s="961"/>
      <c r="R227" s="548">
        <f t="shared" si="30"/>
        <v>0</v>
      </c>
      <c r="S227" s="147">
        <f>LARGE($R$215:$R$229,13)</f>
        <v>0</v>
      </c>
      <c r="T227" s="544">
        <f t="shared" si="35"/>
        <v>0</v>
      </c>
      <c r="U227" s="548">
        <f t="shared" si="31"/>
        <v>0</v>
      </c>
      <c r="V227" s="50">
        <f t="shared" si="34"/>
        <v>0</v>
      </c>
      <c r="W227" s="10"/>
      <c r="X227" s="10"/>
      <c r="Y227" s="291">
        <f t="shared" si="32"/>
        <v>0</v>
      </c>
      <c r="Z227" s="57"/>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row>
    <row r="228" spans="2:109" ht="15" customHeight="1" x14ac:dyDescent="0.2">
      <c r="B228" s="742" t="s">
        <v>1419</v>
      </c>
      <c r="C228" s="743"/>
      <c r="D228" s="744"/>
      <c r="E228" s="755">
        <f>P210</f>
        <v>0</v>
      </c>
      <c r="F228" s="755"/>
      <c r="G228" s="923"/>
      <c r="H228" s="923"/>
      <c r="I228" s="929">
        <f t="shared" si="29"/>
        <v>0</v>
      </c>
      <c r="J228" s="929"/>
      <c r="K228" s="915"/>
      <c r="L228" s="916"/>
      <c r="M228" s="916"/>
      <c r="N228" s="916"/>
      <c r="O228" s="917"/>
      <c r="P228" s="961"/>
      <c r="R228" s="548">
        <f t="shared" si="30"/>
        <v>0</v>
      </c>
      <c r="S228" s="147">
        <f>LARGE($R$215:$R$229,14)</f>
        <v>0</v>
      </c>
      <c r="T228" s="544">
        <f t="shared" si="35"/>
        <v>0</v>
      </c>
      <c r="U228" s="548">
        <f t="shared" si="31"/>
        <v>0</v>
      </c>
      <c r="V228" s="50">
        <f t="shared" si="34"/>
        <v>0</v>
      </c>
      <c r="W228" s="10"/>
      <c r="X228" s="10"/>
      <c r="Y228" s="291">
        <f t="shared" si="32"/>
        <v>0</v>
      </c>
      <c r="Z228" s="73"/>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row>
    <row r="229" spans="2:109" ht="15" customHeight="1" x14ac:dyDescent="0.2">
      <c r="B229" s="789" t="s">
        <v>1235</v>
      </c>
      <c r="C229" s="789"/>
      <c r="D229" s="789"/>
      <c r="E229" s="857">
        <f>P211</f>
        <v>0</v>
      </c>
      <c r="F229" s="1067"/>
      <c r="G229" s="923"/>
      <c r="H229" s="923"/>
      <c r="I229" s="929">
        <f>IF(AND(Y229&lt;0.01,Y229&gt;0),0.01,ROUND(Y229,2))</f>
        <v>0</v>
      </c>
      <c r="J229" s="929"/>
      <c r="K229" s="918"/>
      <c r="L229" s="919"/>
      <c r="M229" s="919"/>
      <c r="N229" s="919"/>
      <c r="O229" s="920"/>
      <c r="P229" s="961"/>
      <c r="R229" s="548">
        <f>IF(I229&gt;0,I229,E229)</f>
        <v>0</v>
      </c>
      <c r="S229" s="147">
        <f>LARGE($R$215:$R$229,15)</f>
        <v>0</v>
      </c>
      <c r="T229" s="562"/>
      <c r="U229" s="548"/>
      <c r="V229" s="50">
        <f t="shared" si="34"/>
        <v>0</v>
      </c>
      <c r="W229" s="10"/>
      <c r="X229" s="10"/>
      <c r="Y229" s="291">
        <f t="shared" ref="Y229" si="36">E229*G229</f>
        <v>0</v>
      </c>
      <c r="Z229" s="73"/>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row>
    <row r="230" spans="2:109" ht="15" customHeight="1" x14ac:dyDescent="0.2">
      <c r="B230" s="957" t="s">
        <v>2199</v>
      </c>
      <c r="C230" s="957"/>
      <c r="D230" s="957"/>
      <c r="E230" s="957"/>
      <c r="F230" s="957"/>
      <c r="G230" s="957"/>
      <c r="H230" s="957"/>
      <c r="I230" s="957"/>
      <c r="J230" s="957"/>
      <c r="K230" s="957"/>
      <c r="L230" s="957"/>
      <c r="M230" s="957"/>
      <c r="N230" s="957"/>
      <c r="O230" s="957"/>
      <c r="P230" s="962"/>
      <c r="S230" s="14"/>
      <c r="T230" s="142"/>
      <c r="U230" s="128"/>
      <c r="V230" s="10"/>
      <c r="W230" s="10"/>
      <c r="X230" s="10"/>
      <c r="Y230" s="14"/>
      <c r="Z230" s="14"/>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row>
    <row r="231" spans="2:109" ht="12" customHeight="1" x14ac:dyDescent="0.2">
      <c r="B231" s="777"/>
      <c r="C231" s="777"/>
      <c r="D231" s="777"/>
      <c r="E231" s="777"/>
      <c r="F231" s="777"/>
      <c r="G231" s="777"/>
      <c r="H231" s="777"/>
      <c r="I231" s="777"/>
      <c r="J231" s="777"/>
      <c r="K231" s="777"/>
      <c r="L231" s="777"/>
      <c r="M231" s="777"/>
      <c r="N231" s="777"/>
      <c r="O231" s="777"/>
      <c r="P231" s="777"/>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row>
    <row r="232" spans="2:109" ht="12" customHeight="1" x14ac:dyDescent="0.2">
      <c r="B232" s="1"/>
      <c r="D232" s="1"/>
      <c r="E232" s="1"/>
      <c r="F232" s="1"/>
      <c r="G232" s="1"/>
      <c r="H232" s="1"/>
      <c r="I232" s="1"/>
      <c r="J232" s="1"/>
      <c r="K232" s="1"/>
      <c r="L232" s="1"/>
      <c r="M232" s="1"/>
      <c r="N232" s="1"/>
      <c r="O232" s="1"/>
      <c r="P232" s="1"/>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row>
    <row r="233" spans="2:109" ht="18" customHeight="1" x14ac:dyDescent="0.2">
      <c r="B233" s="892" t="s">
        <v>116</v>
      </c>
      <c r="C233" s="893"/>
      <c r="D233" s="893"/>
      <c r="E233" s="893"/>
      <c r="F233" s="893"/>
      <c r="G233" s="893"/>
      <c r="H233" s="893"/>
      <c r="I233" s="893"/>
      <c r="J233" s="893"/>
      <c r="K233" s="893"/>
      <c r="L233" s="893"/>
      <c r="M233" s="893"/>
      <c r="N233" s="893"/>
      <c r="O233" s="893"/>
      <c r="P233" s="894"/>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row>
    <row r="234" spans="2:109" ht="18" customHeight="1" x14ac:dyDescent="0.2">
      <c r="B234" s="776" t="s">
        <v>1427</v>
      </c>
      <c r="C234" s="776"/>
      <c r="D234" s="776"/>
      <c r="E234" s="776"/>
      <c r="F234" s="776"/>
      <c r="G234" s="776"/>
      <c r="H234" s="776"/>
      <c r="I234" s="776"/>
      <c r="J234" s="776"/>
      <c r="K234" s="776"/>
      <c r="L234" s="776"/>
      <c r="M234" s="776"/>
      <c r="N234" s="776"/>
      <c r="O234" s="776"/>
      <c r="P234" s="929">
        <f>SUMIF(S234:Y234,B235,S235:Y235)</f>
        <v>0</v>
      </c>
      <c r="R234" s="948" t="s">
        <v>1305</v>
      </c>
      <c r="S234" s="50" t="s">
        <v>511</v>
      </c>
      <c r="T234" s="552" t="s">
        <v>1306</v>
      </c>
      <c r="U234" s="50" t="s">
        <v>513</v>
      </c>
      <c r="V234" s="50" t="s">
        <v>1060</v>
      </c>
      <c r="W234" s="50" t="s">
        <v>1063</v>
      </c>
      <c r="X234" s="50" t="s">
        <v>702</v>
      </c>
      <c r="Y234" s="50" t="s">
        <v>577</v>
      </c>
      <c r="Z234" s="10"/>
      <c r="AA234" s="10"/>
      <c r="AB234" s="10"/>
      <c r="AC234" s="10"/>
      <c r="AD234" s="10"/>
      <c r="AE234" s="10"/>
      <c r="AF234" s="10"/>
      <c r="AG234" s="10"/>
      <c r="AH234" s="10"/>
      <c r="AI234" s="10"/>
      <c r="AJ234" s="10"/>
      <c r="AK234" s="14"/>
      <c r="AL234" s="14"/>
      <c r="AM234" s="14"/>
      <c r="AN234" s="14"/>
      <c r="AO234" s="14"/>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row>
    <row r="235" spans="2:109" ht="15" customHeight="1" x14ac:dyDescent="0.2">
      <c r="B235" s="1012"/>
      <c r="C235" s="1012"/>
      <c r="D235" s="1012"/>
      <c r="E235" s="1012"/>
      <c r="F235" s="1012"/>
      <c r="G235" s="1012"/>
      <c r="H235" s="1012"/>
      <c r="I235" s="1012"/>
      <c r="J235" s="1012"/>
      <c r="K235" s="1012"/>
      <c r="L235" s="1012"/>
      <c r="M235" s="1012"/>
      <c r="N235" s="1012"/>
      <c r="O235" s="1012"/>
      <c r="P235" s="1072"/>
      <c r="R235" s="776"/>
      <c r="S235" s="548">
        <v>0</v>
      </c>
      <c r="T235" s="147">
        <v>0.1</v>
      </c>
      <c r="U235" s="147">
        <v>0.3</v>
      </c>
      <c r="V235" s="147">
        <v>0.5</v>
      </c>
      <c r="W235" s="147">
        <v>0.63</v>
      </c>
      <c r="X235" s="147">
        <v>0.75</v>
      </c>
      <c r="Y235" s="147">
        <v>1</v>
      </c>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row>
    <row r="236" spans="2:109" ht="15" customHeight="1" x14ac:dyDescent="0.2">
      <c r="B236" s="958" t="str">
        <f>IF(AND(P234&gt;0.1,B238=""),"Enter specific level of amputation or shortening below.","")</f>
        <v/>
      </c>
      <c r="C236" s="958"/>
      <c r="D236" s="958"/>
      <c r="E236" s="958"/>
      <c r="F236" s="958"/>
      <c r="G236" s="958"/>
      <c r="H236" s="958"/>
      <c r="I236" s="958"/>
      <c r="J236" s="958"/>
      <c r="K236" s="958"/>
      <c r="L236" s="958"/>
      <c r="M236" s="958"/>
      <c r="N236" s="958"/>
      <c r="O236" s="958"/>
      <c r="P236" s="958"/>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row>
    <row r="237" spans="2:109" ht="30" customHeight="1" x14ac:dyDescent="0.2">
      <c r="B237" s="761" t="s">
        <v>1643</v>
      </c>
      <c r="C237" s="761"/>
      <c r="D237" s="761"/>
      <c r="E237" s="761"/>
      <c r="F237" s="761"/>
      <c r="G237" s="761"/>
      <c r="H237" s="761"/>
      <c r="I237" s="761"/>
      <c r="J237" s="761"/>
      <c r="K237" s="761"/>
      <c r="L237" s="761"/>
      <c r="M237" s="761"/>
      <c r="N237" s="761"/>
      <c r="O237" s="761"/>
      <c r="P237" s="929">
        <f>IF(P234=1,0,U13)</f>
        <v>0</v>
      </c>
      <c r="R237" s="514">
        <f>SUMIF(S237:AD237,B238,S238:AD238)</f>
        <v>0</v>
      </c>
      <c r="S237" s="50" t="s">
        <v>1166</v>
      </c>
      <c r="T237" s="50" t="s">
        <v>1167</v>
      </c>
      <c r="U237" s="50" t="s">
        <v>1168</v>
      </c>
      <c r="V237" s="50" t="s">
        <v>1169</v>
      </c>
      <c r="W237" s="50" t="s">
        <v>1883</v>
      </c>
      <c r="X237" s="50" t="s">
        <v>1884</v>
      </c>
      <c r="Y237" s="50" t="s">
        <v>659</v>
      </c>
      <c r="Z237" s="50" t="s">
        <v>660</v>
      </c>
      <c r="AA237" s="50" t="s">
        <v>661</v>
      </c>
      <c r="AB237" s="50" t="s">
        <v>662</v>
      </c>
      <c r="AC237" s="50" t="s">
        <v>663</v>
      </c>
      <c r="AD237" s="50" t="s">
        <v>664</v>
      </c>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row>
    <row r="238" spans="2:109" ht="15" customHeight="1" x14ac:dyDescent="0.2">
      <c r="B238" s="1012"/>
      <c r="C238" s="1012"/>
      <c r="D238" s="1012"/>
      <c r="E238" s="1012"/>
      <c r="F238" s="1012"/>
      <c r="G238" s="1012"/>
      <c r="H238" s="1012"/>
      <c r="I238" s="1012"/>
      <c r="J238" s="1012"/>
      <c r="K238" s="1012"/>
      <c r="L238" s="1012"/>
      <c r="M238" s="1012"/>
      <c r="N238" s="1012"/>
      <c r="O238" s="1012"/>
      <c r="P238" s="1071"/>
      <c r="R238" s="761" t="s">
        <v>665</v>
      </c>
      <c r="S238" s="147">
        <v>0</v>
      </c>
      <c r="T238" s="147">
        <v>0</v>
      </c>
      <c r="U238" s="147">
        <v>0</v>
      </c>
      <c r="V238" s="147">
        <v>0.05</v>
      </c>
      <c r="W238" s="147">
        <v>0.05</v>
      </c>
      <c r="X238" s="147">
        <v>0.05</v>
      </c>
      <c r="Y238" s="147">
        <v>0.05</v>
      </c>
      <c r="Z238" s="147">
        <v>0.1</v>
      </c>
      <c r="AA238" s="147">
        <v>0.15</v>
      </c>
      <c r="AB238" s="147">
        <v>0.15</v>
      </c>
      <c r="AC238" s="147">
        <v>0.15</v>
      </c>
      <c r="AD238" s="147">
        <v>0.2</v>
      </c>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row>
    <row r="239" spans="2:109" ht="18" customHeight="1" x14ac:dyDescent="0.2">
      <c r="B239" s="1013" t="s">
        <v>666</v>
      </c>
      <c r="C239" s="1014"/>
      <c r="D239" s="1014"/>
      <c r="E239" s="1014"/>
      <c r="F239" s="1014"/>
      <c r="G239" s="1014"/>
      <c r="H239" s="1014"/>
      <c r="I239" s="1014"/>
      <c r="J239" s="1014"/>
      <c r="K239" s="1014"/>
      <c r="L239" s="1014"/>
      <c r="M239" s="1014"/>
      <c r="N239" s="1014"/>
      <c r="O239" s="1015"/>
      <c r="P239" s="1072"/>
      <c r="R239" s="761"/>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row>
    <row r="240" spans="2:109" ht="12" customHeight="1" x14ac:dyDescent="0.2">
      <c r="B240" s="777"/>
      <c r="C240" s="777"/>
      <c r="D240" s="777"/>
      <c r="E240" s="777"/>
      <c r="F240" s="777"/>
      <c r="G240" s="777"/>
      <c r="H240" s="777"/>
      <c r="I240" s="777"/>
      <c r="J240" s="777"/>
      <c r="K240" s="777"/>
      <c r="L240" s="777"/>
      <c r="M240" s="777"/>
      <c r="N240" s="777"/>
      <c r="O240" s="777"/>
      <c r="R240" s="10"/>
      <c r="S240" s="10"/>
      <c r="T240" s="10"/>
      <c r="U240" s="10"/>
      <c r="V240" s="10"/>
      <c r="W240" s="10"/>
      <c r="X240" s="10"/>
      <c r="Y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row>
    <row r="241" spans="2:109" ht="18" customHeight="1" x14ac:dyDescent="0.2">
      <c r="B241" s="910" t="s">
        <v>1563</v>
      </c>
      <c r="C241" s="910"/>
      <c r="D241" s="910"/>
      <c r="E241" s="910"/>
      <c r="F241" s="910"/>
      <c r="G241" s="910"/>
      <c r="H241" s="910"/>
      <c r="I241" s="910"/>
      <c r="J241" s="910"/>
      <c r="K241" s="910"/>
      <c r="L241" s="910"/>
      <c r="M241" s="910"/>
      <c r="N241" s="910"/>
      <c r="O241" s="910"/>
      <c r="P241" s="755">
        <f>IF(R254=1,"ERROR",AD253)</f>
        <v>0</v>
      </c>
      <c r="R241" s="10"/>
      <c r="S241" s="10"/>
      <c r="T241" s="761" t="s">
        <v>1238</v>
      </c>
      <c r="U241" s="761" t="s">
        <v>1238</v>
      </c>
      <c r="V241" s="10"/>
      <c r="W241" s="10"/>
      <c r="X241" s="10"/>
      <c r="Y241" s="10"/>
      <c r="Z241" s="10"/>
      <c r="AA241" s="10"/>
      <c r="AB241" s="10"/>
      <c r="AC241" s="724"/>
      <c r="AD241" s="724"/>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row>
    <row r="242" spans="2:109" ht="27" customHeight="1" x14ac:dyDescent="0.2">
      <c r="B242" s="20" t="s">
        <v>1537</v>
      </c>
      <c r="C242" s="832" t="s">
        <v>1564</v>
      </c>
      <c r="D242" s="832"/>
      <c r="E242" s="832"/>
      <c r="F242" s="832"/>
      <c r="G242" s="1066" t="s">
        <v>1064</v>
      </c>
      <c r="H242" s="1066"/>
      <c r="I242" s="1066"/>
      <c r="J242" s="1066"/>
      <c r="K242" s="832"/>
      <c r="L242" s="832"/>
      <c r="M242" s="832"/>
      <c r="N242" s="832"/>
      <c r="O242" s="1065"/>
      <c r="P242" s="755"/>
      <c r="R242" s="10"/>
      <c r="S242" s="10"/>
      <c r="T242" s="761"/>
      <c r="U242" s="761"/>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row>
    <row r="243" spans="2:109" ht="18" customHeight="1" x14ac:dyDescent="0.2">
      <c r="B243" s="18"/>
      <c r="C243" s="910" t="s">
        <v>355</v>
      </c>
      <c r="D243" s="910"/>
      <c r="E243" s="910" t="s">
        <v>1759</v>
      </c>
      <c r="F243" s="910"/>
      <c r="G243" s="910" t="s">
        <v>355</v>
      </c>
      <c r="H243" s="910"/>
      <c r="I243" s="910" t="s">
        <v>1759</v>
      </c>
      <c r="J243" s="910"/>
      <c r="K243" s="910"/>
      <c r="L243" s="910"/>
      <c r="M243" s="910"/>
      <c r="N243" s="910"/>
      <c r="O243" s="944"/>
      <c r="P243" s="755"/>
      <c r="R243" s="10"/>
      <c r="S243" s="50" t="s">
        <v>1622</v>
      </c>
      <c r="T243" s="256" t="s">
        <v>1564</v>
      </c>
      <c r="U243" s="256" t="s">
        <v>1565</v>
      </c>
      <c r="V243" s="910" t="s">
        <v>1066</v>
      </c>
      <c r="W243" s="910"/>
      <c r="X243" s="910"/>
      <c r="Y243" s="9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row>
    <row r="244" spans="2:109" ht="13.5" customHeight="1" x14ac:dyDescent="0.2">
      <c r="B244" s="146" t="s">
        <v>667</v>
      </c>
      <c r="C244" s="694"/>
      <c r="D244" s="694"/>
      <c r="E244" s="921">
        <f>UETable!AV38</f>
        <v>0</v>
      </c>
      <c r="F244" s="921"/>
      <c r="G244" s="694"/>
      <c r="H244" s="694"/>
      <c r="I244" s="936">
        <f>IF(C244="",0,IF(OR(C244&lt;=0,G244&lt;=0),E244,IF(G244&lt;C244,0,UETable!BA38)))</f>
        <v>0</v>
      </c>
      <c r="J244" s="936"/>
      <c r="K244" s="930" t="str">
        <f>IF(OR(C244="NA",G244="NA"),"",IF(AND(C244&lt;&gt;"",G244=""),"Enter contralateral or NA.",IF(AND(C244="",G244&lt;&gt;""),"Need data","")))</f>
        <v/>
      </c>
      <c r="L244" s="930"/>
      <c r="M244" s="930"/>
      <c r="N244" s="930"/>
      <c r="O244" s="931"/>
      <c r="P244" s="755"/>
      <c r="R244" s="10"/>
      <c r="S244" s="50">
        <v>70</v>
      </c>
      <c r="T244" s="50" t="str">
        <f>IF(OR(C244="",C244="NA"),"",IF(C244&gt;S244,S244,IF(C244&lt;0,0,C244)))</f>
        <v/>
      </c>
      <c r="U244" s="50" t="str">
        <f>IF(OR(G244="",G244="NA"),"",IF(G244&gt;S244,S244,IF(G244&lt;0,0,G244)))</f>
        <v/>
      </c>
      <c r="V244" s="553" t="str">
        <f>IF(Y244="","",ROUND(Y244,0))</f>
        <v/>
      </c>
      <c r="W244" s="791" t="s">
        <v>1184</v>
      </c>
      <c r="X244" s="791"/>
      <c r="Y244" s="554" t="str">
        <f>IF(T244="","",IF(OR(U244="",U244=0,U244&lt;T244),T244,(T244*70)/U244))</f>
        <v/>
      </c>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row>
    <row r="245" spans="2:109" ht="13.5" customHeight="1" x14ac:dyDescent="0.2">
      <c r="B245" s="146" t="s">
        <v>668</v>
      </c>
      <c r="C245" s="694"/>
      <c r="D245" s="694"/>
      <c r="E245" s="921">
        <f>UETable!AV39</f>
        <v>0</v>
      </c>
      <c r="F245" s="921"/>
      <c r="G245" s="694"/>
      <c r="H245" s="694"/>
      <c r="I245" s="936">
        <f>IF(C245="",0,IF(OR(C245&gt;=70,G245&gt;=70),E245,IF(G245&gt;C245,0,UETable!BA39)))</f>
        <v>0</v>
      </c>
      <c r="J245" s="936"/>
      <c r="K245" s="930" t="str">
        <f>IF(OR(C245="NA",G245="NA"),"",IF(AND(C245&lt;&gt;"",G245=""),"Enter contralateral or NA.",IF(AND(C245="",G245&lt;&gt;""),"Need data","")))</f>
        <v/>
      </c>
      <c r="L245" s="930"/>
      <c r="M245" s="930"/>
      <c r="N245" s="930"/>
      <c r="O245" s="931"/>
      <c r="P245" s="755"/>
      <c r="S245" s="50">
        <v>70</v>
      </c>
      <c r="T245" s="50" t="str">
        <f>IF(OR(C245="",C245="NA"),"",IF(C245&gt;S245,S245,IF(C245&lt;0,0,C245)))</f>
        <v/>
      </c>
      <c r="U245" s="50" t="str">
        <f>IF(OR(G245="",G245="NA"),"",IF(G245&gt;S245,S245,IF(G245&lt;0,0,G245)))</f>
        <v/>
      </c>
      <c r="V245" s="553" t="str">
        <f>IF(Y245="","",ROUND(Y245,0))</f>
        <v/>
      </c>
      <c r="W245" s="50">
        <f>IF(T245="",0,70-T245)</f>
        <v>0</v>
      </c>
      <c r="X245" s="50">
        <f>IF(U245="",0,70-U245)</f>
        <v>0</v>
      </c>
      <c r="Y245" s="554" t="str">
        <f>IF(T245="","",IF(OR(U245="",U245=0,U245&gt;T245),T245,70-(W245*70)/X245))</f>
        <v/>
      </c>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row>
    <row r="246" spans="2:109" ht="15" customHeight="1" x14ac:dyDescent="0.2">
      <c r="B246" s="146" t="s">
        <v>669</v>
      </c>
      <c r="C246" s="694"/>
      <c r="D246" s="694"/>
      <c r="E246" s="921">
        <f>IF(AND(C246&lt;&gt;"",C246&lt;&gt;"NA",C245&lt;&gt;"NA",C245&lt;&gt;""),"ERROR",IF(AND(C246&lt;&gt;"",C246&lt;&gt;"NA",C244&lt;&gt;"",C244&lt;&gt;"NA"),"ERROR",UETable!AV40))</f>
        <v>0</v>
      </c>
      <c r="F246" s="921"/>
      <c r="G246" s="930" t="str">
        <f>IF(AND(C246&lt;&gt;"",C246&lt;&gt;"NA",C245&lt;&gt;"NA",C245&lt;&gt;""),"ERROR: Cannot rate ROM and ankylosis.",IF(AND(C246&lt;&gt;"",C246&lt;&gt;"NA",C244&lt;&gt;"",C244&lt;&gt;"NA"),"ERROR: Cannot rate ROM and ankylosis.",""))</f>
        <v/>
      </c>
      <c r="H246" s="930"/>
      <c r="I246" s="930"/>
      <c r="J246" s="930"/>
      <c r="K246" s="930"/>
      <c r="L246" s="930"/>
      <c r="M246" s="930"/>
      <c r="N246" s="930"/>
      <c r="O246" s="931"/>
      <c r="P246" s="755"/>
      <c r="R246" s="10"/>
      <c r="S246" s="50">
        <v>70</v>
      </c>
      <c r="T246" s="50" t="str">
        <f>IF(OR(C246="",C246="NA"),"",IF(C246&gt;S246,S246,IF(C246&lt;0,0,C246)))</f>
        <v/>
      </c>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row>
    <row r="247" spans="2:109" x14ac:dyDescent="0.2">
      <c r="B247" s="979"/>
      <c r="C247" s="980"/>
      <c r="D247" s="980"/>
      <c r="E247" s="980"/>
      <c r="F247" s="980"/>
      <c r="G247" s="980"/>
      <c r="H247" s="980"/>
      <c r="I247" s="980"/>
      <c r="J247" s="981"/>
      <c r="K247" s="956" t="s">
        <v>1803</v>
      </c>
      <c r="L247" s="956"/>
      <c r="M247" s="956"/>
      <c r="N247" s="956"/>
      <c r="O247" s="65">
        <f>IF(E246="ERROR","ERROR",IF(R247&gt;1,1,R247))</f>
        <v>0</v>
      </c>
      <c r="P247" s="755"/>
      <c r="R247" s="193">
        <f>SUM(I244,I245,E246)</f>
        <v>0</v>
      </c>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row>
    <row r="248" spans="2:109" ht="13.5" customHeight="1" x14ac:dyDescent="0.2">
      <c r="B248" s="230" t="s">
        <v>670</v>
      </c>
      <c r="C248" s="694"/>
      <c r="D248" s="694"/>
      <c r="E248" s="1064">
        <f>UETable!AV42</f>
        <v>0</v>
      </c>
      <c r="F248" s="1064"/>
      <c r="G248" s="694"/>
      <c r="H248" s="694"/>
      <c r="I248" s="1051">
        <f>IF(C248="",0,IF(OR(C248&lt;=0,G248&lt;=0),E248,IF(G248&lt;C248,0,UETable!BA42)))</f>
        <v>0</v>
      </c>
      <c r="J248" s="1051"/>
      <c r="K248" s="1052" t="str">
        <f>IF(OR(C248="NA",G248="NA"),"",IF(AND(C248&lt;&gt;"",G248=""),"Enter contralateral or NA.",IF(AND(C248="",G248&lt;&gt;""),"Need data","")))</f>
        <v/>
      </c>
      <c r="L248" s="1052"/>
      <c r="M248" s="1052"/>
      <c r="N248" s="1052"/>
      <c r="O248" s="1053"/>
      <c r="P248" s="755"/>
      <c r="R248" s="10"/>
      <c r="S248" s="50">
        <v>100</v>
      </c>
      <c r="T248" s="50" t="str">
        <f>IF(OR(C248="",C248="NA"),"",IF(C248&gt;S248,S248,IF(C248&lt;0,0,C248)))</f>
        <v/>
      </c>
      <c r="U248" s="50" t="str">
        <f>IF(OR(G248="",G248="NA"),"",IF(G248&gt;S248,S248,IF(G248&lt;0,0,G248)))</f>
        <v/>
      </c>
      <c r="V248" s="553" t="str">
        <f>IF(Y248="","",ROUND(Y248,0))</f>
        <v/>
      </c>
      <c r="W248" s="791" t="s">
        <v>1184</v>
      </c>
      <c r="X248" s="791"/>
      <c r="Y248" s="554" t="str">
        <f>IF(T248="","",IF(OR(U248="",U248=0,U248&lt;T248),T248,(T248*100)/U248))</f>
        <v/>
      </c>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row>
    <row r="249" spans="2:109" ht="13.5" customHeight="1" x14ac:dyDescent="0.2">
      <c r="B249" s="146" t="s">
        <v>671</v>
      </c>
      <c r="C249" s="694"/>
      <c r="D249" s="694"/>
      <c r="E249" s="921">
        <f>UETable!AV43</f>
        <v>0</v>
      </c>
      <c r="F249" s="921"/>
      <c r="G249" s="694"/>
      <c r="H249" s="694"/>
      <c r="I249" s="936">
        <f>IF(C249="",0,IF(OR(C249&gt;=100,G249&gt;=100),E249,IF(G249&gt;C249,0,UETable!BA43)))</f>
        <v>0</v>
      </c>
      <c r="J249" s="936"/>
      <c r="K249" s="930" t="str">
        <f>IF(OR(C249="NA",G249="NA"),"",IF(AND(C249&lt;&gt;"",G249=""),"Enter contralateral or NA.",IF(AND(C249="",G249&lt;&gt;""),"Need data","")))</f>
        <v/>
      </c>
      <c r="L249" s="930"/>
      <c r="M249" s="930"/>
      <c r="N249" s="930"/>
      <c r="O249" s="931"/>
      <c r="P249" s="755"/>
      <c r="S249" s="50">
        <v>100</v>
      </c>
      <c r="T249" s="50" t="str">
        <f>IF(OR(C249="",C249="NA"),"",IF(C249&gt;S249,S249,IF(C249&lt;0,0,C249)))</f>
        <v/>
      </c>
      <c r="U249" s="50" t="str">
        <f>IF(OR(G249="",G249="NA"),"",IF(G249&gt;S249,S249,IF(G249&lt;0,0,G249)))</f>
        <v/>
      </c>
      <c r="V249" s="553" t="str">
        <f>IF(Y249="","",ROUND(Y249,0))</f>
        <v/>
      </c>
      <c r="W249" s="50">
        <f>IF(T249="",0,100-T249)</f>
        <v>0</v>
      </c>
      <c r="X249" s="50">
        <f>IF(U249="",0,100-U249)</f>
        <v>0</v>
      </c>
      <c r="Y249" s="554" t="str">
        <f>IF(T249="","",IF(OR(U249="",U249=0,U249&gt;T249),T249,100-(W249*100)/X249))</f>
        <v/>
      </c>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row>
    <row r="250" spans="2:109" ht="15" customHeight="1" x14ac:dyDescent="0.2">
      <c r="B250" s="146" t="s">
        <v>672</v>
      </c>
      <c r="C250" s="694"/>
      <c r="D250" s="694"/>
      <c r="E250" s="921">
        <f>IF(AND(C250&lt;&gt;"",C250&lt;&gt;"NA",C249&lt;&gt;"NA",C249&lt;&gt;""),"ERROR",IF(AND(C250&lt;&gt;"",C250&lt;&gt;"NA",C248&lt;&gt;"",C248&lt;&gt;"NA"),"ERROR",UETable!AV44))</f>
        <v>0</v>
      </c>
      <c r="F250" s="921"/>
      <c r="G250" s="930" t="str">
        <f>IF(AND(C250&lt;&gt;"",C250&lt;&gt;"NA",C249&lt;&gt;"NA",C249&lt;&gt;""),"ERROR: Cannot rate ROM and ankylosis.",IF(AND(C250&lt;&gt;"",C250&lt;&gt;"NA",C248&lt;&gt;"",C248&lt;&gt;"NA"),"ERROR: Cannot rate ROM and ankylosis.",""))</f>
        <v/>
      </c>
      <c r="H250" s="930"/>
      <c r="I250" s="930"/>
      <c r="J250" s="930"/>
      <c r="K250" s="930"/>
      <c r="L250" s="930"/>
      <c r="M250" s="930"/>
      <c r="N250" s="930"/>
      <c r="O250" s="931"/>
      <c r="P250" s="755"/>
      <c r="R250" s="10"/>
      <c r="S250" s="50">
        <v>100</v>
      </c>
      <c r="T250" s="50" t="str">
        <f>IF(OR(C250="",C250="NA"),"",IF(C250&gt;S250,S250,IF(C250&lt;0,0,C250)))</f>
        <v/>
      </c>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row>
    <row r="251" spans="2:109" x14ac:dyDescent="0.2">
      <c r="B251" s="979"/>
      <c r="C251" s="980"/>
      <c r="D251" s="980"/>
      <c r="E251" s="980"/>
      <c r="F251" s="980"/>
      <c r="G251" s="980"/>
      <c r="H251" s="980"/>
      <c r="I251" s="980"/>
      <c r="J251" s="981"/>
      <c r="K251" s="956" t="s">
        <v>1803</v>
      </c>
      <c r="L251" s="956"/>
      <c r="M251" s="956"/>
      <c r="N251" s="956"/>
      <c r="O251" s="65">
        <f>IF(E250="ERROR","ERROR",IF(R251&gt;1,1,R251))</f>
        <v>0</v>
      </c>
      <c r="P251" s="755"/>
      <c r="R251" s="193">
        <f>SUM(I248,I249,E250)</f>
        <v>0</v>
      </c>
      <c r="S251" s="10"/>
      <c r="T251" s="10"/>
      <c r="U251" s="10"/>
      <c r="V251" s="10"/>
      <c r="W251" s="10"/>
      <c r="X251" s="10"/>
      <c r="Y251" s="10"/>
      <c r="Z251" s="10"/>
      <c r="AA251" s="146" t="s">
        <v>1287</v>
      </c>
      <c r="AB251" s="146" t="s">
        <v>1285</v>
      </c>
      <c r="AC251" s="50" t="s">
        <v>1286</v>
      </c>
      <c r="AD251" s="50" t="s">
        <v>1287</v>
      </c>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row>
    <row r="252" spans="2:109" ht="13.5" customHeight="1" x14ac:dyDescent="0.2">
      <c r="B252" s="230" t="s">
        <v>1546</v>
      </c>
      <c r="C252" s="694"/>
      <c r="D252" s="694"/>
      <c r="E252" s="1064">
        <f>UETable!AV46</f>
        <v>0</v>
      </c>
      <c r="F252" s="1064"/>
      <c r="G252" s="694"/>
      <c r="H252" s="694"/>
      <c r="I252" s="1051">
        <f>IF(C252="",0,IF(OR(C252&lt;=0,G252&lt;=0),E252,IF(G252&lt;C252,0,UETable!BA46)))</f>
        <v>0</v>
      </c>
      <c r="J252" s="1051"/>
      <c r="K252" s="1052" t="str">
        <f>IF(OR(C252="NA",G252="NA"),"",IF(AND(C252&lt;&gt;"",G252=""),"Enter contralateral or NA.",IF(AND(C252="",G252&lt;&gt;""),"Need data","")))</f>
        <v/>
      </c>
      <c r="L252" s="1052"/>
      <c r="M252" s="1052"/>
      <c r="N252" s="1052"/>
      <c r="O252" s="1053"/>
      <c r="P252" s="755"/>
      <c r="R252" s="10"/>
      <c r="S252" s="50">
        <v>90</v>
      </c>
      <c r="T252" s="50" t="str">
        <f>IF(OR(C252="",C252="NA"),"",IF(C252&gt;S252,S252,IF(C252&lt;0,0,C252)))</f>
        <v/>
      </c>
      <c r="U252" s="50" t="str">
        <f>IF(OR(G252="",G252="NA"),"",IF(G252&gt;S252,S252,IF(G252&lt;0,0,G252)))</f>
        <v/>
      </c>
      <c r="V252" s="553" t="str">
        <f>IF(Y252="","",ROUND(Y252,0))</f>
        <v/>
      </c>
      <c r="W252" s="791" t="s">
        <v>1184</v>
      </c>
      <c r="X252" s="791"/>
      <c r="Y252" s="554" t="str">
        <f>IF(T252="","",IF(OR(U252="",U252=0,U252&lt;T252),T252,(T252*90)/U252))</f>
        <v/>
      </c>
      <c r="Z252" s="10"/>
      <c r="AA252" s="548">
        <f>IF(AND(O247&gt;0,O247&lt;0.01),0.01,ROUND(O247,2))</f>
        <v>0</v>
      </c>
      <c r="AB252" s="147">
        <f>LARGE(AA252:AA254,1)</f>
        <v>0</v>
      </c>
      <c r="AC252" s="548">
        <f>AB252+AB253*(1-AB252)</f>
        <v>0</v>
      </c>
      <c r="AD252" s="548">
        <f>ROUND(AC252,2)</f>
        <v>0</v>
      </c>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row>
    <row r="253" spans="2:109" ht="13.5" customHeight="1" x14ac:dyDescent="0.2">
      <c r="B253" s="146" t="s">
        <v>1547</v>
      </c>
      <c r="C253" s="694"/>
      <c r="D253" s="694"/>
      <c r="E253" s="921">
        <f>UETable!AV47</f>
        <v>0</v>
      </c>
      <c r="F253" s="921"/>
      <c r="G253" s="694"/>
      <c r="H253" s="694"/>
      <c r="I253" s="936">
        <f>IF(C253="",0,IF(OR(C253&gt;=90,G253&gt;=90),E253,IF(G253&gt;C253,0,UETable!BA47)))</f>
        <v>0</v>
      </c>
      <c r="J253" s="936"/>
      <c r="K253" s="930" t="str">
        <f>IF(OR(C253="NA",G253="NA"),"",IF(AND(C253&lt;&gt;"",G253=""),"Enter contralateral or NA.",IF(AND(C253="",G253&lt;&gt;""),"Need data","")))</f>
        <v/>
      </c>
      <c r="L253" s="930"/>
      <c r="M253" s="930"/>
      <c r="N253" s="930"/>
      <c r="O253" s="931"/>
      <c r="P253" s="755"/>
      <c r="R253" s="10"/>
      <c r="S253" s="50">
        <v>90</v>
      </c>
      <c r="T253" s="50" t="str">
        <f>IF(OR(C253="",C253="NA"),"",IF(C253&gt;S253,S253,IF(C253&lt;0,0,C253)))</f>
        <v/>
      </c>
      <c r="U253" s="50" t="str">
        <f>IF(OR(G253="",G253="NA"),"",IF(G253&gt;S253,S253,IF(G253&lt;0,0,G253)))</f>
        <v/>
      </c>
      <c r="V253" s="553" t="str">
        <f>IF(Y253="","",ROUND(Y253,0))</f>
        <v/>
      </c>
      <c r="W253" s="50">
        <f>IF(T253="",0,90-T253)</f>
        <v>0</v>
      </c>
      <c r="X253" s="50">
        <f>IF(U253="",0,90-U253)</f>
        <v>0</v>
      </c>
      <c r="Y253" s="554" t="str">
        <f>IF(T253="","",IF(OR(U253="",U253=0,U253&gt;T253),T253,90-(W253*90)/X253))</f>
        <v/>
      </c>
      <c r="Z253" s="10"/>
      <c r="AA253" s="548">
        <f>IF(AND(O251&gt;0,O251&lt;0.01),0.01,ROUND(O251,2))</f>
        <v>0</v>
      </c>
      <c r="AB253" s="147">
        <f>LARGE(AA252:AA254,2)</f>
        <v>0</v>
      </c>
      <c r="AC253" s="544">
        <f>AD252+AB254*(1-AD252)</f>
        <v>0</v>
      </c>
      <c r="AD253" s="548">
        <f>ROUND(AC253,2)</f>
        <v>0</v>
      </c>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row>
    <row r="254" spans="2:109" ht="15" customHeight="1" x14ac:dyDescent="0.2">
      <c r="B254" s="146" t="s">
        <v>629</v>
      </c>
      <c r="C254" s="694"/>
      <c r="D254" s="694"/>
      <c r="E254" s="921">
        <f>IF(AND(C254&lt;&gt;"",C254&lt;&gt;"NA",C253&lt;&gt;"NA",C253&lt;&gt;""),"ERROR",IF(AND(C254&lt;&gt;"",C254&lt;&gt;"NA",C252&lt;&gt;"",C252&lt;&gt;"NA"),"ERROR",UETable!AV48))</f>
        <v>0</v>
      </c>
      <c r="F254" s="921"/>
      <c r="G254" s="930" t="str">
        <f>IF(AND(C254&lt;&gt;"",C254&lt;&gt;"NA",C253&lt;&gt;"NA",C253&lt;&gt;""),"ERROR: Cannot rate ROM and ankylosis.",IF(AND(C254&lt;&gt;"",C254&lt;&gt;"NA",C252&lt;&gt;"",C252&lt;&gt;"NA"),"ERROR: Cannot rate ROM and ankylosis.",""))</f>
        <v/>
      </c>
      <c r="H254" s="930"/>
      <c r="I254" s="930"/>
      <c r="J254" s="930"/>
      <c r="K254" s="930"/>
      <c r="L254" s="930"/>
      <c r="M254" s="930"/>
      <c r="N254" s="930"/>
      <c r="O254" s="931"/>
      <c r="P254" s="755"/>
      <c r="R254" s="50">
        <f>IF(OR(O247="ERROR",O251="ERROR",O255="ERROR"),1,0)</f>
        <v>0</v>
      </c>
      <c r="S254" s="50">
        <v>90</v>
      </c>
      <c r="T254" s="50" t="str">
        <f>IF(OR(C254="",C254="NA"),"",IF(C254&gt;S254,S254,IF(C254&lt;0,0,C254)))</f>
        <v/>
      </c>
      <c r="U254" s="10"/>
      <c r="V254" s="10"/>
      <c r="W254" s="10"/>
      <c r="X254" s="10"/>
      <c r="Y254" s="10"/>
      <c r="Z254" s="10"/>
      <c r="AA254" s="548">
        <f>IF(AND(O255&gt;0,O255&lt;0.01),0.01,ROUND(O255,2))</f>
        <v>0</v>
      </c>
      <c r="AB254" s="147">
        <f>LARGE(AA252:AA254,3)</f>
        <v>0</v>
      </c>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row>
    <row r="255" spans="2:109" x14ac:dyDescent="0.2">
      <c r="B255" s="964"/>
      <c r="C255" s="965"/>
      <c r="D255" s="965"/>
      <c r="E255" s="965"/>
      <c r="F255" s="965"/>
      <c r="G255" s="965"/>
      <c r="H255" s="965"/>
      <c r="I255" s="966"/>
      <c r="J255" s="956" t="s">
        <v>1803</v>
      </c>
      <c r="K255" s="956"/>
      <c r="L255" s="956"/>
      <c r="M255" s="956"/>
      <c r="N255" s="956"/>
      <c r="O255" s="65">
        <f>IF(E254="ERROR","ERROR",IF(R255&gt;1,1,R255))</f>
        <v>0</v>
      </c>
      <c r="P255" s="755"/>
      <c r="R255" s="193">
        <f>SUM(I252,I253,E254)</f>
        <v>0</v>
      </c>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row>
    <row r="256" spans="2:109" ht="15" customHeight="1" x14ac:dyDescent="0.2">
      <c r="B256" s="918"/>
      <c r="C256" s="919"/>
      <c r="D256" s="919"/>
      <c r="E256" s="919"/>
      <c r="F256" s="919"/>
      <c r="G256" s="919"/>
      <c r="H256" s="919"/>
      <c r="I256" s="920"/>
      <c r="J256" s="956" t="s">
        <v>912</v>
      </c>
      <c r="K256" s="956"/>
      <c r="L256" s="956"/>
      <c r="M256" s="956"/>
      <c r="N256" s="956"/>
      <c r="O256" s="1006"/>
      <c r="P256" s="755"/>
      <c r="R256" s="10"/>
      <c r="S256" s="10"/>
      <c r="T256" s="10"/>
      <c r="U256" s="10"/>
      <c r="V256" s="10"/>
      <c r="W256" s="10"/>
      <c r="X256" s="10"/>
      <c r="Y256" s="10"/>
      <c r="Z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row>
    <row r="257" spans="1:109" ht="9.75" customHeight="1" x14ac:dyDescent="0.2">
      <c r="B257" s="777"/>
      <c r="C257" s="777"/>
      <c r="D257" s="777"/>
      <c r="E257" s="777"/>
      <c r="F257" s="777"/>
      <c r="G257" s="777"/>
      <c r="H257" s="777"/>
      <c r="I257" s="777"/>
      <c r="J257" s="777"/>
      <c r="K257" s="777"/>
      <c r="L257" s="777"/>
      <c r="M257" s="777"/>
      <c r="N257" s="777"/>
      <c r="O257" s="777"/>
      <c r="R257" s="10"/>
      <c r="S257" s="863" t="s">
        <v>2147</v>
      </c>
      <c r="T257" s="863"/>
      <c r="U257" s="10"/>
      <c r="V257" s="10"/>
      <c r="W257" s="10"/>
      <c r="X257" s="10"/>
      <c r="Y257" s="10"/>
      <c r="Z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row>
    <row r="258" spans="1:109" ht="14.25" customHeight="1" x14ac:dyDescent="0.2">
      <c r="A258" s="15"/>
      <c r="B258" s="982" t="s">
        <v>954</v>
      </c>
      <c r="C258" s="983"/>
      <c r="D258" s="940"/>
      <c r="E258" s="940"/>
      <c r="F258" s="924" t="s">
        <v>1210</v>
      </c>
      <c r="G258" s="924"/>
      <c r="H258" s="924"/>
      <c r="I258" s="924"/>
      <c r="J258" s="924"/>
      <c r="K258" s="924"/>
      <c r="L258" s="924"/>
      <c r="M258" s="924"/>
      <c r="N258" s="924"/>
      <c r="O258" s="924"/>
      <c r="P258" s="82">
        <f>IF(T258=1,0.1,0)</f>
        <v>0</v>
      </c>
      <c r="R258" s="10"/>
      <c r="S258" s="546" t="b">
        <v>0</v>
      </c>
      <c r="T258" s="50">
        <f>IF(S258=TRUE,1,0)</f>
        <v>0</v>
      </c>
      <c r="W258" s="10"/>
      <c r="X258" s="10"/>
      <c r="Y258" s="10"/>
      <c r="Z258" s="10"/>
      <c r="AA258" s="10"/>
      <c r="AB258" s="10"/>
      <c r="AC258" s="10"/>
      <c r="AD258" s="10"/>
      <c r="AE258" s="10"/>
      <c r="AF258" s="10"/>
      <c r="AG258" s="10">
        <v>1E-4</v>
      </c>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row>
    <row r="259" spans="1:109" x14ac:dyDescent="0.2">
      <c r="B259" s="984"/>
      <c r="C259" s="985"/>
      <c r="D259" s="940"/>
      <c r="E259" s="940"/>
      <c r="F259" s="924" t="s">
        <v>1212</v>
      </c>
      <c r="G259" s="924"/>
      <c r="H259" s="924"/>
      <c r="I259" s="924"/>
      <c r="J259" s="924"/>
      <c r="K259" s="924"/>
      <c r="L259" s="924"/>
      <c r="M259" s="924"/>
      <c r="N259" s="924"/>
      <c r="O259" s="924"/>
      <c r="P259" s="82">
        <f>IF(T259=1,0.1,0)</f>
        <v>0</v>
      </c>
      <c r="R259" s="10"/>
      <c r="S259" s="546" t="b">
        <v>0</v>
      </c>
      <c r="T259" s="50">
        <f>IF(S259=TRUE,1,0)</f>
        <v>0</v>
      </c>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row>
    <row r="260" spans="1:109" x14ac:dyDescent="0.2">
      <c r="B260" s="984"/>
      <c r="C260" s="985"/>
      <c r="D260" s="940"/>
      <c r="E260" s="940"/>
      <c r="F260" s="924" t="s">
        <v>1211</v>
      </c>
      <c r="G260" s="924"/>
      <c r="H260" s="924"/>
      <c r="I260" s="924"/>
      <c r="J260" s="924"/>
      <c r="K260" s="924"/>
      <c r="L260" s="924"/>
      <c r="M260" s="924"/>
      <c r="N260" s="924"/>
      <c r="O260" s="924"/>
      <c r="P260" s="82">
        <f>IF(T260=1,0.1,0)</f>
        <v>0</v>
      </c>
      <c r="R260" s="10"/>
      <c r="S260" s="546" t="b">
        <v>0</v>
      </c>
      <c r="T260" s="50">
        <f>IF(S260=TRUE,1,0)</f>
        <v>0</v>
      </c>
      <c r="U260" s="134"/>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row>
    <row r="261" spans="1:109" x14ac:dyDescent="0.2">
      <c r="B261" s="986"/>
      <c r="C261" s="987"/>
      <c r="D261" s="940"/>
      <c r="E261" s="940"/>
      <c r="F261" s="924" t="s">
        <v>1213</v>
      </c>
      <c r="G261" s="924"/>
      <c r="H261" s="924"/>
      <c r="I261" s="924"/>
      <c r="J261" s="924"/>
      <c r="K261" s="924"/>
      <c r="L261" s="924"/>
      <c r="M261" s="924"/>
      <c r="N261" s="924"/>
      <c r="O261" s="924"/>
      <c r="P261" s="82">
        <f>IF(T261=1,0.1,0)</f>
        <v>0</v>
      </c>
      <c r="R261" s="10"/>
      <c r="S261" s="546" t="b">
        <v>0</v>
      </c>
      <c r="T261" s="50">
        <f>IF(S261=TRUE,1,0)</f>
        <v>0</v>
      </c>
      <c r="U261" s="134"/>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row>
    <row r="262" spans="1:109" ht="12" customHeight="1" x14ac:dyDescent="0.2">
      <c r="B262" s="777"/>
      <c r="C262" s="777"/>
      <c r="D262" s="777"/>
      <c r="E262" s="777"/>
      <c r="F262" s="777"/>
      <c r="G262" s="777"/>
      <c r="H262" s="777"/>
      <c r="I262" s="777"/>
      <c r="J262" s="777"/>
      <c r="K262" s="777"/>
      <c r="L262" s="777"/>
      <c r="M262" s="777"/>
      <c r="N262" s="777"/>
      <c r="O262" s="777"/>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row>
    <row r="263" spans="1:109" ht="12" customHeight="1" x14ac:dyDescent="0.2">
      <c r="B263" s="480"/>
      <c r="C263" s="978" t="s">
        <v>239</v>
      </c>
      <c r="D263" s="975"/>
      <c r="E263" s="976" t="s">
        <v>240</v>
      </c>
      <c r="F263" s="975"/>
      <c r="G263" s="350"/>
      <c r="H263" s="352"/>
      <c r="I263" s="974" t="s">
        <v>241</v>
      </c>
      <c r="J263" s="975"/>
      <c r="K263" s="472"/>
      <c r="L263" s="352"/>
      <c r="M263" s="976" t="s">
        <v>240</v>
      </c>
      <c r="N263" s="975"/>
      <c r="O263" s="351"/>
      <c r="P263" s="487"/>
      <c r="Z263" s="477"/>
      <c r="AE263" s="476"/>
      <c r="AF263" s="476"/>
      <c r="AG263" s="476"/>
      <c r="AH263" s="476"/>
      <c r="AI263" s="476"/>
      <c r="AJ263" s="476"/>
      <c r="AK263" s="476"/>
      <c r="AL263" s="476"/>
      <c r="AM263" s="476"/>
      <c r="AN263" s="476"/>
    </row>
    <row r="264" spans="1:109" ht="12" customHeight="1" x14ac:dyDescent="0.2">
      <c r="B264" s="481"/>
      <c r="C264" s="959" t="s">
        <v>242</v>
      </c>
      <c r="D264" s="960"/>
      <c r="E264" s="959" t="s">
        <v>243</v>
      </c>
      <c r="F264" s="960"/>
      <c r="G264" s="959" t="s">
        <v>244</v>
      </c>
      <c r="H264" s="960"/>
      <c r="I264" s="973" t="s">
        <v>245</v>
      </c>
      <c r="J264" s="960"/>
      <c r="K264" s="959" t="s">
        <v>246</v>
      </c>
      <c r="L264" s="960"/>
      <c r="M264" s="959" t="s">
        <v>247</v>
      </c>
      <c r="N264" s="960"/>
      <c r="P264" s="488"/>
      <c r="Z264" s="327"/>
      <c r="AE264" s="476"/>
      <c r="AF264" s="476"/>
      <c r="AG264" s="476"/>
      <c r="AH264" s="476"/>
      <c r="AI264" s="476"/>
      <c r="AJ264" s="476"/>
      <c r="AK264" s="476"/>
      <c r="AL264" s="476"/>
      <c r="AM264" s="476"/>
      <c r="AN264" s="476"/>
    </row>
    <row r="265" spans="1:109" ht="12" customHeight="1" x14ac:dyDescent="0.2">
      <c r="B265" s="481"/>
      <c r="C265" s="934" t="s">
        <v>248</v>
      </c>
      <c r="D265" s="935"/>
      <c r="E265" s="934" t="s">
        <v>249</v>
      </c>
      <c r="F265" s="935"/>
      <c r="G265" s="934" t="s">
        <v>250</v>
      </c>
      <c r="H265" s="935"/>
      <c r="I265" s="963" t="s">
        <v>251</v>
      </c>
      <c r="J265" s="935"/>
      <c r="K265" s="934" t="s">
        <v>250</v>
      </c>
      <c r="L265" s="935"/>
      <c r="M265" s="934" t="s">
        <v>249</v>
      </c>
      <c r="N265" s="935"/>
      <c r="P265" s="488"/>
      <c r="AH265" s="146">
        <v>1</v>
      </c>
      <c r="AI265" s="146">
        <v>2</v>
      </c>
      <c r="AJ265" s="146">
        <v>3</v>
      </c>
      <c r="AK265" s="146">
        <v>4</v>
      </c>
      <c r="AM265" s="476"/>
      <c r="AN265" s="476"/>
      <c r="AO265" s="476"/>
      <c r="AP265" s="476"/>
      <c r="AQ265" s="476"/>
      <c r="AR265" s="476"/>
      <c r="AS265" s="476"/>
      <c r="AT265" s="476"/>
      <c r="AU265" s="476"/>
      <c r="AV265" s="476"/>
    </row>
    <row r="266" spans="1:109" ht="12" customHeight="1" x14ac:dyDescent="0.2">
      <c r="B266" s="539" t="s">
        <v>1945</v>
      </c>
      <c r="C266" s="932" t="s">
        <v>252</v>
      </c>
      <c r="D266" s="933"/>
      <c r="E266" s="932" t="s">
        <v>252</v>
      </c>
      <c r="F266" s="933"/>
      <c r="G266" s="932" t="s">
        <v>252</v>
      </c>
      <c r="H266" s="933"/>
      <c r="I266" s="932" t="s">
        <v>252</v>
      </c>
      <c r="J266" s="933"/>
      <c r="K266" s="932" t="s">
        <v>252</v>
      </c>
      <c r="L266" s="933"/>
      <c r="M266" s="932" t="s">
        <v>252</v>
      </c>
      <c r="N266" s="933"/>
      <c r="P266" s="488"/>
      <c r="S266" s="892" t="s">
        <v>2147</v>
      </c>
      <c r="T266" s="893"/>
      <c r="U266" s="893"/>
      <c r="V266" s="893"/>
      <c r="W266" s="893"/>
      <c r="X266" s="894"/>
      <c r="Y266" s="475"/>
      <c r="Z266" s="475"/>
      <c r="AA266" s="950" t="s">
        <v>2147</v>
      </c>
      <c r="AB266" s="951"/>
      <c r="AC266" s="951"/>
      <c r="AD266" s="951"/>
      <c r="AE266" s="951"/>
      <c r="AF266" s="952"/>
      <c r="AG266" s="475"/>
      <c r="AH266" s="895" t="s">
        <v>2147</v>
      </c>
      <c r="AI266" s="896"/>
      <c r="AJ266" s="896"/>
      <c r="AK266" s="896"/>
      <c r="AL266" s="896"/>
      <c r="AM266" s="897"/>
      <c r="AO266" s="892" t="s">
        <v>2147</v>
      </c>
      <c r="AP266" s="893"/>
      <c r="AQ266" s="893"/>
      <c r="AR266" s="893"/>
      <c r="AS266" s="894"/>
      <c r="AU266" s="892" t="s">
        <v>2147</v>
      </c>
      <c r="AV266" s="893"/>
      <c r="AW266" s="893"/>
      <c r="AX266" s="894"/>
      <c r="AZ266" s="892" t="s">
        <v>2147</v>
      </c>
      <c r="BA266" s="893"/>
      <c r="BB266" s="893"/>
      <c r="BC266" s="893"/>
      <c r="BD266" s="893"/>
      <c r="BE266" s="893"/>
      <c r="BF266" s="893"/>
      <c r="BG266" s="894"/>
      <c r="BI266" s="892" t="s">
        <v>2147</v>
      </c>
      <c r="BJ266" s="893"/>
      <c r="BK266" s="893"/>
      <c r="BL266" s="893"/>
      <c r="BM266" s="893"/>
      <c r="BN266" s="894"/>
    </row>
    <row r="267" spans="1:109" customFormat="1" ht="15" customHeight="1" x14ac:dyDescent="0.2">
      <c r="B267" s="146" t="s">
        <v>1576</v>
      </c>
      <c r="C267" s="925"/>
      <c r="D267" s="925"/>
      <c r="E267" s="925"/>
      <c r="F267" s="925"/>
      <c r="G267" s="925"/>
      <c r="H267" s="925"/>
      <c r="I267" s="925"/>
      <c r="J267" s="925"/>
      <c r="K267" s="925"/>
      <c r="L267" s="925"/>
      <c r="M267" s="925"/>
      <c r="N267" s="925"/>
      <c r="P267" s="489"/>
      <c r="S267" s="301">
        <f>IF(C267="",0,C267)</f>
        <v>0</v>
      </c>
      <c r="T267" s="301">
        <f>IF(E267&lt;&gt;"",E267,IF(S267&gt;0,S267,0))</f>
        <v>0</v>
      </c>
      <c r="U267" s="301">
        <f>IF(G267&lt;&gt;"",G267,IF(T267&gt;0,T267,0))</f>
        <v>0</v>
      </c>
      <c r="V267" s="301">
        <f>IF(I267&lt;&gt;"",I267,IF(U267&gt;0,U267,0))</f>
        <v>0</v>
      </c>
      <c r="W267" s="301">
        <f>IF(K267&lt;&gt;"",K267,IF(V267&gt;0,V267,0))</f>
        <v>0</v>
      </c>
      <c r="X267" s="301">
        <f>IF(M267&lt;&gt;"",M267,IF(W267&gt;0,W267,0))</f>
        <v>0</v>
      </c>
      <c r="Z267" s="475"/>
      <c r="AA267" s="483">
        <f>IF(C267&gt;1,1,0)</f>
        <v>0</v>
      </c>
      <c r="AB267" s="301">
        <f t="shared" ref="AB267:AF269" si="37">IF(AND(S267&lt;&gt;T267,T267&gt;0),1,0)</f>
        <v>0</v>
      </c>
      <c r="AC267" s="301">
        <f t="shared" si="37"/>
        <v>0</v>
      </c>
      <c r="AD267" s="301">
        <f t="shared" si="37"/>
        <v>0</v>
      </c>
      <c r="AE267" s="301">
        <f t="shared" si="37"/>
        <v>0</v>
      </c>
      <c r="AF267" s="301">
        <f t="shared" si="37"/>
        <v>0</v>
      </c>
      <c r="AH267" s="478">
        <f>IF(S267=1,0,IF(S267=2,0.25,IF(S267=3,0.38,IF(S267=4,0.5,0))))</f>
        <v>0</v>
      </c>
      <c r="AI267" s="478">
        <f>IF(T267=1,0,IF(T267=2,0.23,IF(T267=3,0.35,IF(T267=4,0.45,0))))</f>
        <v>0</v>
      </c>
      <c r="AJ267" s="478">
        <f>IF(U267=1,0,IF(U267=2,0.2,IF(U267=3,0.3,IF(U267=4,0.39,0))))</f>
        <v>0</v>
      </c>
      <c r="AK267" s="478">
        <f>IF(V267=1,0,IF(V267=2,0.17,IF(V267=3,0.25,IF(V267=4,0.33,0))))</f>
        <v>0</v>
      </c>
      <c r="AL267" s="478">
        <f>IF(W267=1,0,IF(W267=2,0.13,IF(W267=3,0.19,IF(W267=4,0.24,0))))</f>
        <v>0</v>
      </c>
      <c r="AM267" s="478">
        <f>IF(X267=1,0,IF(X267=2,0.08,IF(X267=3,0.12,IF(X267=4,0.15,0))))</f>
        <v>0</v>
      </c>
      <c r="AN267" s="479"/>
      <c r="AO267" s="478">
        <f>IF(S267=1,0,IF(S267=2,0.23,IF(S267=3,0.35,IF(S267=4,0.45,0))))</f>
        <v>0</v>
      </c>
      <c r="AP267" s="478">
        <f>IF(T267=1,0,IF(T267=2,0.2,IF(T267=3,0.3,IF(T267=4,0.39,0))))</f>
        <v>0</v>
      </c>
      <c r="AQ267" s="478">
        <f>IF(U267=1,0,IF(U267=2,0.17,IF(U267=3,0.25,IF(U267=4,0.33,0))))</f>
        <v>0</v>
      </c>
      <c r="AR267" s="478">
        <f>IF(V267=1,0,IF(V267=2,0.13,IF(V267=3,0.19,IF(V267=4,0.24,0))))</f>
        <v>0</v>
      </c>
      <c r="AS267" s="478">
        <f>IF(W267=1,0,IF(W267=2,0.08,IF(W267=3,0.12,IF(W267=4,0.15,0))))</f>
        <v>0</v>
      </c>
      <c r="AU267" s="478">
        <f>IF(S267=1,0,IF(S267=2,0.2,IF(S267=3,0.3,IF(S267=4,0.39,0))))</f>
        <v>0</v>
      </c>
      <c r="AV267" s="478">
        <f>IF(T267=1,0,IF(T267=2,0.17,IF(T267=3,0.25,IF(T267=4,0.33,0))))</f>
        <v>0</v>
      </c>
      <c r="AW267" s="478">
        <f>IF(U267=1,0,IF(U267=2,0.13,IF(U267=3,0.19,IF(U267=4,0.24,0))))</f>
        <v>0</v>
      </c>
      <c r="AX267" s="478">
        <f>IF(V267=1,0,IF(V267=2,0.08,IF(V267=3,0.12,IF(V267=4,0.15,0))))</f>
        <v>0</v>
      </c>
      <c r="AZ267" s="478">
        <f>IF(S267=1,0,IF(S267=2,0.17,IF(S267=3,0.25,IF(S267=4,0.33,0))))</f>
        <v>0</v>
      </c>
      <c r="BA267" s="478">
        <f>IF(T267=1,0,IF(T267=2,0.13,IF(T267=3,0.19,IF(T267=4,0.24,0))))</f>
        <v>0</v>
      </c>
      <c r="BB267" s="478">
        <f>IF(U267=1,0,IF(U267=2,0.08,IF(U267=3,0.12,IF(U267=4,0.15,0))))</f>
        <v>0</v>
      </c>
      <c r="BD267" s="478">
        <f>IF(S267=1,0,IF(S267=2,0.13,IF(S267=3,0.19,IF(S267=4,0.24,0))))</f>
        <v>0</v>
      </c>
      <c r="BE267" s="478">
        <f>IF(T267=1,0,IF(T267=2,0.08,IF(T267=3,0.12,IF(T267=4,0.15,0))))</f>
        <v>0</v>
      </c>
      <c r="BG267" s="478">
        <f>IF(S267=1,0,IF(S267=2,0.08,IF(S267=3,0.12,IF(S267=4,0.15,0))))</f>
        <v>0</v>
      </c>
      <c r="BI267" s="478">
        <f>IF(AA267=0,0,IF(OR(AB267=1,AB268=1,AB269=1),AH267-AO267,IF(OR(AC267=1,AC268=1,AC269=1),AH267-AU267,IF(OR(AD267=1,AD268=1,AD269=1),AH267-AZ267,IF(OR(AE267=1,AE268=1,AE269=1),AH267-BD267,IF(OR(AF267=1,AF268=1,AF269=1),AH267-BG267,AH267))))))</f>
        <v>0</v>
      </c>
      <c r="BJ267" s="478">
        <f>IF(AB267=0,0,IF(OR(AC267=1,AC268=1,AC269=1),AI267-AP267,IF(OR(AD267=1,AD268=1,AD269=1),AI267-AV267,IF(OR(AE267=1,AE268=1,AE269=1),AI267-BA267,IF(OR(AF267=1,AF268=1,AF269=1),AI267-BE267,AI267)))))</f>
        <v>0</v>
      </c>
      <c r="BK267" s="478">
        <f>IF(AC267=0,0,IF(OR(AD267=1,AD268=1,AD269=1),AJ267-AQ267,IF(OR(AE267=1,AE268=1,AE269=1),AJ267-AW267,IF(OR(AF267=1,AF268=1,AF269=1),AJ267-BB267,AJ267))))</f>
        <v>0</v>
      </c>
      <c r="BL267" s="478">
        <f>IF(AD267=0,0,IF(OR(AE267=1,AE268=1,AE269=1),AK267-AR267,IF(OR(AF267=1,AF268=1,AF269=1),AK267-AX267,AK267)))</f>
        <v>0</v>
      </c>
      <c r="BM267" s="478">
        <f>IF(AE267=0,0,IF(OR(AF267=1,AF268=1,AF269=1),AL267-AS267,AL267))</f>
        <v>0</v>
      </c>
      <c r="BN267" s="478">
        <f>IF(AF267=0,0,AM267)</f>
        <v>0</v>
      </c>
      <c r="BP267" t="s">
        <v>253</v>
      </c>
      <c r="BR267" s="892" t="s">
        <v>2147</v>
      </c>
      <c r="BS267" s="893"/>
      <c r="BT267" s="893"/>
      <c r="BU267" s="893"/>
      <c r="BV267" s="893"/>
      <c r="BW267" s="893"/>
      <c r="BX267" s="893"/>
      <c r="BY267" s="893"/>
      <c r="BZ267" s="893"/>
      <c r="CA267" s="894"/>
    </row>
    <row r="268" spans="1:109" customFormat="1" ht="15" customHeight="1" x14ac:dyDescent="0.2">
      <c r="B268" s="301" t="s">
        <v>1579</v>
      </c>
      <c r="C268" s="925"/>
      <c r="D268" s="925"/>
      <c r="E268" s="925"/>
      <c r="F268" s="925"/>
      <c r="G268" s="925"/>
      <c r="H268" s="925"/>
      <c r="I268" s="925"/>
      <c r="J268" s="925"/>
      <c r="K268" s="925"/>
      <c r="L268" s="925"/>
      <c r="M268" s="925"/>
      <c r="N268" s="925"/>
      <c r="P268" s="495"/>
      <c r="S268" s="301">
        <f>IF(C268="",0,C268)</f>
        <v>0</v>
      </c>
      <c r="T268" s="301">
        <f>IF(E268&lt;&gt;"",E268,IF(S268&gt;0,S268,0))</f>
        <v>0</v>
      </c>
      <c r="U268" s="301">
        <f>IF(G268&lt;&gt;"",G268,IF(T268&gt;0,T268,0))</f>
        <v>0</v>
      </c>
      <c r="V268" s="301">
        <f>IF(I268&lt;&gt;"",I268,IF(U268&gt;0,U268,0))</f>
        <v>0</v>
      </c>
      <c r="W268" s="301">
        <f>IF(K268&lt;&gt;"",K268,IF(V268&gt;0,V268,0))</f>
        <v>0</v>
      </c>
      <c r="X268" s="301">
        <f>IF(M268&lt;&gt;"",M268,IF(W268&gt;0,W268,0))</f>
        <v>0</v>
      </c>
      <c r="Z268" s="475"/>
      <c r="AA268" s="483">
        <f>IF(C268&gt;1,1,0)</f>
        <v>0</v>
      </c>
      <c r="AB268" s="301">
        <f t="shared" si="37"/>
        <v>0</v>
      </c>
      <c r="AC268" s="301">
        <f t="shared" si="37"/>
        <v>0</v>
      </c>
      <c r="AD268" s="301">
        <f t="shared" si="37"/>
        <v>0</v>
      </c>
      <c r="AE268" s="301">
        <f t="shared" si="37"/>
        <v>0</v>
      </c>
      <c r="AF268" s="301">
        <f t="shared" si="37"/>
        <v>0</v>
      </c>
      <c r="AH268" s="478">
        <f>IF(S268=1,0,IF(S268=2,0.17,IF(S268=3,0.25,IF(S268=4,0.35,0))))</f>
        <v>0</v>
      </c>
      <c r="AI268" s="478">
        <f>IF(T268=1,0,IF(T268=2,0.15,IF(T268=3,0.23,IF(T268=4,0.31,0))))</f>
        <v>0</v>
      </c>
      <c r="AJ268" s="478">
        <f>IF(U268=1,0,IF(U268=2,0.13,IF(U268=3,0.2,IF(U268=4,0.27,0))))</f>
        <v>0</v>
      </c>
      <c r="AK268" s="478">
        <f>IF(V268=1,0,IF(V268=2,0.11,IF(V268=3,0.17,IF(V268=4,0.22,0))))</f>
        <v>0</v>
      </c>
      <c r="AL268" s="478">
        <f>IF(W268=1,0,IF(W268=2,0.08,IF(W268=3,0.12,IF(W268=4,0.16,0))))</f>
        <v>0</v>
      </c>
      <c r="AM268" s="478">
        <f>IF(X268=1,0,IF(X268=2,0.05,IF(X268=3,0.07,IF(X268=4,0.1,0))))</f>
        <v>0</v>
      </c>
      <c r="AN268" s="479"/>
      <c r="AO268" s="478">
        <f>IF(S268=1,0,IF(S268=2,0.15,IF(S268=3,0.23,IF(S268=4,0.31,0))))</f>
        <v>0</v>
      </c>
      <c r="AP268" s="478">
        <f>IF(T268=1,0,IF(T268=2,0.13,IF(T268=3,0.2,IF(T268=4,0.27,0))))</f>
        <v>0</v>
      </c>
      <c r="AQ268" s="478">
        <f>IF(U268=1,0,IF(U268=2,0.11,IF(U268=3,0.17,IF(U268=4,0.22,0))))</f>
        <v>0</v>
      </c>
      <c r="AR268" s="478">
        <f>IF(V268=1,0,IF(V268=2,0.08,IF(V268=3,0.12,IF(V268=4,0.16,0))))</f>
        <v>0</v>
      </c>
      <c r="AS268" s="478">
        <f>IF(W268=1,0,IF(W268=2,0.05,IF(W268=3,0.07,IF(W268=4,0.1,0))))</f>
        <v>0</v>
      </c>
      <c r="AU268" s="478">
        <f>IF(S268=1,0,IF(S268=2,0.13,IF(S268=3,0.2,IF(S268=4,0.27,0))))</f>
        <v>0</v>
      </c>
      <c r="AV268" s="478">
        <f>IF(T268=1,0,IF(T268=2,0.11,IF(T268=3,0.17,IF(T268=4,0.22,0))))</f>
        <v>0</v>
      </c>
      <c r="AW268" s="478">
        <f>IF(U268=1,0,IF(U268=2,0.08,IF(U268=3,0.12,IF(U268=4,0.16,0))))</f>
        <v>0</v>
      </c>
      <c r="AX268" s="478">
        <f>IF(V268=1,0,IF(V268=2,0.05,IF(V268=3,0.07,IF(V268=4,0.1,0))))</f>
        <v>0</v>
      </c>
      <c r="AZ268" s="478">
        <f>IF(S268=1,0,IF(S268=2,0.11,IF(S268=3,0.17,IF(S268=4,0.22,0))))</f>
        <v>0</v>
      </c>
      <c r="BA268" s="478">
        <f>IF(T268=1,0,IF(T268=2,0.08,IF(T268=3,0.12,IF(T268=4,0.16,0))))</f>
        <v>0</v>
      </c>
      <c r="BB268" s="478">
        <f>IF(U268=1,0,IF(U268=2,0.05,IF(U268=3,0.07,IF(U268=4,0.1,0))))</f>
        <v>0</v>
      </c>
      <c r="BD268" s="478">
        <f>IF(S268=1,0,IF(S268=2,0.08,IF(S268=3,0.12,IF(S268=4,0.16,0))))</f>
        <v>0</v>
      </c>
      <c r="BE268" s="478">
        <f>IF(T268=1,0,IF(T268=2,0.05,IF(T268=3,0.07,IF(T268=4,0.1,0))))</f>
        <v>0</v>
      </c>
      <c r="BG268" s="478">
        <f>IF(S268=1,0,IF(S268=2,0.05,IF(S268=3,0.07,IF(S268=4,0.1,0))))</f>
        <v>0</v>
      </c>
      <c r="BI268" s="478">
        <f>IF(AA268=0,0,IF(OR(AB267=1,AB268=1),AH268-AO268,IF(OR(AC267=1,AC268=1),AH268-AU268,IF(OR(AD267=1,AD268=1),AH268-AZ268,IF(OR(AE267=1,AE268=1),AH268-BD268,IF(OR(AF267=1,AF268=1),AH268-BG268,AH268))))))</f>
        <v>0</v>
      </c>
      <c r="BJ268" s="478">
        <f>IF(AB268=0,0,IF(OR(AC267=1,AC268=1),AI268-AP268,IF(OR(AD267=1,AD268=1),AI268-AV268,IF(OR(AE267=1,AE268=1),AI268-BA268,IF(OR(AF267=1,AF268=1),AI268-BE268,AI268)))))</f>
        <v>0</v>
      </c>
      <c r="BK268" s="478">
        <f>IF(AC268=0,0,IF(OR(AD267=1,AD268=1),AJ268-AQ268,IF(OR(AE267=1,AE268=1),AJ268-AW268,IF(OR(AF267=1,AF268=1),AJ268-BB268,AJ268))))</f>
        <v>0</v>
      </c>
      <c r="BL268" s="478">
        <f>IF(AD268=0,0,IF(OR(AE267=1,AE268=1),AK268-AR268,IF(OR(AF267=1,AF268=1),AK268-AX268,AK268)))</f>
        <v>0</v>
      </c>
      <c r="BM268" s="478">
        <f>IF(AE268=0,0,IF(OR(AF267=1,AF268=1),AL268-AS268,AL268))</f>
        <v>0</v>
      </c>
      <c r="BN268" s="478">
        <f>IF(AF268=0,0,AM268)</f>
        <v>0</v>
      </c>
      <c r="BP268" s="484">
        <f>LARGE((BI267,BJ267,BK267,BL267,BM267,BN267,BI268,BJ268,BK268,BL268,BM268,BN268,BI269,BJ269,BK269,BL269,BM269,BN269),1)</f>
        <v>0</v>
      </c>
      <c r="BQ268" s="485">
        <f>LARGE((BI267,BJ267,BK267,BL267,BM267,BN267,BI268,BJ268,BK268,BL268,BM268,BN268,BI269,BJ269,BK269,BL269,BM269,BN269),2)</f>
        <v>0</v>
      </c>
      <c r="BR268" s="485">
        <f>LARGE((BI267,BJ267,BK267,BL267,BM267,BN267,BI268,BJ268,BK268,BL268,BM268,BN268,BI269,BJ269,BK269,BL269,BM269,BN269),3)</f>
        <v>0</v>
      </c>
      <c r="BS268" s="485">
        <f>LARGE((BI267,BJ267,BK267,BL267,BM267,BN267,BI268,BJ268,BK268,BL268,BM268,BN268,BI269,BJ269,BK269,BL269,BM269,BN269),4)</f>
        <v>0</v>
      </c>
      <c r="BT268" s="485">
        <f>LARGE((BI267,BJ267,BK267,BL267,BM267,BN267,BI268,BJ268,BK268,BL268,BM268,BN268,BI269,BJ269,BK269,BL269,BM269,BN269),5)</f>
        <v>0</v>
      </c>
      <c r="BU268" s="485">
        <f>LARGE((BI267,BJ267,BK267,BL267,BM267,BN267,BI268,BJ268,BK268,BL268,BM268,BN268,BI269,BJ269,BK269,BL269,BM269,BN269),6)</f>
        <v>0</v>
      </c>
      <c r="BV268" s="485">
        <f>LARGE((BI267,BJ267,BK267,BL267,BM267,BN267,BI268,BJ268,BK268,BL268,BM268,BN268,BI269,BJ269,BK269,BL269,BM269,BN269),7)</f>
        <v>0</v>
      </c>
      <c r="BW268" s="485">
        <f>LARGE((BI267,BJ267,BK267,BL267,BM267,BN267,BI268,BJ268,BK268,BL268,BM268,BN268,BI269,BJ269,BK269,BL269,BM269,BN269),8)</f>
        <v>0</v>
      </c>
      <c r="BX268" s="485">
        <f>LARGE((BI267,BJ267,BK267,BL267,BM267,BN267,BI268,BJ268,BK268,BL268,BM268,BN268,BI269,BJ269,BK269,BL269,BM269,BN269),9)</f>
        <v>0</v>
      </c>
      <c r="BY268" s="485">
        <f>LARGE((BI267,BJ267,BK267,BL267,BM267,BN267,BI268,BJ268,BK268,BL268,BM268,BN268,BI269,BJ269,BK269,BL269,BM269,BN269),10)</f>
        <v>0</v>
      </c>
      <c r="BZ268" s="485">
        <f>LARGE((BI267,BJ267,BK267,BL267,BM267,BN267,BI268,BJ268,BK268,BL268,BM268,BN268,BI269,BJ269,BK269,BL269,BM269,BN269),11)</f>
        <v>0</v>
      </c>
      <c r="CA268" s="485">
        <f>LARGE((BI267,BJ267,BK267,BL267,BM267,BN267,BI268,BJ268,BK268,BL268,BM268,BN268,BI269,BJ269,BK269,BL269,BM269,BN269),12)</f>
        <v>0</v>
      </c>
    </row>
    <row r="269" spans="1:109" customFormat="1" ht="15" customHeight="1" x14ac:dyDescent="0.2">
      <c r="B269" s="482" t="s">
        <v>1582</v>
      </c>
      <c r="C269" s="1001"/>
      <c r="D269" s="1001"/>
      <c r="E269" s="1001"/>
      <c r="F269" s="1001"/>
      <c r="G269" s="1001"/>
      <c r="H269" s="1001"/>
      <c r="I269" s="1001"/>
      <c r="J269" s="1001"/>
      <c r="K269" s="1001"/>
      <c r="L269" s="1001"/>
      <c r="M269" s="1001"/>
      <c r="N269" s="1001"/>
      <c r="P269" s="495"/>
      <c r="S269" s="301">
        <f>IF(C269="",0,C269)</f>
        <v>0</v>
      </c>
      <c r="T269" s="301">
        <f>IF(E269&lt;&gt;"",E269,IF(S269&gt;0,S269,0))</f>
        <v>0</v>
      </c>
      <c r="U269" s="301">
        <f>IF(G269&lt;&gt;"",G269,IF(T269&gt;0,T269,0))</f>
        <v>0</v>
      </c>
      <c r="V269" s="301">
        <f>IF(I269&lt;&gt;"",I269,IF(U269&gt;0,U269,0))</f>
        <v>0</v>
      </c>
      <c r="W269" s="301">
        <f>IF(K269&lt;&gt;"",K269,IF(V269&gt;0,V269,0))</f>
        <v>0</v>
      </c>
      <c r="X269" s="301">
        <f>IF(M269&lt;&gt;"",M269,IF(W269&gt;0,W269,0))</f>
        <v>0</v>
      </c>
      <c r="AA269" s="483">
        <f>IF(C269&gt;1,1,0)</f>
        <v>0</v>
      </c>
      <c r="AB269" s="301">
        <f t="shared" si="37"/>
        <v>0</v>
      </c>
      <c r="AC269" s="301">
        <f t="shared" si="37"/>
        <v>0</v>
      </c>
      <c r="AD269" s="301">
        <f t="shared" si="37"/>
        <v>0</v>
      </c>
      <c r="AE269" s="301">
        <f t="shared" si="37"/>
        <v>0</v>
      </c>
      <c r="AF269" s="301">
        <f t="shared" si="37"/>
        <v>0</v>
      </c>
      <c r="AH269" s="478">
        <f>IF(S269=1,0,IF(S269=2,0.1,IF(S269=3,0.17,IF(S269=4,0.23,0))))</f>
        <v>0</v>
      </c>
      <c r="AI269" s="478">
        <f>IF(T269=1,0,IF(T269=2,0.09,IF(T269=3,0.15,IF(T269=4,0.2,0))))</f>
        <v>0</v>
      </c>
      <c r="AJ269" s="478">
        <f>IF(U269=1,0,IF(U269=2,0.08,IF(U269=3,0.13,IF(U269=4,0.17,0))))</f>
        <v>0</v>
      </c>
      <c r="AK269" s="478">
        <f>IF(V269=1,0,IF(V269=2,0.07,IF(V269=3,0.1,IF(V269=4,0.14,0))))</f>
        <v>0</v>
      </c>
      <c r="AL269" s="478">
        <f>IF(W269=1,0,IF(W269=2,0.05,IF(W269=3,0.08,IF(W269=4,0.1,0))))</f>
        <v>0</v>
      </c>
      <c r="AM269" s="478">
        <f>IF(X269=1,0,IF(X269=2,0.03,IF(X269=3,0.05,IF(X269=4,0.06,0))))</f>
        <v>0</v>
      </c>
      <c r="AN269" s="479"/>
      <c r="AO269" s="478">
        <f>IF(S269=1,0,IF(S269=2,0.09,IF(S269=3,0.15,IF(S269=4,0.2,0))))</f>
        <v>0</v>
      </c>
      <c r="AP269" s="478">
        <f>IF(T269=1,0,IF(T269=2,0.08,IF(T269=3,0.13,IF(T269=4,0.17,0))))</f>
        <v>0</v>
      </c>
      <c r="AQ269" s="478">
        <f>IF(U269=1,0,IF(U269=2,0.07,IF(U269=3,0.1,IF(U269=4,0.14,0))))</f>
        <v>0</v>
      </c>
      <c r="AR269" s="478">
        <f>IF(V269=1,0,IF(V269=2,0.05,IF(V269=3,0.08,IF(V269=4,0.1,0))))</f>
        <v>0</v>
      </c>
      <c r="AS269" s="478">
        <f>IF(W269=1,0,IF(W269=2,0.03,IF(W269=3,0.05,IF(W269=4,0.06,0))))</f>
        <v>0</v>
      </c>
      <c r="AU269" s="478">
        <f>IF(S269=1,0,IF(S269=2,0.08,IF(S269=3,0.13,IF(S269=4,0.17,0))))</f>
        <v>0</v>
      </c>
      <c r="AV269" s="478">
        <f>IF(T269=1,0,IF(T269=2,0.07,IF(T269=3,0.1,IF(T269=4,0.14,0))))</f>
        <v>0</v>
      </c>
      <c r="AW269" s="478">
        <f>IF(U269=1,0,IF(U269=2,0.05,IF(U269=3,0.08,IF(U269=4,0.1,0))))</f>
        <v>0</v>
      </c>
      <c r="AX269" s="478">
        <f>IF(V269=1,0,IF(V269=2,0.03,IF(V269=3,0.05,IF(V269=4,0.06,0))))</f>
        <v>0</v>
      </c>
      <c r="AZ269" s="478">
        <f>IF(S269=1,0,IF(S269=2,0.07,IF(S269=3,0.1,IF(S269=4,0.14,0))))</f>
        <v>0</v>
      </c>
      <c r="BA269" s="478">
        <f>IF(T269=1,0,IF(T269=2,0.05,IF(T269=3,0.08,IF(T269=4,0.1,0))))</f>
        <v>0</v>
      </c>
      <c r="BB269" s="478">
        <f>IF(U269=1,0,IF(U269=2,0.03,IF(U269=3,0.05,IF(U269=4,0.06,0))))</f>
        <v>0</v>
      </c>
      <c r="BD269" s="478">
        <f>IF(S269=1,0,IF(S269=2,0.05,IF(S269=3,0.08,IF(S269=4,0.1,0))))</f>
        <v>0</v>
      </c>
      <c r="BE269" s="478">
        <f>IF(T269=1,0,IF(T269=2,0.03,IF(T269=3,0.05,IF(T269=4,0.06,0))))</f>
        <v>0</v>
      </c>
      <c r="BG269" s="478">
        <f>IF(S269=1,0,IF(S269=2,0.03,IF(S269=3,0.05,IF(S269=4,0.06,0))))</f>
        <v>0</v>
      </c>
      <c r="BI269" s="478">
        <f>IF(AA269=0,0,IF(OR(AB267=1,AB269=1),AH269-AO269,IF(OR(AC267=1,AC269=1),AH269-AU269,IF(OR(AD267=1,AD269=1),AH269-AZ269,IF(OR(AE267=1,AE269=1),AH269-BD269,IF(OR(AF267=1,AF269=1),AH269-BG269,AH269))))))</f>
        <v>0</v>
      </c>
      <c r="BJ269" s="478">
        <f>IF(AB269=0,0,IF(OR(AC267=1,AC269=1),AI269-AP269,IF(OR(AD267=1,AD269=1),AI269-AV269,IF(OR(AE267=1,AE269=1),AI269-BA269,IF(OR(AF267=1,AF269=1),AI269-BE269,AI269)))))</f>
        <v>0</v>
      </c>
      <c r="BK269" s="478">
        <f>IF(AC269=0,0,IF(OR(AD267=1,AD269=1),AJ269-AQ269,IF(OR(AE267=1,AE269=1),AJ269-AW269,IF(OR(AF267=1,AF269=1),AJ269-BB269,AJ269))))</f>
        <v>0</v>
      </c>
      <c r="BL269" s="478">
        <f>IF(AD269=0,0,IF(OR(AE267=1,AE269=1),AK269-AR269,IF(OR(AF267=1,AF269=1),AK269-AX269,AK269)))</f>
        <v>0</v>
      </c>
      <c r="BM269" s="478">
        <f>IF(AE269=0,0,IF(OR(AF267=1,AF269=1),AL269-AS269,AL269))</f>
        <v>0</v>
      </c>
      <c r="BN269" s="478">
        <f>IF(AF269=0,0,AM269)</f>
        <v>0</v>
      </c>
      <c r="BP269" s="486">
        <f>ROUND(BP268+BQ268*(1-BP268),2)</f>
        <v>0</v>
      </c>
      <c r="BQ269" s="486">
        <f t="shared" ref="BQ269:BZ269" si="38">ROUND(BP269+BR268*(1-BP269),2)</f>
        <v>0</v>
      </c>
      <c r="BR269" s="486">
        <f t="shared" si="38"/>
        <v>0</v>
      </c>
      <c r="BS269" s="486">
        <f t="shared" si="38"/>
        <v>0</v>
      </c>
      <c r="BT269" s="486">
        <f t="shared" si="38"/>
        <v>0</v>
      </c>
      <c r="BU269" s="486">
        <f t="shared" si="38"/>
        <v>0</v>
      </c>
      <c r="BV269" s="486">
        <f t="shared" si="38"/>
        <v>0</v>
      </c>
      <c r="BW269" s="486">
        <f t="shared" si="38"/>
        <v>0</v>
      </c>
      <c r="BX269" s="486">
        <f t="shared" si="38"/>
        <v>0</v>
      </c>
      <c r="BY269" s="486">
        <f t="shared" si="38"/>
        <v>0</v>
      </c>
      <c r="BZ269" s="486">
        <f t="shared" si="38"/>
        <v>0</v>
      </c>
      <c r="CA269" s="483"/>
    </row>
    <row r="270" spans="1:109" customFormat="1" ht="15" customHeight="1" x14ac:dyDescent="0.2">
      <c r="B270" s="926" t="str">
        <f>IF(AD270=1,"ERROR: If radial or ulnar impairment is recorded, do not enter losses for 'both sides.'","")</f>
        <v/>
      </c>
      <c r="C270" s="927"/>
      <c r="D270" s="927"/>
      <c r="E270" s="927"/>
      <c r="F270" s="927"/>
      <c r="G270" s="927"/>
      <c r="H270" s="927"/>
      <c r="I270" s="927"/>
      <c r="J270" s="927"/>
      <c r="K270" s="927"/>
      <c r="L270" s="927"/>
      <c r="M270" s="927"/>
      <c r="N270" s="927"/>
      <c r="O270" s="928"/>
      <c r="P270" s="245">
        <f>IF(B270&lt;&gt;"","ERROR",BZ269)</f>
        <v>0</v>
      </c>
      <c r="S270" s="475"/>
      <c r="T270" s="475"/>
      <c r="U270" s="475"/>
      <c r="V270" s="475"/>
      <c r="W270" s="475"/>
      <c r="AA270" s="301">
        <f>SUM(AA267:AF267)</f>
        <v>0</v>
      </c>
      <c r="AB270" s="301">
        <f>SUM(AA268:AF268)</f>
        <v>0</v>
      </c>
      <c r="AC270" s="301">
        <f>SUM(AA269:AF269)</f>
        <v>0</v>
      </c>
      <c r="AD270" s="301">
        <f>IF(AND(AA270&gt;0,AB270&gt;0),1,IF(AND(AA270&gt;0,AC270&gt;0),1,0))</f>
        <v>0</v>
      </c>
      <c r="AE270" s="301"/>
      <c r="AF270" s="301"/>
    </row>
    <row r="271" spans="1:109" customFormat="1" ht="15" customHeight="1" x14ac:dyDescent="0.2">
      <c r="B271" s="350" t="s">
        <v>1208</v>
      </c>
      <c r="C271" s="474"/>
      <c r="D271" s="474"/>
      <c r="E271" s="474"/>
      <c r="F271" s="474"/>
      <c r="G271" s="474"/>
      <c r="H271" s="474"/>
      <c r="I271" s="474"/>
      <c r="J271" s="474"/>
      <c r="K271" s="474"/>
      <c r="L271" s="474"/>
      <c r="M271" s="474"/>
      <c r="N271" s="474"/>
      <c r="O271" s="491"/>
      <c r="P271" s="492"/>
      <c r="S271" s="475"/>
      <c r="T271" s="475"/>
      <c r="U271" s="475"/>
      <c r="V271" s="475"/>
      <c r="W271" s="475"/>
      <c r="AA271" s="475"/>
      <c r="AB271" s="475"/>
      <c r="AC271" s="475"/>
      <c r="AD271" s="475"/>
      <c r="AE271" s="475"/>
      <c r="AF271" s="475"/>
    </row>
    <row r="272" spans="1:109" customFormat="1" ht="15" customHeight="1" x14ac:dyDescent="0.2">
      <c r="B272" s="146" t="s">
        <v>1576</v>
      </c>
      <c r="C272" s="925"/>
      <c r="D272" s="925"/>
      <c r="E272" s="925"/>
      <c r="F272" s="925"/>
      <c r="G272" s="925"/>
      <c r="H272" s="925"/>
      <c r="I272" s="925"/>
      <c r="J272" s="925"/>
      <c r="K272" s="925"/>
      <c r="L272" s="925"/>
      <c r="M272" s="925"/>
      <c r="N272" s="925"/>
      <c r="P272" s="489"/>
      <c r="S272" s="301">
        <f>IF(C272="",0,C272)</f>
        <v>0</v>
      </c>
      <c r="T272" s="301">
        <f>IF(E272&lt;&gt;"",E272,IF(S272&gt;0,S272,0))</f>
        <v>0</v>
      </c>
      <c r="U272" s="301">
        <f>IF(G272&lt;&gt;"",G272,IF(T272&gt;0,T272,0))</f>
        <v>0</v>
      </c>
      <c r="V272" s="301">
        <f>IF(I272&lt;&gt;"",I272,IF(U272&gt;0,U272,0))</f>
        <v>0</v>
      </c>
      <c r="W272" s="301">
        <f>IF(K272&lt;&gt;"",K272,IF(V272&gt;0,V272,0))</f>
        <v>0</v>
      </c>
      <c r="X272" s="301">
        <f>IF(M272&lt;&gt;"",M272,IF(W272&gt;0,W272,0))</f>
        <v>0</v>
      </c>
      <c r="Z272" s="475"/>
      <c r="AA272" s="483">
        <f>IF(C272&gt;1,1,0)</f>
        <v>0</v>
      </c>
      <c r="AB272" s="301">
        <f t="shared" ref="AB272:AF274" si="39">IF(AND(S272&lt;&gt;T272,T272&gt;0),1,0)</f>
        <v>0</v>
      </c>
      <c r="AC272" s="301">
        <f t="shared" si="39"/>
        <v>0</v>
      </c>
      <c r="AD272" s="301">
        <f t="shared" si="39"/>
        <v>0</v>
      </c>
      <c r="AE272" s="301">
        <f t="shared" si="39"/>
        <v>0</v>
      </c>
      <c r="AF272" s="301">
        <f t="shared" si="39"/>
        <v>0</v>
      </c>
      <c r="AH272" s="478">
        <f>IF(S272=1,0,IF(S272=2,0.25,IF(S272=3,0.38,IF(S272=4,0.5,0))))</f>
        <v>0</v>
      </c>
      <c r="AI272" s="478">
        <f>IF(T272=1,0,IF(T272=2,0.23,IF(T272=3,0.35,IF(T272=4,0.45,0))))</f>
        <v>0</v>
      </c>
      <c r="AJ272" s="478">
        <f>IF(U272=1,0,IF(U272=2,0.2,IF(U272=3,0.3,IF(U272=4,0.39,0))))</f>
        <v>0</v>
      </c>
      <c r="AK272" s="478">
        <f>IF(V272=1,0,IF(V272=2,0.17,IF(V272=3,0.25,IF(V272=4,0.33,0))))</f>
        <v>0</v>
      </c>
      <c r="AL272" s="478">
        <f>IF(W272=1,0,IF(W272=2,0.13,IF(W272=3,0.19,IF(W272=4,0.24,0))))</f>
        <v>0</v>
      </c>
      <c r="AM272" s="478">
        <f>IF(X272=1,0,IF(X272=2,0.08,IF(X272=3,0.12,IF(X272=4,0.15,0))))</f>
        <v>0</v>
      </c>
      <c r="AN272" s="479"/>
      <c r="AO272" s="478">
        <f>IF(S272=1,0,IF(S272=2,0.23,IF(S272=3,0.35,IF(S272=4,0.45,0))))</f>
        <v>0</v>
      </c>
      <c r="AP272" s="478">
        <f>IF(T272=1,0,IF(T272=2,0.2,IF(T272=3,0.3,IF(T272=4,0.39,0))))</f>
        <v>0</v>
      </c>
      <c r="AQ272" s="478">
        <f>IF(U272=1,0,IF(U272=2,0.17,IF(U272=3,0.25,IF(U272=4,0.33,0))))</f>
        <v>0</v>
      </c>
      <c r="AR272" s="478">
        <f>IF(V272=1,0,IF(V272=2,0.13,IF(V272=3,0.19,IF(V272=4,0.24,0))))</f>
        <v>0</v>
      </c>
      <c r="AS272" s="478">
        <f>IF(W272=1,0,IF(W272=2,0.08,IF(W272=3,0.12,IF(W272=4,0.15,0))))</f>
        <v>0</v>
      </c>
      <c r="AU272" s="478">
        <f>IF(S272=1,0,IF(S272=2,0.2,IF(S272=3,0.3,IF(S272=4,0.39,0))))</f>
        <v>0</v>
      </c>
      <c r="AV272" s="478">
        <f>IF(T272=1,0,IF(T272=2,0.17,IF(T272=3,0.25,IF(T272=4,0.33,0))))</f>
        <v>0</v>
      </c>
      <c r="AW272" s="478">
        <f>IF(U272=1,0,IF(U272=2,0.13,IF(U272=3,0.19,IF(U272=4,0.24,0))))</f>
        <v>0</v>
      </c>
      <c r="AX272" s="478">
        <f>IF(V272=1,0,IF(V272=2,0.08,IF(V272=3,0.12,IF(V272=4,0.15,0))))</f>
        <v>0</v>
      </c>
      <c r="AZ272" s="478">
        <f>IF(S272=1,0,IF(S272=2,0.17,IF(S272=3,0.25,IF(S272=4,0.33,0))))</f>
        <v>0</v>
      </c>
      <c r="BA272" s="478">
        <f>IF(T272=1,0,IF(T272=2,0.13,IF(T272=3,0.19,IF(T272=4,0.24,0))))</f>
        <v>0</v>
      </c>
      <c r="BB272" s="478">
        <f>IF(U272=1,0,IF(U272=2,0.08,IF(U272=3,0.12,IF(U272=4,0.15,0))))</f>
        <v>0</v>
      </c>
      <c r="BD272" s="478">
        <f>IF(S272=1,0,IF(S272=2,0.13,IF(S272=3,0.19,IF(S272=4,0.24,0))))</f>
        <v>0</v>
      </c>
      <c r="BE272" s="478">
        <f>IF(T272=1,0,IF(T272=2,0.08,IF(T272=3,0.12,IF(T272=4,0.15,0))))</f>
        <v>0</v>
      </c>
      <c r="BG272" s="478">
        <f>IF(S272=1,0,IF(S272=2,0.08,IF(S272=3,0.12,IF(S272=4,0.15,0))))</f>
        <v>0</v>
      </c>
      <c r="BI272" s="478">
        <f>IF(AA272=0,0,IF(OR(AB272=1,AB273=1,AB274=1),AH272-AO272,IF(OR(AC272=1,AC273=1,AC274=1),AH272-AU272,IF(OR(AD272=1,AD273=1,AD274=1),AH272-AZ272,IF(OR(AE272=1,AE273=1,AE274=1),AH272-BD272,IF(OR(AF272=1,AF273=1,AF274=1),AH272-BG272,AH272))))))</f>
        <v>0</v>
      </c>
      <c r="BJ272" s="478">
        <f>IF(AB272=0,0,IF(OR(AC272=1,AC273=1,AC274=1),AI272-AP272,IF(OR(AD272=1,AD273=1,AD274=1),AI272-AV272,IF(OR(AE272=1,AE273=1,AE274=1),AI272-BA272,IF(OR(AF272=1,AF273=1,AF274=1),AI272-BE272,AI272)))))</f>
        <v>0</v>
      </c>
      <c r="BK272" s="478">
        <f>IF(AC272=0,0,IF(OR(AD272=1,AD273=1,AD274=1),AJ272-AQ272,IF(OR(AE272=1,AE273=1,AE274=1),AJ272-AW272,IF(OR(AF272=1,AF273=1,AF274=1),AJ272-BB272,AJ272))))</f>
        <v>0</v>
      </c>
      <c r="BL272" s="478">
        <f>IF(AD272=0,0,IF(OR(AE272=1,AE273=1,AE274=1),AK272-AR272,IF(OR(AF272=1,AF273=1,AF274=1),AK272-AX272,AK272)))</f>
        <v>0</v>
      </c>
      <c r="BM272" s="478">
        <f>IF(AE272=0,0,IF(OR(AF272=1,AF273=1,AF274=1),AL272-AS272,AL272))</f>
        <v>0</v>
      </c>
      <c r="BN272" s="478">
        <f>IF(AF272=0,0,AM272)</f>
        <v>0</v>
      </c>
      <c r="BP272" t="s">
        <v>253</v>
      </c>
    </row>
    <row r="273" spans="1:109" customFormat="1" ht="15" customHeight="1" x14ac:dyDescent="0.2">
      <c r="B273" s="301" t="s">
        <v>1579</v>
      </c>
      <c r="C273" s="925"/>
      <c r="D273" s="925"/>
      <c r="E273" s="925"/>
      <c r="F273" s="925"/>
      <c r="G273" s="925"/>
      <c r="H273" s="925"/>
      <c r="I273" s="925"/>
      <c r="J273" s="925"/>
      <c r="K273" s="925"/>
      <c r="L273" s="925"/>
      <c r="M273" s="925"/>
      <c r="N273" s="925"/>
      <c r="P273" s="495"/>
      <c r="S273" s="301">
        <f>IF(C273="",0,C273)</f>
        <v>0</v>
      </c>
      <c r="T273" s="301">
        <f>IF(E273&lt;&gt;"",E273,IF(S273&gt;0,S273,0))</f>
        <v>0</v>
      </c>
      <c r="U273" s="301">
        <f>IF(G273&lt;&gt;"",G273,IF(T273&gt;0,T273,0))</f>
        <v>0</v>
      </c>
      <c r="V273" s="301">
        <f>IF(I273&lt;&gt;"",I273,IF(U273&gt;0,U273,0))</f>
        <v>0</v>
      </c>
      <c r="W273" s="301">
        <f>IF(K273&lt;&gt;"",K273,IF(V273&gt;0,V273,0))</f>
        <v>0</v>
      </c>
      <c r="X273" s="301">
        <f>IF(M273&lt;&gt;"",M273,IF(W273&gt;0,W273,0))</f>
        <v>0</v>
      </c>
      <c r="Z273" s="475"/>
      <c r="AA273" s="483">
        <f>IF(C273&gt;1,1,0)</f>
        <v>0</v>
      </c>
      <c r="AB273" s="301">
        <f t="shared" si="39"/>
        <v>0</v>
      </c>
      <c r="AC273" s="301">
        <f t="shared" si="39"/>
        <v>0</v>
      </c>
      <c r="AD273" s="301">
        <f t="shared" si="39"/>
        <v>0</v>
      </c>
      <c r="AE273" s="301">
        <f t="shared" si="39"/>
        <v>0</v>
      </c>
      <c r="AF273" s="301">
        <f t="shared" si="39"/>
        <v>0</v>
      </c>
      <c r="AH273" s="478">
        <f>IF(S273=1,0,IF(S273=2,0.17,IF(S273=3,0.25,IF(S273=4,0.35,0))))</f>
        <v>0</v>
      </c>
      <c r="AI273" s="478">
        <f>IF(T273=1,0,IF(T273=2,0.15,IF(T273=3,0.23,IF(T273=4,0.31,0))))</f>
        <v>0</v>
      </c>
      <c r="AJ273" s="478">
        <f>IF(U273=1,0,IF(U273=2,0.13,IF(U273=3,0.2,IF(U273=4,0.27,0))))</f>
        <v>0</v>
      </c>
      <c r="AK273" s="478">
        <f>IF(V273=1,0,IF(V273=2,0.11,IF(V273=3,0.17,IF(V273=4,0.22,0))))</f>
        <v>0</v>
      </c>
      <c r="AL273" s="478">
        <f>IF(W273=1,0,IF(W273=2,0.08,IF(W273=3,0.12,IF(W273=4,0.16,0))))</f>
        <v>0</v>
      </c>
      <c r="AM273" s="478">
        <f>IF(X273=1,0,IF(X273=2,0.05,IF(X273=3,0.07,IF(X273=4,0.1,0))))</f>
        <v>0</v>
      </c>
      <c r="AN273" s="479"/>
      <c r="AO273" s="478">
        <f>IF(S273=1,0,IF(S273=2,0.15,IF(S273=3,0.23,IF(S273=4,0.31,0))))</f>
        <v>0</v>
      </c>
      <c r="AP273" s="478">
        <f>IF(T273=1,0,IF(T273=2,0.13,IF(T273=3,0.2,IF(T273=4,0.27,0))))</f>
        <v>0</v>
      </c>
      <c r="AQ273" s="478">
        <f>IF(U273=1,0,IF(U273=2,0.11,IF(U273=3,0.17,IF(U273=4,0.22,0))))</f>
        <v>0</v>
      </c>
      <c r="AR273" s="478">
        <f>IF(V273=1,0,IF(V273=2,0.08,IF(V273=3,0.12,IF(V273=4,0.16,0))))</f>
        <v>0</v>
      </c>
      <c r="AS273" s="478">
        <f>IF(W273=1,0,IF(W273=2,0.05,IF(W273=3,0.07,IF(W273=4,0.1,0))))</f>
        <v>0</v>
      </c>
      <c r="AU273" s="478">
        <f>IF(S273=1,0,IF(S273=2,0.13,IF(S273=3,0.2,IF(S273=4,0.27,0))))</f>
        <v>0</v>
      </c>
      <c r="AV273" s="478">
        <f>IF(T273=1,0,IF(T273=2,0.11,IF(T273=3,0.17,IF(T273=4,0.22,0))))</f>
        <v>0</v>
      </c>
      <c r="AW273" s="478">
        <f>IF(U273=1,0,IF(U273=2,0.08,IF(U273=3,0.12,IF(U273=4,0.16,0))))</f>
        <v>0</v>
      </c>
      <c r="AX273" s="478">
        <f>IF(V273=1,0,IF(V273=2,0.05,IF(V273=3,0.07,IF(V273=4,0.1,0))))</f>
        <v>0</v>
      </c>
      <c r="AZ273" s="478">
        <f>IF(S273=1,0,IF(S273=2,0.11,IF(S273=3,0.17,IF(S273=4,0.22,0))))</f>
        <v>0</v>
      </c>
      <c r="BA273" s="478">
        <f>IF(T273=1,0,IF(T273=2,0.08,IF(T273=3,0.12,IF(T273=4,0.16,0))))</f>
        <v>0</v>
      </c>
      <c r="BB273" s="478">
        <f>IF(U273=1,0,IF(U273=2,0.05,IF(U273=3,0.07,IF(U273=4,0.1,0))))</f>
        <v>0</v>
      </c>
      <c r="BD273" s="478">
        <f>IF(S273=1,0,IF(S273=2,0.08,IF(S273=3,0.12,IF(S273=4,0.16,0))))</f>
        <v>0</v>
      </c>
      <c r="BE273" s="478">
        <f>IF(T273=1,0,IF(T273=2,0.05,IF(T273=3,0.07,IF(T273=4,0.1,0))))</f>
        <v>0</v>
      </c>
      <c r="BG273" s="478">
        <f>IF(S273=1,0,IF(S273=2,0.05,IF(S273=3,0.07,IF(S273=4,0.1,0))))</f>
        <v>0</v>
      </c>
      <c r="BI273" s="478">
        <f>IF(AA273=0,0,IF(OR(AB272=1,AB273=1),AH273-AO273,IF(OR(AC272=1,AC273=1),AH273-AU273,IF(OR(AD272=1,AD273=1),AH273-AZ273,IF(OR(AE272=1,AE273=1),AH273-BD273,IF(OR(AF272=1,AF273=1),AH273-BG273,AH273))))))</f>
        <v>0</v>
      </c>
      <c r="BJ273" s="478">
        <f>IF(AB273=0,0,IF(OR(AC272=1,AC273=1),AI273-AP273,IF(OR(AD272=1,AD273=1),AI273-AV273,IF(OR(AE272=1,AE273=1),AI273-BA273,IF(OR(AF272=1,AF273=1),AI273-BE273,AI273)))))</f>
        <v>0</v>
      </c>
      <c r="BK273" s="478">
        <f>IF(AC273=0,0,IF(OR(AD272=1,AD273=1),AJ273-AQ273,IF(OR(AE272=1,AE273=1),AJ273-AW273,IF(OR(AF272=1,AF273=1),AJ273-BB273,AJ273))))</f>
        <v>0</v>
      </c>
      <c r="BL273" s="478">
        <f>IF(AD273=0,0,IF(OR(AE272=1,AE273=1),AK273-AR273,IF(OR(AF272=1,AF273=1),AK273-AX273,AK273)))</f>
        <v>0</v>
      </c>
      <c r="BM273" s="478">
        <f>IF(AE273=0,0,IF(OR(AF272=1,AF273=1),AL273-AS273,AL273))</f>
        <v>0</v>
      </c>
      <c r="BN273" s="478">
        <f>IF(AF273=0,0,AM273)</f>
        <v>0</v>
      </c>
      <c r="BP273" s="484">
        <f>LARGE((BI272,BJ272,BK272,BL272,BM272,BN272,BI273,BJ273,BK273,BL273,BM273,BN273,BI274,BJ274,BK274,BL274,BM274,BN274),1)</f>
        <v>0</v>
      </c>
      <c r="BQ273" s="485">
        <f>LARGE((BI272,BJ272,BK272,BL272,BM272,BN272,BI273,BJ273,BK273,BL273,BM273,BN273,BI274,BJ274,BK274,BL274,BM274,BN274),2)</f>
        <v>0</v>
      </c>
      <c r="BR273" s="485">
        <f>LARGE((BI272,BJ272,BK272,BL272,BM272,BN272,BI273,BJ273,BK273,BL273,BM273,BN273,BI274,BJ274,BK274,BL274,BM274,BN274),3)</f>
        <v>0</v>
      </c>
      <c r="BS273" s="485">
        <f>LARGE((BI272,BJ272,BK272,BL272,BM272,BN272,BI273,BJ273,BK273,BL273,BM273,BN273,BI274,BJ274,BK274,BL274,BM274,BN274),4)</f>
        <v>0</v>
      </c>
      <c r="BT273" s="485">
        <f>LARGE((BI272,BJ272,BK272,BL272,BM272,BN272,BI273,BJ273,BK273,BL273,BM273,BN273,BI274,BJ274,BK274,BL274,BM274,BN274),5)</f>
        <v>0</v>
      </c>
      <c r="BU273" s="485">
        <f>LARGE((BI272,BJ272,BK272,BL272,BM272,BN272,BI273,BJ273,BK273,BL273,BM273,BN273,BI274,BJ274,BK274,BL274,BM274,BN274),6)</f>
        <v>0</v>
      </c>
      <c r="BV273" s="485">
        <f>LARGE((BI272,BJ272,BK272,BL272,BM272,BN272,BI273,BJ273,BK273,BL273,BM273,BN273,BI274,BJ274,BK274,BL274,BM274,BN274),7)</f>
        <v>0</v>
      </c>
      <c r="BW273" s="485">
        <f>LARGE((BI272,BJ272,BK272,BL272,BM272,BN272,BI273,BJ273,BK273,BL273,BM273,BN273,BI274,BJ274,BK274,BL274,BM274,BN274),8)</f>
        <v>0</v>
      </c>
      <c r="BX273" s="485">
        <f>LARGE((BI272,BJ272,BK272,BL272,BM272,BN272,BI273,BJ273,BK273,BL273,BM273,BN273,BI274,BJ274,BK274,BL274,BM274,BN274),9)</f>
        <v>0</v>
      </c>
      <c r="BY273" s="485">
        <f>LARGE((BI272,BJ272,BK272,BL272,BM272,BN272,BI273,BJ273,BK273,BL273,BM273,BN273,BI274,BJ274,BK274,BL274,BM274,BN274),10)</f>
        <v>0</v>
      </c>
      <c r="BZ273" s="485">
        <f>LARGE((BI272,BJ272,BK272,BL272,BM272,BN272,BI273,BJ273,BK273,BL273,BM273,BN273,BI274,BJ274,BK274,BL274,BM274,BN274),11)</f>
        <v>0</v>
      </c>
      <c r="CA273" s="485">
        <f>LARGE((BI272,BJ272,BK272,BL272,BM272,BN272,BI273,BJ273,BK273,BL273,BM273,BN273,BI274,BJ274,BK274,BL274,BM274,BN274),12)</f>
        <v>0</v>
      </c>
    </row>
    <row r="274" spans="1:109" customFormat="1" ht="15" customHeight="1" x14ac:dyDescent="0.2">
      <c r="B274" s="482" t="s">
        <v>1582</v>
      </c>
      <c r="C274" s="1001"/>
      <c r="D274" s="1001"/>
      <c r="E274" s="1001"/>
      <c r="F274" s="1001"/>
      <c r="G274" s="1001"/>
      <c r="H274" s="1001"/>
      <c r="I274" s="1001"/>
      <c r="J274" s="1001"/>
      <c r="K274" s="1001"/>
      <c r="L274" s="1001"/>
      <c r="M274" s="1001"/>
      <c r="N274" s="1001"/>
      <c r="P274" s="495"/>
      <c r="S274" s="301">
        <f>IF(C274="",0,C274)</f>
        <v>0</v>
      </c>
      <c r="T274" s="301">
        <f>IF(E274&lt;&gt;"",E274,IF(S274&gt;0,S274,0))</f>
        <v>0</v>
      </c>
      <c r="U274" s="301">
        <f>IF(G274&lt;&gt;"",G274,IF(T274&gt;0,T274,0))</f>
        <v>0</v>
      </c>
      <c r="V274" s="301">
        <f>IF(I274&lt;&gt;"",I274,IF(U274&gt;0,U274,0))</f>
        <v>0</v>
      </c>
      <c r="W274" s="301">
        <f>IF(K274&lt;&gt;"",K274,IF(V274&gt;0,V274,0))</f>
        <v>0</v>
      </c>
      <c r="X274" s="301">
        <f>IF(M274&lt;&gt;"",M274,IF(W274&gt;0,W274,0))</f>
        <v>0</v>
      </c>
      <c r="AA274" s="483">
        <f>IF(C274&gt;1,1,0)</f>
        <v>0</v>
      </c>
      <c r="AB274" s="301">
        <f t="shared" si="39"/>
        <v>0</v>
      </c>
      <c r="AC274" s="301">
        <f t="shared" si="39"/>
        <v>0</v>
      </c>
      <c r="AD274" s="301">
        <f t="shared" si="39"/>
        <v>0</v>
      </c>
      <c r="AE274" s="301">
        <f t="shared" si="39"/>
        <v>0</v>
      </c>
      <c r="AF274" s="301">
        <f t="shared" si="39"/>
        <v>0</v>
      </c>
      <c r="AH274" s="478">
        <f>IF(S274=1,0,IF(S274=2,0.1,IF(S274=3,0.17,IF(S274=4,0.23,0))))</f>
        <v>0</v>
      </c>
      <c r="AI274" s="478">
        <f>IF(T274=1,0,IF(T274=2,0.09,IF(T274=3,0.15,IF(T274=4,0.2,0))))</f>
        <v>0</v>
      </c>
      <c r="AJ274" s="478">
        <f>IF(U274=1,0,IF(U274=2,0.08,IF(U274=3,0.13,IF(U274=4,0.17,0))))</f>
        <v>0</v>
      </c>
      <c r="AK274" s="478">
        <f>IF(V274=1,0,IF(V274=2,0.07,IF(V274=3,0.1,IF(V274=4,0.14,0))))</f>
        <v>0</v>
      </c>
      <c r="AL274" s="478">
        <f>IF(W274=1,0,IF(W274=2,0.05,IF(W274=3,0.08,IF(W274=4,0.1,0))))</f>
        <v>0</v>
      </c>
      <c r="AM274" s="478">
        <f>IF(X274=1,0,IF(X274=2,0.03,IF(X274=3,0.05,IF(X274=4,0.06,0))))</f>
        <v>0</v>
      </c>
      <c r="AN274" s="479"/>
      <c r="AO274" s="478">
        <f>IF(S274=1,0,IF(S274=2,0.09,IF(S274=3,0.15,IF(S274=4,0.2,0))))</f>
        <v>0</v>
      </c>
      <c r="AP274" s="478">
        <f>IF(T274=1,0,IF(T274=2,0.08,IF(T274=3,0.13,IF(T274=4,0.17,0))))</f>
        <v>0</v>
      </c>
      <c r="AQ274" s="478">
        <f>IF(U274=1,0,IF(U274=2,0.07,IF(U274=3,0.1,IF(U274=4,0.14,0))))</f>
        <v>0</v>
      </c>
      <c r="AR274" s="478">
        <f>IF(V274=1,0,IF(V274=2,0.05,IF(V274=3,0.08,IF(V274=4,0.1,0))))</f>
        <v>0</v>
      </c>
      <c r="AS274" s="478">
        <f>IF(W274=1,0,IF(W274=2,0.03,IF(W274=3,0.05,IF(W274=4,0.06,0))))</f>
        <v>0</v>
      </c>
      <c r="AU274" s="478">
        <f>IF(S274=1,0,IF(S274=2,0.08,IF(S274=3,0.13,IF(S274=4,0.17,0))))</f>
        <v>0</v>
      </c>
      <c r="AV274" s="478">
        <f>IF(T274=1,0,IF(T274=2,0.07,IF(T274=3,0.1,IF(T274=4,0.14,0))))</f>
        <v>0</v>
      </c>
      <c r="AW274" s="478">
        <f>IF(U274=1,0,IF(U274=2,0.05,IF(U274=3,0.08,IF(U274=4,0.1,0))))</f>
        <v>0</v>
      </c>
      <c r="AX274" s="478">
        <f>IF(V274=1,0,IF(V274=2,0.03,IF(V274=3,0.05,IF(V274=4,0.06,0))))</f>
        <v>0</v>
      </c>
      <c r="AZ274" s="478">
        <f>IF(S274=1,0,IF(S274=2,0.07,IF(S274=3,0.1,IF(S274=4,0.14,0))))</f>
        <v>0</v>
      </c>
      <c r="BA274" s="478">
        <f>IF(T274=1,0,IF(T274=2,0.05,IF(T274=3,0.08,IF(T274=4,0.1,0))))</f>
        <v>0</v>
      </c>
      <c r="BB274" s="478">
        <f>IF(U274=1,0,IF(U274=2,0.03,IF(U274=3,0.05,IF(U274=4,0.06,0))))</f>
        <v>0</v>
      </c>
      <c r="BD274" s="478">
        <f>IF(S274=1,0,IF(S274=2,0.05,IF(S274=3,0.08,IF(S274=4,0.1,0))))</f>
        <v>0</v>
      </c>
      <c r="BE274" s="478">
        <f>IF(T274=1,0,IF(T274=2,0.03,IF(T274=3,0.05,IF(T274=4,0.06,0))))</f>
        <v>0</v>
      </c>
      <c r="BG274" s="478">
        <f>IF(S274=1,0,IF(S274=2,0.03,IF(S274=3,0.05,IF(S274=4,0.06,0))))</f>
        <v>0</v>
      </c>
      <c r="BI274" s="478">
        <f>IF(AA274=0,0,IF(OR(AB272=1,AB274=1),AH274-AO274,IF(OR(AC272=1,AC274=1),AH274-AU274,IF(OR(AD272=1,AD274=1),AH274-AZ274,IF(OR(AE272=1,AE274=1),AH274-BD274,IF(OR(AF272=1,AF274=1),AH274-BG274,AH274))))))</f>
        <v>0</v>
      </c>
      <c r="BJ274" s="478">
        <f>IF(AB274=0,0,IF(OR(AC272=1,AC274=1),AI274-AP274,IF(OR(AD272=1,AD274=1),AI274-AV274,IF(OR(AE272=1,AE274=1),AI274-BA274,IF(OR(AF272=1,AF274=1),AI274-BE274,AI274)))))</f>
        <v>0</v>
      </c>
      <c r="BK274" s="478">
        <f>IF(AC274=0,0,IF(OR(AD272=1,AD274=1),AJ274-AQ274,IF(OR(AE272=1,AE274=1),AJ274-AW274,IF(OR(AF272=1,AF274=1),AJ274-BB274,AJ274))))</f>
        <v>0</v>
      </c>
      <c r="BL274" s="478">
        <f>IF(AD274=0,0,IF(OR(AE272=1,AE274=1),AK274-AR274,IF(OR(AF272=1,AF274=1),AK274-AX274,AK274)))</f>
        <v>0</v>
      </c>
      <c r="BM274" s="478">
        <f>IF(AE274=0,0,IF(OR(AF272=1,AF274=1),AL274-AS274,AL274))</f>
        <v>0</v>
      </c>
      <c r="BN274" s="478">
        <f>IF(AF274=0,0,AM274)</f>
        <v>0</v>
      </c>
      <c r="BP274" s="486">
        <f>ROUND(BP273+BQ273*(1-BP273),2)</f>
        <v>0</v>
      </c>
      <c r="BQ274" s="486">
        <f t="shared" ref="BQ274:BZ274" si="40">ROUND(BP274+BR273*(1-BP274),2)</f>
        <v>0</v>
      </c>
      <c r="BR274" s="486">
        <f t="shared" si="40"/>
        <v>0</v>
      </c>
      <c r="BS274" s="486">
        <f t="shared" si="40"/>
        <v>0</v>
      </c>
      <c r="BT274" s="486">
        <f t="shared" si="40"/>
        <v>0</v>
      </c>
      <c r="BU274" s="486">
        <f t="shared" si="40"/>
        <v>0</v>
      </c>
      <c r="BV274" s="486">
        <f t="shared" si="40"/>
        <v>0</v>
      </c>
      <c r="BW274" s="486">
        <f t="shared" si="40"/>
        <v>0</v>
      </c>
      <c r="BX274" s="486">
        <f t="shared" si="40"/>
        <v>0</v>
      </c>
      <c r="BY274" s="486">
        <f t="shared" si="40"/>
        <v>0</v>
      </c>
      <c r="BZ274" s="486">
        <f t="shared" si="40"/>
        <v>0</v>
      </c>
      <c r="CA274" s="483"/>
    </row>
    <row r="275" spans="1:109" customFormat="1" ht="15" customHeight="1" x14ac:dyDescent="0.2">
      <c r="B275" s="926" t="str">
        <f>IF(AD275=1,"ERROR: If radial or ulnar impairment is recorded, do not enter losses for 'both sides.'","")</f>
        <v/>
      </c>
      <c r="C275" s="927"/>
      <c r="D275" s="927"/>
      <c r="E275" s="927"/>
      <c r="F275" s="927"/>
      <c r="G275" s="927"/>
      <c r="H275" s="927"/>
      <c r="I275" s="927"/>
      <c r="J275" s="927"/>
      <c r="K275" s="927"/>
      <c r="L275" s="927"/>
      <c r="M275" s="927"/>
      <c r="N275" s="927"/>
      <c r="O275" s="928"/>
      <c r="P275" s="245">
        <f>IF(B275&lt;&gt;"","ERROR",BZ274)</f>
        <v>0</v>
      </c>
      <c r="S275" s="475"/>
      <c r="T275" s="475"/>
      <c r="U275" s="475"/>
      <c r="V275" s="475"/>
      <c r="W275" s="475"/>
      <c r="AA275" s="301">
        <f>SUM(AA272:AF272)</f>
        <v>0</v>
      </c>
      <c r="AB275" s="301">
        <f>SUM(AA273:AF273)</f>
        <v>0</v>
      </c>
      <c r="AC275" s="301">
        <f>SUM(AA274:AF274)</f>
        <v>0</v>
      </c>
      <c r="AD275" s="301">
        <f>IF(AND(AA275&gt;0,AB275&gt;0),1,IF(AND(AA275&gt;0,AC275&gt;0),1,0))</f>
        <v>0</v>
      </c>
      <c r="AE275" s="475"/>
      <c r="AF275" s="475"/>
    </row>
    <row r="276" spans="1:109" ht="9.75" customHeight="1" x14ac:dyDescent="0.2">
      <c r="B276" s="176"/>
      <c r="C276" s="176"/>
      <c r="D276" s="176"/>
      <c r="E276" s="176"/>
      <c r="F276" s="176"/>
      <c r="G276" s="176"/>
      <c r="H276" s="176"/>
      <c r="I276" s="176"/>
      <c r="J276" s="176"/>
      <c r="K276" s="176"/>
      <c r="L276" s="176"/>
      <c r="M276" s="176"/>
      <c r="N276" s="176"/>
      <c r="O276" s="176"/>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row>
    <row r="277" spans="1:109" x14ac:dyDescent="0.2">
      <c r="B277" s="50" t="s">
        <v>1214</v>
      </c>
      <c r="C277" s="910" t="s">
        <v>1348</v>
      </c>
      <c r="D277" s="910"/>
      <c r="E277" s="910"/>
      <c r="F277" s="910"/>
      <c r="G277" s="910"/>
      <c r="H277" s="910" t="s">
        <v>1759</v>
      </c>
      <c r="I277" s="910"/>
      <c r="J277" s="910"/>
      <c r="K277" s="18"/>
      <c r="L277" s="910" t="s">
        <v>1215</v>
      </c>
      <c r="M277" s="910"/>
      <c r="N277" s="910"/>
      <c r="O277" s="910"/>
      <c r="P277" s="755">
        <f>V279</f>
        <v>0</v>
      </c>
      <c r="R277" s="10"/>
      <c r="S277" s="560" t="s">
        <v>1565</v>
      </c>
      <c r="T277" s="560" t="s">
        <v>1285</v>
      </c>
      <c r="U277" s="560" t="s">
        <v>1286</v>
      </c>
      <c r="V277" s="559" t="s">
        <v>1287</v>
      </c>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row>
    <row r="278" spans="1:109" ht="15" customHeight="1" x14ac:dyDescent="0.2">
      <c r="B278" s="146" t="s">
        <v>1629</v>
      </c>
      <c r="C278" s="922"/>
      <c r="D278" s="922"/>
      <c r="E278" s="922"/>
      <c r="F278" s="922"/>
      <c r="G278" s="922"/>
      <c r="H278" s="914">
        <f>IF(C278=$X$127,0.09,IF(C278=$Y$127,0.18,IF(C278=$Z$127,0.27,0)))</f>
        <v>0</v>
      </c>
      <c r="I278" s="914"/>
      <c r="J278" s="914"/>
      <c r="K278" s="146"/>
      <c r="L278" s="922"/>
      <c r="M278" s="922"/>
      <c r="N278" s="922"/>
      <c r="O278" s="21">
        <f>IF(H278&gt;=S278,H278-S278,0)</f>
        <v>0</v>
      </c>
      <c r="P278" s="755"/>
      <c r="R278" s="10"/>
      <c r="S278" s="147">
        <f>IF(L278=$Y$128,0.09,IF(L278=$Z$128,0.18,IF(L278=$AA$128,0.27,0)))</f>
        <v>0</v>
      </c>
      <c r="T278" s="147">
        <f>LARGE(O278:O280,1)</f>
        <v>0</v>
      </c>
      <c r="U278" s="544">
        <f>T278+T279*(1-T278)</f>
        <v>0</v>
      </c>
      <c r="V278" s="544">
        <f>ROUND(U278,2)</f>
        <v>0</v>
      </c>
      <c r="W278" s="955" t="s">
        <v>2147</v>
      </c>
      <c r="X278" s="955"/>
      <c r="Y278" s="955"/>
      <c r="Z278" s="955"/>
      <c r="AA278" s="589"/>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row>
    <row r="279" spans="1:109" ht="15" customHeight="1" x14ac:dyDescent="0.2">
      <c r="B279" s="50" t="s">
        <v>1630</v>
      </c>
      <c r="C279" s="922"/>
      <c r="D279" s="922"/>
      <c r="E279" s="922"/>
      <c r="F279" s="922"/>
      <c r="G279" s="922"/>
      <c r="H279" s="914">
        <f>IF(C279=$X$127,0.16,IF(C279=$Y$127,0.32,IF(C279=$Z$127,0.48,0)))</f>
        <v>0</v>
      </c>
      <c r="I279" s="914"/>
      <c r="J279" s="914"/>
      <c r="K279" s="146"/>
      <c r="L279" s="922"/>
      <c r="M279" s="922"/>
      <c r="N279" s="922"/>
      <c r="O279" s="21">
        <f>IF(H279&gt;=S279,H279-S279,0)</f>
        <v>0</v>
      </c>
      <c r="P279" s="755"/>
      <c r="R279" s="10"/>
      <c r="S279" s="147">
        <f>IF(L279=$Y$128,0.16,IF(L279=$Z$128,0.32,IF(L279=$AA$128,0.48,0)))</f>
        <v>0</v>
      </c>
      <c r="T279" s="147">
        <f>LARGE(O278:O280,2)</f>
        <v>0</v>
      </c>
      <c r="U279" s="544">
        <f>V278+T280*(1-V278)</f>
        <v>0</v>
      </c>
      <c r="V279" s="544">
        <f>ROUND(U279,2)</f>
        <v>0</v>
      </c>
      <c r="W279" s="50"/>
      <c r="X279" s="50" t="s">
        <v>1218</v>
      </c>
      <c r="Y279" s="50" t="s">
        <v>1219</v>
      </c>
      <c r="Z279" s="50" t="s">
        <v>1220</v>
      </c>
      <c r="AA279" s="5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row>
    <row r="280" spans="1:109" ht="15" customHeight="1" x14ac:dyDescent="0.2">
      <c r="B280" s="50" t="s">
        <v>1631</v>
      </c>
      <c r="C280" s="922"/>
      <c r="D280" s="922"/>
      <c r="E280" s="922"/>
      <c r="F280" s="922"/>
      <c r="G280" s="922"/>
      <c r="H280" s="914">
        <f>IF(C280=$X$127,0.2,IF(C280=$Y$127,0.4,IF(C280=$Z$127,0.6,0)))</f>
        <v>0</v>
      </c>
      <c r="I280" s="914"/>
      <c r="J280" s="914"/>
      <c r="K280" s="146"/>
      <c r="L280" s="922"/>
      <c r="M280" s="922"/>
      <c r="N280" s="922"/>
      <c r="O280" s="21">
        <f>IF(H280&gt;=S280,H280-S280,0)</f>
        <v>0</v>
      </c>
      <c r="P280" s="755"/>
      <c r="R280" s="10"/>
      <c r="S280" s="147">
        <f>IF(L280=$Y$128,0.2,IF(L280=$Z$128,0.4,IF(L280=$AA$128,0.6,0)))</f>
        <v>0</v>
      </c>
      <c r="T280" s="147">
        <f>LARGE(O278:O280,3)</f>
        <v>0</v>
      </c>
      <c r="U280" s="50"/>
      <c r="V280" s="50"/>
      <c r="W280" s="50"/>
      <c r="X280" s="50" t="s">
        <v>510</v>
      </c>
      <c r="Y280" s="50" t="s">
        <v>899</v>
      </c>
      <c r="Z280" s="147" t="s">
        <v>1764</v>
      </c>
      <c r="AA280" s="50" t="s">
        <v>1639</v>
      </c>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row>
    <row r="281" spans="1:109" ht="12" customHeight="1" x14ac:dyDescent="0.2">
      <c r="B281" s="1003"/>
      <c r="C281" s="1003"/>
      <c r="D281" s="1003"/>
      <c r="E281" s="1003"/>
      <c r="F281" s="1003"/>
      <c r="G281" s="1003"/>
      <c r="H281" s="1003"/>
      <c r="I281" s="1003"/>
      <c r="J281" s="1003"/>
      <c r="K281" s="1003"/>
      <c r="L281" s="1003"/>
      <c r="M281" s="1003"/>
      <c r="N281" s="1003"/>
      <c r="O281" s="1003"/>
      <c r="P281" s="151"/>
      <c r="R281" s="10"/>
      <c r="S281" s="14"/>
      <c r="T281" s="14"/>
      <c r="U281" s="10"/>
      <c r="V281" s="10"/>
      <c r="W281" s="10"/>
      <c r="X281" s="10"/>
      <c r="Y281" s="10"/>
      <c r="Z281" s="14"/>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row>
    <row r="282" spans="1:109" ht="15" customHeight="1" x14ac:dyDescent="0.2">
      <c r="A282" s="15"/>
      <c r="B282" s="761" t="s">
        <v>952</v>
      </c>
      <c r="C282" s="937"/>
      <c r="D282" s="938"/>
      <c r="E282" s="742" t="s">
        <v>560</v>
      </c>
      <c r="F282" s="743"/>
      <c r="G282" s="743"/>
      <c r="H282" s="743"/>
      <c r="I282" s="743"/>
      <c r="J282" s="743"/>
      <c r="K282" s="743"/>
      <c r="L282" s="743"/>
      <c r="M282" s="743"/>
      <c r="N282" s="743"/>
      <c r="O282" s="744"/>
      <c r="P282" s="245">
        <f>IF(T282=1,0.15,0)</f>
        <v>0</v>
      </c>
      <c r="R282" s="947" t="s">
        <v>2147</v>
      </c>
      <c r="S282" s="561" t="b">
        <v>0</v>
      </c>
      <c r="T282" s="50">
        <f>IF(S282=TRUE,1,0)</f>
        <v>0</v>
      </c>
      <c r="U282" s="10"/>
      <c r="V282" s="10"/>
      <c r="W282" s="10"/>
      <c r="X282" s="10"/>
      <c r="Y282" s="10"/>
      <c r="Z282" s="10"/>
      <c r="AA282" s="10"/>
      <c r="AB282" s="10"/>
      <c r="AC282" s="10"/>
      <c r="AD282" s="10"/>
      <c r="AE282" s="10"/>
      <c r="AF282" s="10"/>
      <c r="AG282" s="10">
        <v>1E-4</v>
      </c>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row>
    <row r="283" spans="1:109" ht="15" customHeight="1" x14ac:dyDescent="0.2">
      <c r="B283" s="761"/>
      <c r="C283" s="937"/>
      <c r="D283" s="938"/>
      <c r="E283" s="742" t="s">
        <v>561</v>
      </c>
      <c r="F283" s="743"/>
      <c r="G283" s="743"/>
      <c r="H283" s="743"/>
      <c r="I283" s="743"/>
      <c r="J283" s="743"/>
      <c r="K283" s="743"/>
      <c r="L283" s="743"/>
      <c r="M283" s="743"/>
      <c r="N283" s="743"/>
      <c r="O283" s="744"/>
      <c r="P283" s="245">
        <f>IF(T283=1,0.25,0)</f>
        <v>0</v>
      </c>
      <c r="R283" s="947"/>
      <c r="S283" s="561" t="b">
        <v>0</v>
      </c>
      <c r="T283" s="50">
        <f>IF(S283=TRUE,1,0)</f>
        <v>0</v>
      </c>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row>
    <row r="284" spans="1:109" ht="15" customHeight="1" x14ac:dyDescent="0.2">
      <c r="B284" s="761"/>
      <c r="C284" s="937"/>
      <c r="D284" s="938"/>
      <c r="E284" s="742" t="s">
        <v>773</v>
      </c>
      <c r="F284" s="743"/>
      <c r="G284" s="743"/>
      <c r="H284" s="743"/>
      <c r="I284" s="743"/>
      <c r="J284" s="743"/>
      <c r="K284" s="743"/>
      <c r="L284" s="743"/>
      <c r="M284" s="743"/>
      <c r="N284" s="743"/>
      <c r="O284" s="744"/>
      <c r="P284" s="245">
        <f>IF(T284=1,0.23,0)</f>
        <v>0</v>
      </c>
      <c r="R284" s="947"/>
      <c r="S284" s="561" t="b">
        <v>0</v>
      </c>
      <c r="T284" s="50">
        <f>IF(S284=TRUE,1,0)</f>
        <v>0</v>
      </c>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row>
    <row r="285" spans="1:109" ht="12" customHeight="1" x14ac:dyDescent="0.2">
      <c r="B285" s="777"/>
      <c r="C285" s="777"/>
      <c r="D285" s="777"/>
      <c r="E285" s="777"/>
      <c r="F285" s="777"/>
      <c r="G285" s="777"/>
      <c r="H285" s="777"/>
      <c r="I285" s="777"/>
      <c r="J285" s="777"/>
      <c r="K285" s="777"/>
      <c r="L285" s="777"/>
      <c r="M285" s="777"/>
      <c r="N285" s="777"/>
      <c r="O285" s="777"/>
      <c r="P285" s="1"/>
      <c r="R285" s="10"/>
      <c r="S285" s="133"/>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row>
    <row r="286" spans="1:109" ht="15" customHeight="1" x14ac:dyDescent="0.2">
      <c r="B286" s="939" t="s">
        <v>1234</v>
      </c>
      <c r="C286" s="939"/>
      <c r="D286" s="939"/>
      <c r="E286" s="939"/>
      <c r="F286" s="939"/>
      <c r="G286" s="939"/>
      <c r="H286" s="939"/>
      <c r="I286" s="939"/>
      <c r="J286" s="939"/>
      <c r="K286" s="939"/>
      <c r="L286" s="939"/>
      <c r="M286" s="939"/>
      <c r="N286" s="939"/>
      <c r="O286" s="312"/>
      <c r="P286" s="21">
        <f>SUMIF(T286:X286,O286,T287:X287)</f>
        <v>0</v>
      </c>
      <c r="R286" s="949" t="s">
        <v>2147</v>
      </c>
      <c r="S286" s="949"/>
      <c r="T286" s="50" t="s">
        <v>1928</v>
      </c>
      <c r="U286" s="50" t="s">
        <v>1929</v>
      </c>
      <c r="V286" s="147" t="s">
        <v>1931</v>
      </c>
      <c r="W286" s="50" t="s">
        <v>929</v>
      </c>
      <c r="X286" s="147" t="s">
        <v>545</v>
      </c>
      <c r="Y286" s="10"/>
      <c r="Z286" s="50" t="s">
        <v>1928</v>
      </c>
      <c r="AA286" s="50" t="s">
        <v>1929</v>
      </c>
      <c r="AB286" s="147" t="s">
        <v>1931</v>
      </c>
      <c r="AC286" s="50" t="s">
        <v>929</v>
      </c>
      <c r="AD286" s="147" t="s">
        <v>545</v>
      </c>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row>
    <row r="287" spans="1:109" ht="15" customHeight="1" x14ac:dyDescent="0.2">
      <c r="B287" s="939" t="s">
        <v>1469</v>
      </c>
      <c r="C287" s="939"/>
      <c r="D287" s="939"/>
      <c r="E287" s="939"/>
      <c r="F287" s="939"/>
      <c r="G287" s="939"/>
      <c r="H287" s="939"/>
      <c r="I287" s="939"/>
      <c r="J287" s="939"/>
      <c r="K287" s="939"/>
      <c r="L287" s="939"/>
      <c r="M287" s="939"/>
      <c r="N287" s="939"/>
      <c r="O287" s="312"/>
      <c r="P287" s="21">
        <f>SUMIF(Z286:AD286,O287,Z287:AD287)</f>
        <v>0</v>
      </c>
      <c r="R287" s="949"/>
      <c r="S287" s="949"/>
      <c r="T287" s="147">
        <v>0.03</v>
      </c>
      <c r="U287" s="147">
        <v>0.15</v>
      </c>
      <c r="V287" s="147">
        <v>0.38</v>
      </c>
      <c r="W287" s="147">
        <v>0.68</v>
      </c>
      <c r="X287" s="147">
        <v>0.9</v>
      </c>
      <c r="Y287" s="10"/>
      <c r="Z287" s="147">
        <v>0.03</v>
      </c>
      <c r="AA287" s="147">
        <v>0.15</v>
      </c>
      <c r="AB287" s="147">
        <v>0.35</v>
      </c>
      <c r="AC287" s="147">
        <v>0.63</v>
      </c>
      <c r="AD287" s="147">
        <v>0.88</v>
      </c>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row>
    <row r="288" spans="1:109" ht="9.75" customHeight="1" x14ac:dyDescent="0.2">
      <c r="B288" s="777"/>
      <c r="C288" s="777"/>
      <c r="D288" s="777"/>
      <c r="E288" s="777"/>
      <c r="F288" s="777"/>
      <c r="G288" s="777"/>
      <c r="H288" s="777"/>
      <c r="I288" s="777"/>
      <c r="J288" s="777"/>
      <c r="K288" s="777"/>
      <c r="L288" s="777"/>
      <c r="M288" s="777"/>
      <c r="N288" s="777"/>
      <c r="O288" s="777"/>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row>
    <row r="289" spans="2:109" ht="27" customHeight="1" x14ac:dyDescent="0.2">
      <c r="B289" s="864" t="s">
        <v>117</v>
      </c>
      <c r="C289" s="865"/>
      <c r="D289" s="865"/>
      <c r="E289" s="865"/>
      <c r="F289" s="866"/>
      <c r="G289" s="907" t="s">
        <v>1495</v>
      </c>
      <c r="H289" s="945"/>
      <c r="I289" s="945"/>
      <c r="J289" s="946"/>
      <c r="K289" s="967"/>
      <c r="L289" s="968"/>
      <c r="M289" s="968"/>
      <c r="N289" s="968"/>
      <c r="O289" s="969"/>
      <c r="P289" s="857">
        <f>U303</f>
        <v>0</v>
      </c>
      <c r="R289" s="146" t="s">
        <v>1826</v>
      </c>
      <c r="S289" s="50" t="s">
        <v>1285</v>
      </c>
      <c r="T289" s="50" t="s">
        <v>1286</v>
      </c>
      <c r="U289" s="50" t="s">
        <v>1287</v>
      </c>
      <c r="V289" s="944" t="s">
        <v>786</v>
      </c>
      <c r="W289" s="945"/>
      <c r="X289" s="946"/>
      <c r="Y289" s="50" t="s">
        <v>498</v>
      </c>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row>
    <row r="290" spans="2:109" ht="14.1" customHeight="1" x14ac:dyDescent="0.2">
      <c r="B290" s="941" t="s">
        <v>615</v>
      </c>
      <c r="C290" s="942"/>
      <c r="D290" s="943"/>
      <c r="E290" s="1069">
        <f>P234</f>
        <v>0</v>
      </c>
      <c r="F290" s="1091"/>
      <c r="G290" s="923"/>
      <c r="H290" s="923"/>
      <c r="I290" s="929">
        <f t="shared" ref="I290:I303" si="41">IF(AND(Y290&lt;0.01,Y290&gt;0),0.01,ROUND(Y290,2))</f>
        <v>0</v>
      </c>
      <c r="J290" s="929"/>
      <c r="K290" s="970"/>
      <c r="L290" s="971"/>
      <c r="M290" s="971"/>
      <c r="N290" s="971"/>
      <c r="O290" s="972"/>
      <c r="P290" s="961"/>
      <c r="R290" s="548">
        <f t="shared" ref="R290:R303" si="42">IF(I290&gt;0,I290,E290)</f>
        <v>0</v>
      </c>
      <c r="S290" s="147">
        <f>LARGE($R$290:$R$304,1)</f>
        <v>0</v>
      </c>
      <c r="T290" s="544">
        <f>S290+S291*(1-S290)</f>
        <v>0</v>
      </c>
      <c r="U290" s="548">
        <f t="shared" ref="U290:U303" si="43">ROUND(T290,2)</f>
        <v>0</v>
      </c>
      <c r="V290" s="50">
        <f>IF(E290&gt;0,1,0)</f>
        <v>0</v>
      </c>
      <c r="W290" s="50">
        <f>COUNTIF(V290:V304,1)</f>
        <v>0</v>
      </c>
      <c r="X290" s="50">
        <f>IF(AND(W290=0,W291&gt;0),1,IF(W290&gt;0,2,0))</f>
        <v>0</v>
      </c>
      <c r="Y290" s="291">
        <f t="shared" ref="Y290:Y303" si="44">E290*G290</f>
        <v>0</v>
      </c>
      <c r="AA290" s="10"/>
      <c r="AD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row>
    <row r="291" spans="2:109" ht="14.1" customHeight="1" x14ac:dyDescent="0.2">
      <c r="B291" s="742" t="s">
        <v>372</v>
      </c>
      <c r="C291" s="743"/>
      <c r="D291" s="744"/>
      <c r="E291" s="755">
        <f>P237</f>
        <v>0</v>
      </c>
      <c r="F291" s="755"/>
      <c r="G291" s="923"/>
      <c r="H291" s="923"/>
      <c r="I291" s="929">
        <f t="shared" ref="I291" si="45">IF(AND(Y291&lt;0.01,Y291&gt;0),0.01,ROUND(Y291,2))</f>
        <v>0</v>
      </c>
      <c r="J291" s="929"/>
      <c r="K291" s="970"/>
      <c r="L291" s="971"/>
      <c r="M291" s="971"/>
      <c r="N291" s="971"/>
      <c r="O291" s="972"/>
      <c r="P291" s="961"/>
      <c r="R291" s="548">
        <f t="shared" si="42"/>
        <v>0</v>
      </c>
      <c r="S291" s="147">
        <f>LARGE($R$290:$R$304,2)</f>
        <v>0</v>
      </c>
      <c r="T291" s="544">
        <f>U290+S292*(1-U290)</f>
        <v>0</v>
      </c>
      <c r="U291" s="548">
        <f t="shared" si="43"/>
        <v>0</v>
      </c>
      <c r="V291" s="50">
        <f>IF(E291&gt;0,2,0)</f>
        <v>0</v>
      </c>
      <c r="W291" s="50">
        <f>COUNTIF(V290:V304,2)</f>
        <v>0</v>
      </c>
      <c r="X291" s="10"/>
      <c r="Y291" s="291">
        <f t="shared" si="44"/>
        <v>0</v>
      </c>
      <c r="AA291" s="777"/>
      <c r="AB291" s="777"/>
      <c r="AC291" s="777"/>
      <c r="AD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row>
    <row r="292" spans="2:109" ht="14.1" customHeight="1" x14ac:dyDescent="0.2">
      <c r="B292" s="742" t="s">
        <v>1918</v>
      </c>
      <c r="C292" s="743"/>
      <c r="D292" s="744"/>
      <c r="E292" s="755">
        <f>IF(E615&gt;0,0,P241)</f>
        <v>0</v>
      </c>
      <c r="F292" s="755"/>
      <c r="G292" s="923"/>
      <c r="H292" s="923"/>
      <c r="I292" s="929">
        <f t="shared" si="41"/>
        <v>0</v>
      </c>
      <c r="J292" s="929"/>
      <c r="K292" s="970"/>
      <c r="L292" s="971"/>
      <c r="M292" s="971"/>
      <c r="N292" s="971"/>
      <c r="O292" s="972"/>
      <c r="P292" s="961"/>
      <c r="R292" s="548">
        <f t="shared" si="42"/>
        <v>0</v>
      </c>
      <c r="S292" s="147">
        <f>LARGE($R$290:$R$304,3)</f>
        <v>0</v>
      </c>
      <c r="T292" s="544">
        <f>U291+S293*(1-U291)</f>
        <v>0</v>
      </c>
      <c r="U292" s="548">
        <f t="shared" si="43"/>
        <v>0</v>
      </c>
      <c r="V292" s="50">
        <f t="shared" ref="V292:V304" si="46">IF(E292&gt;0,1,0)</f>
        <v>0</v>
      </c>
      <c r="W292" s="10"/>
      <c r="X292" s="10"/>
      <c r="Y292" s="291">
        <f t="shared" si="44"/>
        <v>0</v>
      </c>
      <c r="Z292" s="10"/>
      <c r="AA292" s="777"/>
      <c r="AB292" s="777"/>
      <c r="AC292" s="777"/>
      <c r="AD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row>
    <row r="293" spans="2:109" ht="14.1" customHeight="1" x14ac:dyDescent="0.2">
      <c r="B293" s="791" t="s">
        <v>1389</v>
      </c>
      <c r="C293" s="791"/>
      <c r="D293" s="791"/>
      <c r="E293" s="727">
        <f>P258</f>
        <v>0</v>
      </c>
      <c r="F293" s="729"/>
      <c r="G293" s="923"/>
      <c r="H293" s="923"/>
      <c r="I293" s="929">
        <f t="shared" si="41"/>
        <v>0</v>
      </c>
      <c r="J293" s="929"/>
      <c r="K293" s="970"/>
      <c r="L293" s="971"/>
      <c r="M293" s="971"/>
      <c r="N293" s="971"/>
      <c r="O293" s="972"/>
      <c r="P293" s="961"/>
      <c r="R293" s="548">
        <f t="shared" si="42"/>
        <v>0</v>
      </c>
      <c r="S293" s="147">
        <f>LARGE($R$290:$R$304,4)</f>
        <v>0</v>
      </c>
      <c r="T293" s="544">
        <f t="shared" ref="T293:T303" si="47">U292+S294*(1-U292)</f>
        <v>0</v>
      </c>
      <c r="U293" s="548">
        <f t="shared" si="43"/>
        <v>0</v>
      </c>
      <c r="V293" s="50">
        <f t="shared" si="46"/>
        <v>0</v>
      </c>
      <c r="W293" s="10"/>
      <c r="X293" s="10"/>
      <c r="Y293" s="291">
        <f t="shared" si="44"/>
        <v>0</v>
      </c>
      <c r="Z293" s="597"/>
      <c r="AA293" s="777"/>
      <c r="AB293" s="777"/>
      <c r="AC293" s="777"/>
      <c r="AD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row>
    <row r="294" spans="2:109" ht="14.1" customHeight="1" x14ac:dyDescent="0.2">
      <c r="B294" s="742" t="s">
        <v>1390</v>
      </c>
      <c r="C294" s="743"/>
      <c r="D294" s="744"/>
      <c r="E294" s="727">
        <f>P259</f>
        <v>0</v>
      </c>
      <c r="F294" s="729"/>
      <c r="G294" s="923"/>
      <c r="H294" s="923"/>
      <c r="I294" s="929">
        <f t="shared" si="41"/>
        <v>0</v>
      </c>
      <c r="J294" s="929"/>
      <c r="K294" s="970"/>
      <c r="L294" s="971"/>
      <c r="M294" s="971"/>
      <c r="N294" s="971"/>
      <c r="O294" s="972"/>
      <c r="P294" s="961"/>
      <c r="R294" s="548">
        <f t="shared" si="42"/>
        <v>0</v>
      </c>
      <c r="S294" s="147">
        <f>LARGE($R$290:$R$304,5)</f>
        <v>0</v>
      </c>
      <c r="T294" s="544">
        <f t="shared" si="47"/>
        <v>0</v>
      </c>
      <c r="U294" s="548">
        <f t="shared" si="43"/>
        <v>0</v>
      </c>
      <c r="V294" s="50">
        <f t="shared" si="46"/>
        <v>0</v>
      </c>
      <c r="W294" s="10"/>
      <c r="X294" s="10"/>
      <c r="Y294" s="291">
        <f t="shared" si="44"/>
        <v>0</v>
      </c>
      <c r="Z294" s="597"/>
      <c r="AA294" s="777"/>
      <c r="AB294" s="777"/>
      <c r="AC294" s="777"/>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row>
    <row r="295" spans="2:109" ht="14.1" customHeight="1" x14ac:dyDescent="0.2">
      <c r="B295" s="742" t="s">
        <v>1391</v>
      </c>
      <c r="C295" s="743"/>
      <c r="D295" s="744"/>
      <c r="E295" s="727">
        <f>P260</f>
        <v>0</v>
      </c>
      <c r="F295" s="729"/>
      <c r="G295" s="923"/>
      <c r="H295" s="923"/>
      <c r="I295" s="929">
        <f t="shared" si="41"/>
        <v>0</v>
      </c>
      <c r="J295" s="929"/>
      <c r="K295" s="970"/>
      <c r="L295" s="971"/>
      <c r="M295" s="971"/>
      <c r="N295" s="971"/>
      <c r="O295" s="972"/>
      <c r="P295" s="961"/>
      <c r="R295" s="548">
        <f t="shared" si="42"/>
        <v>0</v>
      </c>
      <c r="S295" s="147">
        <f>LARGE($R$290:$R$304,6)</f>
        <v>0</v>
      </c>
      <c r="T295" s="544">
        <f t="shared" si="47"/>
        <v>0</v>
      </c>
      <c r="U295" s="548">
        <f t="shared" si="43"/>
        <v>0</v>
      </c>
      <c r="V295" s="50">
        <f t="shared" si="46"/>
        <v>0</v>
      </c>
      <c r="W295" s="10"/>
      <c r="X295" s="10"/>
      <c r="Y295" s="291">
        <f t="shared" si="44"/>
        <v>0</v>
      </c>
      <c r="Z295" s="597"/>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row>
    <row r="296" spans="2:109" ht="14.1" customHeight="1" x14ac:dyDescent="0.2">
      <c r="B296" s="742" t="s">
        <v>1392</v>
      </c>
      <c r="C296" s="743"/>
      <c r="D296" s="744"/>
      <c r="E296" s="727">
        <f>P261</f>
        <v>0</v>
      </c>
      <c r="F296" s="729"/>
      <c r="G296" s="923"/>
      <c r="H296" s="923"/>
      <c r="I296" s="929">
        <f t="shared" si="41"/>
        <v>0</v>
      </c>
      <c r="J296" s="929"/>
      <c r="K296" s="970"/>
      <c r="L296" s="971"/>
      <c r="M296" s="971"/>
      <c r="N296" s="971"/>
      <c r="O296" s="972"/>
      <c r="P296" s="961"/>
      <c r="R296" s="548">
        <f t="shared" si="42"/>
        <v>0</v>
      </c>
      <c r="S296" s="147">
        <f>LARGE($R$290:$R$304,7)</f>
        <v>0</v>
      </c>
      <c r="T296" s="544">
        <f t="shared" si="47"/>
        <v>0</v>
      </c>
      <c r="U296" s="548">
        <f t="shared" si="43"/>
        <v>0</v>
      </c>
      <c r="V296" s="50">
        <f t="shared" si="46"/>
        <v>0</v>
      </c>
      <c r="W296" s="10"/>
      <c r="X296" s="10"/>
      <c r="Y296" s="291">
        <f t="shared" si="44"/>
        <v>0</v>
      </c>
      <c r="Z296" s="597"/>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row>
    <row r="297" spans="2:109" ht="14.1" customHeight="1" x14ac:dyDescent="0.2">
      <c r="B297" s="742" t="s">
        <v>1945</v>
      </c>
      <c r="C297" s="743"/>
      <c r="D297" s="744"/>
      <c r="E297" s="755">
        <f>P270</f>
        <v>0</v>
      </c>
      <c r="F297" s="755"/>
      <c r="G297" s="923"/>
      <c r="H297" s="923"/>
      <c r="I297" s="929">
        <f t="shared" si="41"/>
        <v>0</v>
      </c>
      <c r="J297" s="929"/>
      <c r="K297" s="970"/>
      <c r="L297" s="971"/>
      <c r="M297" s="971"/>
      <c r="N297" s="971"/>
      <c r="O297" s="972"/>
      <c r="P297" s="961"/>
      <c r="R297" s="548">
        <f t="shared" si="42"/>
        <v>0</v>
      </c>
      <c r="S297" s="147">
        <f>LARGE($R$290:$R$304,8)</f>
        <v>0</v>
      </c>
      <c r="T297" s="544">
        <f t="shared" si="47"/>
        <v>0</v>
      </c>
      <c r="U297" s="548">
        <f t="shared" si="43"/>
        <v>0</v>
      </c>
      <c r="V297" s="50">
        <f t="shared" si="46"/>
        <v>0</v>
      </c>
      <c r="W297" s="10"/>
      <c r="X297" s="10"/>
      <c r="Y297" s="291">
        <f t="shared" si="44"/>
        <v>0</v>
      </c>
      <c r="Z297" s="597"/>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row>
    <row r="298" spans="2:109" ht="14.1" customHeight="1" x14ac:dyDescent="0.2">
      <c r="B298" s="742" t="s">
        <v>1208</v>
      </c>
      <c r="C298" s="743"/>
      <c r="D298" s="744"/>
      <c r="E298" s="755">
        <f>P275</f>
        <v>0</v>
      </c>
      <c r="F298" s="755"/>
      <c r="G298" s="923"/>
      <c r="H298" s="923"/>
      <c r="I298" s="929">
        <f t="shared" si="41"/>
        <v>0</v>
      </c>
      <c r="J298" s="929"/>
      <c r="K298" s="623"/>
      <c r="L298" s="624"/>
      <c r="M298" s="624"/>
      <c r="N298" s="624"/>
      <c r="O298" s="625"/>
      <c r="P298" s="961"/>
      <c r="R298" s="548">
        <f t="shared" si="42"/>
        <v>0</v>
      </c>
      <c r="S298" s="147">
        <f>LARGE($R$290:$R$304,9)</f>
        <v>0</v>
      </c>
      <c r="T298" s="544">
        <f t="shared" si="47"/>
        <v>0</v>
      </c>
      <c r="U298" s="548">
        <f t="shared" si="43"/>
        <v>0</v>
      </c>
      <c r="V298" s="50">
        <f t="shared" si="46"/>
        <v>0</v>
      </c>
      <c r="W298" s="10"/>
      <c r="X298" s="10"/>
      <c r="Y298" s="291">
        <f t="shared" si="44"/>
        <v>0</v>
      </c>
      <c r="Z298" s="73"/>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row>
    <row r="299" spans="2:109" ht="14.1" customHeight="1" x14ac:dyDescent="0.2">
      <c r="B299" s="742" t="s">
        <v>1214</v>
      </c>
      <c r="C299" s="743"/>
      <c r="D299" s="744"/>
      <c r="E299" s="755">
        <f>P277</f>
        <v>0</v>
      </c>
      <c r="F299" s="755"/>
      <c r="G299" s="923"/>
      <c r="H299" s="923"/>
      <c r="I299" s="929">
        <f t="shared" si="41"/>
        <v>0</v>
      </c>
      <c r="J299" s="929"/>
      <c r="K299" s="623"/>
      <c r="L299" s="624"/>
      <c r="M299" s="624"/>
      <c r="N299" s="624"/>
      <c r="O299" s="625"/>
      <c r="P299" s="961"/>
      <c r="R299" s="548">
        <f t="shared" si="42"/>
        <v>0</v>
      </c>
      <c r="S299" s="147">
        <f>LARGE($R$290:$R$304,10)</f>
        <v>0</v>
      </c>
      <c r="T299" s="544">
        <f t="shared" si="47"/>
        <v>0</v>
      </c>
      <c r="U299" s="548">
        <f t="shared" si="43"/>
        <v>0</v>
      </c>
      <c r="V299" s="50">
        <f t="shared" si="46"/>
        <v>0</v>
      </c>
      <c r="W299" s="10"/>
      <c r="X299" s="10"/>
      <c r="Y299" s="291">
        <f t="shared" si="44"/>
        <v>0</v>
      </c>
      <c r="Z299" s="73"/>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row>
    <row r="300" spans="2:109" ht="14.1" customHeight="1" x14ac:dyDescent="0.2">
      <c r="B300" s="742" t="s">
        <v>373</v>
      </c>
      <c r="C300" s="743"/>
      <c r="D300" s="744"/>
      <c r="E300" s="755">
        <f>P282</f>
        <v>0</v>
      </c>
      <c r="F300" s="755"/>
      <c r="G300" s="923"/>
      <c r="H300" s="923"/>
      <c r="I300" s="929">
        <f t="shared" si="41"/>
        <v>0</v>
      </c>
      <c r="J300" s="929"/>
      <c r="K300" s="915" t="str">
        <f>IF(AND(P241&gt;0,E615&gt;0),"A value has been granted for motor loss. Additional impairment value is not allowed for reduced ROM in the same extremity.","")</f>
        <v/>
      </c>
      <c r="L300" s="916"/>
      <c r="M300" s="916"/>
      <c r="N300" s="916"/>
      <c r="O300" s="917"/>
      <c r="P300" s="961"/>
      <c r="R300" s="548">
        <f t="shared" si="42"/>
        <v>0</v>
      </c>
      <c r="S300" s="147">
        <f>LARGE($R$290:$R$304,11)</f>
        <v>0</v>
      </c>
      <c r="T300" s="544">
        <f t="shared" si="47"/>
        <v>0</v>
      </c>
      <c r="U300" s="548">
        <f t="shared" si="43"/>
        <v>0</v>
      </c>
      <c r="V300" s="50">
        <f t="shared" si="46"/>
        <v>0</v>
      </c>
      <c r="W300" s="10"/>
      <c r="X300" s="10"/>
      <c r="Y300" s="291">
        <f t="shared" si="44"/>
        <v>0</v>
      </c>
      <c r="Z300" s="73"/>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row>
    <row r="301" spans="2:109" ht="14.1" customHeight="1" x14ac:dyDescent="0.2">
      <c r="B301" s="742" t="s">
        <v>374</v>
      </c>
      <c r="C301" s="743"/>
      <c r="D301" s="744"/>
      <c r="E301" s="755">
        <f>P283</f>
        <v>0</v>
      </c>
      <c r="F301" s="755"/>
      <c r="G301" s="923"/>
      <c r="H301" s="923"/>
      <c r="I301" s="929">
        <f t="shared" si="41"/>
        <v>0</v>
      </c>
      <c r="J301" s="929"/>
      <c r="K301" s="915"/>
      <c r="L301" s="916"/>
      <c r="M301" s="916"/>
      <c r="N301" s="916"/>
      <c r="O301" s="917"/>
      <c r="P301" s="961"/>
      <c r="R301" s="548">
        <f t="shared" si="42"/>
        <v>0</v>
      </c>
      <c r="S301" s="147">
        <f>LARGE($R$290:$R$304,12)</f>
        <v>0</v>
      </c>
      <c r="T301" s="544">
        <f t="shared" si="47"/>
        <v>0</v>
      </c>
      <c r="U301" s="548">
        <f t="shared" si="43"/>
        <v>0</v>
      </c>
      <c r="V301" s="50">
        <f t="shared" si="46"/>
        <v>0</v>
      </c>
      <c r="W301" s="10"/>
      <c r="X301" s="10"/>
      <c r="Y301" s="291">
        <f t="shared" si="44"/>
        <v>0</v>
      </c>
      <c r="Z301" s="57"/>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row>
    <row r="302" spans="2:109" ht="14.1" customHeight="1" x14ac:dyDescent="0.2">
      <c r="B302" s="742" t="s">
        <v>792</v>
      </c>
      <c r="C302" s="743"/>
      <c r="D302" s="744"/>
      <c r="E302" s="755">
        <f>P284</f>
        <v>0</v>
      </c>
      <c r="F302" s="755"/>
      <c r="G302" s="923"/>
      <c r="H302" s="923"/>
      <c r="I302" s="929">
        <f t="shared" si="41"/>
        <v>0</v>
      </c>
      <c r="J302" s="929"/>
      <c r="K302" s="915"/>
      <c r="L302" s="916"/>
      <c r="M302" s="916"/>
      <c r="N302" s="916"/>
      <c r="O302" s="917"/>
      <c r="P302" s="961"/>
      <c r="R302" s="548">
        <f t="shared" si="42"/>
        <v>0</v>
      </c>
      <c r="S302" s="147">
        <f>LARGE($R$290:$R$304,13)</f>
        <v>0</v>
      </c>
      <c r="T302" s="544">
        <f t="shared" si="47"/>
        <v>0</v>
      </c>
      <c r="U302" s="548">
        <f t="shared" si="43"/>
        <v>0</v>
      </c>
      <c r="V302" s="50">
        <f t="shared" si="46"/>
        <v>0</v>
      </c>
      <c r="W302" s="10"/>
      <c r="X302" s="10"/>
      <c r="Y302" s="291">
        <f t="shared" si="44"/>
        <v>0</v>
      </c>
      <c r="Z302" s="57"/>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row>
    <row r="303" spans="2:109" ht="14.1" customHeight="1" x14ac:dyDescent="0.2">
      <c r="B303" s="742" t="s">
        <v>1419</v>
      </c>
      <c r="C303" s="743"/>
      <c r="D303" s="744"/>
      <c r="E303" s="755">
        <f>P286</f>
        <v>0</v>
      </c>
      <c r="F303" s="755"/>
      <c r="G303" s="923"/>
      <c r="H303" s="923"/>
      <c r="I303" s="929">
        <f t="shared" si="41"/>
        <v>0</v>
      </c>
      <c r="J303" s="929"/>
      <c r="K303" s="915"/>
      <c r="L303" s="916"/>
      <c r="M303" s="916"/>
      <c r="N303" s="916"/>
      <c r="O303" s="917"/>
      <c r="P303" s="961"/>
      <c r="R303" s="548">
        <f t="shared" si="42"/>
        <v>0</v>
      </c>
      <c r="S303" s="147">
        <f>LARGE($R$290:$R$304,14)</f>
        <v>0</v>
      </c>
      <c r="T303" s="544">
        <f t="shared" si="47"/>
        <v>0</v>
      </c>
      <c r="U303" s="548">
        <f t="shared" si="43"/>
        <v>0</v>
      </c>
      <c r="V303" s="50">
        <f t="shared" si="46"/>
        <v>0</v>
      </c>
      <c r="W303" s="10"/>
      <c r="X303" s="10"/>
      <c r="Y303" s="291">
        <f t="shared" si="44"/>
        <v>0</v>
      </c>
      <c r="Z303" s="73"/>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row>
    <row r="304" spans="2:109" ht="14.1" customHeight="1" x14ac:dyDescent="0.2">
      <c r="B304" s="789" t="s">
        <v>1235</v>
      </c>
      <c r="C304" s="789"/>
      <c r="D304" s="789"/>
      <c r="E304" s="857">
        <f>P287</f>
        <v>0</v>
      </c>
      <c r="F304" s="857"/>
      <c r="G304" s="923"/>
      <c r="H304" s="923"/>
      <c r="I304" s="929">
        <f>IF(AND(Y304&lt;0.01,Y304&gt;0),0.01,ROUND(Y304,2))</f>
        <v>0</v>
      </c>
      <c r="J304" s="929"/>
      <c r="K304" s="918"/>
      <c r="L304" s="919"/>
      <c r="M304" s="919"/>
      <c r="N304" s="919"/>
      <c r="O304" s="920"/>
      <c r="P304" s="961"/>
      <c r="R304" s="548">
        <f>IF(I304&gt;0,I304,E304)</f>
        <v>0</v>
      </c>
      <c r="S304" s="147">
        <f>LARGE($R$290:$R$304,15)</f>
        <v>0</v>
      </c>
      <c r="T304" s="562"/>
      <c r="U304" s="548"/>
      <c r="V304" s="50">
        <f t="shared" si="46"/>
        <v>0</v>
      </c>
      <c r="W304" s="10"/>
      <c r="X304" s="10"/>
      <c r="Y304" s="291">
        <f t="shared" ref="Y304" si="48">E304*G304</f>
        <v>0</v>
      </c>
      <c r="Z304" s="73"/>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row>
    <row r="305" spans="2:109" ht="14.1" customHeight="1" x14ac:dyDescent="0.2">
      <c r="B305" s="957" t="s">
        <v>1365</v>
      </c>
      <c r="C305" s="957"/>
      <c r="D305" s="957"/>
      <c r="E305" s="957"/>
      <c r="F305" s="957"/>
      <c r="G305" s="957"/>
      <c r="H305" s="957"/>
      <c r="I305" s="957"/>
      <c r="J305" s="957"/>
      <c r="K305" s="957"/>
      <c r="L305" s="957"/>
      <c r="M305" s="957"/>
      <c r="N305" s="957"/>
      <c r="O305" s="957"/>
      <c r="P305" s="962"/>
      <c r="R305" s="14"/>
      <c r="S305" s="142"/>
      <c r="T305" s="128"/>
      <c r="U305" s="10"/>
      <c r="V305" s="10"/>
      <c r="W305" s="10"/>
      <c r="X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row>
    <row r="306" spans="2:109" x14ac:dyDescent="0.2">
      <c r="B306" s="1073"/>
      <c r="C306" s="1073"/>
      <c r="D306" s="1073"/>
      <c r="E306" s="1073"/>
      <c r="F306" s="1073"/>
      <c r="G306" s="1073"/>
      <c r="H306" s="1073"/>
      <c r="I306" s="1073"/>
      <c r="J306" s="1073"/>
      <c r="K306" s="1073"/>
      <c r="L306" s="1073"/>
      <c r="M306" s="1073"/>
      <c r="N306" s="1073"/>
      <c r="O306" s="1073"/>
      <c r="P306" s="1073"/>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row>
    <row r="307" spans="2:109" x14ac:dyDescent="0.2">
      <c r="B307" s="177"/>
      <c r="C307" s="177"/>
      <c r="D307" s="177"/>
      <c r="E307" s="177"/>
      <c r="F307" s="177"/>
      <c r="G307" s="177"/>
      <c r="H307" s="177"/>
      <c r="I307" s="177"/>
      <c r="J307" s="177"/>
      <c r="K307" s="177"/>
      <c r="L307" s="177"/>
      <c r="M307" s="177"/>
      <c r="N307" s="177"/>
      <c r="O307" s="177"/>
      <c r="P307" s="177"/>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row>
    <row r="308" spans="2:109" ht="18" customHeight="1" x14ac:dyDescent="0.2">
      <c r="B308" s="892" t="s">
        <v>1366</v>
      </c>
      <c r="C308" s="893"/>
      <c r="D308" s="893"/>
      <c r="E308" s="893"/>
      <c r="F308" s="893"/>
      <c r="G308" s="893"/>
      <c r="H308" s="893"/>
      <c r="I308" s="893"/>
      <c r="J308" s="893"/>
      <c r="K308" s="893"/>
      <c r="L308" s="893"/>
      <c r="M308" s="893"/>
      <c r="N308" s="893"/>
      <c r="O308" s="893"/>
      <c r="P308" s="894"/>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row>
    <row r="309" spans="2:109" ht="18" customHeight="1" x14ac:dyDescent="0.2">
      <c r="B309" s="776" t="s">
        <v>1635</v>
      </c>
      <c r="C309" s="776"/>
      <c r="D309" s="776"/>
      <c r="E309" s="776"/>
      <c r="F309" s="776"/>
      <c r="G309" s="776"/>
      <c r="H309" s="776"/>
      <c r="I309" s="776"/>
      <c r="J309" s="776"/>
      <c r="K309" s="776"/>
      <c r="L309" s="776"/>
      <c r="M309" s="776"/>
      <c r="N309" s="776"/>
      <c r="O309" s="776"/>
      <c r="P309" s="929">
        <f>SUMIF(S309:Y309,B310,S310:Y310)</f>
        <v>0</v>
      </c>
      <c r="R309" s="948" t="s">
        <v>1305</v>
      </c>
      <c r="S309" s="50" t="s">
        <v>511</v>
      </c>
      <c r="T309" s="552" t="s">
        <v>1306</v>
      </c>
      <c r="U309" s="50" t="s">
        <v>513</v>
      </c>
      <c r="V309" s="50" t="s">
        <v>1060</v>
      </c>
      <c r="W309" s="50" t="s">
        <v>1063</v>
      </c>
      <c r="X309" s="50" t="s">
        <v>702</v>
      </c>
      <c r="Y309" s="50" t="s">
        <v>577</v>
      </c>
      <c r="Z309" s="10"/>
      <c r="AA309" s="10"/>
      <c r="AB309" s="10"/>
      <c r="AC309" s="10"/>
      <c r="AD309" s="10"/>
      <c r="AE309" s="10"/>
      <c r="AF309" s="10"/>
      <c r="AG309" s="10"/>
      <c r="AH309" s="10"/>
      <c r="AI309" s="10"/>
      <c r="AJ309" s="10"/>
      <c r="AK309" s="14"/>
      <c r="AL309" s="14"/>
      <c r="AM309" s="14"/>
      <c r="AN309" s="14"/>
      <c r="AO309" s="14"/>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row>
    <row r="310" spans="2:109" ht="15" customHeight="1" x14ac:dyDescent="0.2">
      <c r="B310" s="1012"/>
      <c r="C310" s="1012"/>
      <c r="D310" s="1012"/>
      <c r="E310" s="1012"/>
      <c r="F310" s="1012"/>
      <c r="G310" s="1012"/>
      <c r="H310" s="1012"/>
      <c r="I310" s="1012"/>
      <c r="J310" s="1012"/>
      <c r="K310" s="1012"/>
      <c r="L310" s="1012"/>
      <c r="M310" s="1012"/>
      <c r="N310" s="1012"/>
      <c r="O310" s="1012"/>
      <c r="P310" s="1072"/>
      <c r="R310" s="776"/>
      <c r="S310" s="548">
        <v>0</v>
      </c>
      <c r="T310" s="147">
        <v>0.1</v>
      </c>
      <c r="U310" s="147">
        <v>0.3</v>
      </c>
      <c r="V310" s="147">
        <v>0.5</v>
      </c>
      <c r="W310" s="147">
        <v>0.63</v>
      </c>
      <c r="X310" s="147">
        <v>0.75</v>
      </c>
      <c r="Y310" s="147">
        <v>1</v>
      </c>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row>
    <row r="311" spans="2:109" ht="15" customHeight="1" x14ac:dyDescent="0.2">
      <c r="B311" s="958" t="str">
        <f>IF(AND(P309&gt;0.1,B313=""),"Enter specific level of amputation or shortening below.","")</f>
        <v/>
      </c>
      <c r="C311" s="958"/>
      <c r="D311" s="958"/>
      <c r="E311" s="958"/>
      <c r="F311" s="958"/>
      <c r="G311" s="958"/>
      <c r="H311" s="958"/>
      <c r="I311" s="958"/>
      <c r="J311" s="958"/>
      <c r="K311" s="958"/>
      <c r="L311" s="958"/>
      <c r="M311" s="958"/>
      <c r="N311" s="958"/>
      <c r="O311" s="958"/>
      <c r="P311" s="958"/>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row>
    <row r="312" spans="2:109" ht="30" customHeight="1" x14ac:dyDescent="0.2">
      <c r="B312" s="761" t="s">
        <v>783</v>
      </c>
      <c r="C312" s="761"/>
      <c r="D312" s="761"/>
      <c r="E312" s="761"/>
      <c r="F312" s="761"/>
      <c r="G312" s="761"/>
      <c r="H312" s="761"/>
      <c r="I312" s="761"/>
      <c r="J312" s="761"/>
      <c r="K312" s="761"/>
      <c r="L312" s="761"/>
      <c r="M312" s="761"/>
      <c r="N312" s="761"/>
      <c r="O312" s="761"/>
      <c r="P312" s="929">
        <f>IF(P309=1,0,U14)</f>
        <v>0</v>
      </c>
      <c r="R312" s="514">
        <f>SUMIF(S312:AD312,B313,S313:AD313)</f>
        <v>0</v>
      </c>
      <c r="S312" s="50" t="s">
        <v>1166</v>
      </c>
      <c r="T312" s="50" t="s">
        <v>1167</v>
      </c>
      <c r="U312" s="50" t="s">
        <v>1168</v>
      </c>
      <c r="V312" s="50" t="s">
        <v>1169</v>
      </c>
      <c r="W312" s="50" t="s">
        <v>1883</v>
      </c>
      <c r="X312" s="50" t="s">
        <v>1884</v>
      </c>
      <c r="Y312" s="50" t="s">
        <v>659</v>
      </c>
      <c r="Z312" s="50" t="s">
        <v>660</v>
      </c>
      <c r="AA312" s="50" t="s">
        <v>661</v>
      </c>
      <c r="AB312" s="50" t="s">
        <v>662</v>
      </c>
      <c r="AC312" s="50" t="s">
        <v>663</v>
      </c>
      <c r="AD312" s="50" t="s">
        <v>664</v>
      </c>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row>
    <row r="313" spans="2:109" ht="15" customHeight="1" x14ac:dyDescent="0.2">
      <c r="B313" s="1012"/>
      <c r="C313" s="1012"/>
      <c r="D313" s="1012"/>
      <c r="E313" s="1012"/>
      <c r="F313" s="1012"/>
      <c r="G313" s="1012"/>
      <c r="H313" s="1012"/>
      <c r="I313" s="1012"/>
      <c r="J313" s="1012"/>
      <c r="K313" s="1012"/>
      <c r="L313" s="1012"/>
      <c r="M313" s="1012"/>
      <c r="N313" s="1012"/>
      <c r="O313" s="1012"/>
      <c r="P313" s="1071"/>
      <c r="R313" s="761" t="s">
        <v>665</v>
      </c>
      <c r="S313" s="147">
        <v>0</v>
      </c>
      <c r="T313" s="147">
        <v>0</v>
      </c>
      <c r="U313" s="147">
        <v>0</v>
      </c>
      <c r="V313" s="147">
        <v>0.05</v>
      </c>
      <c r="W313" s="147">
        <v>0.05</v>
      </c>
      <c r="X313" s="147">
        <v>0.05</v>
      </c>
      <c r="Y313" s="147">
        <v>0.05</v>
      </c>
      <c r="Z313" s="147">
        <v>0.1</v>
      </c>
      <c r="AA313" s="147">
        <v>0.15</v>
      </c>
      <c r="AB313" s="147">
        <v>0.15</v>
      </c>
      <c r="AC313" s="147">
        <v>0.15</v>
      </c>
      <c r="AD313" s="147">
        <v>0.2</v>
      </c>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row>
    <row r="314" spans="2:109" ht="18" customHeight="1" x14ac:dyDescent="0.2">
      <c r="B314" s="1013" t="s">
        <v>666</v>
      </c>
      <c r="C314" s="1014"/>
      <c r="D314" s="1014"/>
      <c r="E314" s="1014"/>
      <c r="F314" s="1014"/>
      <c r="G314" s="1014"/>
      <c r="H314" s="1014"/>
      <c r="I314" s="1014"/>
      <c r="J314" s="1014"/>
      <c r="K314" s="1014"/>
      <c r="L314" s="1014"/>
      <c r="M314" s="1014"/>
      <c r="N314" s="1014"/>
      <c r="O314" s="1015"/>
      <c r="P314" s="1072"/>
      <c r="R314" s="761"/>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row>
    <row r="315" spans="2:109" ht="12" customHeight="1" x14ac:dyDescent="0.2">
      <c r="B315" s="777"/>
      <c r="C315" s="777"/>
      <c r="D315" s="777"/>
      <c r="E315" s="777"/>
      <c r="F315" s="777"/>
      <c r="G315" s="777"/>
      <c r="H315" s="777"/>
      <c r="I315" s="777"/>
      <c r="J315" s="777"/>
      <c r="K315" s="777"/>
      <c r="L315" s="777"/>
      <c r="M315" s="777"/>
      <c r="N315" s="777"/>
      <c r="O315" s="777"/>
      <c r="R315" s="10"/>
      <c r="S315" s="10"/>
      <c r="T315" s="10"/>
      <c r="U315" s="10"/>
      <c r="V315" s="10"/>
      <c r="W315" s="10"/>
      <c r="X315" s="10"/>
      <c r="Y315" s="10"/>
      <c r="Z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row>
    <row r="316" spans="2:109" ht="15" customHeight="1" x14ac:dyDescent="0.2">
      <c r="B316" s="910" t="s">
        <v>1563</v>
      </c>
      <c r="C316" s="910"/>
      <c r="D316" s="910"/>
      <c r="E316" s="910"/>
      <c r="F316" s="910"/>
      <c r="G316" s="910"/>
      <c r="H316" s="910"/>
      <c r="I316" s="910"/>
      <c r="J316" s="910"/>
      <c r="K316" s="910"/>
      <c r="L316" s="910"/>
      <c r="M316" s="910"/>
      <c r="N316" s="910"/>
      <c r="O316" s="910"/>
      <c r="P316" s="755">
        <f>IF(R329=1,"ERROR",AD328)</f>
        <v>0</v>
      </c>
      <c r="R316" s="10"/>
      <c r="S316" s="10"/>
      <c r="T316" s="761" t="s">
        <v>1238</v>
      </c>
      <c r="U316" s="761" t="s">
        <v>1238</v>
      </c>
      <c r="V316" s="10"/>
      <c r="W316" s="10"/>
      <c r="X316" s="10"/>
      <c r="Y316" s="10"/>
      <c r="Z316" s="10">
        <v>2</v>
      </c>
      <c r="AA316" s="10"/>
      <c r="AB316" s="10"/>
      <c r="AC316" s="724"/>
      <c r="AD316" s="724"/>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row>
    <row r="317" spans="2:109" ht="27" customHeight="1" x14ac:dyDescent="0.2">
      <c r="B317" s="18" t="s">
        <v>1366</v>
      </c>
      <c r="C317" s="910" t="s">
        <v>1564</v>
      </c>
      <c r="D317" s="910"/>
      <c r="E317" s="910"/>
      <c r="F317" s="910"/>
      <c r="G317" s="912" t="s">
        <v>1064</v>
      </c>
      <c r="H317" s="912"/>
      <c r="I317" s="912"/>
      <c r="J317" s="912"/>
      <c r="K317" s="910"/>
      <c r="L317" s="910"/>
      <c r="M317" s="910"/>
      <c r="N317" s="910"/>
      <c r="O317" s="910"/>
      <c r="P317" s="755"/>
      <c r="R317" s="10"/>
      <c r="S317" s="10"/>
      <c r="T317" s="761"/>
      <c r="U317" s="761"/>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row>
    <row r="318" spans="2:109" ht="18" customHeight="1" x14ac:dyDescent="0.2">
      <c r="B318" s="18"/>
      <c r="C318" s="910" t="s">
        <v>355</v>
      </c>
      <c r="D318" s="910"/>
      <c r="E318" s="910" t="s">
        <v>1759</v>
      </c>
      <c r="F318" s="910"/>
      <c r="G318" s="910" t="s">
        <v>355</v>
      </c>
      <c r="H318" s="910"/>
      <c r="I318" s="910" t="s">
        <v>1759</v>
      </c>
      <c r="J318" s="910"/>
      <c r="K318" s="910"/>
      <c r="L318" s="910"/>
      <c r="M318" s="910"/>
      <c r="N318" s="910"/>
      <c r="O318" s="910"/>
      <c r="P318" s="755"/>
      <c r="R318" s="10"/>
      <c r="S318" s="50" t="s">
        <v>1622</v>
      </c>
      <c r="T318" s="256" t="s">
        <v>1564</v>
      </c>
      <c r="U318" s="256" t="s">
        <v>1565</v>
      </c>
      <c r="V318" s="910" t="s">
        <v>1066</v>
      </c>
      <c r="W318" s="910"/>
      <c r="X318" s="910"/>
      <c r="Y318" s="9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row>
    <row r="319" spans="2:109" ht="13.5" customHeight="1" x14ac:dyDescent="0.2">
      <c r="B319" s="146" t="s">
        <v>667</v>
      </c>
      <c r="C319" s="694"/>
      <c r="D319" s="694"/>
      <c r="E319" s="921">
        <f>UETable!AV51</f>
        <v>0</v>
      </c>
      <c r="F319" s="921"/>
      <c r="G319" s="694"/>
      <c r="H319" s="694"/>
      <c r="I319" s="936">
        <f>IF(C319="",0,IF(OR(C319&lt;=0,G319&lt;=0),E319,IF(G319&lt;C319,0,UETable!BA51)))</f>
        <v>0</v>
      </c>
      <c r="J319" s="936"/>
      <c r="K319" s="930" t="str">
        <f>IF(OR(C319="NA",G319="NA"),"",IF(AND(C319&lt;&gt;"",G319=""),"Enter contralateral or NA.",IF(AND(C319="",G319&lt;&gt;""),"Need data","")))</f>
        <v/>
      </c>
      <c r="L319" s="930"/>
      <c r="M319" s="930"/>
      <c r="N319" s="930"/>
      <c r="O319" s="930"/>
      <c r="P319" s="755"/>
      <c r="R319" s="10"/>
      <c r="S319" s="50">
        <v>70</v>
      </c>
      <c r="T319" s="50" t="str">
        <f>IF(OR(C319="",C319="NA"),"",IF(C319&gt;S319,S319,IF(C319&lt;0,0,C319)))</f>
        <v/>
      </c>
      <c r="U319" s="50" t="str">
        <f>IF(OR(G319="",G319="NA"),"",IF(G319&gt;S319,S319,IF(G319&lt;0,0,G319)))</f>
        <v/>
      </c>
      <c r="V319" s="553" t="str">
        <f>IF(Y319="","",ROUND(Y319,0))</f>
        <v/>
      </c>
      <c r="W319" s="791" t="s">
        <v>1184</v>
      </c>
      <c r="X319" s="791"/>
      <c r="Y319" s="554" t="str">
        <f>IF(T319="","",IF(OR(U319="",U319=0,U319&lt;T319),T319,(T319*70)/U319))</f>
        <v/>
      </c>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row>
    <row r="320" spans="2:109" ht="13.5" customHeight="1" x14ac:dyDescent="0.2">
      <c r="B320" s="146" t="s">
        <v>668</v>
      </c>
      <c r="C320" s="694"/>
      <c r="D320" s="694"/>
      <c r="E320" s="921">
        <f>UETable!AV52</f>
        <v>0</v>
      </c>
      <c r="F320" s="921"/>
      <c r="G320" s="694"/>
      <c r="H320" s="694"/>
      <c r="I320" s="936">
        <f>IF(C320="",0,IF(OR(C320&gt;=70,G320&gt;=70),E320,IF(G320&gt;C320,0,UETable!BA52)))</f>
        <v>0</v>
      </c>
      <c r="J320" s="936"/>
      <c r="K320" s="930" t="str">
        <f>IF(OR(C320="NA",G320="NA"),"",IF(AND(C320&lt;&gt;"",G320=""),"Enter contralateral or NA.",IF(AND(C320="",G320&lt;&gt;""),"Need data","")))</f>
        <v/>
      </c>
      <c r="L320" s="930"/>
      <c r="M320" s="930"/>
      <c r="N320" s="930"/>
      <c r="O320" s="930"/>
      <c r="P320" s="755"/>
      <c r="S320" s="50">
        <v>70</v>
      </c>
      <c r="T320" s="50" t="str">
        <f>IF(OR(C320="",C320="NA"),"",IF(C320&gt;S320,S320,IF(C320&lt;0,0,C320)))</f>
        <v/>
      </c>
      <c r="U320" s="50" t="str">
        <f>IF(OR(G320="",G320="NA"),"",IF(G320&gt;S320,S320,IF(G320&lt;0,0,G320)))</f>
        <v/>
      </c>
      <c r="V320" s="553" t="str">
        <f>IF(Y320="","",ROUND(Y320,0))</f>
        <v/>
      </c>
      <c r="W320" s="50">
        <f>IF(T320="",0,70-T320)</f>
        <v>0</v>
      </c>
      <c r="X320" s="50">
        <f>IF(U320="",0,70-U320)</f>
        <v>0</v>
      </c>
      <c r="Y320" s="554" t="str">
        <f>IF(T320="","",IF(OR(U320="",U320=0,U320&gt;T320),T320,70-(W320*70)/X320))</f>
        <v/>
      </c>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row>
    <row r="321" spans="1:109" ht="15" customHeight="1" x14ac:dyDescent="0.2">
      <c r="B321" s="146" t="s">
        <v>669</v>
      </c>
      <c r="C321" s="694"/>
      <c r="D321" s="694"/>
      <c r="E321" s="921">
        <f>IF(AND(C321&lt;&gt;"",C321&lt;&gt;"NA",C320&lt;&gt;"NA",C320&lt;&gt;""),"ERROR",IF(AND(C321&lt;&gt;"",C321&lt;&gt;"NA",C319&lt;&gt;"",C319&lt;&gt;"NA"),"ERROR",UETable!AV53))</f>
        <v>0</v>
      </c>
      <c r="F321" s="921"/>
      <c r="G321" s="930" t="str">
        <f>IF(AND(C321&lt;&gt;"",C321&lt;&gt;"NA",C320&lt;&gt;"NA",C320&lt;&gt;""),"ERROR: Cannot rate ROM and ankylosis.",IF(AND(C321&lt;&gt;"",C321&lt;&gt;"NA",C319&lt;&gt;"",C319&lt;&gt;"NA"),"ERROR: Cannot rate ROM and ankylosis.",""))</f>
        <v/>
      </c>
      <c r="H321" s="930"/>
      <c r="I321" s="930"/>
      <c r="J321" s="930"/>
      <c r="K321" s="930"/>
      <c r="L321" s="930"/>
      <c r="M321" s="930"/>
      <c r="N321" s="930"/>
      <c r="O321" s="930"/>
      <c r="P321" s="755"/>
      <c r="R321" s="10"/>
      <c r="S321" s="50">
        <v>70</v>
      </c>
      <c r="T321" s="50" t="str">
        <f>IF(OR(C321="",C321="NA"),"",IF(C321&gt;S321,S321,IF(C321&lt;0,0,C321)))</f>
        <v/>
      </c>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row>
    <row r="322" spans="1:109" x14ac:dyDescent="0.2">
      <c r="B322" s="979"/>
      <c r="C322" s="980"/>
      <c r="D322" s="980"/>
      <c r="E322" s="980"/>
      <c r="F322" s="980"/>
      <c r="G322" s="980"/>
      <c r="H322" s="980"/>
      <c r="I322" s="980"/>
      <c r="J322" s="981"/>
      <c r="K322" s="956" t="s">
        <v>1803</v>
      </c>
      <c r="L322" s="956"/>
      <c r="M322" s="956"/>
      <c r="N322" s="956"/>
      <c r="O322" s="65">
        <f>IF(E321="ERROR","ERROR",IF(R322&gt;1,1,R322))</f>
        <v>0</v>
      </c>
      <c r="P322" s="755"/>
      <c r="R322" s="193">
        <f>SUM(I319,I320,E321)</f>
        <v>0</v>
      </c>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row>
    <row r="323" spans="1:109" ht="13.5" customHeight="1" x14ac:dyDescent="0.2">
      <c r="B323" s="146" t="s">
        <v>670</v>
      </c>
      <c r="C323" s="694"/>
      <c r="D323" s="694"/>
      <c r="E323" s="921">
        <f>UETable!AV55</f>
        <v>0</v>
      </c>
      <c r="F323" s="921"/>
      <c r="G323" s="694"/>
      <c r="H323" s="694"/>
      <c r="I323" s="936">
        <f>IF(C323="",0,IF(OR(C323&lt;=0,G323&lt;=0),E323,IF(G323&lt;C323,0,UETable!BA55)))</f>
        <v>0</v>
      </c>
      <c r="J323" s="936"/>
      <c r="K323" s="930" t="str">
        <f>IF(OR(C323="NA",G323="NA"),"",IF(AND(C323&lt;&gt;"",G323=""),"Enter contralateral or NA.",IF(AND(C323="",G323&lt;&gt;""),"Need data","")))</f>
        <v/>
      </c>
      <c r="L323" s="930"/>
      <c r="M323" s="930"/>
      <c r="N323" s="930"/>
      <c r="O323" s="930"/>
      <c r="P323" s="755"/>
      <c r="R323" s="10"/>
      <c r="S323" s="50">
        <v>100</v>
      </c>
      <c r="T323" s="50" t="str">
        <f>IF(OR(C323="",C323="NA"),"",IF(C323&gt;S323,S323,IF(C323&lt;0,0,C323)))</f>
        <v/>
      </c>
      <c r="U323" s="50" t="str">
        <f>IF(OR(G323="",G323="NA"),"",IF(G323&gt;S323,S323,IF(G323&lt;0,0,G323)))</f>
        <v/>
      </c>
      <c r="V323" s="553" t="str">
        <f>IF(Y323="","",ROUND(Y323,0))</f>
        <v/>
      </c>
      <c r="W323" s="791" t="s">
        <v>1184</v>
      </c>
      <c r="X323" s="791"/>
      <c r="Y323" s="554" t="str">
        <f>IF(T323="","",IF(OR(U323="",U323=0,U323&lt;T323),T323,(T323*100)/U323))</f>
        <v/>
      </c>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row>
    <row r="324" spans="1:109" ht="13.5" customHeight="1" x14ac:dyDescent="0.2">
      <c r="B324" s="146" t="s">
        <v>671</v>
      </c>
      <c r="C324" s="694"/>
      <c r="D324" s="694"/>
      <c r="E324" s="921">
        <f>UETable!AV56</f>
        <v>0</v>
      </c>
      <c r="F324" s="921"/>
      <c r="G324" s="694"/>
      <c r="H324" s="694"/>
      <c r="I324" s="936">
        <f>IF(C324="",0,IF(OR(C324&gt;=100,G324&gt;=100),E324,IF(G324&gt;C324,0,UETable!BA56)))</f>
        <v>0</v>
      </c>
      <c r="J324" s="936"/>
      <c r="K324" s="930" t="str">
        <f>IF(OR(C324="NA",G324="NA"),"",IF(AND(C324&lt;&gt;"",G324=""),"Enter contralateral or NA.",IF(AND(C324="",G324&lt;&gt;""),"Need data","")))</f>
        <v/>
      </c>
      <c r="L324" s="930"/>
      <c r="M324" s="930"/>
      <c r="N324" s="930"/>
      <c r="O324" s="930"/>
      <c r="P324" s="755"/>
      <c r="S324" s="50">
        <v>100</v>
      </c>
      <c r="T324" s="50" t="str">
        <f>IF(OR(C324="",C324="NA"),"",IF(C324&gt;S324,S324,IF(C324&lt;0,0,C324)))</f>
        <v/>
      </c>
      <c r="U324" s="50" t="str">
        <f>IF(OR(G324="",G324="NA"),"",IF(G324&gt;S324,S324,IF(G324&lt;0,0,G324)))</f>
        <v/>
      </c>
      <c r="V324" s="553" t="str">
        <f>IF(Y324="","",ROUND(Y324,0))</f>
        <v/>
      </c>
      <c r="W324" s="50">
        <f>IF(T324="",0,100-T324)</f>
        <v>0</v>
      </c>
      <c r="X324" s="50">
        <f>IF(U324="",0,100-U324)</f>
        <v>0</v>
      </c>
      <c r="Y324" s="554" t="str">
        <f>IF(T324="","",IF(OR(U324="",U324=0,U324&gt;T324),T324,100-(W324*100)/X324))</f>
        <v/>
      </c>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row>
    <row r="325" spans="1:109" ht="15" customHeight="1" x14ac:dyDescent="0.2">
      <c r="B325" s="146" t="s">
        <v>672</v>
      </c>
      <c r="C325" s="694"/>
      <c r="D325" s="694"/>
      <c r="E325" s="921">
        <f>IF(AND(C325&lt;&gt;"",C325&lt;&gt;"NA",C324&lt;&gt;"NA",C324&lt;&gt;""),"ERROR",IF(AND(C325&lt;&gt;"",C325&lt;&gt;"NA",C323&lt;&gt;"",C323&lt;&gt;"NA"),"ERROR",UETable!AV57))</f>
        <v>0</v>
      </c>
      <c r="F325" s="921"/>
      <c r="G325" s="930" t="str">
        <f>IF(AND(C325&lt;&gt;"",C325&lt;&gt;"NA",C324&lt;&gt;"NA",C324&lt;&gt;""),"ERROR: Cannot rate ROM and ankylosis.",IF(AND(C325&lt;&gt;"",C325&lt;&gt;"NA",C323&lt;&gt;"",C323&lt;&gt;"NA"),"ERROR: Cannot rate ROM and ankylosis.",""))</f>
        <v/>
      </c>
      <c r="H325" s="930"/>
      <c r="I325" s="930"/>
      <c r="J325" s="930"/>
      <c r="K325" s="930"/>
      <c r="L325" s="930"/>
      <c r="M325" s="930"/>
      <c r="N325" s="930"/>
      <c r="O325" s="930"/>
      <c r="P325" s="755"/>
      <c r="R325" s="10"/>
      <c r="S325" s="50">
        <v>100</v>
      </c>
      <c r="T325" s="50" t="str">
        <f>IF(OR(C325="",C325="NA"),"",IF(C325&gt;S325,S325,IF(C325&lt;0,0,C325)))</f>
        <v/>
      </c>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row>
    <row r="326" spans="1:109" x14ac:dyDescent="0.2">
      <c r="B326" s="979"/>
      <c r="C326" s="980"/>
      <c r="D326" s="980"/>
      <c r="E326" s="980"/>
      <c r="F326" s="980"/>
      <c r="G326" s="980"/>
      <c r="H326" s="980"/>
      <c r="I326" s="980"/>
      <c r="J326" s="981"/>
      <c r="K326" s="956" t="s">
        <v>1803</v>
      </c>
      <c r="L326" s="956"/>
      <c r="M326" s="956"/>
      <c r="N326" s="956"/>
      <c r="O326" s="65">
        <f>IF(E325="ERROR","ERROR",IF(R326&gt;1,1,R326))</f>
        <v>0</v>
      </c>
      <c r="P326" s="755"/>
      <c r="R326" s="193">
        <f>SUM(I323,I324,E325)</f>
        <v>0</v>
      </c>
      <c r="S326" s="10"/>
      <c r="T326" s="10"/>
      <c r="U326" s="10"/>
      <c r="V326" s="10"/>
      <c r="W326" s="10"/>
      <c r="X326" s="10"/>
      <c r="Y326" s="10"/>
      <c r="Z326" s="10"/>
      <c r="AA326" s="146" t="s">
        <v>1287</v>
      </c>
      <c r="AB326" s="146" t="s">
        <v>1285</v>
      </c>
      <c r="AC326" s="50" t="s">
        <v>1286</v>
      </c>
      <c r="AD326" s="50" t="s">
        <v>1287</v>
      </c>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row>
    <row r="327" spans="1:109" ht="13.5" customHeight="1" x14ac:dyDescent="0.2">
      <c r="B327" s="146" t="s">
        <v>1546</v>
      </c>
      <c r="C327" s="694"/>
      <c r="D327" s="694"/>
      <c r="E327" s="921">
        <f>UETable!AV59</f>
        <v>0</v>
      </c>
      <c r="F327" s="921"/>
      <c r="G327" s="694"/>
      <c r="H327" s="694"/>
      <c r="I327" s="936">
        <f>IF(C327="",0,IF(OR(C327&lt;=0,G327&lt;=0),E327,IF(G327&lt;C327,0,UETable!BA59)))</f>
        <v>0</v>
      </c>
      <c r="J327" s="936"/>
      <c r="K327" s="930" t="str">
        <f>IF(OR(C327="NA",G327="NA"),"",IF(AND(C327&lt;&gt;"",G327=""),"Enter contralateral or NA.",IF(AND(C327="",G327&lt;&gt;""),"Need data","")))</f>
        <v/>
      </c>
      <c r="L327" s="930"/>
      <c r="M327" s="930"/>
      <c r="N327" s="930"/>
      <c r="O327" s="930"/>
      <c r="P327" s="755"/>
      <c r="R327" s="10"/>
      <c r="S327" s="50">
        <v>90</v>
      </c>
      <c r="T327" s="50" t="str">
        <f>IF(OR(C327="",C327="NA"),"",IF(C327&gt;S327,S327,IF(C327&lt;0,0,C327)))</f>
        <v/>
      </c>
      <c r="U327" s="50" t="str">
        <f>IF(OR(G327="",G327="NA"),"",IF(G327&gt;S327,S327,IF(G327&lt;0,0,G327)))</f>
        <v/>
      </c>
      <c r="V327" s="553" t="str">
        <f>IF(Y327="","",ROUND(Y327,0))</f>
        <v/>
      </c>
      <c r="W327" s="791" t="s">
        <v>1184</v>
      </c>
      <c r="X327" s="791"/>
      <c r="Y327" s="554" t="str">
        <f>IF(T327="","",IF(OR(U327="",U327=0,U327&lt;T327),T327,(T327*90)/U327))</f>
        <v/>
      </c>
      <c r="Z327" s="10"/>
      <c r="AA327" s="548">
        <f>IF(AND(O322&gt;0,O322&lt;0.01),0.01,ROUND(O322,2))</f>
        <v>0</v>
      </c>
      <c r="AB327" s="147">
        <f>LARGE(AA327:AA329,1)</f>
        <v>0</v>
      </c>
      <c r="AC327" s="548">
        <f>AB327+AB328*(1-AB327)</f>
        <v>0</v>
      </c>
      <c r="AD327" s="548">
        <f>ROUND(AC327,2)</f>
        <v>0</v>
      </c>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row>
    <row r="328" spans="1:109" ht="13.5" customHeight="1" x14ac:dyDescent="0.2">
      <c r="B328" s="146" t="s">
        <v>1547</v>
      </c>
      <c r="C328" s="694"/>
      <c r="D328" s="694"/>
      <c r="E328" s="921">
        <f>UETable!AV60</f>
        <v>0</v>
      </c>
      <c r="F328" s="921"/>
      <c r="G328" s="694"/>
      <c r="H328" s="694"/>
      <c r="I328" s="936">
        <f>IF(C328="",0,IF(OR(C328&gt;=90,G328&gt;=90),E328,IF(G328&gt;C328,0,UETable!BA60)))</f>
        <v>0</v>
      </c>
      <c r="J328" s="936"/>
      <c r="K328" s="930" t="str">
        <f>IF(OR(C328="NA",G328="NA"),"",IF(AND(C328&lt;&gt;"",G328=""),"Enter contralateral or NA.",IF(AND(C328="",G328&lt;&gt;""),"Need data","")))</f>
        <v/>
      </c>
      <c r="L328" s="930"/>
      <c r="M328" s="930"/>
      <c r="N328" s="930"/>
      <c r="O328" s="930"/>
      <c r="P328" s="755"/>
      <c r="R328" s="10"/>
      <c r="S328" s="50">
        <v>90</v>
      </c>
      <c r="T328" s="277" t="str">
        <f>IF(OR(C328="",C328="NA"),"",IF(C328&gt;S328,S328,IF(C328&lt;0,0,C328)))</f>
        <v/>
      </c>
      <c r="U328" s="50" t="str">
        <f>IF(OR(G328="",G328="NA"),"",IF(G328&gt;S328,S328,IF(G328&lt;0,0,G328)))</f>
        <v/>
      </c>
      <c r="V328" s="553" t="str">
        <f>IF(Y328="","",ROUND(Y328,0))</f>
        <v/>
      </c>
      <c r="W328" s="50">
        <f>IF(T328="",0,90-T328)</f>
        <v>0</v>
      </c>
      <c r="X328" s="50">
        <f>IF(U328="",0,90-U328)</f>
        <v>0</v>
      </c>
      <c r="Y328" s="554" t="str">
        <f>IF(T328="","",IF(OR(U328="",U328=0,U328&gt;T328),T328,90-(W328*90)/X328))</f>
        <v/>
      </c>
      <c r="Z328" s="10"/>
      <c r="AA328" s="548">
        <f>IF(AND(O326&gt;0,O326&lt;0.01),0.01,ROUND(O326,2))</f>
        <v>0</v>
      </c>
      <c r="AB328" s="147">
        <f>LARGE(AA327:AA329,2)</f>
        <v>0</v>
      </c>
      <c r="AC328" s="544">
        <f>AD327+AB329*(1-AD327)</f>
        <v>0</v>
      </c>
      <c r="AD328" s="548">
        <f>ROUND(AC328,2)</f>
        <v>0</v>
      </c>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row>
    <row r="329" spans="1:109" ht="15" customHeight="1" x14ac:dyDescent="0.2">
      <c r="B329" s="146" t="s">
        <v>629</v>
      </c>
      <c r="C329" s="694"/>
      <c r="D329" s="694"/>
      <c r="E329" s="921">
        <f>IF(AND(C329&lt;&gt;"",C329&lt;&gt;"NA",C328&lt;&gt;"NA",C328&lt;&gt;""),"ERROR",IF(AND(C329&lt;&gt;"",C329&lt;&gt;"NA",C327&lt;&gt;"",C327&lt;&gt;"NA"),"ERROR",UETable!AV61))</f>
        <v>0</v>
      </c>
      <c r="F329" s="921"/>
      <c r="G329" s="930" t="str">
        <f>IF(AND(C329&lt;&gt;"",C329&lt;&gt;"NA",C328&lt;&gt;"NA",C328&lt;&gt;""),"ERROR: Cannot rate ROM and ankylosis.",IF(AND(C329&lt;&gt;"",C329&lt;&gt;"NA",C327&lt;&gt;"",C327&lt;&gt;"NA"),"ERROR: Cannot rate ROM and ankylosis.",""))</f>
        <v/>
      </c>
      <c r="H329" s="930"/>
      <c r="I329" s="930"/>
      <c r="J329" s="930"/>
      <c r="K329" s="930"/>
      <c r="L329" s="930"/>
      <c r="M329" s="930"/>
      <c r="N329" s="930"/>
      <c r="O329" s="930"/>
      <c r="P329" s="755"/>
      <c r="R329" s="50">
        <f>IF(OR(O322="ERROR",O326="ERROR",O330="ERROR"),1,0)</f>
        <v>0</v>
      </c>
      <c r="S329" s="50">
        <v>90</v>
      </c>
      <c r="T329" s="50" t="str">
        <f>IF(OR(C329="",C329="NA"),"",IF(C329&gt;S329,S329,IF(C329&lt;0,0,C329)))</f>
        <v/>
      </c>
      <c r="U329" s="10"/>
      <c r="V329" s="10"/>
      <c r="W329" s="10"/>
      <c r="X329" s="10"/>
      <c r="Y329" s="10"/>
      <c r="Z329" s="10"/>
      <c r="AA329" s="548">
        <f>IF(AND(O330&gt;0,O330&lt;0.01),0.01,ROUND(O330,2))</f>
        <v>0</v>
      </c>
      <c r="AB329" s="147">
        <f>LARGE(AA327:AA329,3)</f>
        <v>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row>
    <row r="330" spans="1:109" ht="12.75" customHeight="1" x14ac:dyDescent="0.2">
      <c r="B330" s="964"/>
      <c r="C330" s="965"/>
      <c r="D330" s="965"/>
      <c r="E330" s="965"/>
      <c r="F330" s="965"/>
      <c r="G330" s="965"/>
      <c r="H330" s="965"/>
      <c r="I330" s="966"/>
      <c r="J330" s="956" t="s">
        <v>1803</v>
      </c>
      <c r="K330" s="956"/>
      <c r="L330" s="956"/>
      <c r="M330" s="956"/>
      <c r="N330" s="956"/>
      <c r="O330" s="65">
        <f>IF(E329="ERROR","ERROR",IF(R330&gt;1,1,R330))</f>
        <v>0</v>
      </c>
      <c r="P330" s="755"/>
      <c r="R330" s="193">
        <f>SUM(I327,I328,E329)</f>
        <v>0</v>
      </c>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row>
    <row r="331" spans="1:109" ht="18" customHeight="1" x14ac:dyDescent="0.2">
      <c r="B331" s="918"/>
      <c r="C331" s="919"/>
      <c r="D331" s="919"/>
      <c r="E331" s="919"/>
      <c r="F331" s="919"/>
      <c r="G331" s="919"/>
      <c r="H331" s="919"/>
      <c r="I331" s="920"/>
      <c r="J331" s="956" t="s">
        <v>1637</v>
      </c>
      <c r="K331" s="956"/>
      <c r="L331" s="956"/>
      <c r="M331" s="956"/>
      <c r="N331" s="956"/>
      <c r="O331" s="956"/>
      <c r="P331" s="755"/>
      <c r="R331" s="10"/>
      <c r="S331" s="10"/>
      <c r="T331" s="10"/>
      <c r="U331" s="10"/>
      <c r="V331" s="10"/>
      <c r="W331" s="10"/>
      <c r="X331" s="10"/>
      <c r="Y331" s="10"/>
      <c r="Z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row>
    <row r="332" spans="1:109" ht="12" customHeight="1" x14ac:dyDescent="0.2">
      <c r="B332" s="777"/>
      <c r="C332" s="777"/>
      <c r="D332" s="777"/>
      <c r="E332" s="777"/>
      <c r="F332" s="777"/>
      <c r="G332" s="777"/>
      <c r="H332" s="777"/>
      <c r="I332" s="777"/>
      <c r="J332" s="777"/>
      <c r="K332" s="777"/>
      <c r="L332" s="777"/>
      <c r="M332" s="777"/>
      <c r="N332" s="777"/>
      <c r="O332" s="777"/>
      <c r="R332" s="10"/>
      <c r="S332" s="863" t="s">
        <v>2147</v>
      </c>
      <c r="T332" s="863"/>
      <c r="U332" s="10"/>
      <c r="V332" s="10"/>
      <c r="W332" s="10"/>
      <c r="X332" s="10"/>
      <c r="Y332" s="10"/>
      <c r="Z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row>
    <row r="333" spans="1:109" ht="14.25" customHeight="1" x14ac:dyDescent="0.2">
      <c r="A333" s="15"/>
      <c r="B333" s="982" t="s">
        <v>955</v>
      </c>
      <c r="C333" s="983"/>
      <c r="D333" s="940"/>
      <c r="E333" s="940"/>
      <c r="F333" s="924" t="s">
        <v>1210</v>
      </c>
      <c r="G333" s="924"/>
      <c r="H333" s="924"/>
      <c r="I333" s="924"/>
      <c r="J333" s="924"/>
      <c r="K333" s="924"/>
      <c r="L333" s="924"/>
      <c r="M333" s="924"/>
      <c r="N333" s="924"/>
      <c r="O333" s="924"/>
      <c r="P333" s="82">
        <f>IF(T333=1,0.1,0)</f>
        <v>0</v>
      </c>
      <c r="R333" s="10"/>
      <c r="S333" s="546" t="b">
        <v>0</v>
      </c>
      <c r="T333" s="50">
        <f>IF(S333=TRUE,1,0)</f>
        <v>0</v>
      </c>
      <c r="W333" s="10"/>
      <c r="X333" s="10"/>
      <c r="Y333" s="10"/>
      <c r="Z333" s="10"/>
      <c r="AA333" s="10"/>
      <c r="AB333" s="10"/>
      <c r="AC333" s="10"/>
      <c r="AD333" s="10"/>
      <c r="AE333" s="10"/>
      <c r="AF333" s="10"/>
      <c r="AG333" s="10">
        <v>1E-4</v>
      </c>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row>
    <row r="334" spans="1:109" x14ac:dyDescent="0.2">
      <c r="B334" s="984"/>
      <c r="C334" s="985"/>
      <c r="D334" s="940"/>
      <c r="E334" s="940"/>
      <c r="F334" s="924" t="s">
        <v>1212</v>
      </c>
      <c r="G334" s="924"/>
      <c r="H334" s="924"/>
      <c r="I334" s="924"/>
      <c r="J334" s="924"/>
      <c r="K334" s="924"/>
      <c r="L334" s="924"/>
      <c r="M334" s="924"/>
      <c r="N334" s="924"/>
      <c r="O334" s="924"/>
      <c r="P334" s="82">
        <f>IF(T334=1,0.1,0)</f>
        <v>0</v>
      </c>
      <c r="R334" s="10"/>
      <c r="S334" s="546" t="b">
        <v>0</v>
      </c>
      <c r="T334" s="50">
        <f>IF(S334=TRUE,1,0)</f>
        <v>0</v>
      </c>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row>
    <row r="335" spans="1:109" x14ac:dyDescent="0.2">
      <c r="B335" s="984"/>
      <c r="C335" s="985"/>
      <c r="D335" s="940"/>
      <c r="E335" s="940"/>
      <c r="F335" s="924" t="s">
        <v>1211</v>
      </c>
      <c r="G335" s="924"/>
      <c r="H335" s="924"/>
      <c r="I335" s="924"/>
      <c r="J335" s="924"/>
      <c r="K335" s="924"/>
      <c r="L335" s="924"/>
      <c r="M335" s="924"/>
      <c r="N335" s="924"/>
      <c r="O335" s="924"/>
      <c r="P335" s="82">
        <f>IF(T335=1,0.1,0)</f>
        <v>0</v>
      </c>
      <c r="R335" s="10"/>
      <c r="S335" s="546" t="b">
        <v>0</v>
      </c>
      <c r="T335" s="50">
        <f>IF(S335=TRUE,1,0)</f>
        <v>0</v>
      </c>
      <c r="U335" s="134"/>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row>
    <row r="336" spans="1:109" x14ac:dyDescent="0.2">
      <c r="B336" s="986"/>
      <c r="C336" s="987"/>
      <c r="D336" s="940"/>
      <c r="E336" s="940"/>
      <c r="F336" s="924" t="s">
        <v>1213</v>
      </c>
      <c r="G336" s="924"/>
      <c r="H336" s="924"/>
      <c r="I336" s="924"/>
      <c r="J336" s="924"/>
      <c r="K336" s="924"/>
      <c r="L336" s="924"/>
      <c r="M336" s="924"/>
      <c r="N336" s="924"/>
      <c r="O336" s="924"/>
      <c r="P336" s="82">
        <f>IF(T336=1,0.1,0)</f>
        <v>0</v>
      </c>
      <c r="R336" s="10"/>
      <c r="S336" s="546" t="b">
        <v>0</v>
      </c>
      <c r="T336" s="50">
        <f>IF(S336=TRUE,1,0)</f>
        <v>0</v>
      </c>
      <c r="U336" s="134"/>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row>
    <row r="337" spans="2:109" ht="12" customHeight="1" x14ac:dyDescent="0.2">
      <c r="B337" s="777"/>
      <c r="C337" s="777"/>
      <c r="D337" s="777"/>
      <c r="E337" s="777"/>
      <c r="F337" s="777"/>
      <c r="G337" s="777"/>
      <c r="H337" s="777"/>
      <c r="I337" s="777"/>
      <c r="J337" s="777"/>
      <c r="K337" s="777"/>
      <c r="L337" s="777"/>
      <c r="M337" s="777"/>
      <c r="N337" s="777"/>
      <c r="O337" s="777"/>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row>
    <row r="338" spans="2:109" ht="12" customHeight="1" x14ac:dyDescent="0.2">
      <c r="B338" s="480"/>
      <c r="C338" s="978" t="s">
        <v>239</v>
      </c>
      <c r="D338" s="975"/>
      <c r="E338" s="976" t="s">
        <v>240</v>
      </c>
      <c r="F338" s="975"/>
      <c r="G338" s="350"/>
      <c r="H338" s="352"/>
      <c r="I338" s="974" t="s">
        <v>241</v>
      </c>
      <c r="J338" s="975"/>
      <c r="K338" s="472"/>
      <c r="L338" s="352"/>
      <c r="M338" s="976" t="s">
        <v>240</v>
      </c>
      <c r="N338" s="975"/>
      <c r="O338" s="351"/>
      <c r="P338" s="487"/>
      <c r="Z338" s="477"/>
      <c r="AE338" s="476"/>
      <c r="AF338" s="476"/>
      <c r="AG338" s="476"/>
      <c r="AH338" s="476"/>
      <c r="AI338" s="476"/>
      <c r="AJ338" s="476"/>
      <c r="AK338" s="476"/>
      <c r="AL338" s="476"/>
      <c r="AM338" s="476"/>
      <c r="AN338" s="476"/>
    </row>
    <row r="339" spans="2:109" ht="12" customHeight="1" x14ac:dyDescent="0.2">
      <c r="B339" s="481"/>
      <c r="C339" s="959" t="s">
        <v>242</v>
      </c>
      <c r="D339" s="960"/>
      <c r="E339" s="959" t="s">
        <v>243</v>
      </c>
      <c r="F339" s="960"/>
      <c r="G339" s="959" t="s">
        <v>244</v>
      </c>
      <c r="H339" s="960"/>
      <c r="I339" s="973" t="s">
        <v>245</v>
      </c>
      <c r="J339" s="960"/>
      <c r="K339" s="959" t="s">
        <v>246</v>
      </c>
      <c r="L339" s="960"/>
      <c r="M339" s="959" t="s">
        <v>247</v>
      </c>
      <c r="N339" s="960"/>
      <c r="P339" s="488"/>
      <c r="Z339" s="327"/>
      <c r="AE339" s="476"/>
      <c r="AF339" s="476"/>
      <c r="AG339" s="476"/>
      <c r="AH339" s="476"/>
      <c r="AI339" s="476"/>
      <c r="AJ339" s="476"/>
      <c r="AK339" s="476"/>
      <c r="AL339" s="476"/>
      <c r="AM339" s="476"/>
      <c r="AN339" s="476"/>
    </row>
    <row r="340" spans="2:109" ht="12" customHeight="1" x14ac:dyDescent="0.2">
      <c r="B340" s="481"/>
      <c r="C340" s="934" t="s">
        <v>248</v>
      </c>
      <c r="D340" s="935"/>
      <c r="E340" s="934" t="s">
        <v>249</v>
      </c>
      <c r="F340" s="935"/>
      <c r="G340" s="934" t="s">
        <v>250</v>
      </c>
      <c r="H340" s="935"/>
      <c r="I340" s="963" t="s">
        <v>251</v>
      </c>
      <c r="J340" s="935"/>
      <c r="K340" s="934" t="s">
        <v>250</v>
      </c>
      <c r="L340" s="935"/>
      <c r="M340" s="934" t="s">
        <v>249</v>
      </c>
      <c r="N340" s="935"/>
      <c r="P340" s="488"/>
      <c r="AH340" s="146">
        <v>1</v>
      </c>
      <c r="AI340" s="146">
        <v>2</v>
      </c>
      <c r="AJ340" s="146">
        <v>3</v>
      </c>
      <c r="AK340" s="146">
        <v>4</v>
      </c>
      <c r="AM340" s="476"/>
      <c r="AN340" s="476"/>
      <c r="AO340" s="476"/>
      <c r="AP340" s="476"/>
      <c r="AQ340" s="476"/>
      <c r="AR340" s="476"/>
      <c r="AS340" s="476"/>
      <c r="AT340" s="476"/>
      <c r="AU340" s="476"/>
      <c r="AV340" s="476"/>
    </row>
    <row r="341" spans="2:109" ht="12" customHeight="1" x14ac:dyDescent="0.2">
      <c r="B341" s="539" t="s">
        <v>1945</v>
      </c>
      <c r="C341" s="932" t="s">
        <v>252</v>
      </c>
      <c r="D341" s="933"/>
      <c r="E341" s="932" t="s">
        <v>252</v>
      </c>
      <c r="F341" s="933"/>
      <c r="G341" s="932" t="s">
        <v>252</v>
      </c>
      <c r="H341" s="933"/>
      <c r="I341" s="932" t="s">
        <v>252</v>
      </c>
      <c r="J341" s="933"/>
      <c r="K341" s="932" t="s">
        <v>252</v>
      </c>
      <c r="L341" s="933"/>
      <c r="M341" s="932" t="s">
        <v>252</v>
      </c>
      <c r="N341" s="933"/>
      <c r="P341" s="488"/>
      <c r="S341" s="892" t="s">
        <v>2147</v>
      </c>
      <c r="T341" s="893"/>
      <c r="U341" s="893"/>
      <c r="V341" s="893"/>
      <c r="W341" s="893"/>
      <c r="X341" s="894"/>
      <c r="Y341" s="475"/>
      <c r="Z341" s="475"/>
      <c r="AA341" s="950" t="s">
        <v>2147</v>
      </c>
      <c r="AB341" s="951"/>
      <c r="AC341" s="951"/>
      <c r="AD341" s="951"/>
      <c r="AE341" s="951"/>
      <c r="AF341" s="952"/>
      <c r="AG341" s="475"/>
      <c r="AH341" s="895" t="s">
        <v>2147</v>
      </c>
      <c r="AI341" s="896"/>
      <c r="AJ341" s="896"/>
      <c r="AK341" s="896"/>
      <c r="AL341" s="896"/>
      <c r="AM341" s="897"/>
      <c r="AO341" s="892" t="s">
        <v>2147</v>
      </c>
      <c r="AP341" s="893"/>
      <c r="AQ341" s="893"/>
      <c r="AR341" s="893"/>
      <c r="AS341" s="894"/>
      <c r="AU341" s="892" t="s">
        <v>2147</v>
      </c>
      <c r="AV341" s="893"/>
      <c r="AW341" s="893"/>
      <c r="AX341" s="894"/>
      <c r="AZ341" s="892" t="s">
        <v>2147</v>
      </c>
      <c r="BA341" s="893"/>
      <c r="BB341" s="893"/>
      <c r="BC341" s="893"/>
      <c r="BD341" s="893"/>
      <c r="BE341" s="893"/>
      <c r="BF341" s="893"/>
      <c r="BG341" s="894"/>
      <c r="BI341" s="892" t="s">
        <v>2147</v>
      </c>
      <c r="BJ341" s="893"/>
      <c r="BK341" s="893"/>
      <c r="BL341" s="893"/>
      <c r="BM341" s="893"/>
      <c r="BN341" s="894"/>
    </row>
    <row r="342" spans="2:109" customFormat="1" ht="15" customHeight="1" x14ac:dyDescent="0.2">
      <c r="B342" s="146" t="s">
        <v>1571</v>
      </c>
      <c r="C342" s="925"/>
      <c r="D342" s="925"/>
      <c r="E342" s="925"/>
      <c r="F342" s="925"/>
      <c r="G342" s="925"/>
      <c r="H342" s="925"/>
      <c r="I342" s="925"/>
      <c r="J342" s="925"/>
      <c r="K342" s="925"/>
      <c r="L342" s="925"/>
      <c r="M342" s="925"/>
      <c r="N342" s="925"/>
      <c r="P342" s="489"/>
      <c r="S342" s="301">
        <f>IF(C342="",0,C342)</f>
        <v>0</v>
      </c>
      <c r="T342" s="301">
        <f>IF(E342&lt;&gt;"",E342,IF(S342&gt;0,S342,0))</f>
        <v>0</v>
      </c>
      <c r="U342" s="301">
        <f>IF(G342&lt;&gt;"",G342,IF(T342&gt;0,T342,0))</f>
        <v>0</v>
      </c>
      <c r="V342" s="301">
        <f>IF(I342&lt;&gt;"",I342,IF(U342&gt;0,U342,0))</f>
        <v>0</v>
      </c>
      <c r="W342" s="301">
        <f>IF(K342&lt;&gt;"",K342,IF(V342&gt;0,V342,0))</f>
        <v>0</v>
      </c>
      <c r="X342" s="301">
        <f>IF(M342&lt;&gt;"",M342,IF(W342&gt;0,W342,0))</f>
        <v>0</v>
      </c>
      <c r="Z342" s="475"/>
      <c r="AA342" s="483">
        <f>IF(C342&gt;1,1,0)</f>
        <v>0</v>
      </c>
      <c r="AB342" s="301">
        <f t="shared" ref="AB342:AF344" si="49">IF(AND(S342&lt;&gt;T342,T342&gt;0),1,0)</f>
        <v>0</v>
      </c>
      <c r="AC342" s="301">
        <f t="shared" si="49"/>
        <v>0</v>
      </c>
      <c r="AD342" s="301">
        <f t="shared" si="49"/>
        <v>0</v>
      </c>
      <c r="AE342" s="301">
        <f t="shared" si="49"/>
        <v>0</v>
      </c>
      <c r="AF342" s="301">
        <f t="shared" si="49"/>
        <v>0</v>
      </c>
      <c r="AH342" s="478">
        <f>IF(S342=1,0,IF(S342=2,0.25,IF(S342=3,0.38,IF(S342=4,0.5,0))))</f>
        <v>0</v>
      </c>
      <c r="AI342" s="478">
        <f>IF(T342=1,0,IF(T342=2,0.23,IF(T342=3,0.35,IF(T342=4,0.45,0))))</f>
        <v>0</v>
      </c>
      <c r="AJ342" s="478">
        <f>IF(U342=1,0,IF(U342=2,0.2,IF(U342=3,0.3,IF(U342=4,0.39,0))))</f>
        <v>0</v>
      </c>
      <c r="AK342" s="478">
        <f>IF(V342=1,0,IF(V342=2,0.17,IF(V342=3,0.25,IF(V342=4,0.33,0))))</f>
        <v>0</v>
      </c>
      <c r="AL342" s="478">
        <f>IF(W342=1,0,IF(W342=2,0.13,IF(W342=3,0.19,IF(W342=4,0.24,0))))</f>
        <v>0</v>
      </c>
      <c r="AM342" s="478">
        <f>IF(X342=1,0,IF(X342=2,0.08,IF(X342=3,0.12,IF(X342=4,0.15,0))))</f>
        <v>0</v>
      </c>
      <c r="AN342" s="479"/>
      <c r="AO342" s="478">
        <f>IF(S342=1,0,IF(S342=2,0.23,IF(S342=3,0.35,IF(S342=4,0.45,0))))</f>
        <v>0</v>
      </c>
      <c r="AP342" s="478">
        <f>IF(T342=1,0,IF(T342=2,0.2,IF(T342=3,0.3,IF(T342=4,0.39,0))))</f>
        <v>0</v>
      </c>
      <c r="AQ342" s="478">
        <f>IF(U342=1,0,IF(U342=2,0.17,IF(U342=3,0.25,IF(U342=4,0.33,0))))</f>
        <v>0</v>
      </c>
      <c r="AR342" s="478">
        <f>IF(V342=1,0,IF(V342=2,0.13,IF(V342=3,0.19,IF(V342=4,0.24,0))))</f>
        <v>0</v>
      </c>
      <c r="AS342" s="478">
        <f>IF(W342=1,0,IF(W342=2,0.08,IF(W342=3,0.12,IF(W342=4,0.15,0))))</f>
        <v>0</v>
      </c>
      <c r="AU342" s="478">
        <f>IF(S342=1,0,IF(S342=2,0.2,IF(S342=3,0.3,IF(S342=4,0.39,0))))</f>
        <v>0</v>
      </c>
      <c r="AV342" s="478">
        <f>IF(T342=1,0,IF(T342=2,0.17,IF(T342=3,0.25,IF(T342=4,0.33,0))))</f>
        <v>0</v>
      </c>
      <c r="AW342" s="478">
        <f>IF(U342=1,0,IF(U342=2,0.13,IF(U342=3,0.19,IF(U342=4,0.24,0))))</f>
        <v>0</v>
      </c>
      <c r="AX342" s="478">
        <f>IF(V342=1,0,IF(V342=2,0.08,IF(V342=3,0.12,IF(V342=4,0.15,0))))</f>
        <v>0</v>
      </c>
      <c r="AZ342" s="478">
        <f>IF(S342=1,0,IF(S342=2,0.17,IF(S342=3,0.25,IF(S342=4,0.33,0))))</f>
        <v>0</v>
      </c>
      <c r="BA342" s="478">
        <f>IF(T342=1,0,IF(T342=2,0.13,IF(T342=3,0.19,IF(T342=4,0.24,0))))</f>
        <v>0</v>
      </c>
      <c r="BB342" s="478">
        <f>IF(U342=1,0,IF(U342=2,0.08,IF(U342=3,0.12,IF(U342=4,0.15,0))))</f>
        <v>0</v>
      </c>
      <c r="BD342" s="478">
        <f>IF(S342=1,0,IF(S342=2,0.13,IF(S342=3,0.19,IF(S342=4,0.24,0))))</f>
        <v>0</v>
      </c>
      <c r="BE342" s="478">
        <f>IF(T342=1,0,IF(T342=2,0.08,IF(T342=3,0.12,IF(T342=4,0.15,0))))</f>
        <v>0</v>
      </c>
      <c r="BG342" s="478">
        <f>IF(S342=1,0,IF(S342=2,0.08,IF(S342=3,0.12,IF(S342=4,0.15,0))))</f>
        <v>0</v>
      </c>
      <c r="BI342" s="478">
        <f>IF(AA342=0,0,IF(OR(AB342=1,AB343=1,AB344=1),AH342-AO342,IF(OR(AC342=1,AC343=1,AC344=1),AH342-AU342,IF(OR(AD342=1,AD343=1,AD344=1),AH342-AZ342,IF(OR(AE342=1,AE343=1,AE344=1),AH342-BD342,IF(OR(AF342=1,AF343=1,AF344=1),AH342-BG342,AH342))))))</f>
        <v>0</v>
      </c>
      <c r="BJ342" s="478">
        <f>IF(AB342=0,0,IF(OR(AC342=1,AC343=1,AC344=1),AI342-AP342,IF(OR(AD342=1,AD343=1,AD344=1),AI342-AV342,IF(OR(AE342=1,AE343=1,AE344=1),AI342-BA342,IF(OR(AF342=1,AF343=1,AF344=1),AI342-BE342,AI342)))))</f>
        <v>0</v>
      </c>
      <c r="BK342" s="478">
        <f>IF(AC342=0,0,IF(OR(AD342=1,AD343=1,AD344=1),AJ342-AQ342,IF(OR(AE342=1,AE343=1,AE344=1),AJ342-AW342,IF(OR(AF342=1,AF343=1,AF344=1),AJ342-BB342,AJ342))))</f>
        <v>0</v>
      </c>
      <c r="BL342" s="478">
        <f>IF(AD342=0,0,IF(OR(AE342=1,AE343=1,AE344=1),AK342-AR342,IF(OR(AF342=1,AF343=1,AF344=1),AK342-AX342,AK342)))</f>
        <v>0</v>
      </c>
      <c r="BM342" s="478">
        <f>IF(AE342=0,0,IF(OR(AF342=1,AF343=1,AF344=1),AL342-AS342,AL342))</f>
        <v>0</v>
      </c>
      <c r="BN342" s="478">
        <f>IF(AF342=0,0,AM342)</f>
        <v>0</v>
      </c>
      <c r="BP342" t="s">
        <v>253</v>
      </c>
      <c r="BR342" s="892" t="s">
        <v>2147</v>
      </c>
      <c r="BS342" s="893"/>
      <c r="BT342" s="893"/>
      <c r="BU342" s="893"/>
      <c r="BV342" s="893"/>
      <c r="BW342" s="893"/>
      <c r="BX342" s="893"/>
      <c r="BY342" s="893"/>
      <c r="BZ342" s="893"/>
      <c r="CA342" s="894"/>
    </row>
    <row r="343" spans="2:109" customFormat="1" ht="15" customHeight="1" x14ac:dyDescent="0.2">
      <c r="B343" s="301" t="s">
        <v>1572</v>
      </c>
      <c r="C343" s="925"/>
      <c r="D343" s="925"/>
      <c r="E343" s="925"/>
      <c r="F343" s="925"/>
      <c r="G343" s="925"/>
      <c r="H343" s="925"/>
      <c r="I343" s="925"/>
      <c r="J343" s="925"/>
      <c r="K343" s="925"/>
      <c r="L343" s="925"/>
      <c r="M343" s="925"/>
      <c r="N343" s="925"/>
      <c r="P343" s="489"/>
      <c r="S343" s="301">
        <f>IF(C343="",0,C343)</f>
        <v>0</v>
      </c>
      <c r="T343" s="301">
        <f>IF(E343&lt;&gt;"",E343,IF(S343&gt;0,S343,0))</f>
        <v>0</v>
      </c>
      <c r="U343" s="301">
        <f>IF(G343&lt;&gt;"",G343,IF(T343&gt;0,T343,0))</f>
        <v>0</v>
      </c>
      <c r="V343" s="301">
        <f>IF(I343&lt;&gt;"",I343,IF(U343&gt;0,U343,0))</f>
        <v>0</v>
      </c>
      <c r="W343" s="301">
        <f>IF(K343&lt;&gt;"",K343,IF(V343&gt;0,V343,0))</f>
        <v>0</v>
      </c>
      <c r="X343" s="301">
        <f>IF(M343&lt;&gt;"",M343,IF(W343&gt;0,W343,0))</f>
        <v>0</v>
      </c>
      <c r="Z343" s="475"/>
      <c r="AA343" s="483">
        <f>IF(C343&gt;1,1,0)</f>
        <v>0</v>
      </c>
      <c r="AB343" s="301">
        <f t="shared" si="49"/>
        <v>0</v>
      </c>
      <c r="AC343" s="301">
        <f t="shared" si="49"/>
        <v>0</v>
      </c>
      <c r="AD343" s="301">
        <f t="shared" si="49"/>
        <v>0</v>
      </c>
      <c r="AE343" s="301">
        <f t="shared" si="49"/>
        <v>0</v>
      </c>
      <c r="AF343" s="301">
        <f t="shared" si="49"/>
        <v>0</v>
      </c>
      <c r="AH343" s="478">
        <f>IF(S343=1,0,IF(S343=2,0.1,IF(S343=3,0.17,IF(S343=4,0.23,0))))</f>
        <v>0</v>
      </c>
      <c r="AI343" s="478">
        <f>IF(T343=1,0,IF(T343=2,0.09,IF(T343=3,0.15,IF(T343=4,0.2,0))))</f>
        <v>0</v>
      </c>
      <c r="AJ343" s="478">
        <f>IF(U343=1,0,IF(U343=2,0.08,IF(U343=3,0.13,IF(U343=4,0.17,0))))</f>
        <v>0</v>
      </c>
      <c r="AK343" s="478">
        <f>IF(V343=1,0,IF(V343=2,0.07,IF(V343=3,0.1,IF(V343=4,0.14,0))))</f>
        <v>0</v>
      </c>
      <c r="AL343" s="478">
        <f>IF(W343=1,0,IF(W343=2,0.05,IF(W343=3,0.08,IF(W343=4,0.1,0))))</f>
        <v>0</v>
      </c>
      <c r="AM343" s="478">
        <f>IF(X343=1,0,IF(X343=2,0.03,IF(X343=3,0.05,IF(X343=4,0.06,0))))</f>
        <v>0</v>
      </c>
      <c r="AN343" s="479"/>
      <c r="AO343" s="478">
        <f>IF(S343=1,0,IF(S343=2,0.09,IF(S343=3,0.15,IF(S343=4,0.2,0))))</f>
        <v>0</v>
      </c>
      <c r="AP343" s="478">
        <f>IF(T343=1,0,IF(T343=2,0.08,IF(T343=3,0.13,IF(T343=4,0.17,0))))</f>
        <v>0</v>
      </c>
      <c r="AQ343" s="478">
        <f>IF(U343=1,0,IF(U343=2,0.07,IF(U343=3,0.1,IF(U343=4,0.14,0))))</f>
        <v>0</v>
      </c>
      <c r="AR343" s="478">
        <f>IF(V343=1,0,IF(V343=2,0.05,IF(V343=3,0.08,IF(V343=4,0.1,0))))</f>
        <v>0</v>
      </c>
      <c r="AS343" s="478">
        <f>IF(W343=1,0,IF(W343=2,0.03,IF(W343=3,0.05,IF(W343=4,0.06,0))))</f>
        <v>0</v>
      </c>
      <c r="AU343" s="478">
        <f>IF(S343=1,0,IF(S343=2,0.08,IF(S343=3,0.13,IF(S343=4,0.17,0))))</f>
        <v>0</v>
      </c>
      <c r="AV343" s="478">
        <f>IF(T343=1,0,IF(T343=2,0.07,IF(T343=3,0.1,IF(T343=4,0.14,0))))</f>
        <v>0</v>
      </c>
      <c r="AW343" s="478">
        <f>IF(U343=1,0,IF(U343=2,0.05,IF(U343=3,0.08,IF(U343=4,0.1,0))))</f>
        <v>0</v>
      </c>
      <c r="AX343" s="478">
        <f>IF(V343=1,0,IF(V343=2,0.03,IF(V343=3,0.05,IF(V343=4,0.06,0))))</f>
        <v>0</v>
      </c>
      <c r="AZ343" s="478">
        <f>IF(S343=1,0,IF(S343=2,0.07,IF(S343=3,0.1,IF(S343=4,0.14,0))))</f>
        <v>0</v>
      </c>
      <c r="BA343" s="478">
        <f>IF(T343=1,0,IF(T343=2,0.05,IF(T343=3,0.08,IF(T343=4,0.1,0))))</f>
        <v>0</v>
      </c>
      <c r="BB343" s="478">
        <f>IF(U343=1,0,IF(U343=2,0.03,IF(U343=3,0.05,IF(U343=4,0.06,0))))</f>
        <v>0</v>
      </c>
      <c r="BD343" s="478">
        <f>IF(S343=1,0,IF(S343=2,0.05,IF(S343=3,0.08,IF(S343=4,0.1,0))))</f>
        <v>0</v>
      </c>
      <c r="BE343" s="478">
        <f>IF(T343=1,0,IF(T343=2,0.03,IF(T343=3,0.05,IF(T343=4,0.06,0))))</f>
        <v>0</v>
      </c>
      <c r="BG343" s="478">
        <f>IF(S343=1,0,IF(S343=2,0.03,IF(S343=3,0.05,IF(S343=4,0.06,0))))</f>
        <v>0</v>
      </c>
      <c r="BI343" s="478">
        <f>IF(AA343=0,0,IF(OR(AB342=1,AB343=1),AH343-AO343,IF(OR(AC342=1,AC343=1),AH343-AU343,IF(OR(AD342=1,AD343=1),AH343-AZ343,IF(OR(AE342=1,AE343=1),AH343-BD343,IF(OR(AF342=1,AF343=1),AH343-BG343,AH343))))))</f>
        <v>0</v>
      </c>
      <c r="BJ343" s="478">
        <f>IF(AB343=0,0,IF(OR(AC342=1,AC343=1),AI343-AP343,IF(OR(AD342=1,AD343=1),AI343-AV343,IF(OR(AE342=1,AE343=1),AI343-BA343,IF(OR(AF342=1,AF343=1),AI343-BE343,AI343)))))</f>
        <v>0</v>
      </c>
      <c r="BK343" s="478">
        <f>IF(AC343=0,0,IF(OR(AD342=1,AD343=1),AJ343-AQ343,IF(OR(AE342=1,AE343=1),AJ343-AW343,IF(OR(AF342=1,AF343=1),AJ343-BB343,AJ343))))</f>
        <v>0</v>
      </c>
      <c r="BL343" s="478">
        <f>IF(AD343=0,0,IF(OR(AE342=1,AE343=1),AK343-AR343,IF(OR(AF342=1,AF343=1),AK343-AX343,AK343)))</f>
        <v>0</v>
      </c>
      <c r="BM343" s="478">
        <f>IF(AE343=0,0,IF(OR(AF342=1,AF343=1),AL343-AS343,AL343))</f>
        <v>0</v>
      </c>
      <c r="BN343" s="478">
        <f>IF(AF343=0,0,AM343)</f>
        <v>0</v>
      </c>
      <c r="BP343" s="484">
        <f>LARGE((BI342,BJ342,BK342,BL342,BM342,BN342,BI343,BJ343,BK343,BL343,BM343,BN343,BI344,BJ344,BK344,BL344,BM344,BN344),1)</f>
        <v>0</v>
      </c>
      <c r="BQ343" s="485">
        <f>LARGE((BI342,BJ342,BK342,BL342,BM342,BN342,BI343,BJ343,BK343,BL343,BM343,BN343,BI344,BJ344,BK344,BL344,BM344,BN344),2)</f>
        <v>0</v>
      </c>
      <c r="BR343" s="485">
        <f>LARGE((BI342,BJ342,BK342,BL342,BM342,BN342,BI343,BJ343,BK343,BL343,BM343,BN343,BI344,BJ344,BK344,BL344,BM344,BN344),3)</f>
        <v>0</v>
      </c>
      <c r="BS343" s="485">
        <f>LARGE((BI342,BJ342,BK342,BL342,BM342,BN342,BI343,BJ343,BK343,BL343,BM343,BN343,BI344,BJ344,BK344,BL344,BM344,BN344),4)</f>
        <v>0</v>
      </c>
      <c r="BT343" s="485">
        <f>LARGE((BI342,BJ342,BK342,BL342,BM342,BN342,BI343,BJ343,BK343,BL343,BM343,BN343,BI344,BJ344,BK344,BL344,BM344,BN344),5)</f>
        <v>0</v>
      </c>
      <c r="BU343" s="485">
        <f>LARGE((BI342,BJ342,BK342,BL342,BM342,BN342,BI343,BJ343,BK343,BL343,BM343,BN343,BI344,BJ344,BK344,BL344,BM344,BN344),6)</f>
        <v>0</v>
      </c>
      <c r="BV343" s="485">
        <f>LARGE((BI342,BJ342,BK342,BL342,BM342,BN342,BI343,BJ343,BK343,BL343,BM343,BN343,BI344,BJ344,BK344,BL344,BM344,BN344),7)</f>
        <v>0</v>
      </c>
      <c r="BW343" s="485">
        <f>LARGE((BI342,BJ342,BK342,BL342,BM342,BN342,BI343,BJ343,BK343,BL343,BM343,BN343,BI344,BJ344,BK344,BL344,BM344,BN344),8)</f>
        <v>0</v>
      </c>
      <c r="BX343" s="485">
        <f>LARGE((BI342,BJ342,BK342,BL342,BM342,BN342,BI343,BJ343,BK343,BL343,BM343,BN343,BI344,BJ344,BK344,BL344,BM344,BN344),9)</f>
        <v>0</v>
      </c>
      <c r="BY343" s="485">
        <f>LARGE((BI342,BJ342,BK342,BL342,BM342,BN342,BI343,BJ343,BK343,BL343,BM343,BN343,BI344,BJ344,BK344,BL344,BM344,BN344),10)</f>
        <v>0</v>
      </c>
      <c r="BZ343" s="485">
        <f>LARGE((BI342,BJ342,BK342,BL342,BM342,BN342,BI343,BJ343,BK343,BL343,BM343,BN343,BI344,BJ344,BK344,BL344,BM344,BN344),11)</f>
        <v>0</v>
      </c>
      <c r="CA343" s="485">
        <f>LARGE((BI342,BJ342,BK342,BL342,BM342,BN342,BI343,BJ343,BK343,BL343,BM343,BN343,BI344,BJ344,BK344,BL344,BM344,BN344),12)</f>
        <v>0</v>
      </c>
    </row>
    <row r="344" spans="2:109" customFormat="1" ht="15" customHeight="1" x14ac:dyDescent="0.2">
      <c r="B344" s="482" t="s">
        <v>1573</v>
      </c>
      <c r="C344" s="1001"/>
      <c r="D344" s="1001"/>
      <c r="E344" s="1001"/>
      <c r="F344" s="1001"/>
      <c r="G344" s="1001"/>
      <c r="H344" s="1001"/>
      <c r="I344" s="1001"/>
      <c r="J344" s="1001"/>
      <c r="K344" s="1001"/>
      <c r="L344" s="1001"/>
      <c r="M344" s="1001"/>
      <c r="N344" s="1001"/>
      <c r="P344" s="495"/>
      <c r="S344" s="301">
        <f>IF(C344="",0,C344)</f>
        <v>0</v>
      </c>
      <c r="T344" s="301">
        <f>IF(E344&lt;&gt;"",E344,IF(S344&gt;0,S344,0))</f>
        <v>0</v>
      </c>
      <c r="U344" s="301">
        <f>IF(G344&lt;&gt;"",G344,IF(T344&gt;0,T344,0))</f>
        <v>0</v>
      </c>
      <c r="V344" s="301">
        <f>IF(I344&lt;&gt;"",I344,IF(U344&gt;0,U344,0))</f>
        <v>0</v>
      </c>
      <c r="W344" s="301">
        <f>IF(K344&lt;&gt;"",K344,IF(V344&gt;0,V344,0))</f>
        <v>0</v>
      </c>
      <c r="X344" s="301">
        <f>IF(M344&lt;&gt;"",M344,IF(W344&gt;0,W344,0))</f>
        <v>0</v>
      </c>
      <c r="AA344" s="483">
        <f>IF(C344&gt;1,1,0)</f>
        <v>0</v>
      </c>
      <c r="AB344" s="301">
        <f t="shared" si="49"/>
        <v>0</v>
      </c>
      <c r="AC344" s="301">
        <f t="shared" si="49"/>
        <v>0</v>
      </c>
      <c r="AD344" s="301">
        <f t="shared" si="49"/>
        <v>0</v>
      </c>
      <c r="AE344" s="301">
        <f t="shared" si="49"/>
        <v>0</v>
      </c>
      <c r="AF344" s="301">
        <f t="shared" si="49"/>
        <v>0</v>
      </c>
      <c r="AH344" s="478">
        <f>IF(S344=1,0,IF(S344=2,0.17,IF(S344=3,0.25,IF(S344=4,0.35,0))))</f>
        <v>0</v>
      </c>
      <c r="AI344" s="478">
        <f>IF(T344=1,0,IF(T344=2,0.15,IF(T344=3,0.23,IF(T344=4,0.31,0))))</f>
        <v>0</v>
      </c>
      <c r="AJ344" s="478">
        <f>IF(U344=1,0,IF(U344=2,0.13,IF(U344=3,0.2,IF(U344=4,0.27,0))))</f>
        <v>0</v>
      </c>
      <c r="AK344" s="478">
        <f>IF(V344=1,0,IF(V344=2,0.11,IF(V344=3,0.17,IF(V344=4,0.22,0))))</f>
        <v>0</v>
      </c>
      <c r="AL344" s="478">
        <f>IF(W344=1,0,IF(W344=2,0.08,IF(W344=3,0.12,IF(W344=4,0.16,0))))</f>
        <v>0</v>
      </c>
      <c r="AM344" s="478">
        <f>IF(X344=1,0,IF(X344=2,0.05,IF(X344=3,0.07,IF(X344=4,0.1,0))))</f>
        <v>0</v>
      </c>
      <c r="AN344" s="479"/>
      <c r="AO344" s="478">
        <f>IF(S344=1,0,IF(S344=2,0.15,IF(S344=3,0.23,IF(S344=4,0.31,0))))</f>
        <v>0</v>
      </c>
      <c r="AP344" s="478">
        <f>IF(T344=1,0,IF(T344=2,0.13,IF(T344=3,0.2,IF(T344=4,0.27,0))))</f>
        <v>0</v>
      </c>
      <c r="AQ344" s="478">
        <f>IF(U344=1,0,IF(U344=2,0.11,IF(U344=3,0.17,IF(U344=4,0.22,0))))</f>
        <v>0</v>
      </c>
      <c r="AR344" s="478">
        <f>IF(V344=1,0,IF(V344=2,0.08,IF(V344=3,0.12,IF(V344=4,0.16,0))))</f>
        <v>0</v>
      </c>
      <c r="AS344" s="478">
        <f>IF(W344=1,0,IF(W344=2,0.05,IF(W344=3,0.07,IF(W344=4,0.1,0))))</f>
        <v>0</v>
      </c>
      <c r="AU344" s="478">
        <f>IF(S344=1,0,IF(S344=2,0.13,IF(S344=3,0.2,IF(S344=4,0.27,0))))</f>
        <v>0</v>
      </c>
      <c r="AV344" s="478">
        <f>IF(T344=1,0,IF(T344=2,0.11,IF(T344=3,0.17,IF(T344=4,0.22,0))))</f>
        <v>0</v>
      </c>
      <c r="AW344" s="478">
        <f>IF(U344=1,0,IF(U344=2,0.08,IF(U344=3,0.12,IF(U344=4,0.16,0))))</f>
        <v>0</v>
      </c>
      <c r="AX344" s="478">
        <f>IF(V344=1,0,IF(V344=2,0.05,IF(V344=3,0.07,IF(V344=4,0.1,0))))</f>
        <v>0</v>
      </c>
      <c r="AZ344" s="478">
        <f>IF(S344=1,0,IF(S344=2,0.11,IF(S344=3,0.17,IF(S344=4,0.22,0))))</f>
        <v>0</v>
      </c>
      <c r="BA344" s="478">
        <f>IF(T344=1,0,IF(T344=2,0.08,IF(T344=3,0.12,IF(T344=4,0.16,0))))</f>
        <v>0</v>
      </c>
      <c r="BB344" s="478">
        <f>IF(U344=1,0,IF(U344=2,0.05,IF(U344=3,0.07,IF(U344=4,0.1,0))))</f>
        <v>0</v>
      </c>
      <c r="BD344" s="478">
        <f>IF(S344=1,0,IF(S344=2,0.08,IF(S344=3,0.12,IF(S344=4,0.16,0))))</f>
        <v>0</v>
      </c>
      <c r="BE344" s="478">
        <f>IF(T344=1,0,IF(T344=2,0.05,IF(T344=3,0.07,IF(T344=4,0.1,0))))</f>
        <v>0</v>
      </c>
      <c r="BG344" s="478">
        <f>IF(S344=1,0,IF(S344=2,0.05,IF(S344=3,0.07,IF(S344=4,0.1,0))))</f>
        <v>0</v>
      </c>
      <c r="BI344" s="478">
        <f>IF(AA344=0,0,IF(OR(AB342=1,AB344=1),AH344-AO344,IF(OR(AC342=1,AC344=1),AH344-AU344,IF(OR(AD342=1,AD344=1),AH344-AZ344,IF(OR(AE342=1,AE344=1),AH344-BD344,IF(OR(AF342=1,AF344=1),AH344-BG344,AH344))))))</f>
        <v>0</v>
      </c>
      <c r="BJ344" s="478">
        <f>IF(AB344=0,0,IF(OR(AC342=1,AC344=1),AI344-AP344,IF(OR(AD342=1,AD344=1),AI344-AV344,IF(OR(AE342=1,AE344=1),AI344-BA344,IF(OR(AF342=1,AF344=1),AI344-BE344,AI344)))))</f>
        <v>0</v>
      </c>
      <c r="BK344" s="478">
        <f>IF(AC344=0,0,IF(OR(AD342=1,AD344=1),AJ344-AQ344,IF(OR(AE342=1,AE344=1),AJ344-AW344,IF(OR(AF342=1,AF344=1),AJ344-BB344,AJ344))))</f>
        <v>0</v>
      </c>
      <c r="BL344" s="478">
        <f>IF(AD344=0,0,IF(OR(AE342=1,AE344=1),AK344-AR344,IF(OR(AF342=1,AF344=1),AK344-AX344,AK344)))</f>
        <v>0</v>
      </c>
      <c r="BM344" s="478">
        <f>IF(AE344=0,0,IF(OR(AF342=1,AF344=1),AL344-AS344,AL344))</f>
        <v>0</v>
      </c>
      <c r="BN344" s="478">
        <f>IF(AF344=0,0,AM344)</f>
        <v>0</v>
      </c>
      <c r="BP344" s="486">
        <f>ROUND(BP343+BQ343*(1-BP343),2)</f>
        <v>0</v>
      </c>
      <c r="BQ344" s="486">
        <f t="shared" ref="BQ344:BZ344" si="50">ROUND(BP344+BR343*(1-BP344),2)</f>
        <v>0</v>
      </c>
      <c r="BR344" s="486">
        <f t="shared" si="50"/>
        <v>0</v>
      </c>
      <c r="BS344" s="486">
        <f t="shared" si="50"/>
        <v>0</v>
      </c>
      <c r="BT344" s="486">
        <f t="shared" si="50"/>
        <v>0</v>
      </c>
      <c r="BU344" s="486">
        <f t="shared" si="50"/>
        <v>0</v>
      </c>
      <c r="BV344" s="486">
        <f t="shared" si="50"/>
        <v>0</v>
      </c>
      <c r="BW344" s="486">
        <f t="shared" si="50"/>
        <v>0</v>
      </c>
      <c r="BX344" s="486">
        <f t="shared" si="50"/>
        <v>0</v>
      </c>
      <c r="BY344" s="486">
        <f t="shared" si="50"/>
        <v>0</v>
      </c>
      <c r="BZ344" s="486">
        <f t="shared" si="50"/>
        <v>0</v>
      </c>
      <c r="CA344" s="483"/>
    </row>
    <row r="345" spans="2:109" customFormat="1" ht="15" customHeight="1" x14ac:dyDescent="0.2">
      <c r="B345" s="1048" t="str">
        <f>IF(AD345=1,"ERROR: If radial or ulnar impairment is recorded, do not enter losses for 'both sides.'","")</f>
        <v/>
      </c>
      <c r="C345" s="1049"/>
      <c r="D345" s="1049"/>
      <c r="E345" s="1049"/>
      <c r="F345" s="1049"/>
      <c r="G345" s="1049"/>
      <c r="H345" s="1049"/>
      <c r="I345" s="1049"/>
      <c r="J345" s="1049"/>
      <c r="K345" s="1049"/>
      <c r="L345" s="1049"/>
      <c r="M345" s="1049"/>
      <c r="N345" s="1049"/>
      <c r="O345" s="1050"/>
      <c r="P345" s="473">
        <f>IF(B345&lt;&gt;"","ERROR",BZ344)</f>
        <v>0</v>
      </c>
      <c r="S345" s="475"/>
      <c r="T345" s="475"/>
      <c r="U345" s="475"/>
      <c r="V345" s="475"/>
      <c r="W345" s="475"/>
      <c r="AA345" s="301">
        <f>SUM(AA342:AF342)</f>
        <v>0</v>
      </c>
      <c r="AB345" s="301">
        <f>SUM(AA343:AF343)</f>
        <v>0</v>
      </c>
      <c r="AC345" s="301">
        <f>SUM(AA344:AF344)</f>
        <v>0</v>
      </c>
      <c r="AD345" s="301">
        <f>IF(AND(AA345&gt;0,AB345&gt;0),1,IF(AND(AA345&gt;0,AC345&gt;0),1,0))</f>
        <v>0</v>
      </c>
      <c r="AE345" s="301"/>
      <c r="AF345" s="301"/>
    </row>
    <row r="346" spans="2:109" customFormat="1" ht="15" customHeight="1" x14ac:dyDescent="0.2">
      <c r="B346" s="350" t="s">
        <v>1208</v>
      </c>
      <c r="C346" s="490"/>
      <c r="D346" s="490"/>
      <c r="E346" s="490"/>
      <c r="F346" s="490"/>
      <c r="G346" s="490"/>
      <c r="H346" s="490"/>
      <c r="I346" s="496"/>
      <c r="J346" s="490"/>
      <c r="K346" s="497"/>
      <c r="L346" s="497"/>
      <c r="M346" s="497"/>
      <c r="N346" s="497"/>
      <c r="O346" s="497"/>
      <c r="P346" s="487"/>
      <c r="S346" s="475"/>
      <c r="T346" s="475"/>
      <c r="U346" s="475"/>
      <c r="V346" s="475"/>
      <c r="W346" s="475"/>
      <c r="AA346" s="475"/>
      <c r="AB346" s="475"/>
      <c r="AC346" s="475"/>
      <c r="AD346" s="475"/>
      <c r="AE346" s="475"/>
      <c r="AF346" s="475"/>
    </row>
    <row r="347" spans="2:109" customFormat="1" ht="15" customHeight="1" x14ac:dyDescent="0.2">
      <c r="B347" s="146" t="s">
        <v>1571</v>
      </c>
      <c r="C347" s="925"/>
      <c r="D347" s="925"/>
      <c r="E347" s="925"/>
      <c r="F347" s="925"/>
      <c r="G347" s="925"/>
      <c r="H347" s="925"/>
      <c r="I347" s="925"/>
      <c r="J347" s="925"/>
      <c r="K347" s="925"/>
      <c r="L347" s="925"/>
      <c r="M347" s="925"/>
      <c r="N347" s="925"/>
      <c r="O347" s="490"/>
      <c r="P347" s="493"/>
      <c r="S347" s="301">
        <f>IF(C347="",0,C347)</f>
        <v>0</v>
      </c>
      <c r="T347" s="301">
        <f>IF(E347&lt;&gt;"",E347,IF(S347&gt;0,S347,0))</f>
        <v>0</v>
      </c>
      <c r="U347" s="301">
        <f>IF(G347&lt;&gt;"",G347,IF(T347&gt;0,T347,0))</f>
        <v>0</v>
      </c>
      <c r="V347" s="301">
        <f>IF(I347&lt;&gt;"",I347,IF(U347&gt;0,U347,0))</f>
        <v>0</v>
      </c>
      <c r="W347" s="301">
        <f>IF(K347&lt;&gt;"",K347,IF(V347&gt;0,V347,0))</f>
        <v>0</v>
      </c>
      <c r="X347" s="301">
        <f>IF(M347&lt;&gt;"",M347,IF(W347&gt;0,W347,0))</f>
        <v>0</v>
      </c>
      <c r="Z347" s="475"/>
      <c r="AA347" s="483">
        <f>IF(C347&gt;1,1,0)</f>
        <v>0</v>
      </c>
      <c r="AB347" s="301">
        <f t="shared" ref="AB347:AF349" si="51">IF(AND(S347&lt;&gt;T347,T347&gt;0),1,0)</f>
        <v>0</v>
      </c>
      <c r="AC347" s="301">
        <f t="shared" si="51"/>
        <v>0</v>
      </c>
      <c r="AD347" s="301">
        <f t="shared" si="51"/>
        <v>0</v>
      </c>
      <c r="AE347" s="301">
        <f t="shared" si="51"/>
        <v>0</v>
      </c>
      <c r="AF347" s="301">
        <f t="shared" si="51"/>
        <v>0</v>
      </c>
      <c r="AH347" s="478">
        <f>IF(S347=1,0,IF(S347=2,0.25,IF(S347=3,0.38,IF(S347=4,0.5,0))))</f>
        <v>0</v>
      </c>
      <c r="AI347" s="478">
        <f>IF(T347=1,0,IF(T347=2,0.23,IF(T347=3,0.35,IF(T347=4,0.45,0))))</f>
        <v>0</v>
      </c>
      <c r="AJ347" s="478">
        <f>IF(U347=1,0,IF(U347=2,0.2,IF(U347=3,0.3,IF(U347=4,0.39,0))))</f>
        <v>0</v>
      </c>
      <c r="AK347" s="478">
        <f>IF(V347=1,0,IF(V347=2,0.17,IF(V347=3,0.25,IF(V347=4,0.33,0))))</f>
        <v>0</v>
      </c>
      <c r="AL347" s="478">
        <f>IF(W347=1,0,IF(W347=2,0.13,IF(W347=3,0.19,IF(W347=4,0.24,0))))</f>
        <v>0</v>
      </c>
      <c r="AM347" s="478">
        <f>IF(X347=1,0,IF(X347=2,0.08,IF(X347=3,0.12,IF(X347=4,0.15,0))))</f>
        <v>0</v>
      </c>
      <c r="AN347" s="479"/>
      <c r="AO347" s="478">
        <f>IF(S347=1,0,IF(S347=2,0.23,IF(S347=3,0.35,IF(S347=4,0.45,0))))</f>
        <v>0</v>
      </c>
      <c r="AP347" s="478">
        <f>IF(T347=1,0,IF(T347=2,0.2,IF(T347=3,0.3,IF(T347=4,0.39,0))))</f>
        <v>0</v>
      </c>
      <c r="AQ347" s="478">
        <f>IF(U347=1,0,IF(U347=2,0.17,IF(U347=3,0.25,IF(U347=4,0.33,0))))</f>
        <v>0</v>
      </c>
      <c r="AR347" s="478">
        <f>IF(V347=1,0,IF(V347=2,0.13,IF(V347=3,0.19,IF(V347=4,0.24,0))))</f>
        <v>0</v>
      </c>
      <c r="AS347" s="478">
        <f>IF(W347=1,0,IF(W347=2,0.08,IF(W347=3,0.12,IF(W347=4,0.15,0))))</f>
        <v>0</v>
      </c>
      <c r="AU347" s="478">
        <f>IF(S347=1,0,IF(S347=2,0.2,IF(S347=3,0.3,IF(S347=4,0.39,0))))</f>
        <v>0</v>
      </c>
      <c r="AV347" s="478">
        <f>IF(T347=1,0,IF(T347=2,0.17,IF(T347=3,0.25,IF(T347=4,0.33,0))))</f>
        <v>0</v>
      </c>
      <c r="AW347" s="478">
        <f>IF(U347=1,0,IF(U347=2,0.13,IF(U347=3,0.19,IF(U347=4,0.24,0))))</f>
        <v>0</v>
      </c>
      <c r="AX347" s="478">
        <f>IF(V347=1,0,IF(V347=2,0.08,IF(V347=3,0.12,IF(V347=4,0.15,0))))</f>
        <v>0</v>
      </c>
      <c r="AZ347" s="478">
        <f>IF(S347=1,0,IF(S347=2,0.17,IF(S347=3,0.25,IF(S347=4,0.33,0))))</f>
        <v>0</v>
      </c>
      <c r="BA347" s="478">
        <f>IF(T347=1,0,IF(T347=2,0.13,IF(T347=3,0.19,IF(T347=4,0.24,0))))</f>
        <v>0</v>
      </c>
      <c r="BB347" s="478">
        <f>IF(U347=1,0,IF(U347=2,0.08,IF(U347=3,0.12,IF(U347=4,0.15,0))))</f>
        <v>0</v>
      </c>
      <c r="BD347" s="478">
        <f>IF(S347=1,0,IF(S347=2,0.13,IF(S347=3,0.19,IF(S347=4,0.24,0))))</f>
        <v>0</v>
      </c>
      <c r="BE347" s="478">
        <f>IF(T347=1,0,IF(T347=2,0.08,IF(T347=3,0.12,IF(T347=4,0.15,0))))</f>
        <v>0</v>
      </c>
      <c r="BG347" s="478">
        <f>IF(S347=1,0,IF(S347=2,0.08,IF(S347=3,0.12,IF(S347=4,0.15,0))))</f>
        <v>0</v>
      </c>
      <c r="BI347" s="478">
        <f>IF(AA347=0,0,IF(OR(AB347=1,AB348=1,AB349=1),AH347-AO347,IF(OR(AC347=1,AC348=1,AC349=1),AH347-AU347,IF(OR(AD347=1,AD348=1,AD349=1),AH347-AZ347,IF(OR(AE347=1,AE348=1,AE349=1),AH347-BD347,IF(OR(AF347=1,AF348=1,AF349=1),AH347-BG347,AH347))))))</f>
        <v>0</v>
      </c>
      <c r="BJ347" s="478">
        <f>IF(AB347=0,0,IF(OR(AC347=1,AC348=1,AC349=1),AI347-AP347,IF(OR(AD347=1,AD348=1,AD349=1),AI347-AV347,IF(OR(AE347=1,AE348=1,AE349=1),AI347-BA347,IF(OR(AF347=1,AF348=1,AF349=1),AI347-BE347,AI347)))))</f>
        <v>0</v>
      </c>
      <c r="BK347" s="478">
        <f>IF(AC347=0,0,IF(OR(AD347=1,AD348=1,AD349=1),AJ347-AQ347,IF(OR(AE347=1,AE348=1,AE349=1),AJ347-AW347,IF(OR(AF347=1,AF348=1,AF349=1),AJ347-BB347,AJ347))))</f>
        <v>0</v>
      </c>
      <c r="BL347" s="478">
        <f>IF(AD347=0,0,IF(OR(AE347=1,AE348=1,AE349=1),AK347-AR347,IF(OR(AF347=1,AF348=1,AF349=1),AK347-AX347,AK347)))</f>
        <v>0</v>
      </c>
      <c r="BM347" s="478">
        <f>IF(AE347=0,0,IF(OR(AF347=1,AF348=1,AF349=1),AL347-AS347,AL347))</f>
        <v>0</v>
      </c>
      <c r="BN347" s="478">
        <f>IF(AF347=0,0,AM347)</f>
        <v>0</v>
      </c>
      <c r="BP347" t="s">
        <v>253</v>
      </c>
    </row>
    <row r="348" spans="2:109" customFormat="1" ht="15" customHeight="1" x14ac:dyDescent="0.2">
      <c r="B348" s="301" t="s">
        <v>1572</v>
      </c>
      <c r="C348" s="925"/>
      <c r="D348" s="925"/>
      <c r="E348" s="925"/>
      <c r="F348" s="925"/>
      <c r="G348" s="925"/>
      <c r="H348" s="925"/>
      <c r="I348" s="925"/>
      <c r="J348" s="925"/>
      <c r="K348" s="925"/>
      <c r="L348" s="925"/>
      <c r="M348" s="925"/>
      <c r="N348" s="925"/>
      <c r="P348" s="494"/>
      <c r="S348" s="301">
        <f>IF(C348="",0,C348)</f>
        <v>0</v>
      </c>
      <c r="T348" s="301">
        <f>IF(E348&lt;&gt;"",E348,IF(S348&gt;0,S348,0))</f>
        <v>0</v>
      </c>
      <c r="U348" s="301">
        <f>IF(G348&lt;&gt;"",G348,IF(T348&gt;0,T348,0))</f>
        <v>0</v>
      </c>
      <c r="V348" s="301">
        <f>IF(I348&lt;&gt;"",I348,IF(U348&gt;0,U348,0))</f>
        <v>0</v>
      </c>
      <c r="W348" s="301">
        <f>IF(K348&lt;&gt;"",K348,IF(V348&gt;0,V348,0))</f>
        <v>0</v>
      </c>
      <c r="X348" s="301">
        <f>IF(M348&lt;&gt;"",M348,IF(W348&gt;0,W348,0))</f>
        <v>0</v>
      </c>
      <c r="Z348" s="475"/>
      <c r="AA348" s="483">
        <f>IF(C348&gt;1,1,0)</f>
        <v>0</v>
      </c>
      <c r="AB348" s="301">
        <f t="shared" si="51"/>
        <v>0</v>
      </c>
      <c r="AC348" s="301">
        <f t="shared" si="51"/>
        <v>0</v>
      </c>
      <c r="AD348" s="301">
        <f t="shared" si="51"/>
        <v>0</v>
      </c>
      <c r="AE348" s="301">
        <f t="shared" si="51"/>
        <v>0</v>
      </c>
      <c r="AF348" s="301">
        <f t="shared" si="51"/>
        <v>0</v>
      </c>
      <c r="AH348" s="478">
        <f>IF(S348=1,0,IF(S348=2,0.1,IF(S348=3,0.17,IF(S348=4,0.23,0))))</f>
        <v>0</v>
      </c>
      <c r="AI348" s="478">
        <f>IF(T348=1,0,IF(T348=2,0.09,IF(T348=3,0.15,IF(T348=4,0.2,0))))</f>
        <v>0</v>
      </c>
      <c r="AJ348" s="478">
        <f>IF(U348=1,0,IF(U348=2,0.08,IF(U348=3,0.13,IF(U348=4,0.17,0))))</f>
        <v>0</v>
      </c>
      <c r="AK348" s="478">
        <f>IF(V348=1,0,IF(V348=2,0.07,IF(V348=3,0.1,IF(V348=4,0.14,0))))</f>
        <v>0</v>
      </c>
      <c r="AL348" s="478">
        <f>IF(W348=1,0,IF(W348=2,0.05,IF(W348=3,0.08,IF(W348=4,0.1,0))))</f>
        <v>0</v>
      </c>
      <c r="AM348" s="478">
        <f>IF(X348=1,0,IF(X348=2,0.03,IF(X348=3,0.05,IF(X348=4,0.06,0))))</f>
        <v>0</v>
      </c>
      <c r="AN348" s="479"/>
      <c r="AO348" s="478">
        <f>IF(S348=1,0,IF(S348=2,0.09,IF(S348=3,0.15,IF(S348=4,0.2,0))))</f>
        <v>0</v>
      </c>
      <c r="AP348" s="478">
        <f>IF(T348=1,0,IF(T348=2,0.08,IF(T348=3,0.13,IF(T348=4,0.17,0))))</f>
        <v>0</v>
      </c>
      <c r="AQ348" s="478">
        <f>IF(U348=1,0,IF(U348=2,0.07,IF(U348=3,0.1,IF(U348=4,0.14,0))))</f>
        <v>0</v>
      </c>
      <c r="AR348" s="478">
        <f>IF(V348=1,0,IF(V348=2,0.05,IF(V348=3,0.08,IF(V348=4,0.1,0))))</f>
        <v>0</v>
      </c>
      <c r="AS348" s="478">
        <f>IF(W348=1,0,IF(W348=2,0.03,IF(W348=3,0.05,IF(W348=4,0.06,0))))</f>
        <v>0</v>
      </c>
      <c r="AU348" s="478">
        <f>IF(S348=1,0,IF(S348=2,0.08,IF(S348=3,0.13,IF(S348=4,0.17,0))))</f>
        <v>0</v>
      </c>
      <c r="AV348" s="478">
        <f>IF(T348=1,0,IF(T348=2,0.07,IF(T348=3,0.1,IF(T348=4,0.14,0))))</f>
        <v>0</v>
      </c>
      <c r="AW348" s="478">
        <f>IF(U348=1,0,IF(U348=2,0.05,IF(U348=3,0.08,IF(U348=4,0.1,0))))</f>
        <v>0</v>
      </c>
      <c r="AX348" s="478">
        <f>IF(V348=1,0,IF(V348=2,0.03,IF(V348=3,0.05,IF(V348=4,0.06,0))))</f>
        <v>0</v>
      </c>
      <c r="AZ348" s="478">
        <f>IF(S348=1,0,IF(S348=2,0.07,IF(S348=3,0.1,IF(S348=4,0.14,0))))</f>
        <v>0</v>
      </c>
      <c r="BA348" s="478">
        <f>IF(T348=1,0,IF(T348=2,0.05,IF(T348=3,0.08,IF(T348=4,0.1,0))))</f>
        <v>0</v>
      </c>
      <c r="BB348" s="478">
        <f>IF(U348=1,0,IF(U348=2,0.03,IF(U348=3,0.05,IF(U348=4,0.06,0))))</f>
        <v>0</v>
      </c>
      <c r="BD348" s="478">
        <f>IF(S348=1,0,IF(S348=2,0.05,IF(S348=3,0.08,IF(S348=4,0.1,0))))</f>
        <v>0</v>
      </c>
      <c r="BE348" s="478">
        <f>IF(T348=1,0,IF(T348=2,0.03,IF(T348=3,0.05,IF(T348=4,0.06,0))))</f>
        <v>0</v>
      </c>
      <c r="BG348" s="478">
        <f>IF(S348=1,0,IF(S348=2,0.03,IF(S348=3,0.05,IF(S348=4,0.06,0))))</f>
        <v>0</v>
      </c>
      <c r="BI348" s="478">
        <f>IF(AA348=0,0,IF(OR(AB347=1,AB348=1),AH348-AO348,IF(OR(AC347=1,AC348=1),AH348-AU348,IF(OR(AD347=1,AD348=1),AH348-AZ348,IF(OR(AE347=1,AE348=1),AH348-BD348,IF(OR(AF347=1,AF348=1),AH348-BG348,AH348))))))</f>
        <v>0</v>
      </c>
      <c r="BJ348" s="478">
        <f>IF(AB348=0,0,IF(OR(AC347=1,AC348=1),AI348-AP348,IF(OR(AD347=1,AD348=1),AI348-AV348,IF(OR(AE347=1,AE348=1),AI348-BA348,IF(OR(AF347=1,AF348=1),AI348-BE348,AI348)))))</f>
        <v>0</v>
      </c>
      <c r="BK348" s="478">
        <f>IF(AC348=0,0,IF(OR(AD347=1,AD348=1),AJ348-AQ348,IF(OR(AE347=1,AE348=1),AJ348-AW348,IF(OR(AF347=1,AF348=1),AJ348-BB348,AJ348))))</f>
        <v>0</v>
      </c>
      <c r="BL348" s="478">
        <f>IF(AD348=0,0,IF(OR(AE347=1,AE348=1),AK348-AR348,IF(OR(AF347=1,AF348=1),AK348-AX348,AK348)))</f>
        <v>0</v>
      </c>
      <c r="BM348" s="478">
        <f>IF(AE348=0,0,IF(OR(AF347=1,AF348=1),AL348-AS348,AL348))</f>
        <v>0</v>
      </c>
      <c r="BN348" s="478">
        <f>IF(AF348=0,0,AM348)</f>
        <v>0</v>
      </c>
      <c r="BP348" s="484">
        <f>LARGE((BI347,BJ347,BK347,BL347,BM347,BN347,BI348,BJ348,BK348,BL348,BM348,BN348,BI349,BJ349,BK349,BL349,BM349,BN349),1)</f>
        <v>0</v>
      </c>
      <c r="BQ348" s="485">
        <f>LARGE((BI347,BJ347,BK347,BL347,BM347,BN347,BI348,BJ348,BK348,BL348,BM348,BN348,BI349,BJ349,BK349,BL349,BM349,BN349),2)</f>
        <v>0</v>
      </c>
      <c r="BR348" s="485">
        <f>LARGE((BI347,BJ347,BK347,BL347,BM347,BN347,BI348,BJ348,BK348,BL348,BM348,BN348,BI349,BJ349,BK349,BL349,BM349,BN349),3)</f>
        <v>0</v>
      </c>
      <c r="BS348" s="485">
        <f>LARGE((BI347,BJ347,BK347,BL347,BM347,BN347,BI348,BJ348,BK348,BL348,BM348,BN348,BI349,BJ349,BK349,BL349,BM349,BN349),4)</f>
        <v>0</v>
      </c>
      <c r="BT348" s="485">
        <f>LARGE((BI347,BJ347,BK347,BL347,BM347,BN347,BI348,BJ348,BK348,BL348,BM348,BN348,BI349,BJ349,BK349,BL349,BM349,BN349),5)</f>
        <v>0</v>
      </c>
      <c r="BU348" s="485">
        <f>LARGE((BI347,BJ347,BK347,BL347,BM347,BN347,BI348,BJ348,BK348,BL348,BM348,BN348,BI349,BJ349,BK349,BL349,BM349,BN349),6)</f>
        <v>0</v>
      </c>
      <c r="BV348" s="485">
        <f>LARGE((BI347,BJ347,BK347,BL347,BM347,BN347,BI348,BJ348,BK348,BL348,BM348,BN348,BI349,BJ349,BK349,BL349,BM349,BN349),7)</f>
        <v>0</v>
      </c>
      <c r="BW348" s="485">
        <f>LARGE((BI347,BJ347,BK347,BL347,BM347,BN347,BI348,BJ348,BK348,BL348,BM348,BN348,BI349,BJ349,BK349,BL349,BM349,BN349),8)</f>
        <v>0</v>
      </c>
      <c r="BX348" s="485">
        <f>LARGE((BI347,BJ347,BK347,BL347,BM347,BN347,BI348,BJ348,BK348,BL348,BM348,BN348,BI349,BJ349,BK349,BL349,BM349,BN349),9)</f>
        <v>0</v>
      </c>
      <c r="BY348" s="485">
        <f>LARGE((BI347,BJ347,BK347,BL347,BM347,BN347,BI348,BJ348,BK348,BL348,BM348,BN348,BI349,BJ349,BK349,BL349,BM349,BN349),10)</f>
        <v>0</v>
      </c>
      <c r="BZ348" s="485">
        <f>LARGE((BI347,BJ347,BK347,BL347,BM347,BN347,BI348,BJ348,BK348,BL348,BM348,BN348,BI349,BJ349,BK349,BL349,BM349,BN349),11)</f>
        <v>0</v>
      </c>
      <c r="CA348" s="485">
        <f>LARGE((BI347,BJ347,BK347,BL347,BM347,BN347,BI348,BJ348,BK348,BL348,BM348,BN348,BI349,BJ349,BK349,BL349,BM349,BN349),12)</f>
        <v>0</v>
      </c>
    </row>
    <row r="349" spans="2:109" customFormat="1" ht="15" customHeight="1" x14ac:dyDescent="0.2">
      <c r="B349" s="482" t="s">
        <v>1573</v>
      </c>
      <c r="C349" s="1001"/>
      <c r="D349" s="1001"/>
      <c r="E349" s="1001"/>
      <c r="F349" s="1001"/>
      <c r="G349" s="1001"/>
      <c r="H349" s="1001"/>
      <c r="I349" s="1001"/>
      <c r="J349" s="1001"/>
      <c r="K349" s="1001"/>
      <c r="L349" s="1001"/>
      <c r="M349" s="1001"/>
      <c r="N349" s="1001"/>
      <c r="P349" s="494"/>
      <c r="S349" s="301">
        <f>IF(C349="",0,C349)</f>
        <v>0</v>
      </c>
      <c r="T349" s="301">
        <f>IF(E349&lt;&gt;"",E349,IF(S349&gt;0,S349,0))</f>
        <v>0</v>
      </c>
      <c r="U349" s="301">
        <f>IF(G349&lt;&gt;"",G349,IF(T349&gt;0,T349,0))</f>
        <v>0</v>
      </c>
      <c r="V349" s="301">
        <f>IF(I349&lt;&gt;"",I349,IF(U349&gt;0,U349,0))</f>
        <v>0</v>
      </c>
      <c r="W349" s="301">
        <f>IF(K349&lt;&gt;"",K349,IF(V349&gt;0,V349,0))</f>
        <v>0</v>
      </c>
      <c r="X349" s="301">
        <f>IF(M349&lt;&gt;"",M349,IF(W349&gt;0,W349,0))</f>
        <v>0</v>
      </c>
      <c r="AA349" s="483">
        <f>IF(C349&gt;1,1,0)</f>
        <v>0</v>
      </c>
      <c r="AB349" s="301">
        <f t="shared" si="51"/>
        <v>0</v>
      </c>
      <c r="AC349" s="301">
        <f t="shared" si="51"/>
        <v>0</v>
      </c>
      <c r="AD349" s="301">
        <f t="shared" si="51"/>
        <v>0</v>
      </c>
      <c r="AE349" s="301">
        <f t="shared" si="51"/>
        <v>0</v>
      </c>
      <c r="AF349" s="301">
        <f t="shared" si="51"/>
        <v>0</v>
      </c>
      <c r="AH349" s="478">
        <f>IF(S349=1,0,IF(S349=2,0.17,IF(S349=3,0.25,IF(S349=4,0.35,0))))</f>
        <v>0</v>
      </c>
      <c r="AI349" s="478">
        <f>IF(T349=1,0,IF(T349=2,0.15,IF(T349=3,0.23,IF(T349=4,0.31,0))))</f>
        <v>0</v>
      </c>
      <c r="AJ349" s="478">
        <f>IF(U349=1,0,IF(U349=2,0.13,IF(U349=3,0.2,IF(U349=4,0.27,0))))</f>
        <v>0</v>
      </c>
      <c r="AK349" s="478">
        <f>IF(V349=1,0,IF(V349=2,0.11,IF(V349=3,0.17,IF(V349=4,0.22,0))))</f>
        <v>0</v>
      </c>
      <c r="AL349" s="478">
        <f>IF(W349=1,0,IF(W349=2,0.08,IF(W349=3,0.12,IF(W349=4,0.16,0))))</f>
        <v>0</v>
      </c>
      <c r="AM349" s="478">
        <f>IF(X349=1,0,IF(X349=2,0.05,IF(X349=3,0.07,IF(X349=4,0.1,0))))</f>
        <v>0</v>
      </c>
      <c r="AN349" s="479"/>
      <c r="AO349" s="478">
        <f>IF(S349=1,0,IF(S349=2,0.15,IF(S349=3,0.23,IF(S349=4,0.31,0))))</f>
        <v>0</v>
      </c>
      <c r="AP349" s="478">
        <f>IF(T349=1,0,IF(T349=2,0.13,IF(T349=3,0.2,IF(T349=4,0.27,0))))</f>
        <v>0</v>
      </c>
      <c r="AQ349" s="478">
        <f>IF(U349=1,0,IF(U349=2,0.11,IF(U349=3,0.17,IF(U349=4,0.22,0))))</f>
        <v>0</v>
      </c>
      <c r="AR349" s="478">
        <f>IF(V349=1,0,IF(V349=2,0.08,IF(V349=3,0.12,IF(V349=4,0.16,0))))</f>
        <v>0</v>
      </c>
      <c r="AS349" s="478">
        <f>IF(W349=1,0,IF(W349=2,0.05,IF(W349=3,0.07,IF(W349=4,0.1,0))))</f>
        <v>0</v>
      </c>
      <c r="AU349" s="478">
        <f>IF(S349=1,0,IF(S349=2,0.13,IF(S349=3,0.2,IF(S349=4,0.27,0))))</f>
        <v>0</v>
      </c>
      <c r="AV349" s="478">
        <f>IF(T349=1,0,IF(T349=2,0.11,IF(T349=3,0.17,IF(T349=4,0.22,0))))</f>
        <v>0</v>
      </c>
      <c r="AW349" s="478">
        <f>IF(U349=1,0,IF(U349=2,0.08,IF(U349=3,0.12,IF(U349=4,0.16,0))))</f>
        <v>0</v>
      </c>
      <c r="AX349" s="478">
        <f>IF(V349=1,0,IF(V349=2,0.05,IF(V349=3,0.07,IF(V349=4,0.1,0))))</f>
        <v>0</v>
      </c>
      <c r="AZ349" s="478">
        <f>IF(S349=1,0,IF(S349=2,0.11,IF(S349=3,0.17,IF(S349=4,0.22,0))))</f>
        <v>0</v>
      </c>
      <c r="BA349" s="478">
        <f>IF(T349=1,0,IF(T349=2,0.08,IF(T349=3,0.12,IF(T349=4,0.16,0))))</f>
        <v>0</v>
      </c>
      <c r="BB349" s="478">
        <f>IF(U349=1,0,IF(U349=2,0.05,IF(U349=3,0.07,IF(U349=4,0.1,0))))</f>
        <v>0</v>
      </c>
      <c r="BD349" s="478">
        <f>IF(S349=1,0,IF(S349=2,0.08,IF(S349=3,0.12,IF(S349=4,0.16,0))))</f>
        <v>0</v>
      </c>
      <c r="BE349" s="478">
        <f>IF(T349=1,0,IF(T349=2,0.05,IF(T349=3,0.07,IF(T349=4,0.1,0))))</f>
        <v>0</v>
      </c>
      <c r="BG349" s="478">
        <f>IF(S349=1,0,IF(S349=2,0.05,IF(S349=3,0.07,IF(S349=4,0.1,0))))</f>
        <v>0</v>
      </c>
      <c r="BI349" s="478">
        <f>IF(AA349=0,0,IF(OR(AB347=1,AB349=1),AH349-AO349,IF(OR(AC347=1,AC349=1),AH349-AU349,IF(OR(AD347=1,AD349=1),AH349-AZ349,IF(OR(AE347=1,AE349=1),AH349-BD349,IF(OR(AF347=1,AF349=1),AH349-BG349,AH349))))))</f>
        <v>0</v>
      </c>
      <c r="BJ349" s="478">
        <f>IF(AB349=0,0,IF(OR(AC347=1,AC349=1),AI349-AP349,IF(OR(AD347=1,AD349=1),AI349-AV349,IF(OR(AE347=1,AE349=1),AI349-BA349,IF(OR(AF347=1,AF349=1),AI349-BE349,AI349)))))</f>
        <v>0</v>
      </c>
      <c r="BK349" s="478">
        <f>IF(AC349=0,0,IF(OR(AD347=1,AD349=1),AJ349-AQ349,IF(OR(AE347=1,AE349=1),AJ349-AW349,IF(OR(AF347=1,AF349=1),AJ349-BB349,AJ349))))</f>
        <v>0</v>
      </c>
      <c r="BL349" s="478">
        <f>IF(AD349=0,0,IF(OR(AE347=1,AE349=1),AK349-AR349,IF(OR(AF347=1,AF349=1),AK349-AX349,AK349)))</f>
        <v>0</v>
      </c>
      <c r="BM349" s="478">
        <f>IF(AE349=0,0,IF(OR(AF347=1,AF349=1),AL349-AS349,AL349))</f>
        <v>0</v>
      </c>
      <c r="BN349" s="478">
        <f>IF(AF349=0,0,AM349)</f>
        <v>0</v>
      </c>
      <c r="BP349" s="486">
        <f>ROUND(BP348+BQ348*(1-BP348),2)</f>
        <v>0</v>
      </c>
      <c r="BQ349" s="486">
        <f t="shared" ref="BQ349:BZ349" si="52">ROUND(BP349+BR348*(1-BP349),2)</f>
        <v>0</v>
      </c>
      <c r="BR349" s="486">
        <f t="shared" si="52"/>
        <v>0</v>
      </c>
      <c r="BS349" s="486">
        <f t="shared" si="52"/>
        <v>0</v>
      </c>
      <c r="BT349" s="486">
        <f t="shared" si="52"/>
        <v>0</v>
      </c>
      <c r="BU349" s="486">
        <f t="shared" si="52"/>
        <v>0</v>
      </c>
      <c r="BV349" s="486">
        <f t="shared" si="52"/>
        <v>0</v>
      </c>
      <c r="BW349" s="486">
        <f t="shared" si="52"/>
        <v>0</v>
      </c>
      <c r="BX349" s="486">
        <f t="shared" si="52"/>
        <v>0</v>
      </c>
      <c r="BY349" s="486">
        <f t="shared" si="52"/>
        <v>0</v>
      </c>
      <c r="BZ349" s="486">
        <f t="shared" si="52"/>
        <v>0</v>
      </c>
      <c r="CA349" s="483"/>
    </row>
    <row r="350" spans="2:109" customFormat="1" ht="15" customHeight="1" x14ac:dyDescent="0.2">
      <c r="B350" s="926" t="str">
        <f>IF(AD350=1,"ERROR: If radial or ulnar impairment is recorded, do not enter losses for 'both sides.'","")</f>
        <v/>
      </c>
      <c r="C350" s="927"/>
      <c r="D350" s="927"/>
      <c r="E350" s="927"/>
      <c r="F350" s="927"/>
      <c r="G350" s="927"/>
      <c r="H350" s="927"/>
      <c r="I350" s="927"/>
      <c r="J350" s="927"/>
      <c r="K350" s="927"/>
      <c r="L350" s="927"/>
      <c r="M350" s="927"/>
      <c r="N350" s="927"/>
      <c r="O350" s="928"/>
      <c r="P350" s="245">
        <f>IF(B350&lt;&gt;"","ERROR",BZ349)</f>
        <v>0</v>
      </c>
      <c r="S350" s="475"/>
      <c r="T350" s="475"/>
      <c r="U350" s="475"/>
      <c r="V350" s="475"/>
      <c r="W350" s="475"/>
      <c r="AA350" s="301">
        <f>SUM(AA347:AF347)</f>
        <v>0</v>
      </c>
      <c r="AB350" s="301">
        <f>SUM(AA348:AF348)</f>
        <v>0</v>
      </c>
      <c r="AC350" s="301">
        <f>SUM(AA349:AF349)</f>
        <v>0</v>
      </c>
      <c r="AD350" s="301">
        <f>IF(AND(AA350&gt;0,AB350&gt;0),1,IF(AND(AA350&gt;0,AC350&gt;0),1,0))</f>
        <v>0</v>
      </c>
      <c r="AE350" s="475"/>
      <c r="AF350" s="475"/>
    </row>
    <row r="351" spans="2:109" ht="12" customHeight="1" x14ac:dyDescent="0.2">
      <c r="B351" s="1"/>
      <c r="D351" s="1"/>
      <c r="E351" s="1"/>
      <c r="F351" s="1"/>
      <c r="G351" s="1"/>
      <c r="H351" s="1"/>
      <c r="I351" s="1"/>
      <c r="J351" s="1"/>
      <c r="K351" s="1"/>
      <c r="L351" s="1"/>
      <c r="M351" s="1"/>
      <c r="N351" s="1"/>
      <c r="O351" s="1"/>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row>
    <row r="352" spans="2:109" x14ac:dyDescent="0.2">
      <c r="B352" s="50" t="s">
        <v>1214</v>
      </c>
      <c r="C352" s="910" t="s">
        <v>1348</v>
      </c>
      <c r="D352" s="910"/>
      <c r="E352" s="910"/>
      <c r="F352" s="910"/>
      <c r="G352" s="910"/>
      <c r="H352" s="910" t="s">
        <v>1759</v>
      </c>
      <c r="I352" s="910"/>
      <c r="J352" s="910"/>
      <c r="K352" s="18"/>
      <c r="L352" s="910" t="s">
        <v>1215</v>
      </c>
      <c r="M352" s="910"/>
      <c r="N352" s="910"/>
      <c r="O352" s="910"/>
      <c r="P352" s="755">
        <f>V354</f>
        <v>0</v>
      </c>
      <c r="R352" s="10"/>
      <c r="S352" s="560" t="s">
        <v>1565</v>
      </c>
      <c r="T352" s="560" t="s">
        <v>1285</v>
      </c>
      <c r="U352" s="560" t="s">
        <v>1286</v>
      </c>
      <c r="V352" s="559" t="s">
        <v>1287</v>
      </c>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row>
    <row r="353" spans="1:109" ht="15" customHeight="1" x14ac:dyDescent="0.2">
      <c r="B353" s="146" t="s">
        <v>1227</v>
      </c>
      <c r="C353" s="922"/>
      <c r="D353" s="922"/>
      <c r="E353" s="922"/>
      <c r="F353" s="922"/>
      <c r="G353" s="922"/>
      <c r="H353" s="914">
        <f>IF(C353=$X$127,0.09,IF(C353=$Y$127,0.18,IF(C353=$Z$127,0.27,0)))</f>
        <v>0</v>
      </c>
      <c r="I353" s="914"/>
      <c r="J353" s="914"/>
      <c r="K353" s="146"/>
      <c r="L353" s="922"/>
      <c r="M353" s="922"/>
      <c r="N353" s="922"/>
      <c r="O353" s="21">
        <f>IF(H353&gt;=S353,H353-S353,0)</f>
        <v>0</v>
      </c>
      <c r="P353" s="755"/>
      <c r="R353" s="10"/>
      <c r="S353" s="147">
        <f>IF(L353=$Y$128,0.09,IF(L353=$Z$128,0.18,IF(L353=$AA$128,0.27,0)))</f>
        <v>0</v>
      </c>
      <c r="T353" s="147">
        <f>LARGE(O353:O355,1)</f>
        <v>0</v>
      </c>
      <c r="U353" s="544">
        <f>T353+T354*(1-T353)</f>
        <v>0</v>
      </c>
      <c r="V353" s="544">
        <f>ROUND(U353,2)</f>
        <v>0</v>
      </c>
      <c r="W353" s="955" t="s">
        <v>2147</v>
      </c>
      <c r="X353" s="955"/>
      <c r="Y353" s="955"/>
      <c r="Z353" s="955"/>
      <c r="AA353" s="589"/>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row>
    <row r="354" spans="1:109" ht="15" customHeight="1" x14ac:dyDescent="0.2">
      <c r="B354" s="50" t="s">
        <v>1228</v>
      </c>
      <c r="C354" s="922"/>
      <c r="D354" s="922"/>
      <c r="E354" s="922"/>
      <c r="F354" s="922"/>
      <c r="G354" s="922"/>
      <c r="H354" s="914">
        <f>IF(C354=$X$127,0.16,IF(C354=$Y$127,0.32,IF(C354=$Z$127,0.48,0)))</f>
        <v>0</v>
      </c>
      <c r="I354" s="914"/>
      <c r="J354" s="914"/>
      <c r="K354" s="146"/>
      <c r="L354" s="922"/>
      <c r="M354" s="922"/>
      <c r="N354" s="922"/>
      <c r="O354" s="21">
        <f>IF(H354&gt;=S354,H354-S354,0)</f>
        <v>0</v>
      </c>
      <c r="P354" s="755"/>
      <c r="R354" s="10"/>
      <c r="S354" s="147">
        <f>IF(L354=$Y$128,0.16,IF(L354=$Z$128,0.32,IF(L354=$AA$128,0.48,0)))</f>
        <v>0</v>
      </c>
      <c r="T354" s="147">
        <f>LARGE(O353:O355,2)</f>
        <v>0</v>
      </c>
      <c r="U354" s="544">
        <f>V353+T355*(1-V353)</f>
        <v>0</v>
      </c>
      <c r="V354" s="544">
        <f>ROUND(U354,2)</f>
        <v>0</v>
      </c>
      <c r="W354" s="50"/>
      <c r="X354" s="50" t="s">
        <v>1218</v>
      </c>
      <c r="Y354" s="50" t="s">
        <v>1219</v>
      </c>
      <c r="Z354" s="50" t="s">
        <v>1220</v>
      </c>
      <c r="AA354" s="5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row>
    <row r="355" spans="1:109" ht="15" customHeight="1" x14ac:dyDescent="0.2">
      <c r="B355" s="50" t="s">
        <v>1229</v>
      </c>
      <c r="C355" s="922"/>
      <c r="D355" s="922"/>
      <c r="E355" s="922"/>
      <c r="F355" s="922"/>
      <c r="G355" s="922"/>
      <c r="H355" s="914">
        <f>IF(C355=$X$127,0.2,IF(C355=$Y$127,0.4,IF(C355=$Z$127,0.6,0)))</f>
        <v>0</v>
      </c>
      <c r="I355" s="914"/>
      <c r="J355" s="914"/>
      <c r="K355" s="146"/>
      <c r="L355" s="922"/>
      <c r="M355" s="922"/>
      <c r="N355" s="922"/>
      <c r="O355" s="21">
        <f>IF(H355&gt;=S355,H355-S355,0)</f>
        <v>0</v>
      </c>
      <c r="P355" s="755"/>
      <c r="R355" s="10"/>
      <c r="S355" s="147">
        <f>IF(L355=$Y$128,0.2,IF(L355=$Z$128,0.4,IF(L355=$AA$128,0.6,0)))</f>
        <v>0</v>
      </c>
      <c r="T355" s="147">
        <f>LARGE(O353:O355,3)</f>
        <v>0</v>
      </c>
      <c r="U355" s="50"/>
      <c r="V355" s="50"/>
      <c r="W355" s="50"/>
      <c r="X355" s="50" t="s">
        <v>510</v>
      </c>
      <c r="Y355" s="50" t="s">
        <v>899</v>
      </c>
      <c r="Z355" s="147" t="s">
        <v>1764</v>
      </c>
      <c r="AA355" s="50" t="s">
        <v>1639</v>
      </c>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row>
    <row r="356" spans="1:109" ht="12" customHeight="1" x14ac:dyDescent="0.2">
      <c r="B356" s="1003"/>
      <c r="C356" s="1003"/>
      <c r="D356" s="1003"/>
      <c r="E356" s="1003"/>
      <c r="F356" s="1003"/>
      <c r="G356" s="1003"/>
      <c r="H356" s="1003"/>
      <c r="I356" s="1003"/>
      <c r="J356" s="1003"/>
      <c r="K356" s="1003"/>
      <c r="L356" s="1003"/>
      <c r="M356" s="1003"/>
      <c r="N356" s="1003"/>
      <c r="O356" s="1003"/>
      <c r="P356" s="151"/>
      <c r="R356" s="10"/>
      <c r="S356" s="14"/>
      <c r="T356" s="14"/>
      <c r="U356" s="10"/>
      <c r="V356" s="10"/>
      <c r="W356" s="10"/>
      <c r="X356" s="10"/>
      <c r="Y356" s="10"/>
      <c r="Z356" s="14"/>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row>
    <row r="357" spans="1:109" ht="15" customHeight="1" x14ac:dyDescent="0.2">
      <c r="A357" s="15"/>
      <c r="B357" s="761" t="s">
        <v>952</v>
      </c>
      <c r="C357" s="937"/>
      <c r="D357" s="938"/>
      <c r="E357" s="742" t="s">
        <v>560</v>
      </c>
      <c r="F357" s="743"/>
      <c r="G357" s="743"/>
      <c r="H357" s="743"/>
      <c r="I357" s="743"/>
      <c r="J357" s="743"/>
      <c r="K357" s="743"/>
      <c r="L357" s="743"/>
      <c r="M357" s="743"/>
      <c r="N357" s="743"/>
      <c r="O357" s="744"/>
      <c r="P357" s="245">
        <f>IF(T357=1,0.15,0)</f>
        <v>0</v>
      </c>
      <c r="R357" s="947" t="s">
        <v>2147</v>
      </c>
      <c r="S357" s="561" t="b">
        <v>0</v>
      </c>
      <c r="T357" s="50">
        <f>IF(S357=TRUE,1,0)</f>
        <v>0</v>
      </c>
      <c r="U357" s="10"/>
      <c r="V357" s="10"/>
      <c r="W357" s="10"/>
      <c r="X357" s="10"/>
      <c r="Y357" s="10"/>
      <c r="Z357" s="10"/>
      <c r="AA357" s="10"/>
      <c r="AB357" s="10"/>
      <c r="AC357" s="10"/>
      <c r="AD357" s="10"/>
      <c r="AE357" s="10"/>
      <c r="AF357" s="10"/>
      <c r="AG357" s="10">
        <v>1E-4</v>
      </c>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row>
    <row r="358" spans="1:109" ht="15" customHeight="1" x14ac:dyDescent="0.2">
      <c r="B358" s="761"/>
      <c r="C358" s="937"/>
      <c r="D358" s="938"/>
      <c r="E358" s="742" t="s">
        <v>561</v>
      </c>
      <c r="F358" s="743"/>
      <c r="G358" s="743"/>
      <c r="H358" s="743"/>
      <c r="I358" s="743"/>
      <c r="J358" s="743"/>
      <c r="K358" s="743"/>
      <c r="L358" s="743"/>
      <c r="M358" s="743"/>
      <c r="N358" s="743"/>
      <c r="O358" s="744"/>
      <c r="P358" s="245">
        <f>IF(T358=1,0.25,0)</f>
        <v>0</v>
      </c>
      <c r="R358" s="947"/>
      <c r="S358" s="561" t="b">
        <v>0</v>
      </c>
      <c r="T358" s="50">
        <f>IF(S358=TRUE,1,0)</f>
        <v>0</v>
      </c>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row>
    <row r="359" spans="1:109" ht="15" customHeight="1" x14ac:dyDescent="0.2">
      <c r="B359" s="761"/>
      <c r="C359" s="937"/>
      <c r="D359" s="938"/>
      <c r="E359" s="742" t="s">
        <v>773</v>
      </c>
      <c r="F359" s="743"/>
      <c r="G359" s="743"/>
      <c r="H359" s="743"/>
      <c r="I359" s="743"/>
      <c r="J359" s="743"/>
      <c r="K359" s="743"/>
      <c r="L359" s="743"/>
      <c r="M359" s="743"/>
      <c r="N359" s="743"/>
      <c r="O359" s="744"/>
      <c r="P359" s="245">
        <f>IF(T359=1,0.23,0)</f>
        <v>0</v>
      </c>
      <c r="R359" s="947"/>
      <c r="S359" s="561" t="b">
        <v>0</v>
      </c>
      <c r="T359" s="50">
        <f>IF(S359=TRUE,1,0)</f>
        <v>0</v>
      </c>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row>
    <row r="360" spans="1:109" ht="12" customHeight="1" x14ac:dyDescent="0.2">
      <c r="B360" s="777"/>
      <c r="C360" s="777"/>
      <c r="D360" s="777"/>
      <c r="E360" s="777"/>
      <c r="F360" s="777"/>
      <c r="G360" s="777"/>
      <c r="H360" s="777"/>
      <c r="I360" s="777"/>
      <c r="J360" s="777"/>
      <c r="K360" s="777"/>
      <c r="L360" s="777"/>
      <c r="M360" s="777"/>
      <c r="N360" s="777"/>
      <c r="O360" s="777"/>
      <c r="P360" s="1"/>
      <c r="R360" s="10"/>
      <c r="S360" s="133"/>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row>
    <row r="361" spans="1:109" ht="15" customHeight="1" x14ac:dyDescent="0.2">
      <c r="B361" s="939" t="s">
        <v>1230</v>
      </c>
      <c r="C361" s="939"/>
      <c r="D361" s="939"/>
      <c r="E361" s="939"/>
      <c r="F361" s="939"/>
      <c r="G361" s="939"/>
      <c r="H361" s="939"/>
      <c r="I361" s="939"/>
      <c r="J361" s="939"/>
      <c r="K361" s="939"/>
      <c r="L361" s="939"/>
      <c r="M361" s="939"/>
      <c r="N361" s="939"/>
      <c r="O361" s="312"/>
      <c r="P361" s="21">
        <f>SUMIF(T361:X361,O361,T362:X362)</f>
        <v>0</v>
      </c>
      <c r="R361" s="949" t="s">
        <v>2147</v>
      </c>
      <c r="S361" s="949"/>
      <c r="T361" s="50" t="s">
        <v>1928</v>
      </c>
      <c r="U361" s="50" t="s">
        <v>1929</v>
      </c>
      <c r="V361" s="147" t="s">
        <v>1931</v>
      </c>
      <c r="W361" s="50" t="s">
        <v>929</v>
      </c>
      <c r="X361" s="147" t="s">
        <v>545</v>
      </c>
      <c r="Y361" s="10"/>
      <c r="Z361" s="50" t="s">
        <v>1928</v>
      </c>
      <c r="AA361" s="50" t="s">
        <v>1929</v>
      </c>
      <c r="AB361" s="147" t="s">
        <v>1931</v>
      </c>
      <c r="AC361" s="50" t="s">
        <v>929</v>
      </c>
      <c r="AD361" s="147" t="s">
        <v>545</v>
      </c>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row>
    <row r="362" spans="1:109" ht="15" customHeight="1" x14ac:dyDescent="0.2">
      <c r="B362" s="939" t="s">
        <v>1469</v>
      </c>
      <c r="C362" s="939"/>
      <c r="D362" s="939"/>
      <c r="E362" s="939"/>
      <c r="F362" s="939"/>
      <c r="G362" s="939"/>
      <c r="H362" s="939"/>
      <c r="I362" s="939"/>
      <c r="J362" s="939"/>
      <c r="K362" s="939"/>
      <c r="L362" s="939"/>
      <c r="M362" s="939"/>
      <c r="N362" s="939"/>
      <c r="O362" s="312"/>
      <c r="P362" s="21">
        <f>SUMIF(Z361:AD361,O362,Z362:AD362)</f>
        <v>0</v>
      </c>
      <c r="R362" s="949"/>
      <c r="S362" s="949"/>
      <c r="T362" s="147">
        <v>0.03</v>
      </c>
      <c r="U362" s="147">
        <v>0.15</v>
      </c>
      <c r="V362" s="147">
        <v>0.38</v>
      </c>
      <c r="W362" s="147">
        <v>0.68</v>
      </c>
      <c r="X362" s="147">
        <v>0.9</v>
      </c>
      <c r="Y362" s="10"/>
      <c r="Z362" s="147">
        <v>0.03</v>
      </c>
      <c r="AA362" s="147">
        <v>0.15</v>
      </c>
      <c r="AB362" s="147">
        <v>0.35</v>
      </c>
      <c r="AC362" s="147">
        <v>0.63</v>
      </c>
      <c r="AD362" s="147">
        <v>0.88</v>
      </c>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row>
    <row r="363" spans="1:109" ht="12" customHeight="1" x14ac:dyDescent="0.2">
      <c r="B363" s="777"/>
      <c r="C363" s="777"/>
      <c r="D363" s="777"/>
      <c r="E363" s="777"/>
      <c r="F363" s="777"/>
      <c r="G363" s="777"/>
      <c r="H363" s="777"/>
      <c r="I363" s="777"/>
      <c r="J363" s="777"/>
      <c r="K363" s="777"/>
      <c r="L363" s="777"/>
      <c r="M363" s="777"/>
      <c r="N363" s="777"/>
      <c r="O363" s="777"/>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row>
    <row r="364" spans="1:109" ht="27" customHeight="1" x14ac:dyDescent="0.2">
      <c r="B364" s="864" t="s">
        <v>1367</v>
      </c>
      <c r="C364" s="865"/>
      <c r="D364" s="865"/>
      <c r="E364" s="865"/>
      <c r="F364" s="866"/>
      <c r="G364" s="907" t="s">
        <v>1495</v>
      </c>
      <c r="H364" s="945"/>
      <c r="I364" s="945"/>
      <c r="J364" s="946"/>
      <c r="K364" s="967"/>
      <c r="L364" s="968"/>
      <c r="M364" s="968"/>
      <c r="N364" s="968"/>
      <c r="O364" s="969"/>
      <c r="P364" s="755">
        <f>U378</f>
        <v>0</v>
      </c>
      <c r="R364" s="146" t="s">
        <v>1826</v>
      </c>
      <c r="S364" s="50" t="s">
        <v>1285</v>
      </c>
      <c r="T364" s="50" t="s">
        <v>1286</v>
      </c>
      <c r="U364" s="50" t="s">
        <v>1287</v>
      </c>
      <c r="V364" s="944" t="s">
        <v>786</v>
      </c>
      <c r="W364" s="945"/>
      <c r="X364" s="946"/>
      <c r="Y364" s="50" t="s">
        <v>498</v>
      </c>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row>
    <row r="365" spans="1:109" ht="15" customHeight="1" x14ac:dyDescent="0.2">
      <c r="B365" s="791" t="s">
        <v>615</v>
      </c>
      <c r="C365" s="791"/>
      <c r="D365" s="791"/>
      <c r="E365" s="755">
        <f>P309</f>
        <v>0</v>
      </c>
      <c r="F365" s="755"/>
      <c r="G365" s="923"/>
      <c r="H365" s="923"/>
      <c r="I365" s="929">
        <f t="shared" ref="I365" si="53">IF(AND(Y365&lt;0.01,Y365&gt;0),0.01,ROUND(Y365,2))</f>
        <v>0</v>
      </c>
      <c r="J365" s="929"/>
      <c r="K365" s="970"/>
      <c r="L365" s="971"/>
      <c r="M365" s="971"/>
      <c r="N365" s="971"/>
      <c r="O365" s="972"/>
      <c r="P365" s="755"/>
      <c r="R365" s="548">
        <f t="shared" ref="R365:R378" si="54">IF(I365&gt;0,I365,E365)</f>
        <v>0</v>
      </c>
      <c r="S365" s="147">
        <f>LARGE($R$365:$R$379,1)</f>
        <v>0</v>
      </c>
      <c r="T365" s="544">
        <f>S365+S366*(1-S365)</f>
        <v>0</v>
      </c>
      <c r="U365" s="548">
        <f t="shared" ref="U365:U378" si="55">ROUND(T365,2)</f>
        <v>0</v>
      </c>
      <c r="V365" s="50">
        <f>IF(E365&gt;0,1,0)</f>
        <v>0</v>
      </c>
      <c r="W365" s="50">
        <f>COUNTIF(V365:V379,1)</f>
        <v>0</v>
      </c>
      <c r="X365" s="50">
        <f>IF(AND(W365=0,W366&gt;0),1,IF(W365&gt;0,2,0))</f>
        <v>0</v>
      </c>
      <c r="Y365" s="291">
        <f t="shared" ref="Y365:Y378" si="56">E365*G365</f>
        <v>0</v>
      </c>
      <c r="AA365" s="10"/>
      <c r="AC365" s="10"/>
      <c r="AD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row>
    <row r="366" spans="1:109" ht="15" customHeight="1" x14ac:dyDescent="0.2">
      <c r="B366" s="791" t="s">
        <v>372</v>
      </c>
      <c r="C366" s="791"/>
      <c r="D366" s="791"/>
      <c r="E366" s="755">
        <f>P312</f>
        <v>0</v>
      </c>
      <c r="F366" s="755"/>
      <c r="G366" s="923"/>
      <c r="H366" s="923"/>
      <c r="I366" s="929">
        <f t="shared" ref="I366" si="57">IF(AND(Y366&lt;0.01,Y366&gt;0),0.01,ROUND(Y366,2))</f>
        <v>0</v>
      </c>
      <c r="J366" s="929"/>
      <c r="K366" s="970"/>
      <c r="L366" s="971"/>
      <c r="M366" s="971"/>
      <c r="N366" s="971"/>
      <c r="O366" s="972"/>
      <c r="P366" s="755"/>
      <c r="R366" s="548">
        <f t="shared" si="54"/>
        <v>0</v>
      </c>
      <c r="S366" s="147">
        <f>LARGE($R$365:$R$379,2)</f>
        <v>0</v>
      </c>
      <c r="T366" s="544">
        <f>U365+S367*(1-U365)</f>
        <v>0</v>
      </c>
      <c r="U366" s="548">
        <f t="shared" si="55"/>
        <v>0</v>
      </c>
      <c r="V366" s="50">
        <f>IF(E366&gt;0,2,0)</f>
        <v>0</v>
      </c>
      <c r="W366" s="50">
        <f>COUNTIF(V365:V379,2)</f>
        <v>0</v>
      </c>
      <c r="X366" s="10"/>
      <c r="Y366" s="291">
        <f t="shared" si="56"/>
        <v>0</v>
      </c>
      <c r="AA366" s="777"/>
      <c r="AB366" s="777"/>
      <c r="AC366" s="777"/>
      <c r="AD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row>
    <row r="367" spans="1:109" ht="15" customHeight="1" x14ac:dyDescent="0.2">
      <c r="B367" s="742" t="s">
        <v>1918</v>
      </c>
      <c r="C367" s="743"/>
      <c r="D367" s="744"/>
      <c r="E367" s="755">
        <f>IF(E615&gt;0,0,P316)</f>
        <v>0</v>
      </c>
      <c r="F367" s="755"/>
      <c r="G367" s="923"/>
      <c r="H367" s="923"/>
      <c r="I367" s="929">
        <f t="shared" ref="I367:I378" si="58">IF(AND(Y367&lt;0.01,Y367&gt;0),0.01,ROUND(Y367,2))</f>
        <v>0</v>
      </c>
      <c r="J367" s="929"/>
      <c r="K367" s="970"/>
      <c r="L367" s="971"/>
      <c r="M367" s="971"/>
      <c r="N367" s="971"/>
      <c r="O367" s="972"/>
      <c r="P367" s="755"/>
      <c r="R367" s="548">
        <f t="shared" si="54"/>
        <v>0</v>
      </c>
      <c r="S367" s="147">
        <f>LARGE($R$365:$R$379,3)</f>
        <v>0</v>
      </c>
      <c r="T367" s="544">
        <f>U366+S368*(1-U366)</f>
        <v>0</v>
      </c>
      <c r="U367" s="548">
        <f t="shared" si="55"/>
        <v>0</v>
      </c>
      <c r="V367" s="50">
        <f t="shared" ref="V367:V379" si="59">IF(E367&gt;0,1,0)</f>
        <v>0</v>
      </c>
      <c r="W367" s="10"/>
      <c r="X367" s="10"/>
      <c r="Y367" s="291">
        <f t="shared" si="56"/>
        <v>0</v>
      </c>
      <c r="Z367" s="10"/>
      <c r="AA367" s="777"/>
      <c r="AB367" s="777"/>
      <c r="AC367" s="777"/>
      <c r="AD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row>
    <row r="368" spans="1:109" ht="15" customHeight="1" x14ac:dyDescent="0.2">
      <c r="B368" s="791" t="s">
        <v>1389</v>
      </c>
      <c r="C368" s="791"/>
      <c r="D368" s="791"/>
      <c r="E368" s="755">
        <f>P333</f>
        <v>0</v>
      </c>
      <c r="F368" s="755"/>
      <c r="G368" s="923"/>
      <c r="H368" s="923"/>
      <c r="I368" s="929">
        <f t="shared" si="58"/>
        <v>0</v>
      </c>
      <c r="J368" s="929"/>
      <c r="K368" s="970"/>
      <c r="L368" s="971"/>
      <c r="M368" s="971"/>
      <c r="N368" s="971"/>
      <c r="O368" s="972"/>
      <c r="P368" s="755"/>
      <c r="R368" s="548">
        <f t="shared" si="54"/>
        <v>0</v>
      </c>
      <c r="S368" s="147">
        <f>LARGE($R$365:$R$379,4)</f>
        <v>0</v>
      </c>
      <c r="T368" s="544">
        <f t="shared" ref="T368:T378" si="60">U367+S369*(1-U367)</f>
        <v>0</v>
      </c>
      <c r="U368" s="548">
        <f t="shared" si="55"/>
        <v>0</v>
      </c>
      <c r="V368" s="50">
        <f t="shared" si="59"/>
        <v>0</v>
      </c>
      <c r="W368" s="10"/>
      <c r="X368" s="10"/>
      <c r="Y368" s="291">
        <f t="shared" si="56"/>
        <v>0</v>
      </c>
      <c r="Z368" s="597"/>
      <c r="AA368" s="777"/>
      <c r="AB368" s="777"/>
      <c r="AC368" s="777"/>
      <c r="AD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row>
    <row r="369" spans="2:109" ht="15" customHeight="1" x14ac:dyDescent="0.2">
      <c r="B369" s="742" t="s">
        <v>1390</v>
      </c>
      <c r="C369" s="743"/>
      <c r="D369" s="744"/>
      <c r="E369" s="755">
        <f>P334</f>
        <v>0</v>
      </c>
      <c r="F369" s="755"/>
      <c r="G369" s="923"/>
      <c r="H369" s="923"/>
      <c r="I369" s="929">
        <f t="shared" si="58"/>
        <v>0</v>
      </c>
      <c r="J369" s="929"/>
      <c r="K369" s="970"/>
      <c r="L369" s="971"/>
      <c r="M369" s="971"/>
      <c r="N369" s="971"/>
      <c r="O369" s="972"/>
      <c r="P369" s="755"/>
      <c r="R369" s="548">
        <f t="shared" si="54"/>
        <v>0</v>
      </c>
      <c r="S369" s="147">
        <f>LARGE($R$365:$R$379,5)</f>
        <v>0</v>
      </c>
      <c r="T369" s="544">
        <f t="shared" si="60"/>
        <v>0</v>
      </c>
      <c r="U369" s="548">
        <f t="shared" si="55"/>
        <v>0</v>
      </c>
      <c r="V369" s="50">
        <f t="shared" si="59"/>
        <v>0</v>
      </c>
      <c r="W369" s="10"/>
      <c r="X369" s="10"/>
      <c r="Y369" s="291">
        <f t="shared" si="56"/>
        <v>0</v>
      </c>
      <c r="Z369" s="597"/>
      <c r="AA369" s="777"/>
      <c r="AB369" s="777"/>
      <c r="AC369" s="777"/>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row>
    <row r="370" spans="2:109" ht="15" customHeight="1" x14ac:dyDescent="0.2">
      <c r="B370" s="742" t="s">
        <v>1391</v>
      </c>
      <c r="C370" s="743"/>
      <c r="D370" s="744"/>
      <c r="E370" s="755">
        <f>P335</f>
        <v>0</v>
      </c>
      <c r="F370" s="755"/>
      <c r="G370" s="923"/>
      <c r="H370" s="923"/>
      <c r="I370" s="929">
        <f t="shared" si="58"/>
        <v>0</v>
      </c>
      <c r="J370" s="929"/>
      <c r="K370" s="970"/>
      <c r="L370" s="971"/>
      <c r="M370" s="971"/>
      <c r="N370" s="971"/>
      <c r="O370" s="972"/>
      <c r="P370" s="755"/>
      <c r="R370" s="548">
        <f t="shared" si="54"/>
        <v>0</v>
      </c>
      <c r="S370" s="147">
        <f>LARGE($R$365:$R$379,6)</f>
        <v>0</v>
      </c>
      <c r="T370" s="544">
        <f t="shared" si="60"/>
        <v>0</v>
      </c>
      <c r="U370" s="548">
        <f t="shared" si="55"/>
        <v>0</v>
      </c>
      <c r="V370" s="50">
        <f t="shared" si="59"/>
        <v>0</v>
      </c>
      <c r="W370" s="10"/>
      <c r="X370" s="10"/>
      <c r="Y370" s="291">
        <f t="shared" si="56"/>
        <v>0</v>
      </c>
      <c r="Z370" s="597"/>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row>
    <row r="371" spans="2:109" ht="15" customHeight="1" x14ac:dyDescent="0.2">
      <c r="B371" s="742" t="s">
        <v>1392</v>
      </c>
      <c r="C371" s="743"/>
      <c r="D371" s="744"/>
      <c r="E371" s="755">
        <f>P336</f>
        <v>0</v>
      </c>
      <c r="F371" s="755"/>
      <c r="G371" s="923"/>
      <c r="H371" s="923"/>
      <c r="I371" s="929">
        <f t="shared" si="58"/>
        <v>0</v>
      </c>
      <c r="J371" s="929"/>
      <c r="K371" s="970"/>
      <c r="L371" s="971"/>
      <c r="M371" s="971"/>
      <c r="N371" s="971"/>
      <c r="O371" s="972"/>
      <c r="P371" s="755"/>
      <c r="R371" s="548">
        <f t="shared" si="54"/>
        <v>0</v>
      </c>
      <c r="S371" s="147">
        <f>LARGE($R$365:$R$379,7)</f>
        <v>0</v>
      </c>
      <c r="T371" s="544">
        <f t="shared" si="60"/>
        <v>0</v>
      </c>
      <c r="U371" s="548">
        <f t="shared" si="55"/>
        <v>0</v>
      </c>
      <c r="V371" s="50">
        <f t="shared" si="59"/>
        <v>0</v>
      </c>
      <c r="W371" s="10"/>
      <c r="X371" s="10"/>
      <c r="Y371" s="291">
        <f t="shared" si="56"/>
        <v>0</v>
      </c>
      <c r="Z371" s="597"/>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row>
    <row r="372" spans="2:109" ht="15" customHeight="1" x14ac:dyDescent="0.2">
      <c r="B372" s="791" t="s">
        <v>1945</v>
      </c>
      <c r="C372" s="791"/>
      <c r="D372" s="791"/>
      <c r="E372" s="755">
        <f>P345</f>
        <v>0</v>
      </c>
      <c r="F372" s="755"/>
      <c r="G372" s="923"/>
      <c r="H372" s="923"/>
      <c r="I372" s="929">
        <f t="shared" si="58"/>
        <v>0</v>
      </c>
      <c r="J372" s="929"/>
      <c r="K372" s="970"/>
      <c r="L372" s="971"/>
      <c r="M372" s="971"/>
      <c r="N372" s="971"/>
      <c r="O372" s="972"/>
      <c r="P372" s="755"/>
      <c r="R372" s="548">
        <f t="shared" si="54"/>
        <v>0</v>
      </c>
      <c r="S372" s="147">
        <f>LARGE($R$365:$R$379,8)</f>
        <v>0</v>
      </c>
      <c r="T372" s="544">
        <f t="shared" si="60"/>
        <v>0</v>
      </c>
      <c r="U372" s="548">
        <f t="shared" si="55"/>
        <v>0</v>
      </c>
      <c r="V372" s="50">
        <f t="shared" si="59"/>
        <v>0</v>
      </c>
      <c r="W372" s="10"/>
      <c r="X372" s="10"/>
      <c r="Y372" s="291">
        <f t="shared" si="56"/>
        <v>0</v>
      </c>
      <c r="Z372" s="597"/>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row>
    <row r="373" spans="2:109" ht="15" customHeight="1" x14ac:dyDescent="0.2">
      <c r="B373" s="791" t="s">
        <v>1208</v>
      </c>
      <c r="C373" s="791"/>
      <c r="D373" s="791"/>
      <c r="E373" s="755">
        <f>P350</f>
        <v>0</v>
      </c>
      <c r="F373" s="755"/>
      <c r="G373" s="923"/>
      <c r="H373" s="923"/>
      <c r="I373" s="929">
        <f t="shared" si="58"/>
        <v>0</v>
      </c>
      <c r="J373" s="929"/>
      <c r="K373" s="623"/>
      <c r="L373" s="624"/>
      <c r="M373" s="624"/>
      <c r="N373" s="624"/>
      <c r="O373" s="625"/>
      <c r="P373" s="755"/>
      <c r="R373" s="548">
        <f t="shared" si="54"/>
        <v>0</v>
      </c>
      <c r="S373" s="147">
        <f>LARGE($R$365:$R$379,9)</f>
        <v>0</v>
      </c>
      <c r="T373" s="544">
        <f t="shared" si="60"/>
        <v>0</v>
      </c>
      <c r="U373" s="548">
        <f t="shared" si="55"/>
        <v>0</v>
      </c>
      <c r="V373" s="50">
        <f t="shared" si="59"/>
        <v>0</v>
      </c>
      <c r="W373" s="10"/>
      <c r="X373" s="10"/>
      <c r="Y373" s="291">
        <f t="shared" si="56"/>
        <v>0</v>
      </c>
      <c r="Z373" s="73"/>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row>
    <row r="374" spans="2:109" ht="15" customHeight="1" x14ac:dyDescent="0.2">
      <c r="B374" s="791" t="s">
        <v>1214</v>
      </c>
      <c r="C374" s="791"/>
      <c r="D374" s="791"/>
      <c r="E374" s="755">
        <f>P352</f>
        <v>0</v>
      </c>
      <c r="F374" s="755"/>
      <c r="G374" s="923"/>
      <c r="H374" s="923"/>
      <c r="I374" s="929">
        <f t="shared" si="58"/>
        <v>0</v>
      </c>
      <c r="J374" s="929"/>
      <c r="K374" s="623"/>
      <c r="L374" s="624"/>
      <c r="M374" s="624"/>
      <c r="N374" s="624"/>
      <c r="O374" s="625"/>
      <c r="P374" s="755"/>
      <c r="R374" s="548">
        <f t="shared" si="54"/>
        <v>0</v>
      </c>
      <c r="S374" s="147">
        <f>LARGE($R$365:$R$379,10)</f>
        <v>0</v>
      </c>
      <c r="T374" s="544">
        <f t="shared" si="60"/>
        <v>0</v>
      </c>
      <c r="U374" s="548">
        <f t="shared" si="55"/>
        <v>0</v>
      </c>
      <c r="V374" s="50">
        <f t="shared" si="59"/>
        <v>0</v>
      </c>
      <c r="W374" s="10"/>
      <c r="X374" s="10"/>
      <c r="Y374" s="291">
        <f t="shared" si="56"/>
        <v>0</v>
      </c>
      <c r="Z374" s="73"/>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row>
    <row r="375" spans="2:109" ht="15" customHeight="1" x14ac:dyDescent="0.2">
      <c r="B375" s="791" t="s">
        <v>373</v>
      </c>
      <c r="C375" s="791"/>
      <c r="D375" s="791"/>
      <c r="E375" s="755">
        <f>P357</f>
        <v>0</v>
      </c>
      <c r="F375" s="755"/>
      <c r="G375" s="923"/>
      <c r="H375" s="923"/>
      <c r="I375" s="929">
        <f t="shared" si="58"/>
        <v>0</v>
      </c>
      <c r="J375" s="929"/>
      <c r="K375" s="915" t="str">
        <f>IF(AND(P316&gt;0,E615&gt;0),"A value has been granted for motor loss. Additional impairment value is not allowed for reduced ROM in the same extremity.","")</f>
        <v/>
      </c>
      <c r="L375" s="916"/>
      <c r="M375" s="916"/>
      <c r="N375" s="916"/>
      <c r="O375" s="917"/>
      <c r="P375" s="755"/>
      <c r="R375" s="548">
        <f t="shared" si="54"/>
        <v>0</v>
      </c>
      <c r="S375" s="147">
        <f>LARGE($R$365:$R$379,11)</f>
        <v>0</v>
      </c>
      <c r="T375" s="544">
        <f t="shared" si="60"/>
        <v>0</v>
      </c>
      <c r="U375" s="548">
        <f t="shared" si="55"/>
        <v>0</v>
      </c>
      <c r="V375" s="50">
        <f t="shared" si="59"/>
        <v>0</v>
      </c>
      <c r="W375" s="10"/>
      <c r="X375" s="10"/>
      <c r="Y375" s="291">
        <f t="shared" si="56"/>
        <v>0</v>
      </c>
      <c r="Z375" s="73"/>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row>
    <row r="376" spans="2:109" ht="15" customHeight="1" x14ac:dyDescent="0.2">
      <c r="B376" s="791" t="s">
        <v>374</v>
      </c>
      <c r="C376" s="791"/>
      <c r="D376" s="791"/>
      <c r="E376" s="755">
        <f>P358</f>
        <v>0</v>
      </c>
      <c r="F376" s="755"/>
      <c r="G376" s="923"/>
      <c r="H376" s="923"/>
      <c r="I376" s="929">
        <f t="shared" si="58"/>
        <v>0</v>
      </c>
      <c r="J376" s="929"/>
      <c r="K376" s="915"/>
      <c r="L376" s="916"/>
      <c r="M376" s="916"/>
      <c r="N376" s="916"/>
      <c r="O376" s="917"/>
      <c r="P376" s="755"/>
      <c r="R376" s="548">
        <f t="shared" si="54"/>
        <v>0</v>
      </c>
      <c r="S376" s="147">
        <f>LARGE($R$365:$R$379,12)</f>
        <v>0</v>
      </c>
      <c r="T376" s="544">
        <f t="shared" si="60"/>
        <v>0</v>
      </c>
      <c r="U376" s="548">
        <f t="shared" si="55"/>
        <v>0</v>
      </c>
      <c r="V376" s="50">
        <f t="shared" si="59"/>
        <v>0</v>
      </c>
      <c r="W376" s="10"/>
      <c r="X376" s="10"/>
      <c r="Y376" s="291">
        <f t="shared" si="56"/>
        <v>0</v>
      </c>
      <c r="Z376" s="57"/>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row>
    <row r="377" spans="2:109" ht="15" customHeight="1" x14ac:dyDescent="0.2">
      <c r="B377" s="791" t="s">
        <v>792</v>
      </c>
      <c r="C377" s="791"/>
      <c r="D377" s="791"/>
      <c r="E377" s="755">
        <f>P359</f>
        <v>0</v>
      </c>
      <c r="F377" s="755"/>
      <c r="G377" s="923"/>
      <c r="H377" s="923"/>
      <c r="I377" s="929">
        <f t="shared" si="58"/>
        <v>0</v>
      </c>
      <c r="J377" s="929"/>
      <c r="K377" s="915"/>
      <c r="L377" s="916"/>
      <c r="M377" s="916"/>
      <c r="N377" s="916"/>
      <c r="O377" s="917"/>
      <c r="P377" s="755"/>
      <c r="R377" s="548">
        <f t="shared" si="54"/>
        <v>0</v>
      </c>
      <c r="S377" s="147">
        <f>LARGE($R$365:$R$379,13)</f>
        <v>0</v>
      </c>
      <c r="T377" s="544">
        <f t="shared" si="60"/>
        <v>0</v>
      </c>
      <c r="U377" s="548">
        <f t="shared" si="55"/>
        <v>0</v>
      </c>
      <c r="V377" s="50">
        <f t="shared" si="59"/>
        <v>0</v>
      </c>
      <c r="W377" s="10"/>
      <c r="X377" s="10"/>
      <c r="Y377" s="291">
        <f t="shared" si="56"/>
        <v>0</v>
      </c>
      <c r="Z377" s="57"/>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row>
    <row r="378" spans="2:109" ht="15" customHeight="1" x14ac:dyDescent="0.2">
      <c r="B378" s="791" t="s">
        <v>1419</v>
      </c>
      <c r="C378" s="791"/>
      <c r="D378" s="791"/>
      <c r="E378" s="755">
        <f>P361</f>
        <v>0</v>
      </c>
      <c r="F378" s="755"/>
      <c r="G378" s="923"/>
      <c r="H378" s="923"/>
      <c r="I378" s="929">
        <f t="shared" si="58"/>
        <v>0</v>
      </c>
      <c r="J378" s="929"/>
      <c r="K378" s="915"/>
      <c r="L378" s="916"/>
      <c r="M378" s="916"/>
      <c r="N378" s="916"/>
      <c r="O378" s="917"/>
      <c r="P378" s="755"/>
      <c r="R378" s="548">
        <f t="shared" si="54"/>
        <v>0</v>
      </c>
      <c r="S378" s="147">
        <f>LARGE($R$365:$R$379,14)</f>
        <v>0</v>
      </c>
      <c r="T378" s="544">
        <f t="shared" si="60"/>
        <v>0</v>
      </c>
      <c r="U378" s="548">
        <f t="shared" si="55"/>
        <v>0</v>
      </c>
      <c r="V378" s="50">
        <f t="shared" si="59"/>
        <v>0</v>
      </c>
      <c r="W378" s="10"/>
      <c r="X378" s="10"/>
      <c r="Y378" s="291">
        <f t="shared" si="56"/>
        <v>0</v>
      </c>
      <c r="Z378" s="73"/>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row>
    <row r="379" spans="2:109" ht="15" customHeight="1" x14ac:dyDescent="0.2">
      <c r="B379" s="789" t="s">
        <v>1235</v>
      </c>
      <c r="C379" s="789"/>
      <c r="D379" s="789"/>
      <c r="E379" s="1022">
        <f>P362</f>
        <v>0</v>
      </c>
      <c r="F379" s="1022"/>
      <c r="G379" s="923"/>
      <c r="H379" s="923"/>
      <c r="I379" s="929">
        <f>IF(AND(Y379&lt;0.01,Y379&gt;0),0.01,ROUND(Y379,2))</f>
        <v>0</v>
      </c>
      <c r="J379" s="929"/>
      <c r="K379" s="918"/>
      <c r="L379" s="919"/>
      <c r="M379" s="919"/>
      <c r="N379" s="919"/>
      <c r="O379" s="920"/>
      <c r="P379" s="755"/>
      <c r="R379" s="548">
        <f>IF(I379&gt;0,I379,E379)</f>
        <v>0</v>
      </c>
      <c r="S379" s="147">
        <f>LARGE($R$365:$R$379,15)</f>
        <v>0</v>
      </c>
      <c r="T379" s="562"/>
      <c r="U379" s="548"/>
      <c r="V379" s="50">
        <f t="shared" si="59"/>
        <v>0</v>
      </c>
      <c r="W379" s="10"/>
      <c r="X379" s="10"/>
      <c r="Y379" s="291">
        <f t="shared" ref="Y379" si="61">E379*G379</f>
        <v>0</v>
      </c>
      <c r="Z379" s="73"/>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row>
    <row r="380" spans="2:109" ht="15" customHeight="1" x14ac:dyDescent="0.2">
      <c r="B380" s="956" t="s">
        <v>1368</v>
      </c>
      <c r="C380" s="956"/>
      <c r="D380" s="956"/>
      <c r="E380" s="956"/>
      <c r="F380" s="956"/>
      <c r="G380" s="956"/>
      <c r="H380" s="956"/>
      <c r="I380" s="956"/>
      <c r="J380" s="956"/>
      <c r="K380" s="956"/>
      <c r="L380" s="956"/>
      <c r="M380" s="956"/>
      <c r="N380" s="956"/>
      <c r="O380" s="956"/>
      <c r="P380" s="755"/>
      <c r="R380" s="14"/>
      <c r="S380" s="142"/>
      <c r="T380" s="128"/>
      <c r="U380" s="10"/>
      <c r="V380" s="10"/>
      <c r="W380" s="10"/>
      <c r="X380" s="10"/>
      <c r="Y380" s="73"/>
      <c r="Z380" s="73"/>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row>
    <row r="381" spans="2:109" ht="15" customHeight="1" x14ac:dyDescent="0.2">
      <c r="B381" s="777"/>
      <c r="C381" s="777"/>
      <c r="D381" s="777"/>
      <c r="E381" s="777"/>
      <c r="F381" s="777"/>
      <c r="G381" s="777"/>
      <c r="H381" s="777"/>
      <c r="I381" s="777"/>
      <c r="J381" s="777"/>
      <c r="K381" s="777"/>
      <c r="L381" s="777"/>
      <c r="M381" s="777"/>
      <c r="N381" s="777"/>
      <c r="O381" s="777"/>
      <c r="P381" s="777"/>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row>
    <row r="382" spans="2:109" ht="15" customHeight="1" x14ac:dyDescent="0.2">
      <c r="B382" s="1"/>
      <c r="D382" s="1"/>
      <c r="E382" s="1"/>
      <c r="F382" s="1"/>
      <c r="G382" s="1"/>
      <c r="H382" s="1"/>
      <c r="I382" s="1"/>
      <c r="J382" s="1"/>
      <c r="K382" s="1"/>
      <c r="L382" s="1"/>
      <c r="M382" s="1"/>
      <c r="N382" s="1"/>
      <c r="O382" s="1"/>
      <c r="P382" s="1"/>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row>
    <row r="383" spans="2:109" ht="18" customHeight="1" x14ac:dyDescent="0.2">
      <c r="B383" s="895" t="s">
        <v>1369</v>
      </c>
      <c r="C383" s="1106"/>
      <c r="D383" s="1106"/>
      <c r="E383" s="1106"/>
      <c r="F383" s="1106"/>
      <c r="G383" s="1106"/>
      <c r="H383" s="1106"/>
      <c r="I383" s="1106"/>
      <c r="J383" s="1106"/>
      <c r="K383" s="1106"/>
      <c r="L383" s="1106"/>
      <c r="M383" s="1106"/>
      <c r="N383" s="1106"/>
      <c r="O383" s="1106"/>
      <c r="P383" s="1107"/>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row>
    <row r="384" spans="2:109" ht="18" customHeight="1" x14ac:dyDescent="0.2">
      <c r="B384" s="791" t="s">
        <v>141</v>
      </c>
      <c r="C384" s="791"/>
      <c r="D384" s="791"/>
      <c r="E384" s="791"/>
      <c r="F384" s="791"/>
      <c r="G384" s="791"/>
      <c r="H384" s="791"/>
      <c r="I384" s="791"/>
      <c r="J384" s="791"/>
      <c r="K384" s="791"/>
      <c r="L384" s="791"/>
      <c r="M384" s="791"/>
      <c r="N384" s="791"/>
      <c r="O384" s="791"/>
      <c r="P384" s="146"/>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row>
    <row r="385" spans="1:109" ht="21" customHeight="1" x14ac:dyDescent="0.2">
      <c r="A385" s="15"/>
      <c r="B385" s="1002"/>
      <c r="C385" s="1002"/>
      <c r="D385" s="1002"/>
      <c r="E385" s="1002"/>
      <c r="F385" s="1002"/>
      <c r="G385" s="1002"/>
      <c r="H385" s="1002"/>
      <c r="I385" s="1002"/>
      <c r="J385" s="1002"/>
      <c r="K385" s="1002"/>
      <c r="L385" s="1002"/>
      <c r="M385" s="1002"/>
      <c r="N385" s="1002"/>
      <c r="O385" s="1002"/>
      <c r="P385" s="21">
        <f>IF(R385&gt;1,1,0)</f>
        <v>0</v>
      </c>
      <c r="R385" s="570">
        <v>1</v>
      </c>
      <c r="S385" s="14"/>
      <c r="T385" s="14"/>
      <c r="U385" s="10"/>
      <c r="V385" s="14"/>
      <c r="W385" s="143">
        <v>1E-4</v>
      </c>
      <c r="X385" s="14"/>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row>
    <row r="386" spans="1:109" ht="18" customHeight="1" x14ac:dyDescent="0.2">
      <c r="A386" s="15"/>
      <c r="B386" s="791" t="s">
        <v>1591</v>
      </c>
      <c r="C386" s="791"/>
      <c r="D386" s="791"/>
      <c r="E386" s="791"/>
      <c r="F386" s="1002"/>
      <c r="G386" s="1002"/>
      <c r="H386" s="791" t="s">
        <v>701</v>
      </c>
      <c r="I386" s="791"/>
      <c r="J386" s="791"/>
      <c r="K386" s="791"/>
      <c r="L386" s="791"/>
      <c r="M386" s="791"/>
      <c r="N386" s="791"/>
      <c r="O386" s="791"/>
      <c r="P386" s="21">
        <f>IF($P$385&gt;0,0,IF(S386=1,0.1,0))</f>
        <v>0</v>
      </c>
      <c r="R386" s="546" t="b">
        <v>0</v>
      </c>
      <c r="S386" s="571">
        <f>IF(R386=TRUE,1,0)</f>
        <v>0</v>
      </c>
      <c r="T386" s="10"/>
      <c r="U386" s="10"/>
      <c r="V386" s="10"/>
      <c r="W386" s="10">
        <v>1E-4</v>
      </c>
      <c r="X386" s="10"/>
      <c r="Y386" s="135"/>
      <c r="Z386" s="724"/>
      <c r="AA386" s="724"/>
      <c r="AB386" s="724"/>
      <c r="AC386" s="10"/>
      <c r="AD386" s="10"/>
      <c r="AE386" s="10"/>
      <c r="AF386" s="10"/>
      <c r="AG386" s="10"/>
      <c r="AH386" s="10"/>
      <c r="AI386" s="94"/>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row>
    <row r="387" spans="1:109" ht="18" customHeight="1" x14ac:dyDescent="0.2">
      <c r="B387" s="1086" t="str">
        <f>IF(AND(P385=1,T389&gt;0),"ERROR: Hand loss has occurred proximal to the metacarpals. Uncheck boxes at right.","")</f>
        <v/>
      </c>
      <c r="C387" s="1086"/>
      <c r="D387" s="1086"/>
      <c r="E387" s="1086"/>
      <c r="F387" s="1002"/>
      <c r="G387" s="1002"/>
      <c r="H387" s="791" t="s">
        <v>1239</v>
      </c>
      <c r="I387" s="791"/>
      <c r="J387" s="791"/>
      <c r="K387" s="791"/>
      <c r="L387" s="791"/>
      <c r="M387" s="791"/>
      <c r="N387" s="791"/>
      <c r="O387" s="791"/>
      <c r="P387" s="21">
        <f>IF($P$385&gt;0,0,IF(S387=1,0.1,0))</f>
        <v>0</v>
      </c>
      <c r="R387" s="546" t="b">
        <v>0</v>
      </c>
      <c r="S387" s="571">
        <f>IF(R387=TRUE,1,0)</f>
        <v>0</v>
      </c>
      <c r="T387" s="567" t="s">
        <v>1240</v>
      </c>
      <c r="U387" s="10"/>
      <c r="V387" s="10"/>
      <c r="W387" s="10"/>
      <c r="X387" s="10"/>
      <c r="Y387" s="135"/>
      <c r="Z387" s="10"/>
      <c r="AA387" s="10"/>
      <c r="AB387" s="10"/>
      <c r="AC387" s="10"/>
      <c r="AD387" s="10"/>
      <c r="AE387" s="10"/>
      <c r="AF387" s="10"/>
      <c r="AG387" s="10"/>
      <c r="AH387" s="10"/>
      <c r="AI387" s="94"/>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row>
    <row r="388" spans="1:109" ht="18" customHeight="1" x14ac:dyDescent="0.2">
      <c r="B388" s="1086"/>
      <c r="C388" s="1086"/>
      <c r="D388" s="1086"/>
      <c r="E388" s="1086"/>
      <c r="F388" s="1002"/>
      <c r="G388" s="1002"/>
      <c r="H388" s="791" t="s">
        <v>1241</v>
      </c>
      <c r="I388" s="791"/>
      <c r="J388" s="791"/>
      <c r="K388" s="791"/>
      <c r="L388" s="791"/>
      <c r="M388" s="791"/>
      <c r="N388" s="791"/>
      <c r="O388" s="791"/>
      <c r="P388" s="21">
        <f>IF($P$385&gt;0,0,IF(S388=1,0.1,0))</f>
        <v>0</v>
      </c>
      <c r="R388" s="546" t="b">
        <v>0</v>
      </c>
      <c r="S388" s="571">
        <f>IF(R388=TRUE,1,0)</f>
        <v>0</v>
      </c>
      <c r="T388" s="567" t="s">
        <v>1242</v>
      </c>
      <c r="U388" s="10"/>
      <c r="V388" s="10"/>
      <c r="W388" s="10"/>
      <c r="X388" s="10"/>
      <c r="Y388" s="135"/>
      <c r="Z388" s="10"/>
      <c r="AA388" s="10"/>
      <c r="AB388" s="10"/>
      <c r="AC388" s="10"/>
      <c r="AD388" s="10"/>
      <c r="AE388" s="10"/>
      <c r="AF388" s="10"/>
      <c r="AG388" s="10"/>
      <c r="AH388" s="10"/>
      <c r="AI388" s="94"/>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row>
    <row r="389" spans="1:109" ht="18" customHeight="1" x14ac:dyDescent="0.2">
      <c r="B389" s="1086"/>
      <c r="C389" s="1086"/>
      <c r="D389" s="1086"/>
      <c r="E389" s="1086"/>
      <c r="F389" s="1002"/>
      <c r="G389" s="1002"/>
      <c r="H389" s="791" t="s">
        <v>1243</v>
      </c>
      <c r="I389" s="791"/>
      <c r="J389" s="791"/>
      <c r="K389" s="791"/>
      <c r="L389" s="791"/>
      <c r="M389" s="791"/>
      <c r="N389" s="791"/>
      <c r="O389" s="791"/>
      <c r="P389" s="21">
        <f>IF($P$385&gt;0,0,IF(S389=1,0.1,0))</f>
        <v>0</v>
      </c>
      <c r="R389" s="546" t="b">
        <v>0</v>
      </c>
      <c r="S389" s="571">
        <f>IF(R389=TRUE,1,0)</f>
        <v>0</v>
      </c>
      <c r="T389" s="567">
        <f>IF(OR(S386=1,S387=1,S388=1,S389=1,S390=1),1,0)</f>
        <v>0</v>
      </c>
      <c r="U389" s="10"/>
      <c r="V389" s="10"/>
      <c r="W389" s="10"/>
      <c r="X389" s="10"/>
      <c r="Y389" s="10"/>
      <c r="Z389" s="10"/>
      <c r="AA389" s="10"/>
      <c r="AB389" s="10"/>
      <c r="AC389" s="10"/>
      <c r="AD389" s="10"/>
      <c r="AE389" s="10"/>
      <c r="AF389" s="10"/>
      <c r="AG389" s="10"/>
      <c r="AH389" s="10"/>
      <c r="AI389" s="94"/>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row>
    <row r="390" spans="1:109" ht="18" customHeight="1" x14ac:dyDescent="0.2">
      <c r="B390" s="1086"/>
      <c r="C390" s="1086"/>
      <c r="D390" s="1086"/>
      <c r="E390" s="1086"/>
      <c r="F390" s="1002"/>
      <c r="G390" s="1002"/>
      <c r="H390" s="791" t="s">
        <v>878</v>
      </c>
      <c r="I390" s="791"/>
      <c r="J390" s="791"/>
      <c r="K390" s="791"/>
      <c r="L390" s="791"/>
      <c r="M390" s="791"/>
      <c r="N390" s="791"/>
      <c r="O390" s="791"/>
      <c r="P390" s="21">
        <f>IF($P$385&gt;0,0,IF(S390=1,0.1,0))</f>
        <v>0</v>
      </c>
      <c r="R390" s="546" t="b">
        <v>0</v>
      </c>
      <c r="S390" s="571">
        <f>IF(R390=TRUE,1,0)</f>
        <v>0</v>
      </c>
      <c r="T390" s="10"/>
      <c r="U390" s="10"/>
      <c r="V390" s="10"/>
      <c r="W390" s="10"/>
      <c r="X390" s="10"/>
      <c r="Y390" s="135"/>
      <c r="Z390" s="10"/>
      <c r="AA390" s="10"/>
      <c r="AB390" s="10"/>
      <c r="AC390" s="10"/>
      <c r="AD390" s="10"/>
      <c r="AE390" s="10"/>
      <c r="AF390" s="10"/>
      <c r="AG390" s="10"/>
      <c r="AH390" s="10"/>
      <c r="AI390" s="94"/>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row>
    <row r="391" spans="1:109" ht="12" customHeight="1" x14ac:dyDescent="0.2">
      <c r="B391" s="777"/>
      <c r="C391" s="777"/>
      <c r="D391" s="777"/>
      <c r="E391" s="777"/>
      <c r="F391" s="777"/>
      <c r="G391" s="777"/>
      <c r="H391" s="777"/>
      <c r="I391" s="777"/>
      <c r="J391" s="777"/>
      <c r="K391" s="777"/>
      <c r="L391" s="777"/>
      <c r="M391" s="777"/>
      <c r="N391" s="777"/>
      <c r="O391" s="777"/>
      <c r="P391" s="1"/>
      <c r="R391" s="10"/>
      <c r="S391" s="10"/>
      <c r="T391" s="10"/>
      <c r="U391" s="10"/>
      <c r="V391" s="10"/>
      <c r="W391" s="10"/>
      <c r="X391" s="10"/>
      <c r="Y391" s="10"/>
      <c r="Z391" s="10"/>
      <c r="AA391" s="10"/>
      <c r="AB391" s="10"/>
      <c r="AC391" s="10"/>
      <c r="AD391" s="10"/>
      <c r="AE391" s="10"/>
      <c r="AF391" s="10"/>
      <c r="AG391" s="10"/>
      <c r="AH391" s="10"/>
      <c r="AI391" s="94"/>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row>
    <row r="392" spans="1:109" ht="18" customHeight="1" x14ac:dyDescent="0.2">
      <c r="B392" s="910" t="s">
        <v>1563</v>
      </c>
      <c r="C392" s="910"/>
      <c r="D392" s="910"/>
      <c r="E392" s="910"/>
      <c r="F392" s="910"/>
      <c r="G392" s="910"/>
      <c r="H392" s="910"/>
      <c r="I392" s="910"/>
      <c r="J392" s="910"/>
      <c r="K392" s="910"/>
      <c r="L392" s="910"/>
      <c r="M392" s="910"/>
      <c r="N392" s="910"/>
      <c r="O392" s="910"/>
      <c r="P392" s="830"/>
      <c r="R392" s="10"/>
      <c r="S392" s="10"/>
      <c r="T392" s="907" t="s">
        <v>2141</v>
      </c>
      <c r="U392" s="908"/>
      <c r="V392" s="10"/>
      <c r="W392" s="10"/>
      <c r="X392" s="10"/>
      <c r="Y392" s="10"/>
      <c r="Z392" s="10"/>
      <c r="AA392" s="10"/>
      <c r="AB392" s="10"/>
      <c r="AC392" s="10"/>
      <c r="AD392" s="10"/>
      <c r="AE392" s="10"/>
      <c r="AF392" s="10"/>
      <c r="AG392" s="10"/>
      <c r="AH392" s="10"/>
      <c r="AI392" s="10"/>
      <c r="AJ392" s="761" t="s">
        <v>678</v>
      </c>
      <c r="AK392" s="761" t="s">
        <v>679</v>
      </c>
      <c r="AL392" s="761" t="s">
        <v>879</v>
      </c>
      <c r="AM392" s="761" t="s">
        <v>880</v>
      </c>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row>
    <row r="393" spans="1:109" ht="27" customHeight="1" x14ac:dyDescent="0.2">
      <c r="B393" s="18" t="s">
        <v>715</v>
      </c>
      <c r="C393" s="910" t="s">
        <v>1564</v>
      </c>
      <c r="D393" s="910"/>
      <c r="E393" s="910"/>
      <c r="F393" s="910"/>
      <c r="G393" s="912" t="s">
        <v>882</v>
      </c>
      <c r="H393" s="912"/>
      <c r="I393" s="912"/>
      <c r="J393" s="912"/>
      <c r="K393" s="910"/>
      <c r="L393" s="910"/>
      <c r="M393" s="910"/>
      <c r="N393" s="910"/>
      <c r="O393" s="910"/>
      <c r="P393" s="831"/>
      <c r="R393" s="10"/>
      <c r="S393" s="50" t="s">
        <v>1622</v>
      </c>
      <c r="T393" s="127" t="s">
        <v>1564</v>
      </c>
      <c r="U393" s="127" t="s">
        <v>1565</v>
      </c>
      <c r="V393" s="944" t="s">
        <v>1066</v>
      </c>
      <c r="W393" s="945"/>
      <c r="X393" s="945"/>
      <c r="Y393" s="946"/>
      <c r="Z393" s="10"/>
      <c r="AA393" s="10"/>
      <c r="AB393" s="10"/>
      <c r="AC393" s="10"/>
      <c r="AD393" s="10"/>
      <c r="AE393" s="10"/>
      <c r="AF393" s="10"/>
      <c r="AG393" s="10"/>
      <c r="AH393" s="10"/>
      <c r="AI393" s="10"/>
      <c r="AJ393" s="761"/>
      <c r="AK393" s="761"/>
      <c r="AL393" s="761"/>
      <c r="AM393" s="761"/>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row>
    <row r="394" spans="1:109" ht="13.5" customHeight="1" x14ac:dyDescent="0.2">
      <c r="B394" s="146" t="s">
        <v>883</v>
      </c>
      <c r="C394" s="730"/>
      <c r="D394" s="820"/>
      <c r="E394" s="921">
        <f>UETable!AV64</f>
        <v>0</v>
      </c>
      <c r="F394" s="921"/>
      <c r="G394" s="730"/>
      <c r="H394" s="820"/>
      <c r="I394" s="936">
        <f>IF(C394="",0,IF(OR(C394&lt;=0,G394&lt;=0),E394,IF(G394&lt;C394,0,UETable!BA64)))</f>
        <v>0</v>
      </c>
      <c r="J394" s="936"/>
      <c r="K394" s="930" t="str">
        <f>IF(OR(C394="NA",G394="NA"),"",IF(AND(C394&lt;&gt;"",G394=""),"Enter contralateral or NA.",IF(AND(C394="",G394&lt;&gt;""),"Need data","")))</f>
        <v/>
      </c>
      <c r="L394" s="930"/>
      <c r="M394" s="930"/>
      <c r="N394" s="930"/>
      <c r="O394" s="930"/>
      <c r="P394" s="831"/>
      <c r="R394" s="131"/>
      <c r="S394" s="50">
        <v>15</v>
      </c>
      <c r="T394" s="50" t="str">
        <f>IF(OR(C394="",C394="NA"),"",IF(C394&gt;S394,S394,IF(C394&lt;0,0,C394)))</f>
        <v/>
      </c>
      <c r="U394" s="50" t="str">
        <f>IF(OR(G394="",G394="NA"),"",IF(G394&gt;S394,S394,IF(G394&lt;0,0,G394)))</f>
        <v/>
      </c>
      <c r="V394" s="553" t="str">
        <f>IF(Y394="","",ROUND(Y394,0))</f>
        <v/>
      </c>
      <c r="W394" s="782"/>
      <c r="X394" s="784"/>
      <c r="Y394" s="554" t="str">
        <f>IF(T394="","",IF(OR(U394="",U394=0,U394&lt;T394),T394,(T394*15)/U394))</f>
        <v/>
      </c>
      <c r="Z394" s="10"/>
      <c r="AA394" s="10"/>
      <c r="AB394" s="10"/>
      <c r="AC394" s="10"/>
      <c r="AD394" s="10"/>
      <c r="AE394" s="10"/>
      <c r="AF394" s="10"/>
      <c r="AG394" s="10"/>
      <c r="AH394" s="10"/>
      <c r="AI394" s="10"/>
      <c r="AJ394" s="761"/>
      <c r="AK394" s="761"/>
      <c r="AL394" s="761"/>
      <c r="AM394" s="761"/>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row>
    <row r="395" spans="1:109" ht="13.5" customHeight="1" x14ac:dyDescent="0.2">
      <c r="B395" s="146" t="s">
        <v>884</v>
      </c>
      <c r="C395" s="730"/>
      <c r="D395" s="820"/>
      <c r="E395" s="921">
        <f>UETable!AV65</f>
        <v>0</v>
      </c>
      <c r="F395" s="921"/>
      <c r="G395" s="730"/>
      <c r="H395" s="820"/>
      <c r="I395" s="936">
        <f>IF(C395="",0,IF(OR(C395&lt;=0,G395&lt;=0),E395,IF(G395&lt;C395,0,UETable!BA65)))</f>
        <v>0</v>
      </c>
      <c r="J395" s="936"/>
      <c r="K395" s="930" t="str">
        <f>IF(OR(C395="NA",G395="NA"),"",IF(AND(C395&lt;&gt;"",G395=""),"Enter contralateral or NA.",IF(AND(C395="",G395&lt;&gt;""),"Need data","")))</f>
        <v/>
      </c>
      <c r="L395" s="930"/>
      <c r="M395" s="930"/>
      <c r="N395" s="930"/>
      <c r="O395" s="930"/>
      <c r="P395" s="831"/>
      <c r="R395" s="95"/>
      <c r="S395" s="50">
        <v>30</v>
      </c>
      <c r="T395" s="566" t="str">
        <f>IF(OR(C395="",C395="NA"),"",IF(C395&gt;S395,S395,IF(C395&lt;0,0,C395)))</f>
        <v/>
      </c>
      <c r="U395" s="50" t="str">
        <f>IF(OR(G395="",G395="NA"),"",IF(G395&gt;S395,S395,IF(G395&lt;0,0,G395)))</f>
        <v/>
      </c>
      <c r="V395" s="572" t="str">
        <f>IF(Y395="","",ROUND(Y395,0))</f>
        <v/>
      </c>
      <c r="W395" s="569"/>
      <c r="X395" s="189"/>
      <c r="Y395" s="573" t="str">
        <f>IF(T395="","",IF(OR(U395="",U395=0,U395&lt;T395),T395,(T395*30)/U395))</f>
        <v/>
      </c>
      <c r="Z395" s="10"/>
      <c r="AA395" s="10"/>
      <c r="AB395" s="61"/>
      <c r="AC395" s="192">
        <f>MAX(E396,E397)</f>
        <v>0</v>
      </c>
      <c r="AD395" s="791" t="s">
        <v>1902</v>
      </c>
      <c r="AE395" s="791"/>
      <c r="AF395" s="791"/>
      <c r="AG395" s="791"/>
      <c r="AH395" s="10"/>
      <c r="AI395" s="10"/>
      <c r="AJ395" s="761"/>
      <c r="AK395" s="761"/>
      <c r="AL395" s="761"/>
      <c r="AM395" s="761"/>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row>
    <row r="396" spans="1:109" ht="13.5" customHeight="1" x14ac:dyDescent="0.2">
      <c r="B396" s="146" t="s">
        <v>885</v>
      </c>
      <c r="C396" s="730"/>
      <c r="D396" s="820"/>
      <c r="E396" s="921">
        <f>IF(AND($AJ$396=1,$AK$396=1),"ERROR",UETable!AV66)</f>
        <v>0</v>
      </c>
      <c r="F396" s="921"/>
      <c r="G396" s="1110" t="str">
        <f>IF(AND($AK$396=1,$AJ$396=1),"Cannot rate ROM and ankylosis.",IF(AND($E$396&gt;0,$E$397&gt;0),"Multiple ankylosis values; use higher value only.",""))</f>
        <v/>
      </c>
      <c r="H396" s="1110"/>
      <c r="I396" s="1110"/>
      <c r="J396" s="1110"/>
      <c r="K396" s="1110"/>
      <c r="L396" s="1110"/>
      <c r="M396" s="1110"/>
      <c r="N396" s="1110"/>
      <c r="O396" s="1110"/>
      <c r="P396" s="831"/>
      <c r="R396" s="10"/>
      <c r="S396" s="50">
        <v>15</v>
      </c>
      <c r="T396" s="566" t="str">
        <f>IF(OR(C396="",C396="NA"),"",IF(C396&gt;S396,S396,IF(C396&lt;0,0,C396)))</f>
        <v/>
      </c>
      <c r="U396" s="10"/>
      <c r="V396" s="944" t="s">
        <v>2142</v>
      </c>
      <c r="W396" s="945"/>
      <c r="X396" s="945"/>
      <c r="Y396" s="946"/>
      <c r="AB396" s="10"/>
      <c r="AC396" s="193">
        <f>IF(AND(AJ396=1,AK396=1),"ERROR",I394+I395+AC395)</f>
        <v>0</v>
      </c>
      <c r="AD396" s="791" t="s">
        <v>886</v>
      </c>
      <c r="AE396" s="791"/>
      <c r="AF396" s="791"/>
      <c r="AG396" s="791"/>
      <c r="AH396" s="10"/>
      <c r="AI396" s="10"/>
      <c r="AJ396" s="50">
        <f>IF(OR(V397=1,W397=1),1,0)</f>
        <v>0</v>
      </c>
      <c r="AK396" s="50">
        <f>IF(OR(X397=1,Y397=1),1,0)</f>
        <v>0</v>
      </c>
      <c r="AL396" s="50">
        <f>SUM(V397,W397)</f>
        <v>0</v>
      </c>
      <c r="AM396" s="50">
        <f>IF(AL396=1,1,0)</f>
        <v>0</v>
      </c>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row>
    <row r="397" spans="1:109" ht="13.5" customHeight="1" x14ac:dyDescent="0.2">
      <c r="B397" s="146" t="s">
        <v>887</v>
      </c>
      <c r="C397" s="730"/>
      <c r="D397" s="820"/>
      <c r="E397" s="921">
        <f>IF(AND($AJ$396=1,$AK$396=1),"ERROR",UETable!AV67)</f>
        <v>0</v>
      </c>
      <c r="F397" s="921"/>
      <c r="G397" s="1110" t="str">
        <f>IF(AND($AK$396=1,$AJ$396=1),"Cannot rate ROM and ankylosis.",IF(AND($E$396&gt;0,$E$397&gt;0),"Multiple ankylosis values; use higher value only.",""))</f>
        <v/>
      </c>
      <c r="H397" s="1110"/>
      <c r="I397" s="1110"/>
      <c r="J397" s="1110"/>
      <c r="K397" s="1110"/>
      <c r="L397" s="1110"/>
      <c r="M397" s="1110"/>
      <c r="N397" s="1110"/>
      <c r="O397" s="1110"/>
      <c r="P397" s="832"/>
      <c r="R397" s="10"/>
      <c r="S397" s="50">
        <v>30</v>
      </c>
      <c r="T397" s="566" t="str">
        <f>IF(OR(C397="",C397="NA"),"",IF(C397&gt;S397,S397,IF(C397&lt;0,0,C397)))</f>
        <v/>
      </c>
      <c r="U397" s="10"/>
      <c r="V397" s="50">
        <f>IF(AND(C394&lt;&gt;"",C394&lt;&gt;"NA"),1,0)</f>
        <v>0</v>
      </c>
      <c r="W397" s="50">
        <f>IF(AND(C395&lt;&gt;"",C395&lt;&gt;"NA"),1,0)</f>
        <v>0</v>
      </c>
      <c r="X397" s="50">
        <f>IF(AND(C396&lt;&gt;"",C396&lt;&gt;"NA"),1,0)</f>
        <v>0</v>
      </c>
      <c r="Y397" s="50">
        <f>IF(AND(C397&lt;&gt;"",C397&lt;&gt;"NA"),1,0)</f>
        <v>0</v>
      </c>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row>
    <row r="398" spans="1:109" ht="13.5" customHeight="1" x14ac:dyDescent="0.2">
      <c r="B398" s="944"/>
      <c r="C398" s="945"/>
      <c r="D398" s="945"/>
      <c r="E398" s="945"/>
      <c r="F398" s="945"/>
      <c r="G398" s="1006" t="s">
        <v>716</v>
      </c>
      <c r="H398" s="1007"/>
      <c r="I398" s="1007"/>
      <c r="J398" s="1007"/>
      <c r="K398" s="1007"/>
      <c r="L398" s="1007"/>
      <c r="M398" s="1007"/>
      <c r="N398" s="1007"/>
      <c r="O398" s="1008"/>
      <c r="P398" s="296">
        <f>IF(AND(AJ396=1,AK396=1),"ERROR",IF(AND(AC396&gt;0,AC396&lt;0.01),0.01,ROUND(AC396,2)))</f>
        <v>0</v>
      </c>
      <c r="R398" s="136"/>
      <c r="S398" s="576"/>
      <c r="T398" s="10"/>
      <c r="U398" s="10"/>
      <c r="V398" s="10"/>
      <c r="W398" s="10"/>
      <c r="X398" s="10"/>
      <c r="Y398" s="189"/>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row>
    <row r="399" spans="1:109" ht="27" customHeight="1" x14ac:dyDescent="0.2">
      <c r="B399" s="18" t="s">
        <v>717</v>
      </c>
      <c r="C399" s="910" t="s">
        <v>1564</v>
      </c>
      <c r="D399" s="910"/>
      <c r="E399" s="910"/>
      <c r="F399" s="910"/>
      <c r="G399" s="912" t="s">
        <v>882</v>
      </c>
      <c r="H399" s="912"/>
      <c r="I399" s="912"/>
      <c r="J399" s="912"/>
      <c r="K399" s="910"/>
      <c r="L399" s="910"/>
      <c r="M399" s="910"/>
      <c r="N399" s="910"/>
      <c r="O399" s="910"/>
      <c r="P399" s="830"/>
      <c r="R399" s="10"/>
      <c r="S399" s="569"/>
      <c r="T399" s="10"/>
      <c r="U399" s="10"/>
      <c r="V399" s="10"/>
      <c r="W399" s="10"/>
      <c r="X399" s="10"/>
      <c r="Y399" s="189"/>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row>
    <row r="400" spans="1:109" ht="13.5" customHeight="1" x14ac:dyDescent="0.2">
      <c r="B400" s="147" t="s">
        <v>890</v>
      </c>
      <c r="C400" s="694"/>
      <c r="D400" s="694"/>
      <c r="E400" s="921">
        <f>UETable!AV70</f>
        <v>0</v>
      </c>
      <c r="F400" s="921"/>
      <c r="G400" s="694"/>
      <c r="H400" s="694"/>
      <c r="I400" s="936">
        <f>IF(C400="",0,IF(OR(C400&lt;=0,G400&lt;=0),E400,IF(G400&lt;C400,0,UETable!BA70)))</f>
        <v>0</v>
      </c>
      <c r="J400" s="936"/>
      <c r="K400" s="930" t="str">
        <f>IF(OR(C400="NA",G400="NA"),"",IF(AND(C400&lt;&gt;"",G400=""),"Enter contralateral or NA.",IF(AND(C400="",G400&lt;&gt;""),"Need data","")))</f>
        <v/>
      </c>
      <c r="L400" s="930"/>
      <c r="M400" s="930"/>
      <c r="N400" s="930"/>
      <c r="O400" s="930"/>
      <c r="P400" s="831"/>
      <c r="R400" s="131"/>
      <c r="S400" s="50">
        <v>60</v>
      </c>
      <c r="T400" s="50" t="str">
        <f t="shared" ref="T400:T407" si="62">IF(OR(C400="",C400="NA"),"",IF(C400&gt;S400,S400,IF(C400&lt;0,0,C400)))</f>
        <v/>
      </c>
      <c r="U400" s="50" t="str">
        <f>IF(OR(G400="",G400="NA"),"",IF(G400&gt;S400,S400,IF(G400&lt;0,0,G400)))</f>
        <v/>
      </c>
      <c r="V400" s="553" t="str">
        <f>IF(Y400="","",ROUND(Y400,0))</f>
        <v/>
      </c>
      <c r="W400" s="724"/>
      <c r="X400" s="724"/>
      <c r="Y400" s="554" t="str">
        <f>IF(T400="","",IF(OR(U400="",U400=0,U400&lt;T400),T400,(T400*60)/U400))</f>
        <v/>
      </c>
      <c r="Z400" s="10"/>
      <c r="AA400" s="10"/>
      <c r="AB400" s="10"/>
      <c r="AC400" s="10"/>
      <c r="AD400" s="10"/>
      <c r="AE400" s="10"/>
      <c r="AF400" s="10"/>
      <c r="AG400" s="10"/>
      <c r="AH400" s="10"/>
      <c r="AI400" s="94"/>
      <c r="AJ400" s="791" t="s">
        <v>2291</v>
      </c>
      <c r="AK400" s="791"/>
      <c r="AL400" s="791"/>
      <c r="AM400" s="791"/>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row>
    <row r="401" spans="1:109" ht="13.5" customHeight="1" x14ac:dyDescent="0.2">
      <c r="B401" s="147" t="s">
        <v>1187</v>
      </c>
      <c r="C401" s="694"/>
      <c r="D401" s="694"/>
      <c r="E401" s="921">
        <f>IF(AND($AJ$407=1,$AK$407=1),"ERROR",UETable!AV71)</f>
        <v>0</v>
      </c>
      <c r="F401" s="921"/>
      <c r="G401" s="930" t="str">
        <f>IF(AND($AK$407=1,$AJ$407=1),"Cannot rate ROM and ankylosis.",IF($AN$407&gt;1,"Multiple ankylosis values; use highest value only.",""))</f>
        <v/>
      </c>
      <c r="H401" s="930"/>
      <c r="I401" s="930"/>
      <c r="J401" s="930"/>
      <c r="K401" s="930"/>
      <c r="L401" s="930"/>
      <c r="M401" s="930"/>
      <c r="N401" s="930"/>
      <c r="O401" s="930"/>
      <c r="P401" s="831"/>
      <c r="R401" s="95"/>
      <c r="S401" s="50">
        <v>60</v>
      </c>
      <c r="T401" s="50" t="str">
        <f t="shared" si="62"/>
        <v/>
      </c>
      <c r="U401" s="10"/>
      <c r="V401" s="61"/>
      <c r="W401" s="10"/>
      <c r="X401" s="10"/>
      <c r="Y401" s="577"/>
      <c r="Z401" s="10"/>
      <c r="AA401" s="10"/>
      <c r="AB401" s="61"/>
      <c r="AC401" s="10"/>
      <c r="AD401" s="10"/>
      <c r="AE401" s="10"/>
      <c r="AF401" s="10"/>
      <c r="AG401" s="10"/>
      <c r="AH401" s="10"/>
      <c r="AI401" s="10"/>
      <c r="AJ401" s="791" t="s">
        <v>2290</v>
      </c>
      <c r="AK401" s="791"/>
      <c r="AL401" s="791"/>
      <c r="AM401" s="791"/>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row>
    <row r="402" spans="1:109" ht="13.5" customHeight="1" x14ac:dyDescent="0.2">
      <c r="B402" s="147" t="s">
        <v>892</v>
      </c>
      <c r="C402" s="694"/>
      <c r="D402" s="694"/>
      <c r="E402" s="921">
        <f>UETable!AV72</f>
        <v>0</v>
      </c>
      <c r="F402" s="921"/>
      <c r="G402" s="694"/>
      <c r="H402" s="694"/>
      <c r="I402" s="936">
        <f>IF(C402="",0,IF(OR(C402&lt;=0,G402&lt;=0),E402,IF(G402&lt;C402,0,UETable!BA72)))</f>
        <v>0</v>
      </c>
      <c r="J402" s="936"/>
      <c r="K402" s="930" t="str">
        <f>IF(OR(C402="NA",G402="NA"),"",IF(AND(C402&lt;&gt;"",G402=""),"Enter contralateral or NA.",IF(AND(C402="",G402&lt;&gt;""),"Need data","")))</f>
        <v/>
      </c>
      <c r="L402" s="930"/>
      <c r="M402" s="930"/>
      <c r="N402" s="930"/>
      <c r="O402" s="930"/>
      <c r="P402" s="831"/>
      <c r="R402" s="10"/>
      <c r="S402" s="50">
        <v>70</v>
      </c>
      <c r="T402" s="50" t="str">
        <f t="shared" si="62"/>
        <v/>
      </c>
      <c r="U402" s="50" t="str">
        <f>IF(OR(G402="",G402="NA"),"",IF(G402&gt;S402,S402,IF(G402&lt;0,0,G402)))</f>
        <v/>
      </c>
      <c r="V402" s="553" t="str">
        <f>IF(Y402="","",ROUND(Y402,0))</f>
        <v/>
      </c>
      <c r="W402" s="10"/>
      <c r="X402" s="10"/>
      <c r="Y402" s="554" t="str">
        <f>IF(T402="","",IF(OR(U402="",U402=0,U402&lt;T402),T402,(T402*70)/U402))</f>
        <v/>
      </c>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row>
    <row r="403" spans="1:109" ht="13.5" customHeight="1" x14ac:dyDescent="0.2">
      <c r="B403" s="147" t="s">
        <v>1185</v>
      </c>
      <c r="C403" s="694"/>
      <c r="D403" s="694"/>
      <c r="E403" s="921">
        <f>IF(AND($AJ$407=1,$AK$407=1),"ERROR",UETable!AV73)</f>
        <v>0</v>
      </c>
      <c r="F403" s="921"/>
      <c r="G403" s="930" t="str">
        <f>IF(AND($AK$407=1,$AJ$407=1),"Cannot rate ROM and ankylosis.",IF($AN$407&gt;1,"Multiple ankylosis values; use highest value only.",""))</f>
        <v/>
      </c>
      <c r="H403" s="930"/>
      <c r="I403" s="930"/>
      <c r="J403" s="930"/>
      <c r="K403" s="930"/>
      <c r="L403" s="930"/>
      <c r="M403" s="930"/>
      <c r="N403" s="930"/>
      <c r="O403" s="930"/>
      <c r="P403" s="831"/>
      <c r="R403" s="10"/>
      <c r="S403" s="50">
        <v>70</v>
      </c>
      <c r="T403" s="50" t="str">
        <f t="shared" si="62"/>
        <v/>
      </c>
      <c r="U403" s="10"/>
      <c r="V403" s="10"/>
      <c r="W403" s="10"/>
      <c r="X403" s="10"/>
      <c r="Y403" s="189"/>
      <c r="Z403" s="10"/>
      <c r="AA403" s="10"/>
      <c r="AB403" s="10"/>
      <c r="AC403" s="192">
        <f>MAX(E401,E403,E405,E407)</f>
        <v>0</v>
      </c>
      <c r="AD403" s="791" t="s">
        <v>1902</v>
      </c>
      <c r="AE403" s="791"/>
      <c r="AF403" s="791"/>
      <c r="AG403" s="791"/>
      <c r="AH403" s="10"/>
      <c r="AI403" s="10"/>
      <c r="AJ403" s="761" t="s">
        <v>678</v>
      </c>
      <c r="AK403" s="761" t="s">
        <v>679</v>
      </c>
      <c r="AL403" s="761" t="s">
        <v>879</v>
      </c>
      <c r="AM403" s="761" t="s">
        <v>880</v>
      </c>
      <c r="AN403" s="912" t="s">
        <v>2289</v>
      </c>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row>
    <row r="404" spans="1:109" ht="13.5" customHeight="1" x14ac:dyDescent="0.2">
      <c r="B404" s="146" t="s">
        <v>893</v>
      </c>
      <c r="C404" s="694"/>
      <c r="D404" s="694"/>
      <c r="E404" s="921">
        <f>UETable!AV74</f>
        <v>0</v>
      </c>
      <c r="F404" s="921"/>
      <c r="G404" s="694"/>
      <c r="H404" s="694"/>
      <c r="I404" s="936">
        <f>IF(C404="",0,IF(OR(C404&lt;=0,G404&lt;=0),E404,IF(G404&lt;C404,0,UETable!BA74)))</f>
        <v>0</v>
      </c>
      <c r="J404" s="936"/>
      <c r="K404" s="930" t="str">
        <f>IF(OR(C404="NA",G404="NA"),"",IF(AND(C404&lt;&gt;"",G404=""),"Enter contralateral or NA.",IF(AND(C404="",G404&lt;&gt;""),"Need data","")))</f>
        <v/>
      </c>
      <c r="L404" s="930"/>
      <c r="M404" s="930"/>
      <c r="N404" s="930"/>
      <c r="O404" s="930"/>
      <c r="P404" s="831"/>
      <c r="R404" s="10"/>
      <c r="S404" s="50">
        <v>20</v>
      </c>
      <c r="T404" s="50" t="str">
        <f t="shared" si="62"/>
        <v/>
      </c>
      <c r="U404" s="50" t="str">
        <f>IF(OR(G404="",G404="NA"),"",IF(G404&gt;S404,S404,IF(G404&lt;0,0,G404)))</f>
        <v/>
      </c>
      <c r="V404" s="553" t="str">
        <f>IF(Y404="","",ROUND(Y404,0))</f>
        <v/>
      </c>
      <c r="W404" s="10"/>
      <c r="X404" s="10"/>
      <c r="Y404" s="554" t="str">
        <f>IF(T404="","",IF(OR(U404="",U404=0,U404&lt;T404),T404,(T404*20)/U404))</f>
        <v/>
      </c>
      <c r="Z404" s="10"/>
      <c r="AA404" s="10"/>
      <c r="AB404" s="10"/>
      <c r="AC404" s="193">
        <f>IF(AND(AJ407=1,AK407=1),"ERROR",I400+I402+I404+I406+AC403)</f>
        <v>0</v>
      </c>
      <c r="AD404" s="791" t="s">
        <v>891</v>
      </c>
      <c r="AE404" s="791"/>
      <c r="AF404" s="791"/>
      <c r="AG404" s="791"/>
      <c r="AH404" s="39"/>
      <c r="AI404" s="10"/>
      <c r="AJ404" s="761"/>
      <c r="AK404" s="761"/>
      <c r="AL404" s="761"/>
      <c r="AM404" s="761"/>
      <c r="AN404" s="912"/>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row>
    <row r="405" spans="1:109" ht="13.5" customHeight="1" x14ac:dyDescent="0.2">
      <c r="B405" s="146" t="s">
        <v>894</v>
      </c>
      <c r="C405" s="694"/>
      <c r="D405" s="694"/>
      <c r="E405" s="921">
        <f>IF(AND($AJ$407=1,$AK$407=1),"ERROR",UETable!AV75)</f>
        <v>0</v>
      </c>
      <c r="F405" s="921"/>
      <c r="G405" s="930" t="str">
        <f>IF(AND($AK$407=1,$AJ$407=1),"Cannot rate ROM and ankylosis.",IF($AN$407&gt;1,"Multiple ankylosis values; use highest value only.",""))</f>
        <v/>
      </c>
      <c r="H405" s="930"/>
      <c r="I405" s="930"/>
      <c r="J405" s="930"/>
      <c r="K405" s="930"/>
      <c r="L405" s="930"/>
      <c r="M405" s="930"/>
      <c r="N405" s="930"/>
      <c r="O405" s="930"/>
      <c r="P405" s="831"/>
      <c r="R405" s="10"/>
      <c r="S405" s="50">
        <v>20</v>
      </c>
      <c r="T405" s="50" t="str">
        <f t="shared" si="62"/>
        <v/>
      </c>
      <c r="U405" s="10"/>
      <c r="V405" s="10"/>
      <c r="W405" s="10"/>
      <c r="X405" s="10"/>
      <c r="Y405" s="189"/>
      <c r="Z405" s="10"/>
      <c r="AA405" s="10"/>
      <c r="AB405" s="10"/>
      <c r="AC405" s="10"/>
      <c r="AD405" s="10"/>
      <c r="AE405" s="10"/>
      <c r="AF405" s="10"/>
      <c r="AG405" s="10"/>
      <c r="AH405" s="39"/>
      <c r="AI405" s="10"/>
      <c r="AJ405" s="761"/>
      <c r="AK405" s="761"/>
      <c r="AL405" s="761"/>
      <c r="AM405" s="761"/>
      <c r="AN405" s="912"/>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row>
    <row r="406" spans="1:109" ht="13.5" customHeight="1" x14ac:dyDescent="0.2">
      <c r="B406" s="146" t="s">
        <v>895</v>
      </c>
      <c r="C406" s="694"/>
      <c r="D406" s="694"/>
      <c r="E406" s="921">
        <f>UETable!AV76</f>
        <v>0</v>
      </c>
      <c r="F406" s="921"/>
      <c r="G406" s="694"/>
      <c r="H406" s="694"/>
      <c r="I406" s="936">
        <f>IF(C406="",0,IF(OR(C406&lt;=0,G406&lt;=0),E406,IF(G406&lt;C406,0,UETable!BA76)))</f>
        <v>0</v>
      </c>
      <c r="J406" s="936"/>
      <c r="K406" s="930" t="str">
        <f>IF(OR(C406="NA",G406="NA"),"",IF(AND(C406&lt;&gt;"",G406=""),"Enter contralateral or NA.",IF(AND(C406="",G406&lt;&gt;""),"Need data","")))</f>
        <v/>
      </c>
      <c r="L406" s="930"/>
      <c r="M406" s="930"/>
      <c r="N406" s="930"/>
      <c r="O406" s="930"/>
      <c r="P406" s="831"/>
      <c r="R406" s="10"/>
      <c r="S406" s="50">
        <v>30</v>
      </c>
      <c r="T406" s="50" t="str">
        <f t="shared" si="62"/>
        <v/>
      </c>
      <c r="U406" s="50" t="str">
        <f>IF(OR(G406="",G406="NA"),"",IF(G406&gt;S406,S406,IF(G406&lt;0,0,G406)))</f>
        <v/>
      </c>
      <c r="V406" s="553" t="str">
        <f>IF(Y406="","",ROUND(Y406,0))</f>
        <v/>
      </c>
      <c r="W406" s="568"/>
      <c r="X406" s="568"/>
      <c r="Y406" s="554" t="str">
        <f>IF(T406="","",IF(OR(U406="",U406=0,U406&lt;T406),T406,(T406*30)/U406))</f>
        <v/>
      </c>
      <c r="Z406" s="10"/>
      <c r="AA406" s="10"/>
      <c r="AB406" s="10"/>
      <c r="AC406" s="10"/>
      <c r="AD406" s="10"/>
      <c r="AE406" s="10"/>
      <c r="AF406" s="10"/>
      <c r="AG406" s="10"/>
      <c r="AH406" s="39"/>
      <c r="AI406" s="10"/>
      <c r="AJ406" s="761"/>
      <c r="AK406" s="761"/>
      <c r="AL406" s="761"/>
      <c r="AM406" s="761"/>
      <c r="AN406" s="912"/>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row>
    <row r="407" spans="1:109" ht="13.5" customHeight="1" x14ac:dyDescent="0.2">
      <c r="B407" s="146" t="s">
        <v>896</v>
      </c>
      <c r="C407" s="694"/>
      <c r="D407" s="694"/>
      <c r="E407" s="921">
        <f>IF(AND($AJ$407=1,$AK$407=1),"ERROR",UETable!AV77)</f>
        <v>0</v>
      </c>
      <c r="F407" s="921"/>
      <c r="G407" s="930" t="str">
        <f>IF(AND($AK$407=1,$AJ$407=1),"Cannot rate ROM and ankylosis.",IF($AN$407&gt;1,"Multiple ankylosis values; use highest value only.",""))</f>
        <v/>
      </c>
      <c r="H407" s="930"/>
      <c r="I407" s="930"/>
      <c r="J407" s="930"/>
      <c r="K407" s="930"/>
      <c r="L407" s="930"/>
      <c r="M407" s="930"/>
      <c r="N407" s="930"/>
      <c r="O407" s="930"/>
      <c r="P407" s="832"/>
      <c r="R407" s="10"/>
      <c r="S407" s="50">
        <v>30</v>
      </c>
      <c r="T407" s="50" t="str">
        <f t="shared" si="62"/>
        <v/>
      </c>
      <c r="U407" s="588"/>
      <c r="V407" s="944" t="s">
        <v>2142</v>
      </c>
      <c r="W407" s="945"/>
      <c r="X407" s="945"/>
      <c r="Y407" s="945"/>
      <c r="Z407" s="945"/>
      <c r="AA407" s="945"/>
      <c r="AB407" s="945"/>
      <c r="AC407" s="946"/>
      <c r="AF407" s="10"/>
      <c r="AH407" s="10"/>
      <c r="AI407" s="10"/>
      <c r="AJ407" s="50">
        <f>IF(OR(V408=1,X408=1,Z408=1,AB408=1),1,0)</f>
        <v>0</v>
      </c>
      <c r="AK407" s="50">
        <f>IF(OR(W408=1,Y408=1,AA408=1,AC408=1),1,0)</f>
        <v>0</v>
      </c>
      <c r="AL407" s="50">
        <f>SUM(V408,X408,Z408,AB408)</f>
        <v>0</v>
      </c>
      <c r="AM407" s="50">
        <f>IF(OR(AL407=1,AL407=2,AL407=3),1,0)</f>
        <v>0</v>
      </c>
      <c r="AN407" s="50">
        <f>SUM(W408,Y408,AA408,AC408)</f>
        <v>0</v>
      </c>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row>
    <row r="408" spans="1:109" ht="13.5" customHeight="1" x14ac:dyDescent="0.2">
      <c r="B408" s="944"/>
      <c r="C408" s="945"/>
      <c r="D408" s="945"/>
      <c r="E408" s="945"/>
      <c r="F408" s="946"/>
      <c r="G408" s="1007" t="s">
        <v>718</v>
      </c>
      <c r="H408" s="1007"/>
      <c r="I408" s="1007"/>
      <c r="J408" s="1007"/>
      <c r="K408" s="1007"/>
      <c r="L408" s="1007"/>
      <c r="M408" s="1007"/>
      <c r="N408" s="1007"/>
      <c r="O408" s="1008"/>
      <c r="P408" s="296">
        <f>IF(AND(AJ407=1,AK407=1),"ERROR",IF(AND(AC404&gt;0,AC404&lt;0.01),0.01,ROUND(AC404,2)))</f>
        <v>0</v>
      </c>
      <c r="R408" s="136"/>
      <c r="S408" s="128"/>
      <c r="T408" s="10"/>
      <c r="U408" s="10"/>
      <c r="V408" s="50">
        <f>IF(AND(C400&lt;&gt;"",C400&lt;&gt;"NA"),1,0)</f>
        <v>0</v>
      </c>
      <c r="W408" s="50">
        <f>IF(AND(C401&lt;&gt;"",C401&lt;&gt;"NA"),1,0)</f>
        <v>0</v>
      </c>
      <c r="X408" s="50">
        <f>IF(AND(C402&lt;&gt;"",C402&lt;&gt;"NA"),1,0)</f>
        <v>0</v>
      </c>
      <c r="Y408" s="50">
        <f>IF(AND(C403&lt;&gt;"",C403&lt;&gt;"NA"),1,0)</f>
        <v>0</v>
      </c>
      <c r="Z408" s="50">
        <f>IF(AND(C404&lt;&gt;"",C404&lt;&gt;"NA"),1,0)</f>
        <v>0</v>
      </c>
      <c r="AA408" s="50">
        <f>IF(AND(C405&lt;&gt;"",C405&lt;&gt;"NA"),1,0)</f>
        <v>0</v>
      </c>
      <c r="AB408" s="50">
        <f>IF(AND(C406&lt;&gt;"",C406&lt;&gt;"NA"),1,0)</f>
        <v>0</v>
      </c>
      <c r="AC408" s="50">
        <f>IF(AND(C407&lt;&gt;"",C407&lt;&gt;"NA"),1,0)</f>
        <v>0</v>
      </c>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row>
    <row r="409" spans="1:109" ht="6.75" customHeight="1" x14ac:dyDescent="0.2">
      <c r="B409" s="777"/>
      <c r="C409" s="777"/>
      <c r="D409" s="777"/>
      <c r="E409" s="777"/>
      <c r="F409" s="777"/>
      <c r="G409" s="777"/>
      <c r="H409" s="777"/>
      <c r="I409" s="777"/>
      <c r="J409" s="777"/>
      <c r="K409" s="777"/>
      <c r="L409" s="777"/>
      <c r="M409" s="777"/>
      <c r="N409" s="777"/>
      <c r="O409" s="777"/>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row>
    <row r="410" spans="1:109" ht="6.75" customHeight="1" x14ac:dyDescent="0.2">
      <c r="B410" s="777"/>
      <c r="C410" s="777"/>
      <c r="D410" s="777"/>
      <c r="E410" s="777"/>
      <c r="F410" s="777"/>
      <c r="G410" s="777"/>
      <c r="H410" s="777"/>
      <c r="I410" s="777"/>
      <c r="J410" s="777"/>
      <c r="K410" s="777"/>
      <c r="L410" s="777"/>
      <c r="M410" s="777"/>
      <c r="N410" s="777"/>
      <c r="O410" s="777"/>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row>
    <row r="411" spans="1:109" ht="18" customHeight="1" x14ac:dyDescent="0.2">
      <c r="B411" s="910" t="s">
        <v>1948</v>
      </c>
      <c r="C411" s="910"/>
      <c r="D411" s="910"/>
      <c r="E411" s="910"/>
      <c r="F411" s="910"/>
      <c r="G411" s="910"/>
      <c r="H411" s="910"/>
      <c r="I411" s="910"/>
      <c r="J411" s="910"/>
      <c r="K411" s="910"/>
      <c r="L411" s="910"/>
      <c r="M411" s="910"/>
      <c r="N411" s="910"/>
      <c r="O411" s="910"/>
      <c r="P411" s="1042"/>
      <c r="R411" s="128"/>
      <c r="S411" s="1023" t="s">
        <v>2143</v>
      </c>
      <c r="T411" s="1023"/>
      <c r="U411" s="50" t="s">
        <v>1285</v>
      </c>
      <c r="V411" s="50" t="s">
        <v>1286</v>
      </c>
      <c r="W411" s="50" t="s">
        <v>1287</v>
      </c>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row>
    <row r="412" spans="1:109" ht="19.5" customHeight="1" x14ac:dyDescent="0.2">
      <c r="A412" s="15"/>
      <c r="B412" s="50" t="s">
        <v>1525</v>
      </c>
      <c r="C412" s="1002"/>
      <c r="D412" s="1002"/>
      <c r="E412" s="1002"/>
      <c r="F412" s="1002"/>
      <c r="G412" s="1002"/>
      <c r="H412" s="1002"/>
      <c r="I412" s="1002"/>
      <c r="J412" s="1002"/>
      <c r="K412" s="1002"/>
      <c r="L412" s="1002"/>
      <c r="M412" s="1002"/>
      <c r="N412" s="1002"/>
      <c r="O412" s="1002"/>
      <c r="P412" s="1043"/>
      <c r="R412" s="10"/>
      <c r="S412" s="574">
        <v>1</v>
      </c>
      <c r="T412" s="514">
        <f>IF(S412=2,0.11,IF(S412=3,0.15,0))</f>
        <v>0</v>
      </c>
      <c r="U412" s="514">
        <f>LARGE(T412:T413,1)</f>
        <v>0</v>
      </c>
      <c r="V412" s="544">
        <f>U412+U413*(1-U412)</f>
        <v>0</v>
      </c>
      <c r="W412" s="548">
        <f>ROUND(V412,2)</f>
        <v>0</v>
      </c>
      <c r="X412" s="10"/>
      <c r="Y412" s="10"/>
      <c r="Z412" s="10">
        <v>1E-4</v>
      </c>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row>
    <row r="413" spans="1:109" ht="19.5" customHeight="1" x14ac:dyDescent="0.2">
      <c r="B413" s="50" t="s">
        <v>1526</v>
      </c>
      <c r="C413" s="1002"/>
      <c r="D413" s="1002"/>
      <c r="E413" s="1002"/>
      <c r="F413" s="1002"/>
      <c r="G413" s="1002"/>
      <c r="H413" s="1002"/>
      <c r="I413" s="1002"/>
      <c r="J413" s="1002"/>
      <c r="K413" s="1002"/>
      <c r="L413" s="1002"/>
      <c r="M413" s="1002"/>
      <c r="N413" s="1002"/>
      <c r="O413" s="1002"/>
      <c r="P413" s="245">
        <f>W412</f>
        <v>0</v>
      </c>
      <c r="R413" s="10"/>
      <c r="S413" s="574">
        <v>1</v>
      </c>
      <c r="T413" s="514">
        <f>IF(S413=2,0.05,IF(S413=3,0.07,0))</f>
        <v>0</v>
      </c>
      <c r="U413" s="514">
        <f>LARGE(T412:T413,2)</f>
        <v>0</v>
      </c>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row>
    <row r="414" spans="1:109" ht="18" customHeight="1" x14ac:dyDescent="0.2">
      <c r="B414" s="910" t="s">
        <v>719</v>
      </c>
      <c r="C414" s="910"/>
      <c r="D414" s="910"/>
      <c r="E414" s="910"/>
      <c r="F414" s="910"/>
      <c r="G414" s="910"/>
      <c r="H414" s="910"/>
      <c r="I414" s="910"/>
      <c r="J414" s="910"/>
      <c r="K414" s="910"/>
      <c r="L414" s="910"/>
      <c r="M414" s="910"/>
      <c r="N414" s="910"/>
      <c r="O414" s="910"/>
      <c r="P414" s="1042"/>
      <c r="R414" s="128"/>
      <c r="S414" s="1023" t="s">
        <v>2143</v>
      </c>
      <c r="T414" s="1023"/>
      <c r="U414" s="50" t="s">
        <v>1285</v>
      </c>
      <c r="V414" s="50" t="s">
        <v>1286</v>
      </c>
      <c r="W414" s="50" t="s">
        <v>1287</v>
      </c>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row>
    <row r="415" spans="1:109" ht="19.5" customHeight="1" x14ac:dyDescent="0.2">
      <c r="A415" s="15"/>
      <c r="B415" s="50" t="s">
        <v>1525</v>
      </c>
      <c r="C415" s="1002"/>
      <c r="D415" s="1002"/>
      <c r="E415" s="1002"/>
      <c r="F415" s="1002"/>
      <c r="G415" s="1002"/>
      <c r="H415" s="1002"/>
      <c r="I415" s="1002"/>
      <c r="J415" s="1002"/>
      <c r="K415" s="1002"/>
      <c r="L415" s="1002"/>
      <c r="M415" s="1002"/>
      <c r="N415" s="1002"/>
      <c r="O415" s="1002"/>
      <c r="P415" s="1043"/>
      <c r="R415" s="10"/>
      <c r="S415" s="574">
        <v>1</v>
      </c>
      <c r="T415" s="514">
        <f>IF(S415=2,0.11,IF(S415=3,0.15,0))</f>
        <v>0</v>
      </c>
      <c r="U415" s="514">
        <f>LARGE(T415:T416,1)</f>
        <v>0</v>
      </c>
      <c r="V415" s="544">
        <f>U415+U416*(1-U415)</f>
        <v>0</v>
      </c>
      <c r="W415" s="548">
        <f>ROUND(V415,2)</f>
        <v>0</v>
      </c>
      <c r="X415" s="10"/>
      <c r="Y415" s="10"/>
      <c r="Z415" s="10">
        <v>1E-4</v>
      </c>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row>
    <row r="416" spans="1:109" ht="19.5" customHeight="1" x14ac:dyDescent="0.2">
      <c r="B416" s="50" t="s">
        <v>1526</v>
      </c>
      <c r="C416" s="1002"/>
      <c r="D416" s="1002"/>
      <c r="E416" s="1002"/>
      <c r="F416" s="1002"/>
      <c r="G416" s="1002"/>
      <c r="H416" s="1002"/>
      <c r="I416" s="1002"/>
      <c r="J416" s="1002"/>
      <c r="K416" s="1002"/>
      <c r="L416" s="1002"/>
      <c r="M416" s="1002"/>
      <c r="N416" s="1002"/>
      <c r="O416" s="1002"/>
      <c r="P416" s="245">
        <f>W415</f>
        <v>0</v>
      </c>
      <c r="R416" s="10"/>
      <c r="S416" s="574">
        <v>1</v>
      </c>
      <c r="T416" s="514">
        <f>IF(S416=2,0.05,IF(S416=3,0.07,0))</f>
        <v>0</v>
      </c>
      <c r="U416" s="514">
        <f>LARGE(T415:T416,2)</f>
        <v>0</v>
      </c>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row>
    <row r="417" spans="1:109" ht="12" customHeight="1" x14ac:dyDescent="0.2">
      <c r="B417" s="777"/>
      <c r="C417" s="777"/>
      <c r="D417" s="777"/>
      <c r="E417" s="777"/>
      <c r="F417" s="777"/>
      <c r="G417" s="777"/>
      <c r="H417" s="777"/>
      <c r="I417" s="777"/>
      <c r="J417" s="777"/>
      <c r="K417" s="777"/>
      <c r="L417" s="777"/>
      <c r="M417" s="777"/>
      <c r="N417" s="777"/>
      <c r="O417" s="777"/>
      <c r="P417" s="8"/>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row>
    <row r="418" spans="1:109" x14ac:dyDescent="0.2">
      <c r="B418" s="50" t="s">
        <v>1214</v>
      </c>
      <c r="C418" s="910" t="s">
        <v>1348</v>
      </c>
      <c r="D418" s="910"/>
      <c r="E418" s="910"/>
      <c r="F418" s="910"/>
      <c r="G418" s="910"/>
      <c r="H418" s="910" t="s">
        <v>1759</v>
      </c>
      <c r="I418" s="910"/>
      <c r="J418" s="910"/>
      <c r="K418" s="18"/>
      <c r="L418" s="910" t="s">
        <v>1215</v>
      </c>
      <c r="M418" s="910"/>
      <c r="N418" s="910"/>
      <c r="O418" s="910"/>
      <c r="P418" s="146"/>
      <c r="R418" s="10"/>
      <c r="S418" s="910" t="s">
        <v>2144</v>
      </c>
      <c r="T418" s="910"/>
      <c r="U418" s="863" t="s">
        <v>2147</v>
      </c>
      <c r="V418" s="863"/>
      <c r="W418" s="863"/>
      <c r="X418" s="863"/>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row>
    <row r="419" spans="1:109" ht="12" customHeight="1" x14ac:dyDescent="0.2">
      <c r="B419" s="146" t="s">
        <v>720</v>
      </c>
      <c r="C419" s="922"/>
      <c r="D419" s="922"/>
      <c r="E419" s="922"/>
      <c r="F419" s="922"/>
      <c r="G419" s="922"/>
      <c r="H419" s="914">
        <f>IF(C419=$U$419,0.15,IF(C419=$V$419,0.3,IF(C419=$W$419,0.45,0)))</f>
        <v>0</v>
      </c>
      <c r="I419" s="914"/>
      <c r="J419" s="914"/>
      <c r="K419" s="146"/>
      <c r="L419" s="694"/>
      <c r="M419" s="694"/>
      <c r="N419" s="694"/>
      <c r="O419" s="21">
        <f>IF(H419&gt;=S419,H419-S419,0)</f>
        <v>0</v>
      </c>
      <c r="P419" s="245">
        <f>O419</f>
        <v>0</v>
      </c>
      <c r="R419" s="10"/>
      <c r="S419" s="575">
        <f>IF(L419=$V$420,0.15,IF(L419=$W$420,0.3,IF(L419=$X$420,0.45,0)))</f>
        <v>0</v>
      </c>
      <c r="T419" s="10"/>
      <c r="U419" s="50" t="s">
        <v>1218</v>
      </c>
      <c r="V419" s="50" t="s">
        <v>1219</v>
      </c>
      <c r="W419" s="50" t="s">
        <v>1220</v>
      </c>
      <c r="X419" s="5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row>
    <row r="420" spans="1:109" ht="12" customHeight="1" x14ac:dyDescent="0.2">
      <c r="B420" s="146" t="s">
        <v>717</v>
      </c>
      <c r="C420" s="922"/>
      <c r="D420" s="922"/>
      <c r="E420" s="922"/>
      <c r="F420" s="922"/>
      <c r="G420" s="922"/>
      <c r="H420" s="914">
        <f>IF(C420=$U$419,0.15,IF(C420=$V$419,0.3,IF(C420=$W$419,0.45,0)))</f>
        <v>0</v>
      </c>
      <c r="I420" s="914"/>
      <c r="J420" s="914"/>
      <c r="K420" s="146"/>
      <c r="L420" s="694"/>
      <c r="M420" s="694"/>
      <c r="N420" s="694"/>
      <c r="O420" s="21">
        <f>IF(H420&gt;=S420,H420-S420,0)</f>
        <v>0</v>
      </c>
      <c r="P420" s="245">
        <f>O420</f>
        <v>0</v>
      </c>
      <c r="R420" s="10"/>
      <c r="S420" s="147">
        <f>IF(L420=$V$420,0.15,IF(L420=$W$420,0.3,IF(L420=$X$420,0.45,0)))</f>
        <v>0</v>
      </c>
      <c r="T420" s="10"/>
      <c r="U420" s="50" t="s">
        <v>510</v>
      </c>
      <c r="V420" s="50" t="s">
        <v>899</v>
      </c>
      <c r="W420" s="147" t="s">
        <v>1764</v>
      </c>
      <c r="X420" s="50" t="s">
        <v>1639</v>
      </c>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row>
    <row r="421" spans="1:109" ht="12" customHeight="1" x14ac:dyDescent="0.2">
      <c r="B421" s="777"/>
      <c r="C421" s="777"/>
      <c r="D421" s="777"/>
      <c r="E421" s="777"/>
      <c r="F421" s="777"/>
      <c r="G421" s="777"/>
      <c r="H421" s="777"/>
      <c r="I421" s="777"/>
      <c r="J421" s="777"/>
      <c r="K421" s="777"/>
      <c r="L421" s="777"/>
      <c r="M421" s="777"/>
      <c r="N421" s="777"/>
      <c r="O421" s="777"/>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row>
    <row r="422" spans="1:109" ht="18" customHeight="1" x14ac:dyDescent="0.2">
      <c r="A422" s="15"/>
      <c r="B422" s="756" t="s">
        <v>776</v>
      </c>
      <c r="C422" s="757"/>
      <c r="D422" s="757"/>
      <c r="E422" s="757"/>
      <c r="F422" s="758"/>
      <c r="G422" s="1002"/>
      <c r="H422" s="1002"/>
      <c r="I422" s="791" t="s">
        <v>777</v>
      </c>
      <c r="J422" s="791"/>
      <c r="K422" s="791"/>
      <c r="L422" s="791"/>
      <c r="M422" s="791"/>
      <c r="N422" s="791"/>
      <c r="O422" s="791"/>
      <c r="P422" s="245">
        <f>IF(T422=1,0.1,0)</f>
        <v>0</v>
      </c>
      <c r="R422" s="1105" t="s">
        <v>2147</v>
      </c>
      <c r="S422" s="546" t="b">
        <v>0</v>
      </c>
      <c r="T422" s="50">
        <f>IF(S422=TRUE,1,0)</f>
        <v>0</v>
      </c>
      <c r="U422" s="10"/>
      <c r="V422" s="10"/>
      <c r="W422" s="10"/>
      <c r="X422" s="10"/>
      <c r="Y422" s="10"/>
      <c r="Z422" s="10">
        <v>1E-4</v>
      </c>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row>
    <row r="423" spans="1:109" ht="18" customHeight="1" x14ac:dyDescent="0.2">
      <c r="A423" s="15"/>
      <c r="B423" s="756" t="s">
        <v>776</v>
      </c>
      <c r="C423" s="757"/>
      <c r="D423" s="757"/>
      <c r="E423" s="757"/>
      <c r="F423" s="758"/>
      <c r="G423" s="1002"/>
      <c r="H423" s="1002"/>
      <c r="I423" s="791" t="s">
        <v>778</v>
      </c>
      <c r="J423" s="791"/>
      <c r="K423" s="791"/>
      <c r="L423" s="791"/>
      <c r="M423" s="791"/>
      <c r="N423" s="791"/>
      <c r="O423" s="791"/>
      <c r="P423" s="245">
        <f>IF(T423=1,0.1,0)</f>
        <v>0</v>
      </c>
      <c r="R423" s="1105"/>
      <c r="S423" s="546" t="b">
        <v>0</v>
      </c>
      <c r="T423" s="50">
        <f>IF(S423=TRUE,1,0)</f>
        <v>0</v>
      </c>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row>
    <row r="424" spans="1:109" ht="12" customHeight="1" x14ac:dyDescent="0.2">
      <c r="B424" s="697"/>
      <c r="C424" s="697"/>
      <c r="D424" s="697"/>
      <c r="E424" s="697"/>
      <c r="F424" s="697"/>
      <c r="G424" s="697"/>
      <c r="H424" s="697"/>
      <c r="I424" s="697"/>
      <c r="J424" s="697"/>
      <c r="K424" s="697"/>
      <c r="L424" s="697"/>
      <c r="M424" s="697"/>
      <c r="N424" s="697"/>
      <c r="O424" s="697"/>
      <c r="P424" s="8"/>
      <c r="R424" s="10"/>
      <c r="S424" s="14"/>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row>
    <row r="425" spans="1:109" ht="18" customHeight="1" x14ac:dyDescent="0.2">
      <c r="B425" s="910" t="s">
        <v>601</v>
      </c>
      <c r="C425" s="910"/>
      <c r="D425" s="910"/>
      <c r="E425" s="910"/>
      <c r="F425" s="910"/>
      <c r="G425" s="910"/>
      <c r="H425" s="910"/>
      <c r="I425" s="910"/>
      <c r="J425" s="910"/>
      <c r="K425" s="910"/>
      <c r="L425" s="910"/>
      <c r="M425" s="910"/>
      <c r="N425" s="910"/>
      <c r="O425" s="910"/>
      <c r="P425" s="146"/>
      <c r="R425" s="10"/>
      <c r="S425" s="10"/>
      <c r="T425" s="10"/>
      <c r="U425" s="10"/>
      <c r="V425" s="10"/>
      <c r="W425" s="10"/>
      <c r="X425" s="10"/>
      <c r="Y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row>
    <row r="426" spans="1:109" ht="21" customHeight="1" x14ac:dyDescent="0.2">
      <c r="B426" s="791" t="s">
        <v>198</v>
      </c>
      <c r="C426" s="791"/>
      <c r="D426" s="791"/>
      <c r="E426" s="791"/>
      <c r="F426" s="791"/>
      <c r="G426" s="508"/>
      <c r="H426" s="944" t="s">
        <v>213</v>
      </c>
      <c r="I426" s="945"/>
      <c r="J426" s="945"/>
      <c r="K426" s="945"/>
      <c r="L426" s="945"/>
      <c r="M426" s="945"/>
      <c r="N426" s="945"/>
      <c r="O426" s="946"/>
      <c r="P426" s="21">
        <f>IF(G426=1,0.05,IF(G426=2,0.1,IF(G426=3,0.15,IF(G426=4,0.2,IF(G426=5,0.25,IF(G426&gt;5,0.3,0))))))</f>
        <v>0</v>
      </c>
      <c r="S426" s="50" t="s">
        <v>1695</v>
      </c>
      <c r="T426" s="553">
        <v>1</v>
      </c>
      <c r="U426" s="553">
        <v>2</v>
      </c>
      <c r="V426" s="578">
        <v>3</v>
      </c>
      <c r="W426" s="553">
        <v>4</v>
      </c>
      <c r="X426" s="578">
        <v>5</v>
      </c>
      <c r="Y426" s="553">
        <v>6</v>
      </c>
      <c r="Z426" s="50">
        <v>7</v>
      </c>
      <c r="AA426" s="50">
        <v>8</v>
      </c>
      <c r="AH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row>
    <row r="427" spans="1:109" ht="21.75" customHeight="1" x14ac:dyDescent="0.2">
      <c r="B427" s="998" t="s">
        <v>2278</v>
      </c>
      <c r="C427" s="944" t="s">
        <v>2270</v>
      </c>
      <c r="D427" s="945"/>
      <c r="E427" s="945"/>
      <c r="F427" s="946"/>
      <c r="G427" s="995"/>
      <c r="H427" s="996"/>
      <c r="I427" s="996"/>
      <c r="J427" s="996"/>
      <c r="K427" s="996"/>
      <c r="L427" s="996"/>
      <c r="M427" s="996"/>
      <c r="N427" s="996"/>
      <c r="O427" s="997"/>
      <c r="P427" s="49">
        <f>IF(OR(S427=1,S427=2),0.05,0)</f>
        <v>0</v>
      </c>
      <c r="R427" s="1103" t="s">
        <v>2287</v>
      </c>
      <c r="S427" s="691">
        <v>3</v>
      </c>
      <c r="T427" s="10"/>
      <c r="U427" s="10"/>
      <c r="V427" s="10"/>
      <c r="W427" s="10"/>
      <c r="X427" s="10"/>
      <c r="Y427" s="10"/>
      <c r="Z427" s="10"/>
      <c r="AA427" s="10"/>
      <c r="AH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row>
    <row r="428" spans="1:109" ht="21" customHeight="1" x14ac:dyDescent="0.2">
      <c r="B428" s="999"/>
      <c r="C428" s="944" t="s">
        <v>2271</v>
      </c>
      <c r="D428" s="945"/>
      <c r="E428" s="945"/>
      <c r="F428" s="946"/>
      <c r="G428" s="995"/>
      <c r="H428" s="996"/>
      <c r="I428" s="996"/>
      <c r="J428" s="996"/>
      <c r="K428" s="996"/>
      <c r="L428" s="996"/>
      <c r="M428" s="996"/>
      <c r="N428" s="996"/>
      <c r="O428" s="997"/>
      <c r="P428" s="49">
        <f t="shared" ref="P428:P434" si="63">IF(OR(S428=1,S428=2),0.05,0)</f>
        <v>0</v>
      </c>
      <c r="R428" s="1103"/>
      <c r="S428" s="691">
        <v>3</v>
      </c>
      <c r="T428" s="10"/>
      <c r="U428" s="10"/>
      <c r="V428" s="10"/>
      <c r="W428" s="10"/>
      <c r="X428" s="10"/>
      <c r="Y428" s="10"/>
      <c r="Z428" s="10"/>
      <c r="AA428" s="10"/>
      <c r="AH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row>
    <row r="429" spans="1:109" ht="21" customHeight="1" x14ac:dyDescent="0.2">
      <c r="B429" s="999"/>
      <c r="C429" s="944" t="s">
        <v>2272</v>
      </c>
      <c r="D429" s="945"/>
      <c r="E429" s="945"/>
      <c r="F429" s="946"/>
      <c r="G429" s="995"/>
      <c r="H429" s="996"/>
      <c r="I429" s="996"/>
      <c r="J429" s="996"/>
      <c r="K429" s="996"/>
      <c r="L429" s="996"/>
      <c r="M429" s="996"/>
      <c r="N429" s="996"/>
      <c r="O429" s="997"/>
      <c r="P429" s="49">
        <f t="shared" si="63"/>
        <v>0</v>
      </c>
      <c r="R429" s="1103"/>
      <c r="S429" s="691">
        <v>3</v>
      </c>
      <c r="T429" s="10"/>
      <c r="U429" s="10"/>
      <c r="V429" s="10"/>
      <c r="W429" s="10"/>
      <c r="X429" s="10"/>
      <c r="Y429" s="10"/>
      <c r="Z429" s="10"/>
      <c r="AA429" s="10"/>
      <c r="AH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row>
    <row r="430" spans="1:109" ht="21" customHeight="1" x14ac:dyDescent="0.2">
      <c r="B430" s="999"/>
      <c r="C430" s="944" t="s">
        <v>2273</v>
      </c>
      <c r="D430" s="945"/>
      <c r="E430" s="945"/>
      <c r="F430" s="946"/>
      <c r="G430" s="995"/>
      <c r="H430" s="996"/>
      <c r="I430" s="996"/>
      <c r="J430" s="996"/>
      <c r="K430" s="996"/>
      <c r="L430" s="996"/>
      <c r="M430" s="996"/>
      <c r="N430" s="996"/>
      <c r="O430" s="997"/>
      <c r="P430" s="49">
        <f t="shared" si="63"/>
        <v>0</v>
      </c>
      <c r="R430" s="1103"/>
      <c r="S430" s="691">
        <v>3</v>
      </c>
      <c r="T430" s="10"/>
      <c r="U430" s="10"/>
      <c r="V430" s="10"/>
      <c r="W430" s="10"/>
      <c r="X430" s="10"/>
      <c r="Y430" s="10"/>
      <c r="Z430" s="10"/>
      <c r="AA430" s="10"/>
      <c r="AH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row>
    <row r="431" spans="1:109" ht="21" customHeight="1" x14ac:dyDescent="0.2">
      <c r="B431" s="999"/>
      <c r="C431" s="944" t="s">
        <v>2274</v>
      </c>
      <c r="D431" s="945"/>
      <c r="E431" s="945"/>
      <c r="F431" s="946"/>
      <c r="G431" s="995"/>
      <c r="H431" s="996"/>
      <c r="I431" s="996"/>
      <c r="J431" s="996"/>
      <c r="K431" s="996"/>
      <c r="L431" s="996"/>
      <c r="M431" s="996"/>
      <c r="N431" s="996"/>
      <c r="O431" s="997"/>
      <c r="P431" s="49">
        <f t="shared" si="63"/>
        <v>0</v>
      </c>
      <c r="R431" s="1103"/>
      <c r="S431" s="691">
        <v>3</v>
      </c>
      <c r="T431" s="10"/>
      <c r="U431" s="10"/>
      <c r="V431" s="10"/>
      <c r="W431" s="10"/>
      <c r="X431" s="10"/>
      <c r="Y431" s="10"/>
      <c r="Z431" s="10"/>
      <c r="AA431" s="10"/>
      <c r="AH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row>
    <row r="432" spans="1:109" ht="21" customHeight="1" x14ac:dyDescent="0.2">
      <c r="B432" s="999"/>
      <c r="C432" s="944" t="s">
        <v>2275</v>
      </c>
      <c r="D432" s="945"/>
      <c r="E432" s="945"/>
      <c r="F432" s="946"/>
      <c r="G432" s="995"/>
      <c r="H432" s="996"/>
      <c r="I432" s="996"/>
      <c r="J432" s="996"/>
      <c r="K432" s="996"/>
      <c r="L432" s="996"/>
      <c r="M432" s="996"/>
      <c r="N432" s="996"/>
      <c r="O432" s="997"/>
      <c r="P432" s="49">
        <f t="shared" si="63"/>
        <v>0</v>
      </c>
      <c r="R432" s="1103"/>
      <c r="S432" s="691">
        <v>3</v>
      </c>
      <c r="T432" s="10"/>
      <c r="U432" s="10"/>
      <c r="V432" s="10"/>
      <c r="W432" s="10"/>
      <c r="X432" s="10"/>
      <c r="Y432" s="10"/>
      <c r="Z432" s="10"/>
      <c r="AA432" s="10"/>
      <c r="AH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row>
    <row r="433" spans="2:109" ht="21" customHeight="1" x14ac:dyDescent="0.2">
      <c r="B433" s="999"/>
      <c r="C433" s="944" t="s">
        <v>2276</v>
      </c>
      <c r="D433" s="945"/>
      <c r="E433" s="945"/>
      <c r="F433" s="946"/>
      <c r="G433" s="995"/>
      <c r="H433" s="996"/>
      <c r="I433" s="996"/>
      <c r="J433" s="996"/>
      <c r="K433" s="996"/>
      <c r="L433" s="996"/>
      <c r="M433" s="996"/>
      <c r="N433" s="996"/>
      <c r="O433" s="997"/>
      <c r="P433" s="49">
        <f t="shared" si="63"/>
        <v>0</v>
      </c>
      <c r="R433" s="1103"/>
      <c r="S433" s="691">
        <v>3</v>
      </c>
      <c r="T433" s="10"/>
      <c r="U433" s="10"/>
      <c r="V433" s="10"/>
      <c r="W433" s="10"/>
      <c r="X433" s="10"/>
      <c r="Y433" s="10"/>
      <c r="Z433" s="10"/>
      <c r="AA433" s="10"/>
      <c r="AH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row>
    <row r="434" spans="2:109" ht="21" customHeight="1" x14ac:dyDescent="0.2">
      <c r="B434" s="1000"/>
      <c r="C434" s="944" t="s">
        <v>2277</v>
      </c>
      <c r="D434" s="945"/>
      <c r="E434" s="945"/>
      <c r="F434" s="946"/>
      <c r="G434" s="995"/>
      <c r="H434" s="996"/>
      <c r="I434" s="996"/>
      <c r="J434" s="996"/>
      <c r="K434" s="996"/>
      <c r="L434" s="996"/>
      <c r="M434" s="996"/>
      <c r="N434" s="996"/>
      <c r="O434" s="997"/>
      <c r="P434" s="49">
        <f t="shared" si="63"/>
        <v>0</v>
      </c>
      <c r="R434" s="1103"/>
      <c r="S434" s="691">
        <v>3</v>
      </c>
      <c r="T434" s="10"/>
      <c r="U434" s="10"/>
      <c r="V434" s="10"/>
      <c r="W434" s="10"/>
      <c r="X434" s="10"/>
      <c r="Y434" s="10"/>
      <c r="Z434" s="10"/>
      <c r="AA434" s="10"/>
      <c r="AH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row>
    <row r="435" spans="2:109" ht="15" customHeight="1" x14ac:dyDescent="0.2">
      <c r="B435" s="791" t="s">
        <v>1505</v>
      </c>
      <c r="C435" s="791"/>
      <c r="D435" s="791"/>
      <c r="E435" s="791"/>
      <c r="F435" s="791"/>
      <c r="G435" s="730"/>
      <c r="H435" s="877"/>
      <c r="I435" s="877"/>
      <c r="J435" s="877"/>
      <c r="K435" s="877"/>
      <c r="L435" s="877"/>
      <c r="M435" s="877"/>
      <c r="N435" s="820"/>
      <c r="O435" s="146"/>
      <c r="P435" s="21">
        <f>IF(G435="Resection with replacement",0.05,IF(G435="Resection without replacement",0.1,0))</f>
        <v>0</v>
      </c>
      <c r="R435" s="953" t="s">
        <v>2147</v>
      </c>
      <c r="S435" s="50" t="s">
        <v>1520</v>
      </c>
      <c r="T435" s="50" t="s">
        <v>1504</v>
      </c>
      <c r="W435" s="10"/>
      <c r="X435" s="10"/>
      <c r="Y435" s="10"/>
      <c r="Z435" s="14"/>
      <c r="AA435" s="14"/>
      <c r="AB435" s="14"/>
      <c r="AC435" s="14"/>
      <c r="AD435" s="14"/>
      <c r="AE435" s="14"/>
      <c r="AF435" s="14"/>
      <c r="AH435" s="10"/>
      <c r="AI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row>
    <row r="436" spans="2:109" ht="15" customHeight="1" x14ac:dyDescent="0.2">
      <c r="B436" s="742" t="s">
        <v>1122</v>
      </c>
      <c r="C436" s="743"/>
      <c r="D436" s="743"/>
      <c r="E436" s="743"/>
      <c r="F436" s="744"/>
      <c r="G436" s="730"/>
      <c r="H436" s="1074"/>
      <c r="I436" s="1074"/>
      <c r="J436" s="1074"/>
      <c r="K436" s="1074"/>
      <c r="L436" s="1074"/>
      <c r="M436" s="1074"/>
      <c r="N436" s="933"/>
      <c r="O436" s="146"/>
      <c r="P436" s="21">
        <f>IF(G436="Yes",0.06,0)</f>
        <v>0</v>
      </c>
      <c r="R436" s="953"/>
      <c r="S436" s="50" t="s">
        <v>1123</v>
      </c>
      <c r="T436" s="50" t="s">
        <v>1124</v>
      </c>
      <c r="U436" s="10"/>
      <c r="V436" s="10"/>
      <c r="W436" s="10"/>
      <c r="X436" s="10"/>
      <c r="Y436" s="10"/>
      <c r="Z436" s="14"/>
      <c r="AA436" s="14"/>
      <c r="AB436" s="14"/>
      <c r="AC436" s="14"/>
      <c r="AD436" s="14"/>
      <c r="AE436" s="14"/>
      <c r="AF436" s="14"/>
      <c r="AG436" s="14"/>
      <c r="AH436" s="10"/>
      <c r="AI436" s="10"/>
      <c r="AJ436" s="14"/>
      <c r="AK436" s="14"/>
      <c r="AL436" s="10"/>
      <c r="AM436" s="10"/>
      <c r="AN436" s="10"/>
      <c r="AO436" s="10"/>
      <c r="AP436" s="10"/>
      <c r="AQ436" s="10"/>
      <c r="AR436" s="10"/>
      <c r="AS436" s="10"/>
      <c r="AT436" s="10"/>
    </row>
    <row r="437" spans="2:109" ht="12" customHeight="1" x14ac:dyDescent="0.2">
      <c r="B437" s="777"/>
      <c r="C437" s="777"/>
      <c r="D437" s="777"/>
      <c r="E437" s="777"/>
      <c r="F437" s="777"/>
      <c r="G437" s="777"/>
      <c r="H437" s="777"/>
      <c r="I437" s="777"/>
      <c r="J437" s="777"/>
      <c r="K437" s="777"/>
      <c r="L437" s="777"/>
      <c r="M437" s="777"/>
      <c r="N437" s="777"/>
      <c r="O437" s="777"/>
      <c r="R437" s="10"/>
      <c r="S437" s="10"/>
      <c r="T437" s="10"/>
      <c r="U437" s="14"/>
      <c r="V437" s="14"/>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row>
    <row r="438" spans="2:109" ht="15" customHeight="1" x14ac:dyDescent="0.2">
      <c r="B438" s="443" t="s">
        <v>797</v>
      </c>
      <c r="C438" s="351"/>
      <c r="D438" s="351"/>
      <c r="E438" s="351"/>
      <c r="F438" s="352"/>
      <c r="G438" s="761" t="s">
        <v>602</v>
      </c>
      <c r="H438" s="761"/>
      <c r="I438" s="761"/>
      <c r="J438" s="761"/>
      <c r="K438" s="761"/>
      <c r="L438" s="730"/>
      <c r="M438" s="877"/>
      <c r="N438" s="820"/>
      <c r="O438" s="21">
        <f>SUMIF(T438:X438,L438,T439:X439)</f>
        <v>0</v>
      </c>
      <c r="P438" s="1046"/>
      <c r="R438" s="954" t="s">
        <v>2145</v>
      </c>
      <c r="S438" s="954"/>
      <c r="T438" s="566" t="s">
        <v>1928</v>
      </c>
      <c r="U438" s="50" t="s">
        <v>1929</v>
      </c>
      <c r="V438" s="147" t="s">
        <v>1931</v>
      </c>
      <c r="W438" s="50" t="s">
        <v>929</v>
      </c>
      <c r="X438" s="147" t="s">
        <v>545</v>
      </c>
      <c r="Y438" s="14"/>
      <c r="Z438" s="724"/>
      <c r="AA438" s="724"/>
      <c r="AB438" s="724"/>
      <c r="AC438" s="10"/>
      <c r="AD438" s="10"/>
      <c r="AE438" s="10"/>
      <c r="AF438" s="10"/>
      <c r="AG438" s="10"/>
      <c r="AH438" s="10"/>
      <c r="AI438" s="10"/>
      <c r="AJ438" s="10"/>
      <c r="AK438" s="10"/>
      <c r="AL438" s="10"/>
      <c r="AM438" s="10"/>
      <c r="AN438" s="10"/>
      <c r="AO438" s="10"/>
      <c r="AP438" s="10"/>
      <c r="AQ438" s="10"/>
      <c r="AR438" s="10"/>
      <c r="AS438" s="10"/>
      <c r="AT438" s="10"/>
    </row>
    <row r="439" spans="2:109" ht="15" customHeight="1" x14ac:dyDescent="0.2">
      <c r="B439" s="353"/>
      <c r="C439" s="317"/>
      <c r="D439" s="317"/>
      <c r="E439" s="317"/>
      <c r="F439" s="194"/>
      <c r="G439" s="761" t="s">
        <v>935</v>
      </c>
      <c r="H439" s="761"/>
      <c r="I439" s="761"/>
      <c r="J439" s="761"/>
      <c r="K439" s="761"/>
      <c r="L439" s="730"/>
      <c r="M439" s="877"/>
      <c r="N439" s="820"/>
      <c r="O439" s="21">
        <f>SUMIF(T438:X438,L439,T439:X439)</f>
        <v>0</v>
      </c>
      <c r="P439" s="1047"/>
      <c r="R439" s="954"/>
      <c r="S439" s="954"/>
      <c r="T439" s="563">
        <v>0.03</v>
      </c>
      <c r="U439" s="147">
        <v>0.15</v>
      </c>
      <c r="V439" s="147">
        <v>0.38</v>
      </c>
      <c r="W439" s="147">
        <v>0.68</v>
      </c>
      <c r="X439" s="147">
        <v>0.9</v>
      </c>
      <c r="Y439" s="14"/>
      <c r="Z439" s="724"/>
      <c r="AA439" s="724"/>
      <c r="AB439" s="724"/>
      <c r="AC439" s="10"/>
      <c r="AD439" s="10"/>
      <c r="AE439" s="10"/>
      <c r="AF439" s="10"/>
      <c r="AG439" s="10"/>
      <c r="AH439" s="10"/>
      <c r="AI439" s="10"/>
      <c r="AJ439" s="10"/>
      <c r="AK439" s="10"/>
      <c r="AL439" s="10"/>
      <c r="AM439" s="10"/>
      <c r="AN439" s="10"/>
      <c r="AO439" s="10"/>
      <c r="AP439" s="10"/>
      <c r="AQ439" s="10"/>
      <c r="AR439" s="10"/>
      <c r="AS439" s="10"/>
      <c r="AT439" s="10"/>
    </row>
    <row r="440" spans="2:109" ht="18" customHeight="1" x14ac:dyDescent="0.2">
      <c r="B440" s="761" t="s">
        <v>1621</v>
      </c>
      <c r="C440" s="761"/>
      <c r="D440" s="761"/>
      <c r="E440" s="761"/>
      <c r="F440" s="761"/>
      <c r="G440" s="761"/>
      <c r="H440" s="761"/>
      <c r="I440" s="761"/>
      <c r="J440" s="761"/>
      <c r="K440" s="761"/>
      <c r="L440" s="761"/>
      <c r="M440" s="761"/>
      <c r="N440" s="761"/>
      <c r="O440" s="761"/>
      <c r="P440" s="245">
        <f>MAX(O438,O439)</f>
        <v>0</v>
      </c>
      <c r="R440" s="954"/>
      <c r="S440" s="954"/>
      <c r="T440" s="10"/>
      <c r="U440" s="10"/>
      <c r="V440" s="10"/>
      <c r="W440" s="10"/>
      <c r="X440" s="189"/>
      <c r="Y440" s="14"/>
      <c r="Z440" s="724"/>
      <c r="AA440" s="724"/>
      <c r="AB440" s="724"/>
      <c r="AC440" s="10"/>
      <c r="AD440" s="10"/>
      <c r="AE440" s="10"/>
      <c r="AF440" s="10"/>
      <c r="AG440" s="10"/>
      <c r="AH440" s="10"/>
      <c r="AI440" s="10"/>
      <c r="AJ440" s="10"/>
      <c r="AK440" s="10"/>
      <c r="AL440" s="10"/>
      <c r="AM440" s="10"/>
      <c r="AN440" s="10"/>
      <c r="AO440" s="10"/>
      <c r="AP440" s="10"/>
      <c r="AQ440" s="10"/>
      <c r="AR440" s="10"/>
      <c r="AS440" s="10"/>
      <c r="AT440" s="10"/>
    </row>
    <row r="441" spans="2:109" ht="10.5" customHeight="1" x14ac:dyDescent="0.2">
      <c r="B441" s="777"/>
      <c r="C441" s="777"/>
      <c r="D441" s="777"/>
      <c r="E441" s="777"/>
      <c r="F441" s="777"/>
      <c r="G441" s="777"/>
      <c r="H441" s="777"/>
      <c r="I441" s="777"/>
      <c r="J441" s="777"/>
      <c r="K441" s="777"/>
      <c r="L441" s="777"/>
      <c r="M441" s="777"/>
      <c r="N441" s="777"/>
      <c r="O441" s="777"/>
      <c r="P441" s="1"/>
      <c r="R441" s="954"/>
      <c r="S441" s="954"/>
      <c r="T441" s="10"/>
      <c r="U441" s="10"/>
      <c r="V441" s="10"/>
      <c r="W441" s="10"/>
      <c r="X441" s="189"/>
      <c r="Y441" s="14"/>
      <c r="Z441" s="10"/>
      <c r="AA441" s="10"/>
      <c r="AB441" s="10"/>
      <c r="AC441" s="10"/>
      <c r="AD441" s="10"/>
      <c r="AE441" s="10"/>
      <c r="AF441" s="10"/>
      <c r="AG441" s="10"/>
      <c r="AH441" s="10"/>
      <c r="AI441" s="10"/>
      <c r="AJ441" s="10"/>
      <c r="AK441" s="10"/>
      <c r="AL441" s="10"/>
      <c r="AM441" s="10"/>
      <c r="AN441" s="10"/>
      <c r="AO441" s="10"/>
      <c r="AP441" s="10"/>
      <c r="AQ441" s="10"/>
      <c r="AR441" s="10"/>
      <c r="AS441" s="10"/>
      <c r="AT441" s="10"/>
    </row>
    <row r="442" spans="2:109" ht="15" customHeight="1" x14ac:dyDescent="0.2">
      <c r="B442" s="1075" t="s">
        <v>1236</v>
      </c>
      <c r="C442" s="1076"/>
      <c r="D442" s="1076"/>
      <c r="E442" s="1076"/>
      <c r="F442" s="1077"/>
      <c r="G442" s="761" t="s">
        <v>1623</v>
      </c>
      <c r="H442" s="761"/>
      <c r="I442" s="761"/>
      <c r="J442" s="761"/>
      <c r="K442" s="761"/>
      <c r="L442" s="730"/>
      <c r="M442" s="877"/>
      <c r="N442" s="820"/>
      <c r="O442" s="21">
        <f>SUMIF(T442:X442,L442,T443:X443)</f>
        <v>0</v>
      </c>
      <c r="P442" s="1046"/>
      <c r="R442" s="954"/>
      <c r="S442" s="954"/>
      <c r="T442" s="566" t="s">
        <v>1928</v>
      </c>
      <c r="U442" s="50" t="s">
        <v>1929</v>
      </c>
      <c r="V442" s="147" t="s">
        <v>1931</v>
      </c>
      <c r="W442" s="50" t="s">
        <v>929</v>
      </c>
      <c r="X442" s="147" t="s">
        <v>545</v>
      </c>
      <c r="Y442" s="14"/>
      <c r="Z442" s="724"/>
      <c r="AA442" s="724"/>
      <c r="AB442" s="724"/>
      <c r="AC442" s="10"/>
      <c r="AD442" s="10"/>
      <c r="AE442" s="10"/>
      <c r="AF442" s="10"/>
      <c r="AG442" s="10"/>
      <c r="AH442" s="10"/>
      <c r="AI442" s="10"/>
      <c r="AJ442" s="10"/>
      <c r="AK442" s="10"/>
      <c r="AL442" s="10"/>
      <c r="AM442" s="10"/>
      <c r="AN442" s="10"/>
      <c r="AO442" s="10"/>
      <c r="AP442" s="10"/>
      <c r="AQ442" s="10"/>
      <c r="AR442" s="10"/>
      <c r="AS442" s="10"/>
      <c r="AT442" s="10"/>
    </row>
    <row r="443" spans="2:109" ht="15" customHeight="1" x14ac:dyDescent="0.2">
      <c r="B443" s="1078"/>
      <c r="C443" s="1079"/>
      <c r="D443" s="1079"/>
      <c r="E443" s="1079"/>
      <c r="F443" s="1080"/>
      <c r="G443" s="761" t="s">
        <v>1624</v>
      </c>
      <c r="H443" s="761"/>
      <c r="I443" s="761"/>
      <c r="J443" s="761"/>
      <c r="K443" s="761"/>
      <c r="L443" s="730"/>
      <c r="M443" s="877"/>
      <c r="N443" s="820"/>
      <c r="O443" s="21">
        <f>SUMIF(T442:X442,L443,T443:X443)</f>
        <v>0</v>
      </c>
      <c r="P443" s="1047"/>
      <c r="R443" s="954"/>
      <c r="S443" s="954"/>
      <c r="T443" s="563">
        <v>0.03</v>
      </c>
      <c r="U443" s="147">
        <v>0.15</v>
      </c>
      <c r="V443" s="147">
        <v>0.35</v>
      </c>
      <c r="W443" s="147">
        <v>0.63</v>
      </c>
      <c r="X443" s="147">
        <v>0.88</v>
      </c>
      <c r="Y443" s="14"/>
      <c r="Z443" s="724"/>
      <c r="AA443" s="724"/>
      <c r="AB443" s="724"/>
      <c r="AC443" s="10"/>
      <c r="AD443" s="10"/>
      <c r="AE443" s="10"/>
      <c r="AF443" s="10"/>
      <c r="AG443" s="10"/>
      <c r="AH443" s="10"/>
      <c r="AI443" s="10"/>
      <c r="AJ443" s="10"/>
      <c r="AK443" s="10"/>
      <c r="AL443" s="10"/>
      <c r="AM443" s="10"/>
      <c r="AN443" s="10"/>
      <c r="AO443" s="10"/>
      <c r="AP443" s="10"/>
      <c r="AQ443" s="10"/>
      <c r="AR443" s="10"/>
      <c r="AS443" s="10"/>
      <c r="AT443" s="10"/>
    </row>
    <row r="444" spans="2:109" ht="18" customHeight="1" x14ac:dyDescent="0.2">
      <c r="B444" s="756" t="s">
        <v>1621</v>
      </c>
      <c r="C444" s="757"/>
      <c r="D444" s="757"/>
      <c r="E444" s="757"/>
      <c r="F444" s="757"/>
      <c r="G444" s="757"/>
      <c r="H444" s="757"/>
      <c r="I444" s="757"/>
      <c r="J444" s="757"/>
      <c r="K444" s="757"/>
      <c r="L444" s="757"/>
      <c r="M444" s="757"/>
      <c r="N444" s="757"/>
      <c r="O444" s="758"/>
      <c r="P444" s="245">
        <f>MAX(O442,O443)</f>
        <v>0</v>
      </c>
      <c r="R444" s="10"/>
      <c r="S444" s="10"/>
      <c r="T444" s="10"/>
      <c r="U444" s="10"/>
      <c r="V444" s="10"/>
      <c r="W444" s="10"/>
      <c r="X444" s="10"/>
      <c r="Y444" s="14"/>
      <c r="Z444" s="724"/>
      <c r="AA444" s="724"/>
      <c r="AB444" s="724"/>
      <c r="AC444" s="10"/>
      <c r="AD444" s="10"/>
      <c r="AE444" s="10"/>
      <c r="AF444" s="10"/>
      <c r="AG444" s="10"/>
      <c r="AH444" s="10"/>
      <c r="AI444" s="10"/>
      <c r="AJ444" s="10"/>
      <c r="AK444" s="10"/>
      <c r="AL444" s="10"/>
      <c r="AM444" s="10"/>
      <c r="AN444" s="10"/>
      <c r="AO444" s="10"/>
      <c r="AP444" s="10"/>
      <c r="AQ444" s="10"/>
      <c r="AR444" s="10"/>
      <c r="AS444" s="10"/>
      <c r="AT444" s="10"/>
    </row>
    <row r="445" spans="2:109" ht="12" customHeight="1" x14ac:dyDescent="0.2">
      <c r="B445" s="697"/>
      <c r="C445" s="697"/>
      <c r="D445" s="697"/>
      <c r="E445" s="697"/>
      <c r="F445" s="697"/>
      <c r="G445" s="697"/>
      <c r="H445" s="697"/>
      <c r="I445" s="697"/>
      <c r="J445" s="697"/>
      <c r="K445" s="697"/>
      <c r="L445" s="697"/>
      <c r="M445" s="697"/>
      <c r="N445" s="697"/>
      <c r="O445" s="697"/>
      <c r="P445" s="8"/>
      <c r="R445" s="10"/>
      <c r="S445" s="10"/>
      <c r="T445" s="10"/>
      <c r="U445" s="10"/>
      <c r="V445" s="10"/>
      <c r="W445" s="10"/>
      <c r="X445" s="10"/>
      <c r="Y445" s="14"/>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row>
    <row r="446" spans="2:109" ht="18" customHeight="1" x14ac:dyDescent="0.2">
      <c r="B446" s="912" t="s">
        <v>936</v>
      </c>
      <c r="C446" s="912"/>
      <c r="D446" s="912"/>
      <c r="E446" s="912"/>
      <c r="F446" s="912"/>
      <c r="G446" s="912"/>
      <c r="H446" s="912"/>
      <c r="I446" s="912"/>
      <c r="J446" s="912"/>
      <c r="K446" s="912"/>
      <c r="L446" s="912"/>
      <c r="M446" s="912"/>
      <c r="N446" s="912"/>
      <c r="O446" s="912"/>
      <c r="P446" s="912"/>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row>
    <row r="447" spans="2:109" ht="114" customHeight="1" x14ac:dyDescent="0.2">
      <c r="B447" s="761" t="s">
        <v>1739</v>
      </c>
      <c r="C447" s="761"/>
      <c r="D447" s="761"/>
      <c r="E447" s="761"/>
      <c r="F447" s="761"/>
      <c r="G447" s="761"/>
      <c r="H447" s="761"/>
      <c r="I447" s="761"/>
      <c r="J447" s="761"/>
      <c r="K447" s="761"/>
      <c r="L447" s="761"/>
      <c r="M447" s="761"/>
      <c r="N447" s="761"/>
      <c r="O447" s="761"/>
      <c r="P447" s="761"/>
      <c r="R447" s="127" t="s">
        <v>2146</v>
      </c>
      <c r="S447" s="50" t="s">
        <v>1901</v>
      </c>
      <c r="T447" s="552" t="s">
        <v>811</v>
      </c>
      <c r="U447" s="552" t="s">
        <v>812</v>
      </c>
      <c r="V447" s="552" t="s">
        <v>813</v>
      </c>
      <c r="W447" s="552" t="s">
        <v>814</v>
      </c>
      <c r="X447" s="50" t="s">
        <v>815</v>
      </c>
      <c r="Y447" s="552" t="s">
        <v>816</v>
      </c>
      <c r="Z447" s="552" t="s">
        <v>817</v>
      </c>
      <c r="AA447" s="552" t="s">
        <v>818</v>
      </c>
      <c r="AB447" s="552" t="s">
        <v>819</v>
      </c>
      <c r="AC447" s="552" t="s">
        <v>820</v>
      </c>
      <c r="AD447" s="552" t="s">
        <v>1648</v>
      </c>
      <c r="AE447" s="552" t="s">
        <v>1649</v>
      </c>
      <c r="AF447" s="552" t="s">
        <v>1650</v>
      </c>
      <c r="AG447" s="552" t="s">
        <v>1651</v>
      </c>
      <c r="AH447" s="552" t="s">
        <v>1652</v>
      </c>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row>
    <row r="448" spans="2:109" ht="15" customHeight="1" x14ac:dyDescent="0.2">
      <c r="B448" s="910"/>
      <c r="C448" s="910"/>
      <c r="D448" s="910"/>
      <c r="E448" s="910"/>
      <c r="F448" s="910"/>
      <c r="G448" s="910"/>
      <c r="H448" s="910"/>
      <c r="I448" s="910"/>
      <c r="J448" s="910"/>
      <c r="K448" s="910"/>
      <c r="L448" s="912" t="s">
        <v>1653</v>
      </c>
      <c r="M448" s="1081" t="s">
        <v>1654</v>
      </c>
      <c r="N448" s="1081"/>
      <c r="O448" s="1081"/>
      <c r="P448" s="1081"/>
      <c r="R448" s="146" t="s">
        <v>2147</v>
      </c>
      <c r="S448" s="548">
        <v>0</v>
      </c>
      <c r="T448" s="147">
        <v>0</v>
      </c>
      <c r="U448" s="147">
        <v>0.05</v>
      </c>
      <c r="V448" s="147">
        <v>0.1</v>
      </c>
      <c r="W448" s="147">
        <v>0.2</v>
      </c>
      <c r="X448" s="147">
        <v>0.3</v>
      </c>
      <c r="Y448" s="147">
        <v>0.4</v>
      </c>
      <c r="Z448" s="147">
        <v>0.5</v>
      </c>
      <c r="AA448" s="147">
        <v>0.6</v>
      </c>
      <c r="AB448" s="147">
        <v>0.7</v>
      </c>
      <c r="AC448" s="147">
        <v>0.75</v>
      </c>
      <c r="AD448" s="147">
        <v>0.8</v>
      </c>
      <c r="AE448" s="586">
        <v>0.85</v>
      </c>
      <c r="AF448" s="586">
        <v>0.9</v>
      </c>
      <c r="AG448" s="586">
        <v>0.95</v>
      </c>
      <c r="AH448" s="586">
        <v>1</v>
      </c>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row>
    <row r="449" spans="1:109" ht="15" customHeight="1" x14ac:dyDescent="0.2">
      <c r="B449" s="256" t="s">
        <v>1655</v>
      </c>
      <c r="C449" s="912" t="s">
        <v>937</v>
      </c>
      <c r="D449" s="912"/>
      <c r="E449" s="912"/>
      <c r="F449" s="912"/>
      <c r="G449" s="912"/>
      <c r="H449" s="912"/>
      <c r="I449" s="912"/>
      <c r="J449" s="912"/>
      <c r="K449" s="912"/>
      <c r="L449" s="912"/>
      <c r="M449" s="912" t="s">
        <v>1656</v>
      </c>
      <c r="N449" s="912"/>
      <c r="O449" s="19" t="s">
        <v>1657</v>
      </c>
      <c r="P449" s="19" t="s">
        <v>1658</v>
      </c>
      <c r="R449" s="1109" t="s">
        <v>2149</v>
      </c>
      <c r="S449" s="1109"/>
      <c r="T449" s="147" t="s">
        <v>1656</v>
      </c>
      <c r="U449" s="147" t="s">
        <v>1565</v>
      </c>
      <c r="V449" s="147" t="s">
        <v>1659</v>
      </c>
      <c r="W449" s="147" t="s">
        <v>1660</v>
      </c>
      <c r="X449" s="147" t="s">
        <v>1661</v>
      </c>
      <c r="Y449" s="14"/>
      <c r="Z449" s="147" t="s">
        <v>1478</v>
      </c>
      <c r="AA449" s="147" t="s">
        <v>1285</v>
      </c>
      <c r="AB449" s="147" t="s">
        <v>1287</v>
      </c>
      <c r="AC449" s="147" t="s">
        <v>1286</v>
      </c>
      <c r="AD449" s="147" t="s">
        <v>1287</v>
      </c>
      <c r="AE449" s="365" t="s">
        <v>1479</v>
      </c>
      <c r="AF449" s="365" t="s">
        <v>1287</v>
      </c>
      <c r="AG449" s="50" t="s">
        <v>1285</v>
      </c>
      <c r="AH449" s="50" t="s">
        <v>1286</v>
      </c>
      <c r="AI449" s="50" t="s">
        <v>1287</v>
      </c>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row>
    <row r="450" spans="1:109" ht="15" customHeight="1" x14ac:dyDescent="0.2">
      <c r="A450" s="15"/>
      <c r="B450" s="912"/>
      <c r="C450" s="912"/>
      <c r="D450" s="912"/>
      <c r="E450" s="366"/>
      <c r="F450" s="912" t="s">
        <v>1480</v>
      </c>
      <c r="G450" s="912"/>
      <c r="H450" s="912"/>
      <c r="I450" s="912"/>
      <c r="J450" s="912"/>
      <c r="K450" s="912"/>
      <c r="L450" s="82">
        <f>IF(S450=0,0,0.3)</f>
        <v>0</v>
      </c>
      <c r="M450" s="1005"/>
      <c r="N450" s="1005"/>
      <c r="O450" s="86"/>
      <c r="P450" s="291">
        <f>IF(OR(L450=0,M450=""),0,X450)</f>
        <v>0</v>
      </c>
      <c r="R450" s="579" t="b">
        <v>0</v>
      </c>
      <c r="S450" s="580">
        <f>IF(R450=TRUE,1,0)</f>
        <v>0</v>
      </c>
      <c r="T450" s="581">
        <f>SUMIF($T$447:$AH$447,M450,$T$448:$AH$448)</f>
        <v>0</v>
      </c>
      <c r="U450" s="581">
        <f>SUMIF($S$447:$AH$447,O450,$S$448:$AH$448)</f>
        <v>0</v>
      </c>
      <c r="V450" s="581">
        <f>L450*T450</f>
        <v>0</v>
      </c>
      <c r="W450" s="581">
        <f>L450*U450</f>
        <v>0</v>
      </c>
      <c r="X450" s="581">
        <f>(IF(V450-W450&lt;=0,0,V450-W450))</f>
        <v>0</v>
      </c>
      <c r="Y450" s="14"/>
      <c r="Z450" s="581">
        <f>P481</f>
        <v>0</v>
      </c>
      <c r="AA450" s="581">
        <f>LARGE($Z$450:$Z$452,1)</f>
        <v>0</v>
      </c>
      <c r="AB450" s="581">
        <f>ROUND(AA450,2)</f>
        <v>0</v>
      </c>
      <c r="AC450" s="544">
        <f>AB450+AB451*(1-AB450)</f>
        <v>0</v>
      </c>
      <c r="AD450" s="582">
        <f>ROUND(AC450,2)</f>
        <v>0</v>
      </c>
      <c r="AE450" s="581">
        <f>P450</f>
        <v>0</v>
      </c>
      <c r="AF450" s="147">
        <f>ROUND(AE450,2)</f>
        <v>0</v>
      </c>
      <c r="AG450" s="147">
        <f>LARGE($AF$450:$AF$458,1)</f>
        <v>0</v>
      </c>
      <c r="AH450" s="544">
        <f>AG450+AG451*(1-AG450)</f>
        <v>0</v>
      </c>
      <c r="AI450" s="581">
        <f>ROUND(AH450,2)</f>
        <v>0</v>
      </c>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row>
    <row r="451" spans="1:109" ht="15" customHeight="1" x14ac:dyDescent="0.2">
      <c r="B451" s="912"/>
      <c r="C451" s="912"/>
      <c r="D451" s="912"/>
      <c r="E451" s="366"/>
      <c r="F451" s="912" t="s">
        <v>1481</v>
      </c>
      <c r="G451" s="912"/>
      <c r="H451" s="912"/>
      <c r="I451" s="912"/>
      <c r="J451" s="912"/>
      <c r="K451" s="912"/>
      <c r="L451" s="82">
        <f>IF(S451=0,0,0.35)</f>
        <v>0</v>
      </c>
      <c r="M451" s="1005"/>
      <c r="N451" s="1005"/>
      <c r="O451" s="86"/>
      <c r="P451" s="291">
        <f>IF(OR(L451=0,M451=""),0,X451)</f>
        <v>0</v>
      </c>
      <c r="R451" s="579" t="b">
        <v>0</v>
      </c>
      <c r="S451" s="580">
        <f>IF(R451=TRUE,1,0)</f>
        <v>0</v>
      </c>
      <c r="T451" s="581">
        <f>SUMIF($T$447:$AH$447,M451,$T$448:$AH$448)</f>
        <v>0</v>
      </c>
      <c r="U451" s="581">
        <f>SUMIF($S$447:$AH$447,O451,$S$448:$AH$448)</f>
        <v>0</v>
      </c>
      <c r="V451" s="581">
        <f>L451*T451</f>
        <v>0</v>
      </c>
      <c r="W451" s="581">
        <f>L451*U451</f>
        <v>0</v>
      </c>
      <c r="X451" s="581">
        <f>(IF(V451-W451&lt;=0,0,V451-W451))</f>
        <v>0</v>
      </c>
      <c r="Y451" s="14"/>
      <c r="Z451" s="581">
        <f>P496</f>
        <v>0</v>
      </c>
      <c r="AA451" s="581">
        <f>LARGE($Z$450:$Z$452,2)</f>
        <v>0</v>
      </c>
      <c r="AB451" s="581">
        <f>ROUND(AA451,2)</f>
        <v>0</v>
      </c>
      <c r="AC451" s="544">
        <f>AD450+AB452*(1-AD450)</f>
        <v>0</v>
      </c>
      <c r="AD451" s="582">
        <f>ROUND(AC451,2)</f>
        <v>0</v>
      </c>
      <c r="AE451" s="581">
        <f>P451</f>
        <v>0</v>
      </c>
      <c r="AF451" s="147">
        <f>ROUND(AE451,2)</f>
        <v>0</v>
      </c>
      <c r="AG451" s="147">
        <f>LARGE($AF$450:$AF$458,2)</f>
        <v>0</v>
      </c>
      <c r="AH451" s="544">
        <f>AI450+AG452*(1-AI450)</f>
        <v>0</v>
      </c>
      <c r="AI451" s="581">
        <f>ROUND(AH451,2)</f>
        <v>0</v>
      </c>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row>
    <row r="452" spans="1:109" ht="15" customHeight="1" x14ac:dyDescent="0.2">
      <c r="B452" s="912"/>
      <c r="C452" s="912"/>
      <c r="D452" s="912"/>
      <c r="E452" s="366"/>
      <c r="F452" s="912" t="s">
        <v>1482</v>
      </c>
      <c r="G452" s="912"/>
      <c r="H452" s="912"/>
      <c r="I452" s="912"/>
      <c r="J452" s="912"/>
      <c r="K452" s="912"/>
      <c r="L452" s="82">
        <f>IF(S452=0,0,0.35)</f>
        <v>0</v>
      </c>
      <c r="M452" s="1005"/>
      <c r="N452" s="1005"/>
      <c r="O452" s="86"/>
      <c r="P452" s="291">
        <f>IF(OR(L452=0,M452=""),0,X452)</f>
        <v>0</v>
      </c>
      <c r="R452" s="579" t="b">
        <v>0</v>
      </c>
      <c r="S452" s="580">
        <f>IF(R452=TRUE,1,0)</f>
        <v>0</v>
      </c>
      <c r="T452" s="581">
        <f>SUMIF($T$447:$AH$447,M452,$T$448:$AH$448)</f>
        <v>0</v>
      </c>
      <c r="U452" s="581">
        <f>SUMIF($S$447:$AH$447,O452,$S$448:$AH$448)</f>
        <v>0</v>
      </c>
      <c r="V452" s="581">
        <f>L452*T452</f>
        <v>0</v>
      </c>
      <c r="W452" s="581">
        <f>L452*U452</f>
        <v>0</v>
      </c>
      <c r="X452" s="581">
        <f>(IF(V452-W452&lt;=0,0,V452-W452))</f>
        <v>0</v>
      </c>
      <c r="Y452" s="14"/>
      <c r="Z452" s="581">
        <f>P510</f>
        <v>0</v>
      </c>
      <c r="AA452" s="581">
        <f>LARGE($Z$450:$Z$452,3)</f>
        <v>0</v>
      </c>
      <c r="AB452" s="581">
        <f>ROUND(AA452,2)</f>
        <v>0</v>
      </c>
      <c r="AC452" s="96"/>
      <c r="AD452" s="94"/>
      <c r="AE452" s="581">
        <f>P452</f>
        <v>0</v>
      </c>
      <c r="AF452" s="147">
        <f>ROUND(AE452,2)</f>
        <v>0</v>
      </c>
      <c r="AG452" s="147">
        <f>LARGE($AF$450:$AF$458,3)</f>
        <v>0</v>
      </c>
      <c r="AH452" s="544">
        <f>AI451+AG453*(1-AI451)</f>
        <v>0</v>
      </c>
      <c r="AI452" s="581">
        <f>ROUND(AH452,2)</f>
        <v>0</v>
      </c>
      <c r="AJ452" s="10"/>
      <c r="AK452" s="10">
        <v>1E-4</v>
      </c>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row>
    <row r="453" spans="1:109" ht="15" customHeight="1" x14ac:dyDescent="0.2">
      <c r="B453" s="912"/>
      <c r="C453" s="912"/>
      <c r="D453" s="912"/>
      <c r="E453" s="366"/>
      <c r="F453" s="912" t="s">
        <v>1190</v>
      </c>
      <c r="G453" s="912"/>
      <c r="H453" s="912"/>
      <c r="I453" s="912"/>
      <c r="J453" s="912"/>
      <c r="K453" s="912"/>
      <c r="L453" s="82">
        <f>IF(S453=0,0,0.45)</f>
        <v>0</v>
      </c>
      <c r="M453" s="1005"/>
      <c r="N453" s="1005"/>
      <c r="O453" s="86"/>
      <c r="P453" s="291">
        <f>IF(OR(L453=0,M453=""),0,X453)</f>
        <v>0</v>
      </c>
      <c r="R453" s="579" t="b">
        <v>0</v>
      </c>
      <c r="S453" s="580">
        <f>IF(R453=TRUE,1,0)</f>
        <v>0</v>
      </c>
      <c r="T453" s="581">
        <f>SUMIF($T$447:$AH$447,M453,$T$448:$AH$448)</f>
        <v>0</v>
      </c>
      <c r="U453" s="581">
        <f>SUMIF($S$447:$AH$447,O453,$S$448:$AH$448)</f>
        <v>0</v>
      </c>
      <c r="V453" s="581">
        <f>L453*T453</f>
        <v>0</v>
      </c>
      <c r="W453" s="581">
        <f>L453*U453</f>
        <v>0</v>
      </c>
      <c r="X453" s="581">
        <f>(IF(V453-W453&lt;=0,0,V453-W453))</f>
        <v>0</v>
      </c>
      <c r="Y453" s="14"/>
      <c r="Z453" s="94"/>
      <c r="AA453" s="94"/>
      <c r="AB453" s="94"/>
      <c r="AC453" s="14"/>
      <c r="AD453" s="14"/>
      <c r="AE453" s="581">
        <f>P453</f>
        <v>0</v>
      </c>
      <c r="AF453" s="147">
        <f>ROUND(AE453,2)</f>
        <v>0</v>
      </c>
      <c r="AG453" s="147">
        <f>LARGE($AF$450:$AF$458,4)</f>
        <v>0</v>
      </c>
      <c r="AH453" s="544">
        <f>AI452+AG454*(1-AI452)</f>
        <v>0</v>
      </c>
      <c r="AI453" s="581">
        <f>ROUND(AH453,2)</f>
        <v>0</v>
      </c>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row>
    <row r="454" spans="1:109" ht="15" customHeight="1" x14ac:dyDescent="0.2">
      <c r="B454" s="912"/>
      <c r="C454" s="912"/>
      <c r="D454" s="912"/>
      <c r="E454" s="366"/>
      <c r="F454" s="912" t="s">
        <v>1191</v>
      </c>
      <c r="G454" s="912"/>
      <c r="H454" s="912"/>
      <c r="I454" s="912"/>
      <c r="J454" s="912"/>
      <c r="K454" s="912"/>
      <c r="L454" s="82">
        <f>IF(S454=0,0,0.2)</f>
        <v>0</v>
      </c>
      <c r="M454" s="1005"/>
      <c r="N454" s="1005"/>
      <c r="O454" s="86"/>
      <c r="P454" s="291">
        <f>IF(OR(L454=0,M454=""),0,X454)</f>
        <v>0</v>
      </c>
      <c r="R454" s="579" t="b">
        <v>0</v>
      </c>
      <c r="S454" s="580">
        <f>IF(R454=TRUE,1,0)</f>
        <v>0</v>
      </c>
      <c r="T454" s="581">
        <f>SUMIF($T$447:$AH$447,M454,$T$448:$AH$448)</f>
        <v>0</v>
      </c>
      <c r="U454" s="581">
        <f>SUMIF($S$447:$AH$447,O454,$S$448:$AH$448)</f>
        <v>0</v>
      </c>
      <c r="V454" s="581">
        <f>L454*T454</f>
        <v>0</v>
      </c>
      <c r="W454" s="581">
        <f>L454*U454</f>
        <v>0</v>
      </c>
      <c r="X454" s="581">
        <f>(IF(V454-W454&lt;=0,0,V454-W454))</f>
        <v>0</v>
      </c>
      <c r="Y454" s="14"/>
      <c r="Z454" s="10"/>
      <c r="AA454" s="14"/>
      <c r="AB454" s="14"/>
      <c r="AC454" s="14"/>
      <c r="AD454" s="14"/>
      <c r="AE454" s="581">
        <f>P454</f>
        <v>0</v>
      </c>
      <c r="AF454" s="147">
        <f>ROUND(AE454,2)</f>
        <v>0</v>
      </c>
      <c r="AG454" s="147">
        <f>LARGE($AF$450:$AF$458,5)</f>
        <v>0</v>
      </c>
      <c r="AH454" s="544">
        <f>AI453+AG457*(1-AI453)</f>
        <v>0</v>
      </c>
      <c r="AI454" s="581">
        <f>ROUND(AH454,2)</f>
        <v>0</v>
      </c>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row>
    <row r="455" spans="1:109" ht="6" customHeight="1" x14ac:dyDescent="0.2">
      <c r="B455" s="697"/>
      <c r="C455" s="697"/>
      <c r="D455" s="697"/>
      <c r="E455" s="697"/>
      <c r="F455" s="697"/>
      <c r="G455" s="697"/>
      <c r="H455" s="697"/>
      <c r="I455" s="697"/>
      <c r="J455" s="697"/>
      <c r="K455" s="697"/>
      <c r="L455" s="697"/>
      <c r="M455" s="697"/>
      <c r="N455" s="697"/>
      <c r="O455" s="697"/>
      <c r="P455" s="89"/>
      <c r="R455" s="137"/>
      <c r="S455" s="98"/>
      <c r="T455" s="94"/>
      <c r="U455" s="94"/>
      <c r="V455" s="94"/>
      <c r="W455" s="94"/>
      <c r="X455" s="94"/>
      <c r="Y455" s="14"/>
      <c r="Z455" s="10"/>
      <c r="AA455" s="14"/>
      <c r="AB455" s="14"/>
      <c r="AC455" s="14"/>
      <c r="AD455" s="14"/>
      <c r="AE455" s="94"/>
      <c r="AF455" s="14"/>
      <c r="AG455" s="14"/>
      <c r="AH455" s="96"/>
      <c r="AI455" s="94"/>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row>
    <row r="456" spans="1:109" ht="6" customHeight="1" x14ac:dyDescent="0.2">
      <c r="B456" s="1044"/>
      <c r="C456" s="1044"/>
      <c r="D456" s="1044"/>
      <c r="E456" s="1044"/>
      <c r="F456" s="1044"/>
      <c r="G456" s="1044"/>
      <c r="H456" s="1044"/>
      <c r="I456" s="1044"/>
      <c r="J456" s="1044"/>
      <c r="K456" s="1044"/>
      <c r="L456" s="1044"/>
      <c r="M456" s="1044"/>
      <c r="N456" s="1044"/>
      <c r="O456" s="1044"/>
      <c r="P456" s="90"/>
      <c r="R456" s="137"/>
      <c r="S456" s="98"/>
      <c r="T456" s="94"/>
      <c r="U456" s="94"/>
      <c r="V456" s="94"/>
      <c r="W456" s="94"/>
      <c r="X456" s="94"/>
      <c r="Y456" s="14"/>
      <c r="Z456" s="10"/>
      <c r="AA456" s="14"/>
      <c r="AB456" s="14"/>
      <c r="AC456" s="14"/>
      <c r="AD456" s="14"/>
      <c r="AE456" s="94"/>
      <c r="AF456" s="14"/>
      <c r="AG456" s="14"/>
      <c r="AH456" s="96"/>
      <c r="AI456" s="94"/>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row>
    <row r="457" spans="1:109" ht="15" customHeight="1" x14ac:dyDescent="0.2">
      <c r="B457" s="749" t="s">
        <v>1669</v>
      </c>
      <c r="C457" s="750"/>
      <c r="D457" s="750"/>
      <c r="E457" s="757"/>
      <c r="F457" s="757"/>
      <c r="G457" s="757"/>
      <c r="H457" s="757"/>
      <c r="I457" s="757"/>
      <c r="J457" s="757"/>
      <c r="K457" s="757"/>
      <c r="L457" s="757"/>
      <c r="M457" s="757"/>
      <c r="N457" s="757"/>
      <c r="O457" s="757"/>
      <c r="P457" s="758"/>
      <c r="R457" s="128"/>
      <c r="S457" s="98"/>
      <c r="T457" s="147" t="s">
        <v>1656</v>
      </c>
      <c r="U457" s="147" t="s">
        <v>1565</v>
      </c>
      <c r="V457" s="147" t="s">
        <v>1659</v>
      </c>
      <c r="W457" s="147" t="s">
        <v>1660</v>
      </c>
      <c r="X457" s="147" t="s">
        <v>1661</v>
      </c>
      <c r="Y457" s="14"/>
      <c r="Z457" s="10"/>
      <c r="AA457" s="14"/>
      <c r="AB457" s="14"/>
      <c r="AC457" s="14"/>
      <c r="AD457" s="14"/>
      <c r="AE457" s="581">
        <f>P462</f>
        <v>0</v>
      </c>
      <c r="AF457" s="147">
        <f>ROUND(AE457,2)</f>
        <v>0</v>
      </c>
      <c r="AG457" s="147">
        <f>LARGE($AF$450:$AF$458,6)</f>
        <v>0</v>
      </c>
      <c r="AH457" s="544">
        <f>AI454+AG458*(1-AI454)</f>
        <v>0</v>
      </c>
      <c r="AI457" s="581">
        <f>ROUND(AH457,2)</f>
        <v>0</v>
      </c>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row>
    <row r="458" spans="1:109" ht="27" customHeight="1" x14ac:dyDescent="0.2">
      <c r="B458" s="447" t="s">
        <v>1784</v>
      </c>
      <c r="C458" s="463"/>
      <c r="D458" s="448"/>
      <c r="E458" s="263"/>
      <c r="F458" s="991" t="s">
        <v>1521</v>
      </c>
      <c r="G458" s="992"/>
      <c r="H458" s="992"/>
      <c r="I458" s="992"/>
      <c r="J458" s="992"/>
      <c r="K458" s="993"/>
      <c r="L458" s="82">
        <f>IF(OR(F458="",S458=0),0,IF(AND(S458=1,F458&lt;&gt;""),0.25))</f>
        <v>0</v>
      </c>
      <c r="M458" s="1005"/>
      <c r="N458" s="1005"/>
      <c r="O458" s="86"/>
      <c r="P458" s="291" t="str">
        <f>IF(OR(L458=0,M458=""),"",X458)</f>
        <v/>
      </c>
      <c r="R458" s="546" t="b">
        <v>0</v>
      </c>
      <c r="S458" s="571">
        <f>IF(R458=TRUE,1,0)</f>
        <v>0</v>
      </c>
      <c r="T458" s="581">
        <f>SUMIF($T$447:$AH$447,M458,$T$448:$AH$448)</f>
        <v>0</v>
      </c>
      <c r="U458" s="581">
        <f>SUMIF($S$447:$AH$447,O458,$S$448:$AH$448)</f>
        <v>0</v>
      </c>
      <c r="V458" s="581">
        <f>L458*T458</f>
        <v>0</v>
      </c>
      <c r="W458" s="581">
        <f>L458*U458</f>
        <v>0</v>
      </c>
      <c r="X458" s="581">
        <f>(IF(V458-W458&lt;=0,0,V458-W458))</f>
        <v>0</v>
      </c>
      <c r="Y458" s="10"/>
      <c r="Z458" s="10"/>
      <c r="AA458" s="10"/>
      <c r="AB458" s="10"/>
      <c r="AC458" s="10"/>
      <c r="AD458" s="10"/>
      <c r="AE458" s="583">
        <f>P469</f>
        <v>0</v>
      </c>
      <c r="AF458" s="147">
        <f>ROUND(AE458,2)</f>
        <v>0</v>
      </c>
      <c r="AG458" s="147">
        <f>LARGE($AF$450:$AF$458,7)</f>
        <v>0</v>
      </c>
      <c r="AH458" s="96"/>
      <c r="AI458" s="94"/>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row>
    <row r="459" spans="1:109" ht="15" customHeight="1" x14ac:dyDescent="0.2">
      <c r="B459" s="461"/>
      <c r="C459" s="39"/>
      <c r="D459" s="464"/>
      <c r="E459" s="462"/>
      <c r="F459" s="742" t="str">
        <f>IF(S458=1,"","Biceps brachii")</f>
        <v>Biceps brachii</v>
      </c>
      <c r="G459" s="743"/>
      <c r="H459" s="743"/>
      <c r="I459" s="743"/>
      <c r="J459" s="743"/>
      <c r="K459" s="744"/>
      <c r="L459" s="82">
        <f>IF(OR(F459="",S459=0),0,IF(AND(S459=1,F459&lt;&gt;""),0.25))</f>
        <v>0</v>
      </c>
      <c r="M459" s="1005"/>
      <c r="N459" s="1005"/>
      <c r="O459" s="86"/>
      <c r="P459" s="291" t="str">
        <f>IF(OR(L459=0,M459="",X459=0),"",X459)</f>
        <v/>
      </c>
      <c r="R459" s="546" t="b">
        <v>0</v>
      </c>
      <c r="S459" s="571">
        <f>IF(R459=TRUE,1,0)</f>
        <v>0</v>
      </c>
      <c r="T459" s="581">
        <f>SUMIF($T$447:$AH$447,M459,$T$448:$AH$448)</f>
        <v>0</v>
      </c>
      <c r="U459" s="581">
        <f>SUMIF($S$447:$AH$447,O459,$S$448:$AH$448)</f>
        <v>0</v>
      </c>
      <c r="V459" s="581">
        <f>L459*T459</f>
        <v>0</v>
      </c>
      <c r="W459" s="581">
        <f>L459*U459</f>
        <v>0</v>
      </c>
      <c r="X459" s="581">
        <f>(IF(V459-W459&lt;=0,0,V459-W459))</f>
        <v>0</v>
      </c>
      <c r="Y459" s="129"/>
      <c r="Z459" s="10"/>
      <c r="AA459" s="129"/>
      <c r="AB459" s="129"/>
      <c r="AC459" s="10"/>
      <c r="AD459" s="129"/>
      <c r="AE459" s="138"/>
      <c r="AF459" s="14"/>
      <c r="AG459" s="14"/>
      <c r="AH459" s="96"/>
      <c r="AI459" s="94"/>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row>
    <row r="460" spans="1:109" ht="15" customHeight="1" x14ac:dyDescent="0.2">
      <c r="B460" s="461"/>
      <c r="C460" s="39"/>
      <c r="D460" s="464"/>
      <c r="E460" s="462"/>
      <c r="F460" s="742" t="str">
        <f>IF(S458=1,"","Coracobrachialis")</f>
        <v>Coracobrachialis</v>
      </c>
      <c r="G460" s="743"/>
      <c r="H460" s="743"/>
      <c r="I460" s="743"/>
      <c r="J460" s="743"/>
      <c r="K460" s="744"/>
      <c r="L460" s="82">
        <f>IF(OR(F460="",S460=0),0,IF(AND(S460=1,F460&lt;&gt;""),0.25))</f>
        <v>0</v>
      </c>
      <c r="M460" s="1005"/>
      <c r="N460" s="1005"/>
      <c r="O460" s="86"/>
      <c r="P460" s="291" t="str">
        <f>IF(OR(L460=0,M460="",X460=0),"",X460)</f>
        <v/>
      </c>
      <c r="R460" s="546" t="b">
        <v>0</v>
      </c>
      <c r="S460" s="571">
        <f>IF(R460=TRUE,1,0)</f>
        <v>0</v>
      </c>
      <c r="T460" s="581">
        <f>SUMIF($T$447:$AH$447,M460,$T$448:$AH$448)</f>
        <v>0</v>
      </c>
      <c r="U460" s="581">
        <f>SUMIF($S$447:$AH$447,O460,$S$448:$AH$448)</f>
        <v>0</v>
      </c>
      <c r="V460" s="581">
        <f>L460*T460</f>
        <v>0</v>
      </c>
      <c r="W460" s="581">
        <f>L460*U460</f>
        <v>0</v>
      </c>
      <c r="X460" s="581">
        <f>(IF(V460-W460&lt;=0,0,V460-W460))</f>
        <v>0</v>
      </c>
      <c r="Y460" s="98"/>
      <c r="Z460" s="10"/>
      <c r="AA460" s="98"/>
      <c r="AB460" s="98"/>
      <c r="AC460" s="98"/>
      <c r="AD460" s="98"/>
      <c r="AE460" s="96"/>
      <c r="AF460" s="14"/>
      <c r="AG460" s="14"/>
      <c r="AH460" s="96"/>
      <c r="AI460" s="94"/>
      <c r="AJ460" s="10"/>
      <c r="AK460" s="10"/>
      <c r="AL460" s="98"/>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row>
    <row r="461" spans="1:109" ht="15" customHeight="1" x14ac:dyDescent="0.2">
      <c r="B461" s="282"/>
      <c r="C461" s="182"/>
      <c r="D461" s="449"/>
      <c r="E461" s="462"/>
      <c r="F461" s="742" t="str">
        <f>IF(S458=1,"","Brachialis")</f>
        <v>Brachialis</v>
      </c>
      <c r="G461" s="743"/>
      <c r="H461" s="743"/>
      <c r="I461" s="743"/>
      <c r="J461" s="743"/>
      <c r="K461" s="744"/>
      <c r="L461" s="82">
        <f>IF(OR(F461="",S461=0),0,IF(AND(S461=1,F461&lt;&gt;""),0.25))</f>
        <v>0</v>
      </c>
      <c r="M461" s="1005"/>
      <c r="N461" s="1005"/>
      <c r="O461" s="86"/>
      <c r="P461" s="291" t="str">
        <f>IF(OR(L461=0,M461="",X461=0),"",X461)</f>
        <v/>
      </c>
      <c r="R461" s="546" t="b">
        <v>0</v>
      </c>
      <c r="S461" s="571">
        <f>IF(R461=TRUE,1,0)</f>
        <v>0</v>
      </c>
      <c r="T461" s="581">
        <f>SUMIF($T$447:$AH$447,M461,$T$448:$AH$448)</f>
        <v>0</v>
      </c>
      <c r="U461" s="581">
        <f>SUMIF($S$447:$AH$447,O461,$S$448:$AH$448)</f>
        <v>0</v>
      </c>
      <c r="V461" s="581">
        <f>L461*T461</f>
        <v>0</v>
      </c>
      <c r="W461" s="581">
        <f>L461*U461</f>
        <v>0</v>
      </c>
      <c r="X461" s="581">
        <f>(IF(V461-W461&lt;=0,0,V461-W461))</f>
        <v>0</v>
      </c>
      <c r="Y461" s="14"/>
      <c r="Z461" s="10"/>
      <c r="AA461" s="14"/>
      <c r="AB461" s="14"/>
      <c r="AC461" s="14"/>
      <c r="AD461" s="14"/>
      <c r="AE461" s="94"/>
      <c r="AF461" s="14"/>
      <c r="AG461" s="14"/>
      <c r="AH461" s="96"/>
      <c r="AI461" s="94"/>
      <c r="AJ461" s="14"/>
      <c r="AK461" s="14"/>
      <c r="AL461" s="14"/>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row>
    <row r="462" spans="1:109" ht="18" customHeight="1" x14ac:dyDescent="0.2">
      <c r="B462" s="994" t="s">
        <v>938</v>
      </c>
      <c r="C462" s="994"/>
      <c r="D462" s="994"/>
      <c r="E462" s="957"/>
      <c r="F462" s="957"/>
      <c r="G462" s="957"/>
      <c r="H462" s="957"/>
      <c r="I462" s="957"/>
      <c r="J462" s="957"/>
      <c r="K462" s="957"/>
      <c r="L462" s="957"/>
      <c r="M462" s="957"/>
      <c r="N462" s="957"/>
      <c r="O462" s="957"/>
      <c r="P462" s="190">
        <f>IF(SUM(P458:P461)=0,0,AVERAGE(P458:P461))</f>
        <v>0</v>
      </c>
      <c r="R462" s="10"/>
      <c r="S462" s="98"/>
      <c r="T462" s="94"/>
      <c r="U462" s="94"/>
      <c r="V462" s="96"/>
      <c r="W462" s="96"/>
      <c r="X462" s="94"/>
      <c r="Y462" s="14"/>
      <c r="Z462" s="14"/>
      <c r="AA462" s="14"/>
      <c r="AB462" s="14"/>
      <c r="AC462" s="14"/>
      <c r="AD462" s="14"/>
      <c r="AE462" s="94"/>
      <c r="AF462" s="14"/>
      <c r="AG462" s="14"/>
      <c r="AH462" s="96"/>
      <c r="AI462" s="94"/>
      <c r="AJ462" s="14"/>
      <c r="AK462" s="10"/>
      <c r="AL462" s="14"/>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row>
    <row r="463" spans="1:109" ht="12" customHeight="1" x14ac:dyDescent="0.2">
      <c r="C463" s="2"/>
      <c r="D463" s="2"/>
      <c r="F463" s="2"/>
      <c r="H463" s="2"/>
      <c r="J463" s="2"/>
      <c r="L463" s="2"/>
      <c r="N463" s="2"/>
      <c r="R463" s="10"/>
      <c r="S463" s="98"/>
      <c r="T463" s="147" t="s">
        <v>1656</v>
      </c>
      <c r="U463" s="147" t="s">
        <v>1565</v>
      </c>
      <c r="V463" s="147" t="s">
        <v>1659</v>
      </c>
      <c r="W463" s="147" t="s">
        <v>1660</v>
      </c>
      <c r="X463" s="147" t="s">
        <v>1661</v>
      </c>
      <c r="Y463" s="14"/>
      <c r="Z463" s="14"/>
      <c r="AA463" s="14"/>
      <c r="AB463" s="14"/>
      <c r="AC463" s="14"/>
      <c r="AD463" s="14"/>
      <c r="AE463" s="94"/>
      <c r="AF463" s="14"/>
      <c r="AG463" s="14"/>
      <c r="AH463" s="96"/>
      <c r="AI463" s="94"/>
      <c r="AJ463" s="14"/>
      <c r="AK463" s="10"/>
      <c r="AL463" s="14"/>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row>
    <row r="464" spans="1:109" ht="18" customHeight="1" x14ac:dyDescent="0.2">
      <c r="B464" s="451" t="s">
        <v>1781</v>
      </c>
      <c r="C464" s="452"/>
      <c r="D464" s="453"/>
      <c r="E464" s="462"/>
      <c r="F464" s="991" t="str">
        <f>IF(Z464=1,"","Overall loss at level shown")</f>
        <v/>
      </c>
      <c r="G464" s="992"/>
      <c r="H464" s="992"/>
      <c r="I464" s="992"/>
      <c r="J464" s="992"/>
      <c r="K464" s="993"/>
      <c r="L464" s="82">
        <f>IF(OR(F464="",S464=0),0,IF(Z464=2,0.55,IF(Z464=3,0.25)))</f>
        <v>0</v>
      </c>
      <c r="M464" s="1005"/>
      <c r="N464" s="1005"/>
      <c r="O464" s="86"/>
      <c r="P464" s="291" t="str">
        <f>IF(OR(L464=0,M464=""),"",X464)</f>
        <v/>
      </c>
      <c r="R464" s="546" t="b">
        <v>0</v>
      </c>
      <c r="S464" s="571">
        <f t="shared" ref="S464:S480" si="64">IF(R464=TRUE,1,0)</f>
        <v>0</v>
      </c>
      <c r="T464" s="581">
        <f>SUMIF($T$447:$AH$447,M464,$T$448:$AH$448)</f>
        <v>0</v>
      </c>
      <c r="U464" s="581">
        <f>SUMIF($S$447:$AH$447,O464,$S$448:$AH$448)</f>
        <v>0</v>
      </c>
      <c r="V464" s="581">
        <f t="shared" ref="V464:V480" si="65">L464*T464</f>
        <v>0</v>
      </c>
      <c r="W464" s="581">
        <f t="shared" ref="W464:W480" si="66">L464*U464</f>
        <v>0</v>
      </c>
      <c r="X464" s="581">
        <f t="shared" ref="X464:X480" si="67">(IF(V464-W464&lt;=0,0,V464-W464))</f>
        <v>0</v>
      </c>
      <c r="Y464" s="14"/>
      <c r="Z464" s="546">
        <v>1</v>
      </c>
      <c r="AA464" s="1108" t="s">
        <v>500</v>
      </c>
      <c r="AB464" s="1108"/>
      <c r="AC464" s="1108"/>
      <c r="AD464" s="94"/>
      <c r="AF464" s="14"/>
      <c r="AG464" s="14"/>
      <c r="AH464" s="10"/>
      <c r="AI464" s="10"/>
      <c r="AJ464" s="14"/>
      <c r="AK464" s="10"/>
      <c r="AL464" s="14"/>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row>
    <row r="465" spans="2:109" ht="18" customHeight="1" x14ac:dyDescent="0.2">
      <c r="B465" s="454"/>
      <c r="C465" s="455"/>
      <c r="D465" s="456"/>
      <c r="E465" s="462"/>
      <c r="F465" s="988" t="str">
        <f>IF(AND(S464=0,Z464=2),"Triceps","")</f>
        <v/>
      </c>
      <c r="G465" s="989"/>
      <c r="H465" s="989"/>
      <c r="I465" s="989"/>
      <c r="J465" s="989"/>
      <c r="K465" s="990"/>
      <c r="L465" s="82">
        <f>IF(OR(F465="",S465=0,$Z$464=3),0,IF($Z$464=2,0.55,0))</f>
        <v>0</v>
      </c>
      <c r="M465" s="1005"/>
      <c r="N465" s="1005"/>
      <c r="O465" s="86"/>
      <c r="P465" s="291" t="str">
        <f>IF(OR(L465=0,M465="",X465=0),"",IF(AND(S469=1,M465&lt;&gt;""),"ERROR",X465))</f>
        <v/>
      </c>
      <c r="R465" s="546" t="b">
        <v>0</v>
      </c>
      <c r="S465" s="571">
        <f t="shared" si="64"/>
        <v>0</v>
      </c>
      <c r="T465" s="581">
        <f>SUMIF($T$447:$AH$447,M465,$T$448:$AH$448)</f>
        <v>0</v>
      </c>
      <c r="U465" s="581">
        <f>SUMIF($S$447:$AH$447,O465,$S$448:$AH$448)</f>
        <v>0</v>
      </c>
      <c r="V465" s="581">
        <f t="shared" si="65"/>
        <v>0</v>
      </c>
      <c r="W465" s="581">
        <f t="shared" si="66"/>
        <v>0</v>
      </c>
      <c r="X465" s="581">
        <f t="shared" si="67"/>
        <v>0</v>
      </c>
      <c r="Y465" s="10"/>
      <c r="Z465" s="10"/>
      <c r="AA465" s="10"/>
      <c r="AB465" s="10"/>
      <c r="AC465" s="10"/>
      <c r="AD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row>
    <row r="466" spans="2:109" ht="18" customHeight="1" x14ac:dyDescent="0.2">
      <c r="B466" s="454"/>
      <c r="C466" s="455"/>
      <c r="D466" s="456"/>
      <c r="E466" s="462"/>
      <c r="F466" s="742" t="str">
        <f>IF(AND(S464=0,Z464=2),"Anconeus","")</f>
        <v/>
      </c>
      <c r="G466" s="743"/>
      <c r="H466" s="743"/>
      <c r="I466" s="743"/>
      <c r="J466" s="743"/>
      <c r="K466" s="744"/>
      <c r="L466" s="82">
        <f>IF(OR(F466="",S466=0,$Z$464=3),0,IF($Z$464=2,0.55,0))</f>
        <v>0</v>
      </c>
      <c r="M466" s="1005"/>
      <c r="N466" s="1005"/>
      <c r="O466" s="86"/>
      <c r="P466" s="291" t="str">
        <f>IF(OR(L466=0,M466="",X466=0),"",X466)</f>
        <v/>
      </c>
      <c r="R466" s="579" t="b">
        <v>0</v>
      </c>
      <c r="S466" s="571">
        <f t="shared" si="64"/>
        <v>0</v>
      </c>
      <c r="T466" s="581">
        <f>SUMIF($T$447:$AH$447,M466,$T$448:$AH$448)</f>
        <v>0</v>
      </c>
      <c r="U466" s="581">
        <f>SUMIF($S$447:$AH$447,O466,$S$448:$AH$448)</f>
        <v>0</v>
      </c>
      <c r="V466" s="581">
        <f t="shared" si="65"/>
        <v>0</v>
      </c>
      <c r="W466" s="581">
        <f t="shared" si="66"/>
        <v>0</v>
      </c>
      <c r="X466" s="581">
        <f t="shared" si="67"/>
        <v>0</v>
      </c>
      <c r="Y466" s="14"/>
      <c r="Z466" s="134"/>
      <c r="AA466" s="10"/>
      <c r="AB466" s="14"/>
      <c r="AC466" s="14"/>
      <c r="AD466" s="14"/>
      <c r="AE466" s="14"/>
      <c r="AF466" s="14"/>
      <c r="AG466" s="14"/>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row>
    <row r="467" spans="2:109" ht="18" customHeight="1" x14ac:dyDescent="0.2">
      <c r="B467" s="454"/>
      <c r="C467" s="455"/>
      <c r="D467" s="456"/>
      <c r="E467" s="462"/>
      <c r="F467" s="988" t="str">
        <f>IF(AND(S464=0,Z464=2),"Brachioradialis","")</f>
        <v/>
      </c>
      <c r="G467" s="989"/>
      <c r="H467" s="989"/>
      <c r="I467" s="989"/>
      <c r="J467" s="989"/>
      <c r="K467" s="990"/>
      <c r="L467" s="82">
        <f>IF(OR(F467="",S467=0,$Z$464=3),0,IF($Z$464=2,0.55,0))</f>
        <v>0</v>
      </c>
      <c r="M467" s="1005"/>
      <c r="N467" s="1005"/>
      <c r="O467" s="86"/>
      <c r="P467" s="291" t="str">
        <f>IF(OR(L467=0,M467="",X467=0),"",X467)</f>
        <v/>
      </c>
      <c r="R467" s="579" t="b">
        <v>0</v>
      </c>
      <c r="S467" s="571">
        <f t="shared" si="64"/>
        <v>0</v>
      </c>
      <c r="T467" s="581">
        <f>SUMIF($T$447:$AH$447,M467,$T$448:$AH$448)</f>
        <v>0</v>
      </c>
      <c r="U467" s="581">
        <f>SUMIF($S$447:$AH$447,O467,$S$448:$AH$448)</f>
        <v>0</v>
      </c>
      <c r="V467" s="581">
        <f t="shared" si="65"/>
        <v>0</v>
      </c>
      <c r="W467" s="581">
        <f t="shared" si="66"/>
        <v>0</v>
      </c>
      <c r="X467" s="581">
        <f t="shared" si="67"/>
        <v>0</v>
      </c>
      <c r="Y467" s="10"/>
      <c r="AD467" s="10"/>
      <c r="AE467" s="10"/>
      <c r="AF467" s="10"/>
      <c r="AG467" s="10"/>
      <c r="AH467" s="10"/>
      <c r="AI467" s="10"/>
      <c r="AJ467" s="10"/>
      <c r="AK467" s="10"/>
      <c r="AL467" s="10"/>
      <c r="AM467" s="14"/>
      <c r="AN467" s="10"/>
      <c r="AO467" s="14"/>
      <c r="AP467" s="10"/>
      <c r="AQ467" s="14"/>
      <c r="AR467" s="14"/>
      <c r="AS467" s="14"/>
      <c r="AT467" s="14"/>
      <c r="AU467" s="10"/>
      <c r="AV467" s="14"/>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row>
    <row r="468" spans="2:109" ht="18" customHeight="1" x14ac:dyDescent="0.2">
      <c r="B468" s="454"/>
      <c r="C468" s="455"/>
      <c r="D468" s="456"/>
      <c r="E468" s="462"/>
      <c r="F468" s="742" t="str">
        <f>IF(AND(S464=0,Z464=2),"Extensor carpi radialis longus","")</f>
        <v/>
      </c>
      <c r="G468" s="743"/>
      <c r="H468" s="743"/>
      <c r="I468" s="743"/>
      <c r="J468" s="743"/>
      <c r="K468" s="744"/>
      <c r="L468" s="82">
        <f>IF(OR(F468="",S468=0,$Z$464=3),0,IF($Z$464=2,0.55,0))</f>
        <v>0</v>
      </c>
      <c r="M468" s="1005"/>
      <c r="N468" s="1005"/>
      <c r="O468" s="86"/>
      <c r="P468" s="291" t="str">
        <f>IF(OR(L468=0,M468="",X468=0),"",X468)</f>
        <v/>
      </c>
      <c r="R468" s="579" t="b">
        <v>0</v>
      </c>
      <c r="S468" s="571">
        <f t="shared" si="64"/>
        <v>0</v>
      </c>
      <c r="T468" s="581">
        <f>SUMIF($T$447:$AH$447,M468,$T$448:$AH$448)</f>
        <v>0</v>
      </c>
      <c r="U468" s="581">
        <f>SUMIF($S$447:$AH$447,O468,$S$448:$AH$448)</f>
        <v>0</v>
      </c>
      <c r="V468" s="581">
        <f t="shared" si="65"/>
        <v>0</v>
      </c>
      <c r="W468" s="581">
        <f t="shared" si="66"/>
        <v>0</v>
      </c>
      <c r="X468" s="581">
        <f t="shared" si="67"/>
        <v>0</v>
      </c>
      <c r="Y468" s="62"/>
      <c r="Z468" s="139"/>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row>
    <row r="469" spans="2:109" ht="15" customHeight="1" x14ac:dyDescent="0.2">
      <c r="B469" s="1082" t="str">
        <f>IF(P465="ERROR","ERROR: If triceps only, select 'Triceps only.'","")</f>
        <v/>
      </c>
      <c r="C469" s="1083"/>
      <c r="D469" s="1083"/>
      <c r="E469" s="1083"/>
      <c r="F469" s="1083"/>
      <c r="G469" s="1083"/>
      <c r="H469" s="1083"/>
      <c r="I469" s="1083"/>
      <c r="J469" s="1083"/>
      <c r="K469" s="1083"/>
      <c r="L469" s="1084"/>
      <c r="M469" s="1006" t="s">
        <v>938</v>
      </c>
      <c r="N469" s="1007"/>
      <c r="O469" s="1008"/>
      <c r="P469" s="190">
        <f>IF(SUM(P464:P468)=0,0,AVERAGE(P464:P468))</f>
        <v>0</v>
      </c>
      <c r="R469" s="137"/>
      <c r="S469" s="571">
        <f>SUM(S464:S468)</f>
        <v>0</v>
      </c>
      <c r="T469" s="94"/>
      <c r="U469" s="94"/>
      <c r="V469" s="94"/>
      <c r="W469" s="94"/>
      <c r="X469" s="94"/>
      <c r="Y469" s="62"/>
      <c r="Z469" s="139"/>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row>
    <row r="470" spans="2:109" ht="12" customHeight="1" x14ac:dyDescent="0.2">
      <c r="C470" s="2"/>
      <c r="D470" s="2"/>
      <c r="F470" s="2"/>
      <c r="H470" s="2"/>
      <c r="J470" s="2"/>
      <c r="L470" s="2"/>
      <c r="N470" s="2"/>
      <c r="R470" s="137"/>
      <c r="S470" s="98"/>
      <c r="T470" s="147" t="s">
        <v>1656</v>
      </c>
      <c r="U470" s="147" t="s">
        <v>1565</v>
      </c>
      <c r="V470" s="147" t="s">
        <v>1659</v>
      </c>
      <c r="W470" s="147" t="s">
        <v>1660</v>
      </c>
      <c r="X470" s="147" t="s">
        <v>1661</v>
      </c>
      <c r="Y470" s="62"/>
      <c r="Z470" s="139"/>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row>
    <row r="471" spans="2:109" ht="15" customHeight="1" x14ac:dyDescent="0.2">
      <c r="B471" s="447" t="s">
        <v>1782</v>
      </c>
      <c r="C471" s="463"/>
      <c r="D471" s="448"/>
      <c r="E471" s="462"/>
      <c r="F471" s="991" t="str">
        <f>IF(Z474=1,"","Overall loss at level shown")</f>
        <v>Overall loss at level shown</v>
      </c>
      <c r="G471" s="992"/>
      <c r="H471" s="992"/>
      <c r="I471" s="992"/>
      <c r="J471" s="992"/>
      <c r="K471" s="993"/>
      <c r="L471" s="82">
        <f>IF(OR(F471="",S471=0),0,0.5)</f>
        <v>0</v>
      </c>
      <c r="M471" s="1005"/>
      <c r="N471" s="1005"/>
      <c r="O471" s="86"/>
      <c r="P471" s="291" t="str">
        <f>IF(OR(L471=0,M471=""),"",X471)</f>
        <v/>
      </c>
      <c r="R471" s="579" t="b">
        <v>0</v>
      </c>
      <c r="S471" s="571">
        <f t="shared" si="64"/>
        <v>0</v>
      </c>
      <c r="T471" s="581">
        <f t="shared" ref="T471:T480" si="68">SUMIF($T$447:$AH$447,M471,$T$448:$AH$448)</f>
        <v>0</v>
      </c>
      <c r="U471" s="581">
        <f t="shared" ref="U471:U480" si="69">SUMIF($S$447:$AH$447,O471,$S$448:$AH$448)</f>
        <v>0</v>
      </c>
      <c r="V471" s="581">
        <f>L471*T471</f>
        <v>0</v>
      </c>
      <c r="W471" s="581">
        <f>L471*U471</f>
        <v>0</v>
      </c>
      <c r="X471" s="581">
        <f>(IF(V471-W471&lt;=0,0,V471-W471))</f>
        <v>0</v>
      </c>
      <c r="Y471" s="62"/>
      <c r="Z471" s="139"/>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row>
    <row r="472" spans="2:109" ht="15" customHeight="1" x14ac:dyDescent="0.2">
      <c r="B472" s="461" t="s">
        <v>1783</v>
      </c>
      <c r="C472" s="39"/>
      <c r="D472" s="464"/>
      <c r="E472" s="462"/>
      <c r="F472" s="988" t="str">
        <f>IF($S$471=1,"","Extensor carpi radialis brevis")</f>
        <v>Extensor carpi radialis brevis</v>
      </c>
      <c r="G472" s="989"/>
      <c r="H472" s="989"/>
      <c r="I472" s="989"/>
      <c r="J472" s="989"/>
      <c r="K472" s="990"/>
      <c r="L472" s="82">
        <f>IF(OR(F472="",S472=0),0,0.5)</f>
        <v>0</v>
      </c>
      <c r="M472" s="1005"/>
      <c r="N472" s="1005"/>
      <c r="O472" s="86"/>
      <c r="P472" s="291" t="str">
        <f t="shared" ref="P472:P480" si="70">IF(OR(L472=0,M472="",X472=0),"",X472)</f>
        <v/>
      </c>
      <c r="R472" s="579" t="b">
        <v>0</v>
      </c>
      <c r="S472" s="571">
        <f t="shared" si="64"/>
        <v>0</v>
      </c>
      <c r="T472" s="581">
        <f t="shared" si="68"/>
        <v>0</v>
      </c>
      <c r="U472" s="581">
        <f t="shared" si="69"/>
        <v>0</v>
      </c>
      <c r="V472" s="581">
        <f t="shared" si="65"/>
        <v>0</v>
      </c>
      <c r="W472" s="581">
        <f t="shared" si="66"/>
        <v>0</v>
      </c>
      <c r="X472" s="581">
        <f t="shared" si="67"/>
        <v>0</v>
      </c>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row>
    <row r="473" spans="2:109" ht="15" customHeight="1" x14ac:dyDescent="0.2">
      <c r="B473" s="461" t="s">
        <v>1785</v>
      </c>
      <c r="C473" s="39"/>
      <c r="D473" s="464"/>
      <c r="E473" s="462"/>
      <c r="F473" s="988" t="str">
        <f>IF($S$471=1,"","Supinator longus")</f>
        <v>Supinator longus</v>
      </c>
      <c r="G473" s="989"/>
      <c r="H473" s="989"/>
      <c r="I473" s="989"/>
      <c r="J473" s="989"/>
      <c r="K473" s="990"/>
      <c r="L473" s="82">
        <f t="shared" ref="L473:L480" si="71">IF(OR(F473="",S473=0),0,0.5)</f>
        <v>0</v>
      </c>
      <c r="M473" s="1005"/>
      <c r="N473" s="1005"/>
      <c r="O473" s="86"/>
      <c r="P473" s="291" t="str">
        <f t="shared" si="70"/>
        <v/>
      </c>
      <c r="R473" s="579" t="b">
        <v>0</v>
      </c>
      <c r="S473" s="571">
        <f t="shared" si="64"/>
        <v>0</v>
      </c>
      <c r="T473" s="581">
        <f t="shared" si="68"/>
        <v>0</v>
      </c>
      <c r="U473" s="581">
        <f t="shared" si="69"/>
        <v>0</v>
      </c>
      <c r="V473" s="581">
        <f t="shared" si="65"/>
        <v>0</v>
      </c>
      <c r="W473" s="581">
        <f t="shared" si="66"/>
        <v>0</v>
      </c>
      <c r="X473" s="581">
        <f t="shared" si="67"/>
        <v>0</v>
      </c>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row>
    <row r="474" spans="2:109" ht="15" customHeight="1" x14ac:dyDescent="0.2">
      <c r="B474" s="461"/>
      <c r="C474" s="39"/>
      <c r="D474" s="464"/>
      <c r="E474" s="462"/>
      <c r="F474" s="988" t="str">
        <f>IF($S$471=1,"","Extensor digitorum communis")</f>
        <v>Extensor digitorum communis</v>
      </c>
      <c r="G474" s="989"/>
      <c r="H474" s="989"/>
      <c r="I474" s="989"/>
      <c r="J474" s="989"/>
      <c r="K474" s="990"/>
      <c r="L474" s="82">
        <f t="shared" si="71"/>
        <v>0</v>
      </c>
      <c r="M474" s="1005"/>
      <c r="N474" s="1005"/>
      <c r="O474" s="86"/>
      <c r="P474" s="291" t="str">
        <f t="shared" si="70"/>
        <v/>
      </c>
      <c r="R474" s="579" t="b">
        <v>0</v>
      </c>
      <c r="S474" s="571">
        <f t="shared" si="64"/>
        <v>0</v>
      </c>
      <c r="T474" s="581">
        <f t="shared" si="68"/>
        <v>0</v>
      </c>
      <c r="U474" s="581">
        <f t="shared" si="69"/>
        <v>0</v>
      </c>
      <c r="V474" s="581">
        <f t="shared" si="65"/>
        <v>0</v>
      </c>
      <c r="W474" s="581">
        <f t="shared" si="66"/>
        <v>0</v>
      </c>
      <c r="X474" s="581">
        <f t="shared" si="67"/>
        <v>0</v>
      </c>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row>
    <row r="475" spans="2:109" ht="15" customHeight="1" x14ac:dyDescent="0.2">
      <c r="B475" s="461"/>
      <c r="C475" s="39"/>
      <c r="D475" s="464"/>
      <c r="E475" s="462"/>
      <c r="F475" s="988" t="str">
        <f>IF($S$471=1,"","Extensor digiti quinti")</f>
        <v>Extensor digiti quinti</v>
      </c>
      <c r="G475" s="989"/>
      <c r="H475" s="989"/>
      <c r="I475" s="989"/>
      <c r="J475" s="989"/>
      <c r="K475" s="990"/>
      <c r="L475" s="82">
        <f t="shared" si="71"/>
        <v>0</v>
      </c>
      <c r="M475" s="1005"/>
      <c r="N475" s="1005"/>
      <c r="O475" s="86"/>
      <c r="P475" s="291" t="str">
        <f t="shared" si="70"/>
        <v/>
      </c>
      <c r="R475" s="579" t="b">
        <v>0</v>
      </c>
      <c r="S475" s="571">
        <f t="shared" si="64"/>
        <v>0</v>
      </c>
      <c r="T475" s="581">
        <f t="shared" si="68"/>
        <v>0</v>
      </c>
      <c r="U475" s="581">
        <f t="shared" si="69"/>
        <v>0</v>
      </c>
      <c r="V475" s="581">
        <f t="shared" si="65"/>
        <v>0</v>
      </c>
      <c r="W475" s="581">
        <f t="shared" si="66"/>
        <v>0</v>
      </c>
      <c r="X475" s="581">
        <f t="shared" si="67"/>
        <v>0</v>
      </c>
      <c r="Y475" s="62"/>
      <c r="Z475" s="62"/>
      <c r="AA475" s="62"/>
      <c r="AB475" s="62"/>
      <c r="AC475" s="62"/>
      <c r="AD475" s="62"/>
      <c r="AE475" s="62"/>
      <c r="AF475" s="62"/>
      <c r="AG475" s="62"/>
      <c r="AH475" s="62"/>
      <c r="AI475" s="62"/>
      <c r="AJ475" s="62"/>
      <c r="AK475" s="62"/>
      <c r="AL475" s="62"/>
      <c r="AM475" s="62"/>
      <c r="AN475" s="62"/>
      <c r="AO475" s="62"/>
      <c r="AP475" s="62"/>
      <c r="AQ475" s="62"/>
      <c r="AR475" s="62"/>
      <c r="AS475" s="62"/>
      <c r="AT475" s="62"/>
      <c r="AU475" s="62"/>
      <c r="AV475" s="62"/>
      <c r="AW475" s="62"/>
      <c r="AX475" s="62"/>
      <c r="AY475" s="62"/>
      <c r="AZ475" s="62"/>
      <c r="BA475" s="62"/>
      <c r="BB475" s="62"/>
      <c r="BC475" s="62"/>
      <c r="BD475" s="62"/>
      <c r="BE475" s="62"/>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row>
    <row r="476" spans="2:109" ht="15" customHeight="1" x14ac:dyDescent="0.2">
      <c r="B476" s="461"/>
      <c r="C476" s="39"/>
      <c r="D476" s="464"/>
      <c r="E476" s="462"/>
      <c r="F476" s="988" t="str">
        <f>IF($S$471=1,"","Extensor carpi ulnaris")</f>
        <v>Extensor carpi ulnaris</v>
      </c>
      <c r="G476" s="989"/>
      <c r="H476" s="989"/>
      <c r="I476" s="989"/>
      <c r="J476" s="989"/>
      <c r="K476" s="990"/>
      <c r="L476" s="82">
        <f t="shared" si="71"/>
        <v>0</v>
      </c>
      <c r="M476" s="1005"/>
      <c r="N476" s="1005"/>
      <c r="O476" s="86"/>
      <c r="P476" s="291" t="str">
        <f t="shared" si="70"/>
        <v/>
      </c>
      <c r="R476" s="579" t="b">
        <v>0</v>
      </c>
      <c r="S476" s="571">
        <f t="shared" si="64"/>
        <v>0</v>
      </c>
      <c r="T476" s="581">
        <f t="shared" si="68"/>
        <v>0</v>
      </c>
      <c r="U476" s="581">
        <f t="shared" si="69"/>
        <v>0</v>
      </c>
      <c r="V476" s="581">
        <f t="shared" si="65"/>
        <v>0</v>
      </c>
      <c r="W476" s="581">
        <f t="shared" si="66"/>
        <v>0</v>
      </c>
      <c r="X476" s="581">
        <f t="shared" si="67"/>
        <v>0</v>
      </c>
      <c r="Y476" s="62"/>
      <c r="Z476" s="62"/>
      <c r="AA476" s="62"/>
      <c r="AB476" s="62"/>
      <c r="AC476" s="62"/>
      <c r="AD476" s="62"/>
      <c r="AE476" s="62"/>
      <c r="AF476" s="62"/>
      <c r="AG476" s="62"/>
      <c r="AH476" s="62"/>
      <c r="AI476" s="62"/>
      <c r="AJ476" s="62"/>
      <c r="AK476" s="62"/>
      <c r="AL476" s="62"/>
      <c r="AM476" s="62"/>
      <c r="AN476" s="62"/>
      <c r="AO476" s="62"/>
      <c r="AP476" s="62"/>
      <c r="AQ476" s="62"/>
      <c r="AR476" s="62"/>
      <c r="AS476" s="62"/>
      <c r="AT476" s="62"/>
      <c r="AU476" s="62"/>
      <c r="AV476" s="62"/>
      <c r="AW476" s="62"/>
      <c r="AX476" s="62"/>
      <c r="AY476" s="62"/>
      <c r="AZ476" s="62"/>
      <c r="BA476" s="62"/>
      <c r="BB476" s="62"/>
      <c r="BC476" s="62"/>
      <c r="BD476" s="62"/>
      <c r="BE476" s="62"/>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row>
    <row r="477" spans="2:109" ht="15" customHeight="1" x14ac:dyDescent="0.2">
      <c r="B477" s="461"/>
      <c r="C477" s="39"/>
      <c r="D477" s="464"/>
      <c r="E477" s="462"/>
      <c r="F477" s="988" t="str">
        <f>IF($S$471=1,"","Abductor pollicis longus")</f>
        <v>Abductor pollicis longus</v>
      </c>
      <c r="G477" s="989"/>
      <c r="H477" s="989"/>
      <c r="I477" s="989"/>
      <c r="J477" s="989"/>
      <c r="K477" s="990"/>
      <c r="L477" s="82">
        <f t="shared" si="71"/>
        <v>0</v>
      </c>
      <c r="M477" s="1005"/>
      <c r="N477" s="1005"/>
      <c r="O477" s="86"/>
      <c r="P477" s="291" t="str">
        <f t="shared" si="70"/>
        <v/>
      </c>
      <c r="R477" s="579" t="b">
        <v>0</v>
      </c>
      <c r="S477" s="571">
        <f t="shared" si="64"/>
        <v>0</v>
      </c>
      <c r="T477" s="581">
        <f t="shared" si="68"/>
        <v>0</v>
      </c>
      <c r="U477" s="581">
        <f t="shared" si="69"/>
        <v>0</v>
      </c>
      <c r="V477" s="581">
        <f t="shared" si="65"/>
        <v>0</v>
      </c>
      <c r="W477" s="581">
        <f t="shared" si="66"/>
        <v>0</v>
      </c>
      <c r="X477" s="581">
        <f t="shared" si="67"/>
        <v>0</v>
      </c>
      <c r="Y477" s="62"/>
      <c r="Z477" s="62"/>
      <c r="AA477" s="62"/>
      <c r="AB477" s="62"/>
      <c r="AC477" s="62"/>
      <c r="AD477" s="62"/>
      <c r="AE477" s="62"/>
      <c r="AF477" s="62"/>
      <c r="AG477" s="62"/>
      <c r="AH477" s="62"/>
      <c r="AI477" s="62"/>
      <c r="AJ477" s="62"/>
      <c r="AK477" s="62"/>
      <c r="AL477" s="62"/>
      <c r="AM477" s="62"/>
      <c r="AN477" s="62"/>
      <c r="AO477" s="62"/>
      <c r="AP477" s="62"/>
      <c r="AQ477" s="62"/>
      <c r="AR477" s="62"/>
      <c r="AS477" s="62"/>
      <c r="AT477" s="62"/>
      <c r="AU477" s="62"/>
      <c r="AV477" s="62"/>
      <c r="AW477" s="62"/>
      <c r="AX477" s="62"/>
      <c r="AY477" s="62"/>
      <c r="AZ477" s="62"/>
      <c r="BA477" s="62"/>
      <c r="BB477" s="62"/>
      <c r="BC477" s="62"/>
      <c r="BD477" s="62"/>
      <c r="BE477" s="62"/>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row>
    <row r="478" spans="2:109" ht="15" customHeight="1" x14ac:dyDescent="0.2">
      <c r="B478" s="461"/>
      <c r="C478" s="39"/>
      <c r="D478" s="464"/>
      <c r="E478" s="462"/>
      <c r="F478" s="756" t="str">
        <f>IF($S$471=1,"","Extensor pollicis longus")</f>
        <v>Extensor pollicis longus</v>
      </c>
      <c r="G478" s="757"/>
      <c r="H478" s="757"/>
      <c r="I478" s="757"/>
      <c r="J478" s="757"/>
      <c r="K478" s="758"/>
      <c r="L478" s="82">
        <f t="shared" si="71"/>
        <v>0</v>
      </c>
      <c r="M478" s="1005"/>
      <c r="N478" s="1005"/>
      <c r="O478" s="86"/>
      <c r="P478" s="291" t="str">
        <f t="shared" si="70"/>
        <v/>
      </c>
      <c r="R478" s="579" t="b">
        <v>0</v>
      </c>
      <c r="S478" s="571">
        <f t="shared" si="64"/>
        <v>0</v>
      </c>
      <c r="T478" s="581">
        <f t="shared" si="68"/>
        <v>0</v>
      </c>
      <c r="U478" s="581">
        <f t="shared" si="69"/>
        <v>0</v>
      </c>
      <c r="V478" s="581">
        <f t="shared" si="65"/>
        <v>0</v>
      </c>
      <c r="W478" s="581">
        <f t="shared" si="66"/>
        <v>0</v>
      </c>
      <c r="X478" s="581">
        <f t="shared" si="67"/>
        <v>0</v>
      </c>
      <c r="Y478" s="62"/>
      <c r="Z478" s="62"/>
      <c r="AA478" s="62"/>
      <c r="AB478" s="62"/>
      <c r="AC478" s="62"/>
      <c r="AD478" s="62"/>
      <c r="AE478" s="62"/>
      <c r="AF478" s="62"/>
      <c r="AG478" s="62"/>
      <c r="AH478" s="62"/>
      <c r="AI478" s="62"/>
      <c r="AJ478" s="62"/>
      <c r="AK478" s="62"/>
      <c r="AL478" s="62"/>
      <c r="AM478" s="62"/>
      <c r="AN478" s="62"/>
      <c r="AO478" s="62"/>
      <c r="AP478" s="62"/>
      <c r="AQ478" s="62"/>
      <c r="AR478" s="62"/>
      <c r="AS478" s="62"/>
      <c r="AT478" s="62"/>
      <c r="AU478" s="62"/>
      <c r="AV478" s="62"/>
      <c r="AW478" s="62"/>
      <c r="AX478" s="62"/>
      <c r="AY478" s="62"/>
      <c r="AZ478" s="62"/>
      <c r="BA478" s="62"/>
      <c r="BB478" s="62"/>
      <c r="BC478" s="62"/>
      <c r="BD478" s="62"/>
      <c r="BE478" s="62"/>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row>
    <row r="479" spans="2:109" ht="15" customHeight="1" x14ac:dyDescent="0.2">
      <c r="B479" s="461"/>
      <c r="C479" s="39"/>
      <c r="D479" s="464"/>
      <c r="E479" s="462"/>
      <c r="F479" s="742" t="str">
        <f>IF($S$471=1,"","Extensor pollicis brevis")</f>
        <v>Extensor pollicis brevis</v>
      </c>
      <c r="G479" s="743"/>
      <c r="H479" s="743"/>
      <c r="I479" s="743"/>
      <c r="J479" s="743"/>
      <c r="K479" s="744"/>
      <c r="L479" s="82">
        <f t="shared" si="71"/>
        <v>0</v>
      </c>
      <c r="M479" s="1005"/>
      <c r="N479" s="1005"/>
      <c r="O479" s="86"/>
      <c r="P479" s="291" t="str">
        <f t="shared" si="70"/>
        <v/>
      </c>
      <c r="R479" s="579" t="b">
        <v>0</v>
      </c>
      <c r="S479" s="571">
        <f t="shared" si="64"/>
        <v>0</v>
      </c>
      <c r="T479" s="581">
        <f t="shared" si="68"/>
        <v>0</v>
      </c>
      <c r="U479" s="581">
        <f t="shared" si="69"/>
        <v>0</v>
      </c>
      <c r="V479" s="581">
        <f t="shared" si="65"/>
        <v>0</v>
      </c>
      <c r="W479" s="581">
        <f t="shared" si="66"/>
        <v>0</v>
      </c>
      <c r="X479" s="581">
        <f t="shared" si="67"/>
        <v>0</v>
      </c>
      <c r="Y479" s="14"/>
      <c r="Z479" s="14"/>
      <c r="AA479" s="14"/>
      <c r="AB479" s="14"/>
      <c r="AC479" s="14"/>
      <c r="AD479" s="14"/>
      <c r="AE479" s="14"/>
      <c r="AF479" s="14"/>
      <c r="AG479" s="14"/>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row>
    <row r="480" spans="2:109" ht="15" customHeight="1" x14ac:dyDescent="0.2">
      <c r="B480" s="282"/>
      <c r="C480" s="182"/>
      <c r="D480" s="449"/>
      <c r="E480" s="462"/>
      <c r="F480" s="988" t="str">
        <f>IF($S$471=1,"","Extensor indicis proprius")</f>
        <v>Extensor indicis proprius</v>
      </c>
      <c r="G480" s="989"/>
      <c r="H480" s="989"/>
      <c r="I480" s="989"/>
      <c r="J480" s="989"/>
      <c r="K480" s="990"/>
      <c r="L480" s="82">
        <f t="shared" si="71"/>
        <v>0</v>
      </c>
      <c r="M480" s="1005"/>
      <c r="N480" s="1005"/>
      <c r="O480" s="86"/>
      <c r="P480" s="291" t="str">
        <f t="shared" si="70"/>
        <v/>
      </c>
      <c r="R480" s="579" t="b">
        <v>0</v>
      </c>
      <c r="S480" s="571">
        <f t="shared" si="64"/>
        <v>0</v>
      </c>
      <c r="T480" s="581">
        <f t="shared" si="68"/>
        <v>0</v>
      </c>
      <c r="U480" s="581">
        <f t="shared" si="69"/>
        <v>0</v>
      </c>
      <c r="V480" s="581">
        <f t="shared" si="65"/>
        <v>0</v>
      </c>
      <c r="W480" s="581">
        <f t="shared" si="66"/>
        <v>0</v>
      </c>
      <c r="X480" s="581">
        <f t="shared" si="67"/>
        <v>0</v>
      </c>
      <c r="Y480" s="14"/>
      <c r="Z480" s="14"/>
      <c r="AA480" s="14"/>
      <c r="AB480" s="14"/>
      <c r="AC480" s="14"/>
      <c r="AD480" s="14"/>
      <c r="AE480" s="14"/>
      <c r="AF480" s="14"/>
      <c r="AG480" s="14"/>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row>
    <row r="481" spans="2:109" ht="15" customHeight="1" x14ac:dyDescent="0.2">
      <c r="B481" s="1045" t="s">
        <v>939</v>
      </c>
      <c r="C481" s="1045"/>
      <c r="D481" s="1045"/>
      <c r="E481" s="956"/>
      <c r="F481" s="956"/>
      <c r="G481" s="956"/>
      <c r="H481" s="956"/>
      <c r="I481" s="956"/>
      <c r="J481" s="956"/>
      <c r="K481" s="956"/>
      <c r="L481" s="956"/>
      <c r="M481" s="956"/>
      <c r="N481" s="956"/>
      <c r="O481" s="956"/>
      <c r="P481" s="190">
        <f>IF(SUM(P471:P480)=0,0,AVERAGE(P471:P480))</f>
        <v>0</v>
      </c>
      <c r="R481" s="128"/>
      <c r="S481" s="98"/>
      <c r="T481" s="10"/>
      <c r="U481" s="94"/>
      <c r="V481" s="94"/>
      <c r="W481" s="94"/>
      <c r="X481" s="94"/>
      <c r="Y481" s="14"/>
      <c r="Z481" s="14"/>
      <c r="AA481" s="14"/>
      <c r="AB481" s="14"/>
      <c r="AC481" s="14"/>
      <c r="AD481" s="14"/>
      <c r="AE481" s="14"/>
      <c r="AF481" s="14"/>
      <c r="AG481" s="14"/>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row>
    <row r="482" spans="2:109" ht="12" customHeight="1" x14ac:dyDescent="0.2">
      <c r="C482" s="2"/>
      <c r="D482" s="2"/>
      <c r="F482" s="2"/>
      <c r="H482" s="2"/>
      <c r="J482" s="2"/>
      <c r="L482" s="2"/>
      <c r="N482" s="2"/>
      <c r="R482" s="128"/>
      <c r="S482" s="98"/>
      <c r="T482" s="147" t="s">
        <v>1656</v>
      </c>
      <c r="U482" s="147" t="s">
        <v>1565</v>
      </c>
      <c r="V482" s="147" t="s">
        <v>1659</v>
      </c>
      <c r="W482" s="147" t="s">
        <v>1660</v>
      </c>
      <c r="X482" s="147" t="s">
        <v>1661</v>
      </c>
      <c r="Y482" s="14"/>
      <c r="Z482" s="14"/>
      <c r="AA482" s="14"/>
      <c r="AB482" s="14"/>
      <c r="AC482" s="14"/>
      <c r="AD482" s="14"/>
      <c r="AE482" s="14"/>
      <c r="AF482" s="14"/>
      <c r="AG482" s="14"/>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row>
    <row r="483" spans="2:109" ht="15" customHeight="1" x14ac:dyDescent="0.2">
      <c r="B483" s="451" t="s">
        <v>501</v>
      </c>
      <c r="C483" s="452"/>
      <c r="D483" s="453"/>
      <c r="E483" s="462"/>
      <c r="F483" s="991" t="str">
        <f>IF(Z486=1,"","Overall loss at level shown")</f>
        <v/>
      </c>
      <c r="G483" s="992"/>
      <c r="H483" s="992"/>
      <c r="I483" s="992"/>
      <c r="J483" s="992"/>
      <c r="K483" s="993"/>
      <c r="L483" s="82">
        <f>IF(OR(F483="",$S$483=0),0,IF($Z$486=2,0.69,IF($Z$486=3,0.44,0)))</f>
        <v>0</v>
      </c>
      <c r="M483" s="1005"/>
      <c r="N483" s="1005"/>
      <c r="O483" s="86"/>
      <c r="P483" s="291" t="str">
        <f>IF(OR(L483=0,M483=""),"",X483)</f>
        <v/>
      </c>
      <c r="R483" s="546" t="b">
        <v>0</v>
      </c>
      <c r="S483" s="571">
        <f t="shared" ref="S483:S495" si="72">IF(R483=TRUE,1,0)</f>
        <v>0</v>
      </c>
      <c r="T483" s="581">
        <f t="shared" ref="T483:T495" si="73">SUMIF($T$447:$AH$447,M483,$T$448:$AH$448)</f>
        <v>0</v>
      </c>
      <c r="U483" s="581">
        <f t="shared" ref="U483:U495" si="74">SUMIF($S$447:$AH$447,O483,$S$448:$AH$448)</f>
        <v>0</v>
      </c>
      <c r="V483" s="581">
        <f t="shared" ref="V483:V495" si="75">L483*T483</f>
        <v>0</v>
      </c>
      <c r="W483" s="581">
        <f t="shared" ref="W483:W495" si="76">L483*U483</f>
        <v>0</v>
      </c>
      <c r="X483" s="581">
        <f t="shared" ref="X483:X495" si="77">(IF(V483-W483&lt;=0,0,V483-W483))</f>
        <v>0</v>
      </c>
      <c r="Y483" s="14"/>
      <c r="Z483" s="14"/>
      <c r="AA483" s="14"/>
      <c r="AB483" s="14"/>
      <c r="AC483" s="14"/>
      <c r="AD483" s="14"/>
      <c r="AE483" s="94"/>
      <c r="AF483" s="14"/>
      <c r="AG483" s="14"/>
      <c r="AH483" s="10"/>
      <c r="AI483" s="10"/>
      <c r="AJ483" s="14"/>
      <c r="AK483" s="10"/>
      <c r="AL483" s="14"/>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row>
    <row r="484" spans="2:109" ht="15" customHeight="1" x14ac:dyDescent="0.2">
      <c r="B484" s="454"/>
      <c r="C484" s="455"/>
      <c r="D484" s="456"/>
      <c r="E484" s="462"/>
      <c r="F484" s="988" t="str">
        <f>IF(OR($Z$486=1,$S$483=1),"","Pronator teres")</f>
        <v/>
      </c>
      <c r="G484" s="989"/>
      <c r="H484" s="989"/>
      <c r="I484" s="989"/>
      <c r="J484" s="989"/>
      <c r="K484" s="990"/>
      <c r="L484" s="82">
        <f t="shared" ref="L484:L495" si="78">IF(OR(F484="",S484=0,$S$483=1),0,IF($Z$486=2,0.69,IF($Z$486=3,0.44,0)))</f>
        <v>0</v>
      </c>
      <c r="M484" s="1005"/>
      <c r="N484" s="1005"/>
      <c r="O484" s="86"/>
      <c r="P484" s="291" t="str">
        <f t="shared" ref="P484:P495" si="79">IF(OR(L484=0,M484="",X484=0),"",X484)</f>
        <v/>
      </c>
      <c r="R484" s="546" t="b">
        <v>0</v>
      </c>
      <c r="S484" s="571">
        <f t="shared" si="72"/>
        <v>0</v>
      </c>
      <c r="T484" s="581">
        <f t="shared" si="73"/>
        <v>0</v>
      </c>
      <c r="U484" s="581">
        <f t="shared" si="74"/>
        <v>0</v>
      </c>
      <c r="V484" s="581">
        <f t="shared" si="75"/>
        <v>0</v>
      </c>
      <c r="W484" s="581">
        <f t="shared" si="76"/>
        <v>0</v>
      </c>
      <c r="X484" s="581">
        <f t="shared" si="77"/>
        <v>0</v>
      </c>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row>
    <row r="485" spans="2:109" ht="15" customHeight="1" x14ac:dyDescent="0.2">
      <c r="B485" s="454"/>
      <c r="C485" s="455"/>
      <c r="D485" s="456"/>
      <c r="E485" s="462"/>
      <c r="F485" s="742" t="str">
        <f>IF(OR($Z$486=1,$S$483=1),"","Flexor carpi radialis")</f>
        <v/>
      </c>
      <c r="G485" s="743"/>
      <c r="H485" s="743"/>
      <c r="I485" s="743"/>
      <c r="J485" s="743"/>
      <c r="K485" s="744"/>
      <c r="L485" s="82">
        <f t="shared" si="78"/>
        <v>0</v>
      </c>
      <c r="M485" s="1005"/>
      <c r="N485" s="1005"/>
      <c r="O485" s="86"/>
      <c r="P485" s="291" t="str">
        <f t="shared" si="79"/>
        <v/>
      </c>
      <c r="R485" s="579" t="b">
        <v>0</v>
      </c>
      <c r="S485" s="571">
        <f t="shared" si="72"/>
        <v>0</v>
      </c>
      <c r="T485" s="581">
        <f t="shared" si="73"/>
        <v>0</v>
      </c>
      <c r="U485" s="581">
        <f t="shared" si="74"/>
        <v>0</v>
      </c>
      <c r="V485" s="581">
        <f t="shared" si="75"/>
        <v>0</v>
      </c>
      <c r="W485" s="581">
        <f t="shared" si="76"/>
        <v>0</v>
      </c>
      <c r="X485" s="581">
        <f t="shared" si="77"/>
        <v>0</v>
      </c>
      <c r="Y485" s="14"/>
      <c r="Z485" s="134"/>
      <c r="AA485" s="10"/>
      <c r="AB485" s="14"/>
      <c r="AC485" s="14"/>
      <c r="AD485" s="14"/>
      <c r="AE485" s="14"/>
      <c r="AF485" s="14"/>
      <c r="AG485" s="14"/>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row>
    <row r="486" spans="2:109" ht="15" customHeight="1" x14ac:dyDescent="0.2">
      <c r="B486" s="454"/>
      <c r="C486" s="455"/>
      <c r="D486" s="456"/>
      <c r="E486" s="462"/>
      <c r="F486" s="988" t="str">
        <f>IF(OR($Z$486=1,$S$483=1),"","Palmaris longus")</f>
        <v/>
      </c>
      <c r="G486" s="989"/>
      <c r="H486" s="989"/>
      <c r="I486" s="989"/>
      <c r="J486" s="989"/>
      <c r="K486" s="990"/>
      <c r="L486" s="82">
        <f t="shared" si="78"/>
        <v>0</v>
      </c>
      <c r="M486" s="1005"/>
      <c r="N486" s="1005"/>
      <c r="O486" s="86"/>
      <c r="P486" s="291" t="str">
        <f t="shared" si="79"/>
        <v/>
      </c>
      <c r="R486" s="579" t="b">
        <v>0</v>
      </c>
      <c r="S486" s="571">
        <f t="shared" si="72"/>
        <v>0</v>
      </c>
      <c r="T486" s="581">
        <f t="shared" si="73"/>
        <v>0</v>
      </c>
      <c r="U486" s="581">
        <f t="shared" si="74"/>
        <v>0</v>
      </c>
      <c r="V486" s="581">
        <f t="shared" si="75"/>
        <v>0</v>
      </c>
      <c r="W486" s="581">
        <f t="shared" si="76"/>
        <v>0</v>
      </c>
      <c r="X486" s="581">
        <f t="shared" si="77"/>
        <v>0</v>
      </c>
      <c r="Y486" s="10"/>
      <c r="Z486" s="584">
        <v>1</v>
      </c>
      <c r="AA486" s="585" t="s">
        <v>502</v>
      </c>
      <c r="AB486" s="565"/>
      <c r="AC486" s="566"/>
      <c r="AD486" s="10"/>
      <c r="AE486" s="10"/>
      <c r="AF486" s="10"/>
      <c r="AG486" s="10"/>
      <c r="AH486" s="10"/>
      <c r="AI486" s="10"/>
      <c r="AJ486" s="10"/>
      <c r="AK486" s="10"/>
      <c r="AL486" s="10"/>
      <c r="AM486" s="14"/>
      <c r="AN486" s="10"/>
      <c r="AO486" s="14"/>
      <c r="AP486" s="10"/>
      <c r="AQ486" s="14"/>
      <c r="AR486" s="14"/>
      <c r="AS486" s="14"/>
      <c r="AT486" s="14"/>
      <c r="AU486" s="10"/>
      <c r="AV486" s="14"/>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row>
    <row r="487" spans="2:109" ht="15" customHeight="1" x14ac:dyDescent="0.2">
      <c r="B487" s="454"/>
      <c r="C487" s="455"/>
      <c r="D487" s="456"/>
      <c r="E487" s="462"/>
      <c r="F487" s="742" t="str">
        <f>IF(OR($Z$486=1,$S$483=1),"","Flexor digitorum sublimis")</f>
        <v/>
      </c>
      <c r="G487" s="743"/>
      <c r="H487" s="743"/>
      <c r="I487" s="743"/>
      <c r="J487" s="743"/>
      <c r="K487" s="744"/>
      <c r="L487" s="82">
        <f t="shared" si="78"/>
        <v>0</v>
      </c>
      <c r="M487" s="1005"/>
      <c r="N487" s="1005"/>
      <c r="O487" s="86"/>
      <c r="P487" s="291" t="str">
        <f t="shared" si="79"/>
        <v/>
      </c>
      <c r="R487" s="579" t="b">
        <v>0</v>
      </c>
      <c r="S487" s="571">
        <f t="shared" si="72"/>
        <v>0</v>
      </c>
      <c r="T487" s="581">
        <f t="shared" si="73"/>
        <v>0</v>
      </c>
      <c r="U487" s="581">
        <f t="shared" si="74"/>
        <v>0</v>
      </c>
      <c r="V487" s="581">
        <f t="shared" si="75"/>
        <v>0</v>
      </c>
      <c r="W487" s="581">
        <f t="shared" si="76"/>
        <v>0</v>
      </c>
      <c r="X487" s="581">
        <f t="shared" si="77"/>
        <v>0</v>
      </c>
      <c r="Y487" s="62"/>
      <c r="Z487" s="139"/>
      <c r="AA487" s="62"/>
      <c r="AB487" s="62"/>
      <c r="AC487" s="62"/>
      <c r="AD487" s="62"/>
      <c r="AE487" s="62"/>
      <c r="AF487" s="62"/>
      <c r="AG487" s="62"/>
      <c r="AH487" s="62"/>
      <c r="AI487" s="62"/>
      <c r="AJ487" s="62"/>
      <c r="AK487" s="62"/>
      <c r="AL487" s="62"/>
      <c r="AM487" s="62"/>
      <c r="AN487" s="62"/>
      <c r="AO487" s="62"/>
      <c r="AP487" s="62"/>
      <c r="AQ487" s="62"/>
      <c r="AR487" s="62"/>
      <c r="AS487" s="62"/>
      <c r="AT487" s="62"/>
      <c r="AU487" s="62"/>
      <c r="AV487" s="62"/>
      <c r="AW487" s="62"/>
      <c r="AX487" s="62"/>
      <c r="AY487" s="62"/>
      <c r="AZ487" s="62"/>
      <c r="BA487" s="62"/>
      <c r="BB487" s="62"/>
      <c r="BC487" s="62"/>
      <c r="BD487" s="62"/>
      <c r="BE487" s="62"/>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row>
    <row r="488" spans="2:109" ht="15" customHeight="1" x14ac:dyDescent="0.2">
      <c r="B488" s="454"/>
      <c r="C488" s="455"/>
      <c r="D488" s="456"/>
      <c r="E488" s="462"/>
      <c r="F488" s="988" t="str">
        <f>IF(OR($Z$486=1,$S$483=1),"","Flexor digitorum profundus")</f>
        <v/>
      </c>
      <c r="G488" s="989"/>
      <c r="H488" s="989"/>
      <c r="I488" s="989"/>
      <c r="J488" s="989"/>
      <c r="K488" s="990"/>
      <c r="L488" s="82">
        <f t="shared" si="78"/>
        <v>0</v>
      </c>
      <c r="M488" s="1005"/>
      <c r="N488" s="1005"/>
      <c r="O488" s="86"/>
      <c r="P488" s="291" t="str">
        <f t="shared" si="79"/>
        <v/>
      </c>
      <c r="R488" s="579" t="b">
        <v>0</v>
      </c>
      <c r="S488" s="571">
        <f t="shared" si="72"/>
        <v>0</v>
      </c>
      <c r="T488" s="581">
        <f t="shared" si="73"/>
        <v>0</v>
      </c>
      <c r="U488" s="581">
        <f t="shared" si="74"/>
        <v>0</v>
      </c>
      <c r="V488" s="581">
        <f t="shared" si="75"/>
        <v>0</v>
      </c>
      <c r="W488" s="581">
        <f t="shared" si="76"/>
        <v>0</v>
      </c>
      <c r="X488" s="581">
        <f t="shared" si="77"/>
        <v>0</v>
      </c>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62"/>
      <c r="AV488" s="62"/>
      <c r="AW488" s="62"/>
      <c r="AX488" s="62"/>
      <c r="AY488" s="62"/>
      <c r="AZ488" s="62"/>
      <c r="BA488" s="62"/>
      <c r="BB488" s="62"/>
      <c r="BC488" s="62"/>
      <c r="BD488" s="62"/>
      <c r="BE488" s="62"/>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row>
    <row r="489" spans="2:109" ht="15" customHeight="1" x14ac:dyDescent="0.2">
      <c r="B489" s="454"/>
      <c r="C489" s="455"/>
      <c r="D489" s="456"/>
      <c r="E489" s="462"/>
      <c r="F489" s="988" t="str">
        <f>IF(OR($Z$486=1,$S$483=1),"","Flexor pollicis longus")</f>
        <v/>
      </c>
      <c r="G489" s="989"/>
      <c r="H489" s="989"/>
      <c r="I489" s="989"/>
      <c r="J489" s="989"/>
      <c r="K489" s="990"/>
      <c r="L489" s="82">
        <f t="shared" si="78"/>
        <v>0</v>
      </c>
      <c r="M489" s="1005"/>
      <c r="N489" s="1005"/>
      <c r="O489" s="86"/>
      <c r="P489" s="291" t="str">
        <f t="shared" si="79"/>
        <v/>
      </c>
      <c r="R489" s="579" t="b">
        <v>0</v>
      </c>
      <c r="S489" s="571">
        <f t="shared" si="72"/>
        <v>0</v>
      </c>
      <c r="T489" s="581">
        <f t="shared" si="73"/>
        <v>0</v>
      </c>
      <c r="U489" s="581">
        <f t="shared" si="74"/>
        <v>0</v>
      </c>
      <c r="V489" s="581">
        <f t="shared" si="75"/>
        <v>0</v>
      </c>
      <c r="W489" s="581">
        <f t="shared" si="76"/>
        <v>0</v>
      </c>
      <c r="X489" s="581">
        <f t="shared" si="77"/>
        <v>0</v>
      </c>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62"/>
      <c r="AV489" s="62"/>
      <c r="AW489" s="62"/>
      <c r="AX489" s="62"/>
      <c r="AY489" s="62"/>
      <c r="AZ489" s="62"/>
      <c r="BA489" s="62"/>
      <c r="BB489" s="62"/>
      <c r="BC489" s="62"/>
      <c r="BD489" s="62"/>
      <c r="BE489" s="62"/>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row>
    <row r="490" spans="2:109" ht="15" customHeight="1" x14ac:dyDescent="0.2">
      <c r="B490" s="454"/>
      <c r="C490" s="455"/>
      <c r="D490" s="456"/>
      <c r="E490" s="462"/>
      <c r="F490" s="988" t="str">
        <f>IF(OR($Z$486=1,$S$483=1),"","Pronator quadratus")</f>
        <v/>
      </c>
      <c r="G490" s="989"/>
      <c r="H490" s="989"/>
      <c r="I490" s="989"/>
      <c r="J490" s="989"/>
      <c r="K490" s="990"/>
      <c r="L490" s="82">
        <f t="shared" si="78"/>
        <v>0</v>
      </c>
      <c r="M490" s="1005"/>
      <c r="N490" s="1005"/>
      <c r="O490" s="86"/>
      <c r="P490" s="291" t="str">
        <f t="shared" si="79"/>
        <v/>
      </c>
      <c r="R490" s="579" t="b">
        <v>0</v>
      </c>
      <c r="S490" s="571">
        <f t="shared" si="72"/>
        <v>0</v>
      </c>
      <c r="T490" s="581">
        <f t="shared" si="73"/>
        <v>0</v>
      </c>
      <c r="U490" s="581">
        <f t="shared" si="74"/>
        <v>0</v>
      </c>
      <c r="V490" s="581">
        <f t="shared" si="75"/>
        <v>0</v>
      </c>
      <c r="W490" s="581">
        <f t="shared" si="76"/>
        <v>0</v>
      </c>
      <c r="X490" s="581">
        <f t="shared" si="77"/>
        <v>0</v>
      </c>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62"/>
      <c r="AV490" s="62"/>
      <c r="AW490" s="62"/>
      <c r="AX490" s="62"/>
      <c r="AY490" s="62"/>
      <c r="AZ490" s="62"/>
      <c r="BA490" s="62"/>
      <c r="BB490" s="62"/>
      <c r="BC490" s="62"/>
      <c r="BD490" s="62"/>
      <c r="BE490" s="62"/>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row>
    <row r="491" spans="2:109" ht="15" customHeight="1" x14ac:dyDescent="0.2">
      <c r="B491" s="454"/>
      <c r="C491" s="455"/>
      <c r="D491" s="456"/>
      <c r="E491" s="462"/>
      <c r="F491" s="988" t="str">
        <f>IF(OR($Z$486=1,$S$483=1),"","Abductor pollicis brevis")</f>
        <v/>
      </c>
      <c r="G491" s="989"/>
      <c r="H491" s="989"/>
      <c r="I491" s="989"/>
      <c r="J491" s="989"/>
      <c r="K491" s="990"/>
      <c r="L491" s="82">
        <f t="shared" si="78"/>
        <v>0</v>
      </c>
      <c r="M491" s="1005"/>
      <c r="N491" s="1005"/>
      <c r="O491" s="86"/>
      <c r="P491" s="291" t="str">
        <f t="shared" si="79"/>
        <v/>
      </c>
      <c r="R491" s="579" t="b">
        <v>0</v>
      </c>
      <c r="S491" s="571">
        <f t="shared" si="72"/>
        <v>0</v>
      </c>
      <c r="T491" s="581">
        <f t="shared" si="73"/>
        <v>0</v>
      </c>
      <c r="U491" s="581">
        <f t="shared" si="74"/>
        <v>0</v>
      </c>
      <c r="V491" s="581">
        <f t="shared" si="75"/>
        <v>0</v>
      </c>
      <c r="W491" s="581">
        <f t="shared" si="76"/>
        <v>0</v>
      </c>
      <c r="X491" s="581">
        <f t="shared" si="77"/>
        <v>0</v>
      </c>
      <c r="Y491" s="62"/>
      <c r="Z491" s="62"/>
      <c r="AA491" s="62"/>
      <c r="AB491" s="62"/>
      <c r="AC491" s="62"/>
      <c r="AD491" s="62"/>
      <c r="AE491" s="62"/>
      <c r="AF491" s="62"/>
      <c r="AG491" s="62"/>
      <c r="AH491" s="62"/>
      <c r="AI491" s="62"/>
      <c r="AJ491" s="62"/>
      <c r="AK491" s="62"/>
      <c r="AL491" s="62"/>
      <c r="AM491" s="62"/>
      <c r="AN491" s="62"/>
      <c r="AO491" s="62"/>
      <c r="AP491" s="62"/>
      <c r="AQ491" s="62"/>
      <c r="AR491" s="62"/>
      <c r="AS491" s="62"/>
      <c r="AT491" s="62"/>
      <c r="AU491" s="62"/>
      <c r="AV491" s="62"/>
      <c r="AW491" s="62"/>
      <c r="AX491" s="62"/>
      <c r="AY491" s="62"/>
      <c r="AZ491" s="62"/>
      <c r="BA491" s="62"/>
      <c r="BB491" s="62"/>
      <c r="BC491" s="62"/>
      <c r="BD491" s="62"/>
      <c r="BE491" s="62"/>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row>
    <row r="492" spans="2:109" ht="15" customHeight="1" x14ac:dyDescent="0.2">
      <c r="B492" s="454"/>
      <c r="C492" s="455"/>
      <c r="D492" s="456"/>
      <c r="E492" s="462"/>
      <c r="F492" s="988" t="str">
        <f>IF(OR($Z$486=1,$S$483=1),"","Opponens pollicis")</f>
        <v/>
      </c>
      <c r="G492" s="989"/>
      <c r="H492" s="989"/>
      <c r="I492" s="989"/>
      <c r="J492" s="989"/>
      <c r="K492" s="990"/>
      <c r="L492" s="82">
        <f t="shared" si="78"/>
        <v>0</v>
      </c>
      <c r="M492" s="1005"/>
      <c r="N492" s="1005"/>
      <c r="O492" s="86"/>
      <c r="P492" s="291" t="str">
        <f t="shared" si="79"/>
        <v/>
      </c>
      <c r="R492" s="579" t="b">
        <v>0</v>
      </c>
      <c r="S492" s="571">
        <f t="shared" si="72"/>
        <v>0</v>
      </c>
      <c r="T492" s="581">
        <f t="shared" si="73"/>
        <v>0</v>
      </c>
      <c r="U492" s="581">
        <f t="shared" si="74"/>
        <v>0</v>
      </c>
      <c r="V492" s="581">
        <f t="shared" si="75"/>
        <v>0</v>
      </c>
      <c r="W492" s="581">
        <f t="shared" si="76"/>
        <v>0</v>
      </c>
      <c r="X492" s="581">
        <f t="shared" si="77"/>
        <v>0</v>
      </c>
      <c r="Y492" s="62"/>
      <c r="Z492" s="62"/>
      <c r="AA492" s="62"/>
      <c r="AB492" s="62"/>
      <c r="AC492" s="62"/>
      <c r="AD492" s="62"/>
      <c r="AE492" s="62"/>
      <c r="AF492" s="62"/>
      <c r="AG492" s="62"/>
      <c r="AH492" s="62"/>
      <c r="AI492" s="62"/>
      <c r="AJ492" s="62"/>
      <c r="AK492" s="62"/>
      <c r="AL492" s="62"/>
      <c r="AM492" s="62"/>
      <c r="AN492" s="62"/>
      <c r="AO492" s="62"/>
      <c r="AP492" s="62"/>
      <c r="AQ492" s="62"/>
      <c r="AR492" s="62"/>
      <c r="AS492" s="62"/>
      <c r="AT492" s="62"/>
      <c r="AU492" s="62"/>
      <c r="AV492" s="62"/>
      <c r="AW492" s="62"/>
      <c r="AX492" s="62"/>
      <c r="AY492" s="62"/>
      <c r="AZ492" s="62"/>
      <c r="BA492" s="62"/>
      <c r="BB492" s="62"/>
      <c r="BC492" s="62"/>
      <c r="BD492" s="62"/>
      <c r="BE492" s="62"/>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row>
    <row r="493" spans="2:109" ht="15" customHeight="1" x14ac:dyDescent="0.2">
      <c r="B493" s="454"/>
      <c r="C493" s="455"/>
      <c r="D493" s="456"/>
      <c r="E493" s="462"/>
      <c r="F493" s="988" t="str">
        <f>IF(OR($Z$486=1,$S$483=1),"","Flexor pollicis brevis")</f>
        <v/>
      </c>
      <c r="G493" s="989"/>
      <c r="H493" s="989"/>
      <c r="I493" s="989"/>
      <c r="J493" s="989"/>
      <c r="K493" s="990"/>
      <c r="L493" s="82">
        <f t="shared" si="78"/>
        <v>0</v>
      </c>
      <c r="M493" s="1005"/>
      <c r="N493" s="1005"/>
      <c r="O493" s="86"/>
      <c r="P493" s="291" t="str">
        <f t="shared" si="79"/>
        <v/>
      </c>
      <c r="R493" s="579" t="b">
        <v>0</v>
      </c>
      <c r="S493" s="571">
        <f t="shared" si="72"/>
        <v>0</v>
      </c>
      <c r="T493" s="581">
        <f t="shared" si="73"/>
        <v>0</v>
      </c>
      <c r="U493" s="581">
        <f t="shared" si="74"/>
        <v>0</v>
      </c>
      <c r="V493" s="581">
        <f t="shared" si="75"/>
        <v>0</v>
      </c>
      <c r="W493" s="581">
        <f t="shared" si="76"/>
        <v>0</v>
      </c>
      <c r="X493" s="581">
        <f t="shared" si="77"/>
        <v>0</v>
      </c>
      <c r="Y493" s="62"/>
      <c r="Z493" s="62"/>
      <c r="AA493" s="62"/>
      <c r="AB493" s="62"/>
      <c r="AC493" s="62"/>
      <c r="AD493" s="62"/>
      <c r="AE493" s="62"/>
      <c r="AF493" s="62"/>
      <c r="AG493" s="62"/>
      <c r="AH493" s="62"/>
      <c r="AI493" s="62"/>
      <c r="AJ493" s="62"/>
      <c r="AK493" s="62"/>
      <c r="AL493" s="62"/>
      <c r="AM493" s="62"/>
      <c r="AN493" s="62"/>
      <c r="AO493" s="62"/>
      <c r="AP493" s="62"/>
      <c r="AQ493" s="62"/>
      <c r="AR493" s="62"/>
      <c r="AS493" s="62"/>
      <c r="AT493" s="62"/>
      <c r="AU493" s="62"/>
      <c r="AV493" s="62"/>
      <c r="AW493" s="62"/>
      <c r="AX493" s="62"/>
      <c r="AY493" s="62"/>
      <c r="AZ493" s="62"/>
      <c r="BA493" s="62"/>
      <c r="BB493" s="62"/>
      <c r="BC493" s="62"/>
      <c r="BD493" s="62"/>
      <c r="BE493" s="62"/>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row>
    <row r="494" spans="2:109" ht="15" customHeight="1" x14ac:dyDescent="0.2">
      <c r="B494" s="454"/>
      <c r="C494" s="455"/>
      <c r="D494" s="456"/>
      <c r="E494" s="462"/>
      <c r="F494" s="756" t="str">
        <f>IF(OR($Z$486=1,$S$483=1),"","Lumbricales I")</f>
        <v/>
      </c>
      <c r="G494" s="757"/>
      <c r="H494" s="757"/>
      <c r="I494" s="757"/>
      <c r="J494" s="757"/>
      <c r="K494" s="758"/>
      <c r="L494" s="82">
        <f t="shared" si="78"/>
        <v>0</v>
      </c>
      <c r="M494" s="1005"/>
      <c r="N494" s="1005"/>
      <c r="O494" s="86"/>
      <c r="P494" s="291" t="str">
        <f t="shared" si="79"/>
        <v/>
      </c>
      <c r="R494" s="579" t="b">
        <v>0</v>
      </c>
      <c r="S494" s="571">
        <f t="shared" si="72"/>
        <v>0</v>
      </c>
      <c r="T494" s="581">
        <f t="shared" si="73"/>
        <v>0</v>
      </c>
      <c r="U494" s="581">
        <f t="shared" si="74"/>
        <v>0</v>
      </c>
      <c r="V494" s="581">
        <f t="shared" si="75"/>
        <v>0</v>
      </c>
      <c r="W494" s="581">
        <f t="shared" si="76"/>
        <v>0</v>
      </c>
      <c r="X494" s="581">
        <f t="shared" si="77"/>
        <v>0</v>
      </c>
      <c r="Y494" s="62"/>
      <c r="Z494" s="62"/>
      <c r="AA494" s="62"/>
      <c r="AB494" s="62"/>
      <c r="AC494" s="62"/>
      <c r="AD494" s="62"/>
      <c r="AE494" s="62"/>
      <c r="AF494" s="62"/>
      <c r="AG494" s="62"/>
      <c r="AH494" s="62"/>
      <c r="AI494" s="62"/>
      <c r="AJ494" s="62"/>
      <c r="AK494" s="62"/>
      <c r="AL494" s="62"/>
      <c r="AM494" s="62"/>
      <c r="AN494" s="62"/>
      <c r="AO494" s="62"/>
      <c r="AP494" s="62"/>
      <c r="AQ494" s="62"/>
      <c r="AR494" s="62"/>
      <c r="AS494" s="62"/>
      <c r="AT494" s="62"/>
      <c r="AU494" s="62"/>
      <c r="AV494" s="62"/>
      <c r="AW494" s="62"/>
      <c r="AX494" s="62"/>
      <c r="AY494" s="62"/>
      <c r="AZ494" s="62"/>
      <c r="BA494" s="62"/>
      <c r="BB494" s="62"/>
      <c r="BC494" s="62"/>
      <c r="BD494" s="62"/>
      <c r="BE494" s="62"/>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row>
    <row r="495" spans="2:109" ht="15" customHeight="1" x14ac:dyDescent="0.2">
      <c r="B495" s="457"/>
      <c r="C495" s="458"/>
      <c r="D495" s="459"/>
      <c r="E495" s="462"/>
      <c r="F495" s="742" t="str">
        <f>IF(OR($Z$486=1,$S$483=1),"","Lumbricales II")</f>
        <v/>
      </c>
      <c r="G495" s="743"/>
      <c r="H495" s="743"/>
      <c r="I495" s="743"/>
      <c r="J495" s="743"/>
      <c r="K495" s="744"/>
      <c r="L495" s="82">
        <f t="shared" si="78"/>
        <v>0</v>
      </c>
      <c r="M495" s="1005"/>
      <c r="N495" s="1005"/>
      <c r="O495" s="86"/>
      <c r="P495" s="291" t="str">
        <f t="shared" si="79"/>
        <v/>
      </c>
      <c r="R495" s="579" t="b">
        <v>0</v>
      </c>
      <c r="S495" s="571">
        <f t="shared" si="72"/>
        <v>0</v>
      </c>
      <c r="T495" s="581">
        <f t="shared" si="73"/>
        <v>0</v>
      </c>
      <c r="U495" s="581">
        <f t="shared" si="74"/>
        <v>0</v>
      </c>
      <c r="V495" s="581">
        <f t="shared" si="75"/>
        <v>0</v>
      </c>
      <c r="W495" s="581">
        <f t="shared" si="76"/>
        <v>0</v>
      </c>
      <c r="X495" s="581">
        <f t="shared" si="77"/>
        <v>0</v>
      </c>
      <c r="Y495" s="14"/>
      <c r="Z495" s="14"/>
      <c r="AA495" s="14"/>
      <c r="AB495" s="14"/>
      <c r="AC495" s="14"/>
      <c r="AD495" s="14"/>
      <c r="AE495" s="14"/>
      <c r="AF495" s="14"/>
      <c r="AG495" s="14"/>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row>
    <row r="496" spans="2:109" ht="15" customHeight="1" x14ac:dyDescent="0.2">
      <c r="B496" s="994" t="s">
        <v>939</v>
      </c>
      <c r="C496" s="994"/>
      <c r="D496" s="994"/>
      <c r="E496" s="957"/>
      <c r="F496" s="957"/>
      <c r="G496" s="957"/>
      <c r="H496" s="957"/>
      <c r="I496" s="957"/>
      <c r="J496" s="957"/>
      <c r="K496" s="957"/>
      <c r="L496" s="957"/>
      <c r="M496" s="957"/>
      <c r="N496" s="957"/>
      <c r="O496" s="957"/>
      <c r="P496" s="190">
        <f>IF(SUM(P483:P495)=0,0,AVERAGE(P483:P495))</f>
        <v>0</v>
      </c>
      <c r="R496" s="10"/>
      <c r="S496" s="98"/>
      <c r="T496" s="98"/>
      <c r="U496" s="94"/>
      <c r="V496" s="96"/>
      <c r="W496" s="96"/>
      <c r="X496" s="96"/>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row>
    <row r="497" spans="2:109" ht="6" customHeight="1" x14ac:dyDescent="0.2">
      <c r="B497" s="777"/>
      <c r="C497" s="777"/>
      <c r="D497" s="777"/>
      <c r="E497" s="777"/>
      <c r="F497" s="777"/>
      <c r="G497" s="777"/>
      <c r="H497" s="777"/>
      <c r="I497" s="777"/>
      <c r="J497" s="777"/>
      <c r="K497" s="777"/>
      <c r="L497" s="777"/>
      <c r="M497" s="777"/>
      <c r="N497" s="777"/>
      <c r="O497" s="777"/>
      <c r="P497" s="89"/>
      <c r="R497" s="10"/>
      <c r="S497" s="98"/>
      <c r="T497" s="98"/>
      <c r="U497" s="94"/>
      <c r="V497" s="96"/>
      <c r="W497" s="96"/>
      <c r="X497" s="96"/>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row>
    <row r="498" spans="2:109" ht="15" customHeight="1" x14ac:dyDescent="0.2">
      <c r="B498" s="777"/>
      <c r="C498" s="777"/>
      <c r="D498" s="777"/>
      <c r="E498" s="1004"/>
      <c r="F498" s="1004"/>
      <c r="G498" s="1004"/>
      <c r="H498" s="1004"/>
      <c r="I498" s="1004"/>
      <c r="J498" s="1004"/>
      <c r="K498" s="1004"/>
      <c r="L498" s="1004"/>
      <c r="M498" s="1004"/>
      <c r="N498" s="1004"/>
      <c r="O498" s="1004"/>
      <c r="P498" s="90"/>
      <c r="R498" s="10"/>
      <c r="S498" s="98"/>
      <c r="T498" s="147" t="s">
        <v>1656</v>
      </c>
      <c r="U498" s="147" t="s">
        <v>1565</v>
      </c>
      <c r="V498" s="147" t="s">
        <v>1659</v>
      </c>
      <c r="W498" s="147" t="s">
        <v>1660</v>
      </c>
      <c r="X498" s="147" t="s">
        <v>1661</v>
      </c>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row>
    <row r="499" spans="2:109" ht="15" customHeight="1" x14ac:dyDescent="0.2">
      <c r="B499" s="451" t="s">
        <v>79</v>
      </c>
      <c r="C499" s="452"/>
      <c r="D499" s="453"/>
      <c r="E499" s="460"/>
      <c r="F499" s="791" t="str">
        <f>IF(Z501=1,"","Overall loss at level shown")</f>
        <v/>
      </c>
      <c r="G499" s="791"/>
      <c r="H499" s="791"/>
      <c r="I499" s="791"/>
      <c r="J499" s="791"/>
      <c r="K499" s="791"/>
      <c r="L499" s="82">
        <f>IF(OR(F499="",S499=0),0,IF($Z$501=2,0.44,IF($Z$501=3,0.31,0)))</f>
        <v>0</v>
      </c>
      <c r="M499" s="1005"/>
      <c r="N499" s="1005"/>
      <c r="O499" s="86"/>
      <c r="P499" s="291" t="str">
        <f>IF(OR(L499=0,M499=""),"",X499)</f>
        <v/>
      </c>
      <c r="R499" s="546" t="b">
        <v>0</v>
      </c>
      <c r="S499" s="571">
        <f t="shared" ref="S499:S509" si="80">IF(R499=TRUE,1,0)</f>
        <v>0</v>
      </c>
      <c r="T499" s="581">
        <f t="shared" ref="T499:T509" si="81">SUMIF($T$447:$AH$447,M499,$T$448:$AH$448)</f>
        <v>0</v>
      </c>
      <c r="U499" s="581">
        <f t="shared" ref="U499:U509" si="82">SUMIF($S$447:$AH$447,O499,$S$448:$AH$448)</f>
        <v>0</v>
      </c>
      <c r="V499" s="581">
        <f t="shared" ref="V499:V509" si="83">L499*T499</f>
        <v>0</v>
      </c>
      <c r="W499" s="581">
        <f t="shared" ref="W499:W509" si="84">L499*U499</f>
        <v>0</v>
      </c>
      <c r="X499" s="581">
        <f t="shared" ref="X499:X509" si="85">(IF(V499-W499&lt;=0,0,V499-W499))</f>
        <v>0</v>
      </c>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row>
    <row r="500" spans="2:109" ht="15" customHeight="1" x14ac:dyDescent="0.2">
      <c r="B500" s="454"/>
      <c r="C500" s="455"/>
      <c r="D500" s="456"/>
      <c r="E500" s="460"/>
      <c r="F500" s="791" t="str">
        <f>IF(OR($Z$501=1,$S$499=1),"","Flexor carpi ulnaris")</f>
        <v/>
      </c>
      <c r="G500" s="791"/>
      <c r="H500" s="791"/>
      <c r="I500" s="791"/>
      <c r="J500" s="791"/>
      <c r="K500" s="791"/>
      <c r="L500" s="82">
        <f t="shared" ref="L500:L509" si="86">IF(OR(F500="",S500=0,$S$499=1),0,IF($Z$501=2,0.44,IF($Z$501=3,0.31,0)))</f>
        <v>0</v>
      </c>
      <c r="M500" s="1005"/>
      <c r="N500" s="1005"/>
      <c r="O500" s="86"/>
      <c r="P500" s="291" t="str">
        <f t="shared" ref="P500:P509" si="87">IF(OR(L500=0,M500="",X500=0),"",X500)</f>
        <v/>
      </c>
      <c r="R500" s="546" t="b">
        <v>0</v>
      </c>
      <c r="S500" s="571">
        <f t="shared" si="80"/>
        <v>0</v>
      </c>
      <c r="T500" s="581">
        <f t="shared" si="81"/>
        <v>0</v>
      </c>
      <c r="U500" s="581">
        <f t="shared" si="82"/>
        <v>0</v>
      </c>
      <c r="V500" s="581">
        <f t="shared" si="83"/>
        <v>0</v>
      </c>
      <c r="W500" s="581">
        <f t="shared" si="84"/>
        <v>0</v>
      </c>
      <c r="X500" s="581">
        <f t="shared" si="85"/>
        <v>0</v>
      </c>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row>
    <row r="501" spans="2:109" ht="27" customHeight="1" x14ac:dyDescent="0.2">
      <c r="B501" s="454"/>
      <c r="C501" s="455"/>
      <c r="D501" s="456"/>
      <c r="E501" s="460"/>
      <c r="F501" s="761" t="str">
        <f>IF(OR($Z$501=1,$S$499=1),"","Flexor digitorum profundus (medial half)")</f>
        <v/>
      </c>
      <c r="G501" s="761"/>
      <c r="H501" s="761"/>
      <c r="I501" s="761"/>
      <c r="J501" s="761"/>
      <c r="K501" s="761"/>
      <c r="L501" s="82">
        <f t="shared" si="86"/>
        <v>0</v>
      </c>
      <c r="M501" s="1005"/>
      <c r="N501" s="1005"/>
      <c r="O501" s="86"/>
      <c r="P501" s="291" t="str">
        <f t="shared" si="87"/>
        <v/>
      </c>
      <c r="R501" s="546" t="b">
        <v>0</v>
      </c>
      <c r="S501" s="571">
        <f t="shared" si="80"/>
        <v>0</v>
      </c>
      <c r="T501" s="581">
        <f t="shared" si="81"/>
        <v>0</v>
      </c>
      <c r="U501" s="581">
        <f t="shared" si="82"/>
        <v>0</v>
      </c>
      <c r="V501" s="581">
        <f t="shared" si="83"/>
        <v>0</v>
      </c>
      <c r="W501" s="581">
        <f t="shared" si="84"/>
        <v>0</v>
      </c>
      <c r="X501" s="581">
        <f t="shared" si="85"/>
        <v>0</v>
      </c>
      <c r="Y501" s="10"/>
      <c r="Z501" s="584">
        <v>1</v>
      </c>
      <c r="AA501" s="585" t="s">
        <v>80</v>
      </c>
      <c r="AB501" s="565"/>
      <c r="AC501" s="566"/>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row>
    <row r="502" spans="2:109" ht="15" customHeight="1" x14ac:dyDescent="0.2">
      <c r="B502" s="454"/>
      <c r="C502" s="455"/>
      <c r="D502" s="456"/>
      <c r="E502" s="460"/>
      <c r="F502" s="791" t="str">
        <f>IF(OR($Z$501=1,$S$499=1),"","Flexor digiti quinti brevis")</f>
        <v/>
      </c>
      <c r="G502" s="791"/>
      <c r="H502" s="791"/>
      <c r="I502" s="791"/>
      <c r="J502" s="791"/>
      <c r="K502" s="791"/>
      <c r="L502" s="82">
        <f t="shared" si="86"/>
        <v>0</v>
      </c>
      <c r="M502" s="1005"/>
      <c r="N502" s="1005"/>
      <c r="O502" s="86"/>
      <c r="P502" s="291" t="str">
        <f t="shared" si="87"/>
        <v/>
      </c>
      <c r="R502" s="546" t="b">
        <v>0</v>
      </c>
      <c r="S502" s="571">
        <f t="shared" si="80"/>
        <v>0</v>
      </c>
      <c r="T502" s="581">
        <f t="shared" si="81"/>
        <v>0</v>
      </c>
      <c r="U502" s="581">
        <f t="shared" si="82"/>
        <v>0</v>
      </c>
      <c r="V502" s="581">
        <f t="shared" si="83"/>
        <v>0</v>
      </c>
      <c r="W502" s="581">
        <f t="shared" si="84"/>
        <v>0</v>
      </c>
      <c r="X502" s="581">
        <f t="shared" si="85"/>
        <v>0</v>
      </c>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row>
    <row r="503" spans="2:109" ht="15" customHeight="1" x14ac:dyDescent="0.2">
      <c r="B503" s="454"/>
      <c r="C503" s="455"/>
      <c r="D503" s="456"/>
      <c r="E503" s="460"/>
      <c r="F503" s="791" t="str">
        <f>IF(OR($Z$501=1,$S$499=1),"","Abductor digiti quinti")</f>
        <v/>
      </c>
      <c r="G503" s="791"/>
      <c r="H503" s="791"/>
      <c r="I503" s="791"/>
      <c r="J503" s="791"/>
      <c r="K503" s="791"/>
      <c r="L503" s="82">
        <f t="shared" si="86"/>
        <v>0</v>
      </c>
      <c r="M503" s="1005"/>
      <c r="N503" s="1005"/>
      <c r="O503" s="86"/>
      <c r="P503" s="291" t="str">
        <f t="shared" si="87"/>
        <v/>
      </c>
      <c r="R503" s="546" t="b">
        <v>0</v>
      </c>
      <c r="S503" s="571">
        <f t="shared" si="80"/>
        <v>0</v>
      </c>
      <c r="T503" s="581">
        <f t="shared" si="81"/>
        <v>0</v>
      </c>
      <c r="U503" s="581">
        <f t="shared" si="82"/>
        <v>0</v>
      </c>
      <c r="V503" s="581">
        <f t="shared" si="83"/>
        <v>0</v>
      </c>
      <c r="W503" s="581">
        <f t="shared" si="84"/>
        <v>0</v>
      </c>
      <c r="X503" s="581">
        <f t="shared" si="85"/>
        <v>0</v>
      </c>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row>
    <row r="504" spans="2:109" ht="15" customHeight="1" x14ac:dyDescent="0.2">
      <c r="B504" s="454"/>
      <c r="C504" s="455"/>
      <c r="D504" s="456"/>
      <c r="E504" s="460"/>
      <c r="F504" s="791" t="str">
        <f>IF(OR($Z$501=1,$S$499=1),"","Opponens digiti quinti")</f>
        <v/>
      </c>
      <c r="G504" s="791"/>
      <c r="H504" s="791"/>
      <c r="I504" s="791"/>
      <c r="J504" s="791"/>
      <c r="K504" s="791"/>
      <c r="L504" s="82">
        <f t="shared" si="86"/>
        <v>0</v>
      </c>
      <c r="M504" s="1005"/>
      <c r="N504" s="1005"/>
      <c r="O504" s="86"/>
      <c r="P504" s="291" t="str">
        <f t="shared" si="87"/>
        <v/>
      </c>
      <c r="R504" s="546" t="b">
        <v>0</v>
      </c>
      <c r="S504" s="571">
        <f t="shared" si="80"/>
        <v>0</v>
      </c>
      <c r="T504" s="581">
        <f t="shared" si="81"/>
        <v>0</v>
      </c>
      <c r="U504" s="581">
        <f t="shared" si="82"/>
        <v>0</v>
      </c>
      <c r="V504" s="581">
        <f t="shared" si="83"/>
        <v>0</v>
      </c>
      <c r="W504" s="581">
        <f t="shared" si="84"/>
        <v>0</v>
      </c>
      <c r="X504" s="581">
        <f t="shared" si="85"/>
        <v>0</v>
      </c>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row>
    <row r="505" spans="2:109" ht="15" customHeight="1" x14ac:dyDescent="0.2">
      <c r="B505" s="454"/>
      <c r="C505" s="455"/>
      <c r="D505" s="456"/>
      <c r="E505" s="460"/>
      <c r="F505" s="791" t="str">
        <f>IF(OR($Z$501=1,$S$499=1),"","Interossei")</f>
        <v/>
      </c>
      <c r="G505" s="791"/>
      <c r="H505" s="791"/>
      <c r="I505" s="791"/>
      <c r="J505" s="791"/>
      <c r="K505" s="791"/>
      <c r="L505" s="82">
        <f t="shared" si="86"/>
        <v>0</v>
      </c>
      <c r="M505" s="1005"/>
      <c r="N505" s="1005"/>
      <c r="O505" s="86"/>
      <c r="P505" s="291" t="str">
        <f t="shared" si="87"/>
        <v/>
      </c>
      <c r="R505" s="546" t="b">
        <v>0</v>
      </c>
      <c r="S505" s="571">
        <f t="shared" si="80"/>
        <v>0</v>
      </c>
      <c r="T505" s="581">
        <f t="shared" si="81"/>
        <v>0</v>
      </c>
      <c r="U505" s="581">
        <f t="shared" si="82"/>
        <v>0</v>
      </c>
      <c r="V505" s="581">
        <f t="shared" si="83"/>
        <v>0</v>
      </c>
      <c r="W505" s="581">
        <f t="shared" si="84"/>
        <v>0</v>
      </c>
      <c r="X505" s="581">
        <f t="shared" si="85"/>
        <v>0</v>
      </c>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row>
    <row r="506" spans="2:109" ht="15" customHeight="1" x14ac:dyDescent="0.2">
      <c r="B506" s="454"/>
      <c r="C506" s="455"/>
      <c r="D506" s="456"/>
      <c r="E506" s="465"/>
      <c r="F506" s="791" t="str">
        <f>IF(OR($Z$501=1,$S$499=1),"","Lumbricales III")</f>
        <v/>
      </c>
      <c r="G506" s="791"/>
      <c r="H506" s="791"/>
      <c r="I506" s="791"/>
      <c r="J506" s="791"/>
      <c r="K506" s="791"/>
      <c r="L506" s="82">
        <f t="shared" si="86"/>
        <v>0</v>
      </c>
      <c r="M506" s="1005"/>
      <c r="N506" s="1005"/>
      <c r="O506" s="86"/>
      <c r="P506" s="291" t="str">
        <f t="shared" si="87"/>
        <v/>
      </c>
      <c r="R506" s="546" t="b">
        <v>0</v>
      </c>
      <c r="S506" s="571">
        <f t="shared" si="80"/>
        <v>0</v>
      </c>
      <c r="T506" s="581">
        <f t="shared" si="81"/>
        <v>0</v>
      </c>
      <c r="U506" s="581">
        <f t="shared" si="82"/>
        <v>0</v>
      </c>
      <c r="V506" s="581">
        <f t="shared" si="83"/>
        <v>0</v>
      </c>
      <c r="W506" s="581">
        <f t="shared" si="84"/>
        <v>0</v>
      </c>
      <c r="X506" s="581">
        <f t="shared" si="85"/>
        <v>0</v>
      </c>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row>
    <row r="507" spans="2:109" ht="15" customHeight="1" x14ac:dyDescent="0.2">
      <c r="B507" s="454"/>
      <c r="C507" s="455"/>
      <c r="D507" s="456"/>
      <c r="E507" s="460"/>
      <c r="F507" s="791" t="str">
        <f>IF(OR($Z$501=1,$S$499=1),"","Lumbricales IV")</f>
        <v/>
      </c>
      <c r="G507" s="791"/>
      <c r="H507" s="791"/>
      <c r="I507" s="791"/>
      <c r="J507" s="791"/>
      <c r="K507" s="791"/>
      <c r="L507" s="82">
        <f t="shared" si="86"/>
        <v>0</v>
      </c>
      <c r="M507" s="1005"/>
      <c r="N507" s="1005"/>
      <c r="O507" s="86"/>
      <c r="P507" s="291" t="str">
        <f t="shared" si="87"/>
        <v/>
      </c>
      <c r="R507" s="546" t="b">
        <v>0</v>
      </c>
      <c r="S507" s="571">
        <f t="shared" si="80"/>
        <v>0</v>
      </c>
      <c r="T507" s="581">
        <f t="shared" si="81"/>
        <v>0</v>
      </c>
      <c r="U507" s="581">
        <f t="shared" si="82"/>
        <v>0</v>
      </c>
      <c r="V507" s="581">
        <f t="shared" si="83"/>
        <v>0</v>
      </c>
      <c r="W507" s="581">
        <f t="shared" si="84"/>
        <v>0</v>
      </c>
      <c r="X507" s="581">
        <f t="shared" si="85"/>
        <v>0</v>
      </c>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c r="CZ507" s="10"/>
      <c r="DA507" s="10"/>
      <c r="DB507" s="10"/>
      <c r="DC507" s="10"/>
      <c r="DD507" s="10"/>
      <c r="DE507" s="10"/>
    </row>
    <row r="508" spans="2:109" ht="15" customHeight="1" x14ac:dyDescent="0.2">
      <c r="B508" s="454"/>
      <c r="C508" s="455"/>
      <c r="D508" s="456"/>
      <c r="E508" s="460"/>
      <c r="F508" s="791" t="str">
        <f>IF(OR($Z$501=1,$S$499=1),"","Adductor pollicis")</f>
        <v/>
      </c>
      <c r="G508" s="791"/>
      <c r="H508" s="791"/>
      <c r="I508" s="791"/>
      <c r="J508" s="791"/>
      <c r="K508" s="791"/>
      <c r="L508" s="82">
        <f t="shared" si="86"/>
        <v>0</v>
      </c>
      <c r="M508" s="1005"/>
      <c r="N508" s="1005"/>
      <c r="O508" s="86"/>
      <c r="P508" s="291" t="str">
        <f t="shared" si="87"/>
        <v/>
      </c>
      <c r="R508" s="546" t="b">
        <v>0</v>
      </c>
      <c r="S508" s="571">
        <f t="shared" si="80"/>
        <v>0</v>
      </c>
      <c r="T508" s="581">
        <f t="shared" si="81"/>
        <v>0</v>
      </c>
      <c r="U508" s="581">
        <f t="shared" si="82"/>
        <v>0</v>
      </c>
      <c r="V508" s="581">
        <f t="shared" si="83"/>
        <v>0</v>
      </c>
      <c r="W508" s="581">
        <f t="shared" si="84"/>
        <v>0</v>
      </c>
      <c r="X508" s="581">
        <f t="shared" si="85"/>
        <v>0</v>
      </c>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row>
    <row r="509" spans="2:109" ht="27" customHeight="1" x14ac:dyDescent="0.2">
      <c r="B509" s="457"/>
      <c r="C509" s="458"/>
      <c r="D509" s="459"/>
      <c r="E509" s="460"/>
      <c r="F509" s="761" t="str">
        <f>IF(OR($Z$501=1,$S$499=1),"","Flexor pollicis brevis 
(deep part)")</f>
        <v/>
      </c>
      <c r="G509" s="761"/>
      <c r="H509" s="761"/>
      <c r="I509" s="761"/>
      <c r="J509" s="761"/>
      <c r="K509" s="761"/>
      <c r="L509" s="82">
        <f t="shared" si="86"/>
        <v>0</v>
      </c>
      <c r="M509" s="1005"/>
      <c r="N509" s="1005"/>
      <c r="O509" s="86"/>
      <c r="P509" s="291" t="str">
        <f t="shared" si="87"/>
        <v/>
      </c>
      <c r="R509" s="546" t="b">
        <v>0</v>
      </c>
      <c r="S509" s="571">
        <f t="shared" si="80"/>
        <v>0</v>
      </c>
      <c r="T509" s="581">
        <f t="shared" si="81"/>
        <v>0</v>
      </c>
      <c r="U509" s="581">
        <f t="shared" si="82"/>
        <v>0</v>
      </c>
      <c r="V509" s="581">
        <f t="shared" si="83"/>
        <v>0</v>
      </c>
      <c r="W509" s="581">
        <f t="shared" si="84"/>
        <v>0</v>
      </c>
      <c r="X509" s="581">
        <f t="shared" si="85"/>
        <v>0</v>
      </c>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row>
    <row r="510" spans="2:109" ht="15" customHeight="1" x14ac:dyDescent="0.2">
      <c r="B510" s="957" t="s">
        <v>939</v>
      </c>
      <c r="C510" s="957"/>
      <c r="D510" s="957"/>
      <c r="E510" s="957"/>
      <c r="F510" s="957"/>
      <c r="G510" s="957"/>
      <c r="H510" s="957"/>
      <c r="I510" s="957"/>
      <c r="J510" s="957"/>
      <c r="K510" s="957"/>
      <c r="L510" s="957"/>
      <c r="M510" s="957"/>
      <c r="N510" s="957"/>
      <c r="O510" s="957"/>
      <c r="P510" s="190">
        <f>IF(SUM(P499:P509)=0,0,AVERAGE(P499:P509))</f>
        <v>0</v>
      </c>
      <c r="R510" s="10"/>
      <c r="S510" s="98"/>
      <c r="T510" s="98"/>
      <c r="U510" s="94"/>
      <c r="V510" s="94"/>
      <c r="W510" s="94"/>
      <c r="X510" s="94"/>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row>
    <row r="511" spans="2:109" ht="12" customHeight="1" x14ac:dyDescent="0.2">
      <c r="C511" s="2"/>
      <c r="D511" s="2"/>
      <c r="F511" s="2"/>
      <c r="H511" s="2"/>
      <c r="J511" s="2"/>
      <c r="L511" s="2"/>
      <c r="N511" s="2"/>
      <c r="R511" s="10"/>
      <c r="S511" s="98"/>
      <c r="T511" s="98"/>
      <c r="U511" s="94"/>
      <c r="V511" s="94"/>
      <c r="W511" s="94"/>
      <c r="X511" s="94"/>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row>
    <row r="512" spans="2:109" ht="18" customHeight="1" x14ac:dyDescent="0.2">
      <c r="B512" s="957" t="s">
        <v>940</v>
      </c>
      <c r="C512" s="957"/>
      <c r="D512" s="957"/>
      <c r="E512" s="957"/>
      <c r="F512" s="957"/>
      <c r="G512" s="957"/>
      <c r="H512" s="957"/>
      <c r="I512" s="957"/>
      <c r="J512" s="957"/>
      <c r="K512" s="957"/>
      <c r="L512" s="957"/>
      <c r="M512" s="957"/>
      <c r="N512" s="957"/>
      <c r="O512" s="957"/>
      <c r="P512" s="281">
        <f>AD451</f>
        <v>0</v>
      </c>
      <c r="Q512" s="1"/>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row>
    <row r="513" spans="1:109" ht="12" customHeight="1" x14ac:dyDescent="0.2">
      <c r="C513" s="2"/>
      <c r="D513" s="2"/>
      <c r="F513" s="2"/>
      <c r="H513" s="2"/>
      <c r="J513" s="2"/>
      <c r="L513" s="2"/>
      <c r="N513" s="2"/>
      <c r="Q513" s="1"/>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row>
    <row r="514" spans="1:109" ht="18" customHeight="1" x14ac:dyDescent="0.2">
      <c r="B514" s="957" t="s">
        <v>1260</v>
      </c>
      <c r="C514" s="957"/>
      <c r="D514" s="957"/>
      <c r="E514" s="957"/>
      <c r="F514" s="957"/>
      <c r="G514" s="957"/>
      <c r="H514" s="957"/>
      <c r="I514" s="957"/>
      <c r="J514" s="957"/>
      <c r="K514" s="957"/>
      <c r="L514" s="957"/>
      <c r="M514" s="957"/>
      <c r="N514" s="957"/>
      <c r="O514" s="957"/>
      <c r="P514" s="281">
        <f>AI457</f>
        <v>0</v>
      </c>
      <c r="Q514" s="1"/>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row>
    <row r="515" spans="1:109" ht="12" customHeight="1" x14ac:dyDescent="0.2">
      <c r="B515" s="777"/>
      <c r="C515" s="777"/>
      <c r="D515" s="777"/>
      <c r="E515" s="777"/>
      <c r="F515" s="777"/>
      <c r="G515" s="777"/>
      <c r="H515" s="777"/>
      <c r="I515" s="777"/>
      <c r="J515" s="777"/>
      <c r="K515" s="777"/>
      <c r="L515" s="777"/>
      <c r="M515" s="777"/>
      <c r="N515" s="777"/>
      <c r="O515" s="777"/>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row>
    <row r="516" spans="1:109" ht="18" customHeight="1" x14ac:dyDescent="0.2">
      <c r="B516" s="912" t="s">
        <v>1261</v>
      </c>
      <c r="C516" s="910"/>
      <c r="D516" s="910"/>
      <c r="E516" s="910"/>
      <c r="F516" s="910"/>
      <c r="G516" s="910"/>
      <c r="H516" s="910"/>
      <c r="I516" s="910"/>
      <c r="J516" s="910"/>
      <c r="K516" s="910"/>
      <c r="L516" s="910"/>
      <c r="M516" s="910"/>
      <c r="N516" s="910"/>
      <c r="O516" s="910"/>
      <c r="P516" s="83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row>
    <row r="517" spans="1:109" ht="40.5" customHeight="1" x14ac:dyDescent="0.2">
      <c r="B517" s="761" t="s">
        <v>758</v>
      </c>
      <c r="C517" s="761"/>
      <c r="D517" s="761"/>
      <c r="E517" s="761"/>
      <c r="F517" s="761"/>
      <c r="G517" s="761"/>
      <c r="H517" s="761"/>
      <c r="I517" s="761"/>
      <c r="J517" s="761"/>
      <c r="K517" s="761"/>
      <c r="L517" s="761"/>
      <c r="M517" s="761"/>
      <c r="N517" s="761"/>
      <c r="O517" s="761"/>
      <c r="P517" s="832"/>
      <c r="R517" s="256" t="s">
        <v>2148</v>
      </c>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row>
    <row r="518" spans="1:109" ht="19.5" customHeight="1" x14ac:dyDescent="0.2">
      <c r="A518" s="15"/>
      <c r="B518" s="791" t="s">
        <v>932</v>
      </c>
      <c r="C518" s="791"/>
      <c r="D518" s="791"/>
      <c r="E518" s="791"/>
      <c r="F518" s="791"/>
      <c r="G518" s="791"/>
      <c r="H518" s="791"/>
      <c r="I518" s="791"/>
      <c r="J518" s="791"/>
      <c r="K518" s="791"/>
      <c r="L518" s="1002"/>
      <c r="M518" s="1002"/>
      <c r="N518" s="1002"/>
      <c r="O518" s="1002"/>
      <c r="P518" s="21">
        <f>IF(R518=1,0.05,0)</f>
        <v>0</v>
      </c>
      <c r="R518" s="546">
        <v>2</v>
      </c>
      <c r="S518" s="10"/>
      <c r="T518" s="10"/>
      <c r="U518" s="10"/>
      <c r="V518" s="10"/>
      <c r="W518" s="10">
        <v>1E-4</v>
      </c>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row>
    <row r="519" spans="1:109" ht="12" customHeight="1" x14ac:dyDescent="0.2">
      <c r="B519" s="777"/>
      <c r="C519" s="777"/>
      <c r="D519" s="777"/>
      <c r="E519" s="777"/>
      <c r="F519" s="777"/>
      <c r="G519" s="777"/>
      <c r="H519" s="777"/>
      <c r="I519" s="777"/>
      <c r="J519" s="777"/>
      <c r="K519" s="777"/>
      <c r="L519" s="777"/>
      <c r="M519" s="777"/>
      <c r="N519" s="777"/>
      <c r="O519" s="777"/>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row>
    <row r="520" spans="1:109" ht="18" customHeight="1" x14ac:dyDescent="0.2">
      <c r="B520" s="910" t="s">
        <v>872</v>
      </c>
      <c r="C520" s="910"/>
      <c r="D520" s="910"/>
      <c r="E520" s="910"/>
      <c r="F520" s="910"/>
      <c r="G520" s="910"/>
      <c r="H520" s="910"/>
      <c r="I520" s="910"/>
      <c r="J520" s="910"/>
      <c r="K520" s="910"/>
      <c r="L520" s="910"/>
      <c r="M520" s="910"/>
      <c r="N520" s="910"/>
      <c r="O520" s="910"/>
      <c r="P520" s="9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row>
    <row r="521" spans="1:109" ht="51" customHeight="1" x14ac:dyDescent="0.2">
      <c r="B521" s="761" t="s">
        <v>751</v>
      </c>
      <c r="C521" s="761"/>
      <c r="D521" s="761"/>
      <c r="E521" s="761"/>
      <c r="F521" s="761"/>
      <c r="G521" s="761"/>
      <c r="H521" s="761"/>
      <c r="I521" s="761"/>
      <c r="J521" s="761"/>
      <c r="K521" s="761"/>
      <c r="L521" s="761"/>
      <c r="M521" s="761"/>
      <c r="N521" s="761"/>
      <c r="O521" s="761"/>
      <c r="P521" s="910"/>
      <c r="R521" s="256" t="s">
        <v>85</v>
      </c>
      <c r="S521" s="256" t="s">
        <v>485</v>
      </c>
      <c r="T521" s="256" t="s">
        <v>2150</v>
      </c>
      <c r="U521" s="256" t="s">
        <v>2151</v>
      </c>
      <c r="V521" s="127" t="s">
        <v>2152</v>
      </c>
      <c r="W521" s="127" t="s">
        <v>2153</v>
      </c>
      <c r="X521" s="50"/>
      <c r="Y521" s="50" t="s">
        <v>722</v>
      </c>
      <c r="Z521" s="50" t="s">
        <v>1285</v>
      </c>
      <c r="AA521" s="50" t="s">
        <v>1286</v>
      </c>
      <c r="AB521" s="50" t="s">
        <v>1287</v>
      </c>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row>
    <row r="522" spans="1:109" ht="15" customHeight="1" x14ac:dyDescent="0.2">
      <c r="B522" s="50" t="s">
        <v>1542</v>
      </c>
      <c r="C522" s="755">
        <f>P60</f>
        <v>0</v>
      </c>
      <c r="D522" s="731"/>
      <c r="E522" s="731"/>
      <c r="F522" s="910" t="s">
        <v>1146</v>
      </c>
      <c r="G522" s="910"/>
      <c r="H522" s="910"/>
      <c r="I522" s="910"/>
      <c r="J522" s="910"/>
      <c r="K522" s="910"/>
      <c r="L522" s="914">
        <f>UETable!AV90</f>
        <v>0</v>
      </c>
      <c r="M522" s="914"/>
      <c r="N522" s="910" t="s">
        <v>1623</v>
      </c>
      <c r="O522" s="910"/>
      <c r="P522" s="755">
        <f>IF(OR(B528=Y522,B528=Y523,B528=Y524),0,SUM(L522:M526))</f>
        <v>0</v>
      </c>
      <c r="R522" s="50">
        <f>X61</f>
        <v>0</v>
      </c>
      <c r="S522" s="50">
        <f>IF(SUM(E532:E560)&gt;0,1,IF(SUM(E603:E615)&gt;0,1,0))</f>
        <v>0</v>
      </c>
      <c r="T522" s="50">
        <f>C522*48</f>
        <v>0</v>
      </c>
      <c r="U522" s="50">
        <f>L522*150</f>
        <v>0</v>
      </c>
      <c r="V522" s="365">
        <f>IF(AND(C522&gt;0,C522*0.15&lt;0.01),0.01,C522*0.15)</f>
        <v>0</v>
      </c>
      <c r="W522" s="84">
        <f>ROUND(SUM($L$522:$M$526)*0.47,2)</f>
        <v>0</v>
      </c>
      <c r="X522" s="50"/>
      <c r="Y522" s="50" t="s">
        <v>723</v>
      </c>
      <c r="Z522" s="147">
        <f>LARGE($V$522:$V$526,1)</f>
        <v>0</v>
      </c>
      <c r="AA522" s="544">
        <f>Z522+Z523*(1-Z522)</f>
        <v>0</v>
      </c>
      <c r="AB522" s="548">
        <f t="shared" ref="AB522:AB525" si="88">ROUND(AA522,2)</f>
        <v>0</v>
      </c>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c r="DA522" s="10"/>
      <c r="DB522" s="10"/>
      <c r="DC522" s="10"/>
      <c r="DD522" s="10"/>
      <c r="DE522" s="10"/>
    </row>
    <row r="523" spans="1:109" ht="15" customHeight="1" x14ac:dyDescent="0.2">
      <c r="B523" s="50" t="s">
        <v>142</v>
      </c>
      <c r="C523" s="755">
        <f>P137</f>
        <v>0</v>
      </c>
      <c r="D523" s="731"/>
      <c r="E523" s="731"/>
      <c r="F523" s="910" t="s">
        <v>1146</v>
      </c>
      <c r="G523" s="910"/>
      <c r="H523" s="910"/>
      <c r="I523" s="910"/>
      <c r="J523" s="910"/>
      <c r="K523" s="910"/>
      <c r="L523" s="914">
        <f>UETable!AV91</f>
        <v>0</v>
      </c>
      <c r="M523" s="914"/>
      <c r="N523" s="910" t="s">
        <v>1623</v>
      </c>
      <c r="O523" s="910"/>
      <c r="P523" s="731"/>
      <c r="R523" s="50">
        <f>X138</f>
        <v>0</v>
      </c>
      <c r="S523" s="50"/>
      <c r="T523" s="50">
        <f>C523*24</f>
        <v>0</v>
      </c>
      <c r="U523" s="50">
        <f>L523*150</f>
        <v>0</v>
      </c>
      <c r="V523" s="365">
        <f>IF(AND(C523&gt;0,C523*0.08&lt;0.01),0.01,C523*0.08)</f>
        <v>0</v>
      </c>
      <c r="W523" s="84"/>
      <c r="X523" s="50"/>
      <c r="Y523" s="50" t="s">
        <v>1735</v>
      </c>
      <c r="Z523" s="147">
        <f>LARGE($V$522:$V$526,2)</f>
        <v>0</v>
      </c>
      <c r="AA523" s="544">
        <f>AB522+Z524*(1-AB522)</f>
        <v>0</v>
      </c>
      <c r="AB523" s="548">
        <f t="shared" si="88"/>
        <v>0</v>
      </c>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row>
    <row r="524" spans="1:109" ht="15" customHeight="1" x14ac:dyDescent="0.2">
      <c r="B524" s="50" t="s">
        <v>1535</v>
      </c>
      <c r="C524" s="755">
        <f>P214</f>
        <v>0</v>
      </c>
      <c r="D524" s="731"/>
      <c r="E524" s="731"/>
      <c r="F524" s="910" t="s">
        <v>1146</v>
      </c>
      <c r="G524" s="910"/>
      <c r="H524" s="910"/>
      <c r="I524" s="910"/>
      <c r="J524" s="910"/>
      <c r="K524" s="910"/>
      <c r="L524" s="914">
        <f>UETable!AV92</f>
        <v>0</v>
      </c>
      <c r="M524" s="914"/>
      <c r="N524" s="910" t="s">
        <v>1623</v>
      </c>
      <c r="O524" s="910"/>
      <c r="P524" s="731"/>
      <c r="R524" s="50">
        <f>X215</f>
        <v>0</v>
      </c>
      <c r="S524" s="50"/>
      <c r="T524" s="50">
        <f>C524*22</f>
        <v>0</v>
      </c>
      <c r="U524" s="50">
        <f>L524*150</f>
        <v>0</v>
      </c>
      <c r="V524" s="365">
        <f>IF(AND(C524&gt;0,C524*0.07&lt;0.01),0.01,C524*0.07)</f>
        <v>0</v>
      </c>
      <c r="W524" s="84"/>
      <c r="X524" s="50"/>
      <c r="Y524" s="50" t="s">
        <v>2157</v>
      </c>
      <c r="Z524" s="147">
        <f>LARGE($V$522:$V$526,3)</f>
        <v>0</v>
      </c>
      <c r="AA524" s="544">
        <f t="shared" ref="AA524:AA525" si="89">AB523+Z525*(1-AB523)</f>
        <v>0</v>
      </c>
      <c r="AB524" s="548">
        <f t="shared" si="88"/>
        <v>0</v>
      </c>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row>
    <row r="525" spans="1:109" ht="15" customHeight="1" x14ac:dyDescent="0.2">
      <c r="B525" s="50" t="s">
        <v>1537</v>
      </c>
      <c r="C525" s="755">
        <f>P289</f>
        <v>0</v>
      </c>
      <c r="D525" s="731"/>
      <c r="E525" s="731"/>
      <c r="F525" s="910" t="s">
        <v>1146</v>
      </c>
      <c r="G525" s="910"/>
      <c r="H525" s="910"/>
      <c r="I525" s="910"/>
      <c r="J525" s="910"/>
      <c r="K525" s="910"/>
      <c r="L525" s="914">
        <f>UETable!AV93</f>
        <v>0</v>
      </c>
      <c r="M525" s="914"/>
      <c r="N525" s="910" t="s">
        <v>1623</v>
      </c>
      <c r="O525" s="910"/>
      <c r="P525" s="731"/>
      <c r="R525" s="50">
        <f>X290</f>
        <v>0</v>
      </c>
      <c r="S525" s="50"/>
      <c r="T525" s="50">
        <f>C525*10</f>
        <v>0</v>
      </c>
      <c r="U525" s="50">
        <f>L525*150</f>
        <v>0</v>
      </c>
      <c r="V525" s="365">
        <f>IF(AND(C525&gt;0,C525*0.03&lt;0.01),0.01,C525*0.03)</f>
        <v>0</v>
      </c>
      <c r="W525" s="84"/>
      <c r="X525" s="50"/>
      <c r="Y525" s="50" t="s">
        <v>1708</v>
      </c>
      <c r="Z525" s="147">
        <f>LARGE($V$522:$V$526,4)</f>
        <v>0</v>
      </c>
      <c r="AA525" s="544">
        <f t="shared" si="89"/>
        <v>0</v>
      </c>
      <c r="AB525" s="548">
        <f t="shared" si="88"/>
        <v>0</v>
      </c>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row>
    <row r="526" spans="1:109" ht="15" customHeight="1" x14ac:dyDescent="0.2">
      <c r="B526" s="50" t="s">
        <v>1539</v>
      </c>
      <c r="C526" s="755">
        <f>P364</f>
        <v>0</v>
      </c>
      <c r="D526" s="731"/>
      <c r="E526" s="731"/>
      <c r="F526" s="910" t="s">
        <v>1146</v>
      </c>
      <c r="G526" s="910"/>
      <c r="H526" s="910"/>
      <c r="I526" s="910"/>
      <c r="J526" s="910"/>
      <c r="K526" s="910"/>
      <c r="L526" s="914">
        <f>UETable!AV94</f>
        <v>0</v>
      </c>
      <c r="M526" s="914"/>
      <c r="N526" s="910" t="s">
        <v>1623</v>
      </c>
      <c r="O526" s="910"/>
      <c r="P526" s="731"/>
      <c r="R526" s="50">
        <f>X365</f>
        <v>0</v>
      </c>
      <c r="S526" s="50"/>
      <c r="T526" s="50">
        <f>C526*6</f>
        <v>0</v>
      </c>
      <c r="U526" s="50">
        <f>L526*150</f>
        <v>0</v>
      </c>
      <c r="V526" s="365">
        <f>IF(AND(C526&gt;0,C526*0.02&lt;0.01),0.01,C526*0.02)</f>
        <v>0</v>
      </c>
      <c r="W526" s="84"/>
      <c r="X526" s="50"/>
      <c r="Y526" s="50" t="s">
        <v>2156</v>
      </c>
      <c r="Z526" s="147">
        <f>LARGE($V$522:$V$526,5)</f>
        <v>0</v>
      </c>
      <c r="AA526" s="50"/>
      <c r="AB526" s="5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row>
    <row r="527" spans="1:109" ht="18" customHeight="1" x14ac:dyDescent="0.2">
      <c r="B527" s="957" t="s">
        <v>1700</v>
      </c>
      <c r="C527" s="957"/>
      <c r="D527" s="957"/>
      <c r="E527" s="957"/>
      <c r="F527" s="957"/>
      <c r="G527" s="957"/>
      <c r="H527" s="957"/>
      <c r="I527" s="957"/>
      <c r="J527" s="957"/>
      <c r="K527" s="957"/>
      <c r="L527" s="957"/>
      <c r="M527" s="957"/>
      <c r="N527" s="957"/>
      <c r="O527" s="957"/>
      <c r="P527" s="731"/>
      <c r="R527" s="50">
        <f>COUNTIF(R522:R526,2)</f>
        <v>0</v>
      </c>
      <c r="S527" s="18" t="s">
        <v>1709</v>
      </c>
      <c r="T527" s="50">
        <f>SUM(T522:T526)</f>
        <v>0</v>
      </c>
      <c r="U527" s="50">
        <f>SUM(U522:U526)</f>
        <v>0</v>
      </c>
      <c r="V527" s="365">
        <f>AB525</f>
        <v>0</v>
      </c>
      <c r="W527" s="365" t="s">
        <v>2154</v>
      </c>
      <c r="X527" s="50"/>
      <c r="Y527" s="50"/>
      <c r="Z527" s="50"/>
      <c r="AA527" s="50"/>
      <c r="AB527" s="5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row>
    <row r="528" spans="1:109" ht="30" customHeight="1" x14ac:dyDescent="0.2">
      <c r="B528" s="1085" t="str">
        <f>IF(T528=0,"",IF(S522=1,Y526,IF(AND(R527=1,R528=0),Y522,IF(AND(R527=1,R528&gt;0),Y523,IF(OR(U528=2,U528=4),Y524,IF(OR(U528=1,U528=3),Y525,""))))))</f>
        <v/>
      </c>
      <c r="C528" s="1085"/>
      <c r="D528" s="1085"/>
      <c r="E528" s="1085"/>
      <c r="F528" s="1085"/>
      <c r="G528" s="1085"/>
      <c r="H528" s="1085"/>
      <c r="I528" s="1085"/>
      <c r="J528" s="1085"/>
      <c r="K528" s="1085"/>
      <c r="L528" s="1085"/>
      <c r="M528" s="1085"/>
      <c r="N528" s="1085"/>
      <c r="O528" s="1085"/>
      <c r="P528" s="1085"/>
      <c r="R528" s="50">
        <f>COUNTIF(R522:R526,1)</f>
        <v>0</v>
      </c>
      <c r="S528" s="318" t="s">
        <v>1710</v>
      </c>
      <c r="T528" s="50">
        <f>IF(SUM(C522:E526)=0,0,1)</f>
        <v>0</v>
      </c>
      <c r="U528" s="566">
        <f>IF(T528=0,0,IF(AND(R2&lt;R1,U527&gt;T527),1,IF(AND(R2&lt;R1,U527&lt;=T527),2,IF(AND(R2&gt;=R1,W522&gt;V527),3,IF(AND(R2&gt;=R1,W522&lt;=V527),4,0)))))</f>
        <v>0</v>
      </c>
      <c r="V528" s="761" t="s">
        <v>2155</v>
      </c>
      <c r="W528" s="761"/>
      <c r="X528" s="761"/>
      <c r="Y528" s="761"/>
      <c r="Z528" s="761"/>
      <c r="AA528" s="761"/>
      <c r="AB528" s="761"/>
      <c r="AC528" s="761"/>
      <c r="AD528" s="761"/>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row>
    <row r="529" spans="2:109" ht="6" customHeight="1" x14ac:dyDescent="0.2">
      <c r="B529" s="697"/>
      <c r="C529" s="697"/>
      <c r="D529" s="697"/>
      <c r="E529" s="697"/>
      <c r="F529" s="697"/>
      <c r="G529" s="697"/>
      <c r="H529" s="697"/>
      <c r="I529" s="697"/>
      <c r="J529" s="697"/>
      <c r="K529" s="697"/>
      <c r="L529" s="697"/>
      <c r="M529" s="697"/>
      <c r="N529" s="697"/>
      <c r="O529" s="697"/>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row>
    <row r="530" spans="2:109" ht="6" customHeight="1" x14ac:dyDescent="0.2">
      <c r="B530" s="697"/>
      <c r="C530" s="697"/>
      <c r="D530" s="697"/>
      <c r="E530" s="697"/>
      <c r="F530" s="697"/>
      <c r="G530" s="697"/>
      <c r="H530" s="697"/>
      <c r="I530" s="697"/>
      <c r="J530" s="697"/>
      <c r="K530" s="697"/>
      <c r="L530" s="697"/>
      <c r="M530" s="697"/>
      <c r="N530" s="697"/>
      <c r="O530" s="697"/>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row>
    <row r="531" spans="2:109" ht="27" customHeight="1" x14ac:dyDescent="0.2">
      <c r="B531" s="756" t="s">
        <v>1711</v>
      </c>
      <c r="C531" s="757"/>
      <c r="D531" s="757"/>
      <c r="E531" s="757"/>
      <c r="F531" s="758"/>
      <c r="G531" s="907" t="s">
        <v>1495</v>
      </c>
      <c r="H531" s="945"/>
      <c r="I531" s="945"/>
      <c r="J531" s="946"/>
      <c r="K531" s="967"/>
      <c r="L531" s="968"/>
      <c r="M531" s="968"/>
      <c r="N531" s="968"/>
      <c r="O531" s="969"/>
      <c r="P531" s="857">
        <f>U560</f>
        <v>0</v>
      </c>
      <c r="R531" s="146" t="s">
        <v>1826</v>
      </c>
      <c r="S531" s="50" t="s">
        <v>1285</v>
      </c>
      <c r="T531" s="50" t="s">
        <v>1286</v>
      </c>
      <c r="U531" s="50" t="s">
        <v>1287</v>
      </c>
      <c r="V531" s="50" t="s">
        <v>498</v>
      </c>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row>
    <row r="532" spans="2:109" ht="26.25" customHeight="1" x14ac:dyDescent="0.2">
      <c r="B532" s="761" t="s">
        <v>1712</v>
      </c>
      <c r="C532" s="791"/>
      <c r="D532" s="791"/>
      <c r="E532" s="755">
        <f t="shared" ref="E532:E537" si="90">P385</f>
        <v>0</v>
      </c>
      <c r="F532" s="755"/>
      <c r="G532" s="977"/>
      <c r="H532" s="977"/>
      <c r="I532" s="738">
        <f t="shared" ref="I532:I560" si="91">IF(AND(V532&lt;0.01,V532&gt;0),0.01,ROUND(V532,2))</f>
        <v>0</v>
      </c>
      <c r="J532" s="740"/>
      <c r="K532" s="970"/>
      <c r="L532" s="971"/>
      <c r="M532" s="971"/>
      <c r="N532" s="971"/>
      <c r="O532" s="972"/>
      <c r="P532" s="961"/>
      <c r="R532" s="365">
        <f t="shared" ref="R532:R538" si="92">IF(I532&gt;0,I532,E532)</f>
        <v>0</v>
      </c>
      <c r="S532" s="365">
        <f>LARGE($R$532:$R$561,1)</f>
        <v>0</v>
      </c>
      <c r="T532" s="688">
        <f>S532+S533*(1-S532)</f>
        <v>0</v>
      </c>
      <c r="U532" s="365">
        <f>ROUND(T532,2)</f>
        <v>0</v>
      </c>
      <c r="V532" s="291">
        <f t="shared" ref="V532:V560" si="93">E532*G532</f>
        <v>0</v>
      </c>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row>
    <row r="533" spans="2:109" ht="15.75" customHeight="1" x14ac:dyDescent="0.2">
      <c r="B533" s="791" t="s">
        <v>1713</v>
      </c>
      <c r="C533" s="791"/>
      <c r="D533" s="791"/>
      <c r="E533" s="755">
        <f t="shared" si="90"/>
        <v>0</v>
      </c>
      <c r="F533" s="755"/>
      <c r="G533" s="977"/>
      <c r="H533" s="977"/>
      <c r="I533" s="738">
        <f t="shared" si="91"/>
        <v>0</v>
      </c>
      <c r="J533" s="740"/>
      <c r="K533" s="970"/>
      <c r="L533" s="971"/>
      <c r="M533" s="971"/>
      <c r="N533" s="971"/>
      <c r="O533" s="972"/>
      <c r="P533" s="961"/>
      <c r="R533" s="365">
        <f t="shared" si="92"/>
        <v>0</v>
      </c>
      <c r="S533" s="365">
        <f>LARGE($R$532:$R$561,2)</f>
        <v>0</v>
      </c>
      <c r="T533" s="688">
        <f>U532+S534*(1-U532)</f>
        <v>0</v>
      </c>
      <c r="U533" s="365">
        <f t="shared" ref="U533:U560" si="94">ROUND(T533,2)</f>
        <v>0</v>
      </c>
      <c r="V533" s="291">
        <f t="shared" si="93"/>
        <v>0</v>
      </c>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c r="CZ533" s="10"/>
      <c r="DA533" s="10"/>
      <c r="DB533" s="10"/>
      <c r="DC533" s="10"/>
      <c r="DD533" s="10"/>
      <c r="DE533" s="10"/>
    </row>
    <row r="534" spans="2:109" ht="15.75" customHeight="1" x14ac:dyDescent="0.2">
      <c r="B534" s="791" t="s">
        <v>1149</v>
      </c>
      <c r="C534" s="791"/>
      <c r="D534" s="791"/>
      <c r="E534" s="755">
        <f t="shared" si="90"/>
        <v>0</v>
      </c>
      <c r="F534" s="755"/>
      <c r="G534" s="977"/>
      <c r="H534" s="977"/>
      <c r="I534" s="738">
        <f t="shared" si="91"/>
        <v>0</v>
      </c>
      <c r="J534" s="740"/>
      <c r="K534" s="970"/>
      <c r="L534" s="971"/>
      <c r="M534" s="971"/>
      <c r="N534" s="971"/>
      <c r="O534" s="972"/>
      <c r="P534" s="961"/>
      <c r="R534" s="365">
        <f t="shared" si="92"/>
        <v>0</v>
      </c>
      <c r="S534" s="365">
        <f>LARGE($R$532:$R$561,3)</f>
        <v>0</v>
      </c>
      <c r="T534" s="688">
        <f t="shared" ref="T534:T560" si="95">U533+S535*(1-U533)</f>
        <v>0</v>
      </c>
      <c r="U534" s="365">
        <f t="shared" si="94"/>
        <v>0</v>
      </c>
      <c r="V534" s="291">
        <f t="shared" si="93"/>
        <v>0</v>
      </c>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row>
    <row r="535" spans="2:109" ht="15.75" customHeight="1" x14ac:dyDescent="0.2">
      <c r="B535" s="791" t="s">
        <v>1150</v>
      </c>
      <c r="C535" s="791"/>
      <c r="D535" s="791"/>
      <c r="E535" s="755">
        <f t="shared" si="90"/>
        <v>0</v>
      </c>
      <c r="F535" s="755"/>
      <c r="G535" s="977"/>
      <c r="H535" s="977"/>
      <c r="I535" s="738">
        <f t="shared" si="91"/>
        <v>0</v>
      </c>
      <c r="J535" s="740"/>
      <c r="K535" s="915"/>
      <c r="L535" s="916"/>
      <c r="M535" s="916"/>
      <c r="N535" s="916"/>
      <c r="O535" s="917"/>
      <c r="P535" s="961"/>
      <c r="R535" s="365">
        <f t="shared" si="92"/>
        <v>0</v>
      </c>
      <c r="S535" s="365">
        <f>LARGE($R$532:$R$561,4)</f>
        <v>0</v>
      </c>
      <c r="T535" s="688">
        <f t="shared" si="95"/>
        <v>0</v>
      </c>
      <c r="U535" s="365">
        <f t="shared" si="94"/>
        <v>0</v>
      </c>
      <c r="V535" s="291">
        <f t="shared" si="93"/>
        <v>0</v>
      </c>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c r="CZ535" s="10"/>
      <c r="DA535" s="10"/>
      <c r="DB535" s="10"/>
      <c r="DC535" s="10"/>
      <c r="DD535" s="10"/>
      <c r="DE535" s="10"/>
    </row>
    <row r="536" spans="2:109" ht="15.75" customHeight="1" x14ac:dyDescent="0.2">
      <c r="B536" s="791" t="s">
        <v>1151</v>
      </c>
      <c r="C536" s="791"/>
      <c r="D536" s="791"/>
      <c r="E536" s="755">
        <f t="shared" si="90"/>
        <v>0</v>
      </c>
      <c r="F536" s="755"/>
      <c r="G536" s="977"/>
      <c r="H536" s="977"/>
      <c r="I536" s="738">
        <f t="shared" si="91"/>
        <v>0</v>
      </c>
      <c r="J536" s="740"/>
      <c r="K536" s="915"/>
      <c r="L536" s="916"/>
      <c r="M536" s="916"/>
      <c r="N536" s="916"/>
      <c r="O536" s="917"/>
      <c r="P536" s="961"/>
      <c r="R536" s="365">
        <f t="shared" si="92"/>
        <v>0</v>
      </c>
      <c r="S536" s="365">
        <f>LARGE($R$532:$R$561,5)</f>
        <v>0</v>
      </c>
      <c r="T536" s="688">
        <f t="shared" si="95"/>
        <v>0</v>
      </c>
      <c r="U536" s="365">
        <f t="shared" si="94"/>
        <v>0</v>
      </c>
      <c r="V536" s="291">
        <f t="shared" si="93"/>
        <v>0</v>
      </c>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row>
    <row r="537" spans="2:109" ht="15.75" customHeight="1" x14ac:dyDescent="0.2">
      <c r="B537" s="791" t="s">
        <v>1152</v>
      </c>
      <c r="C537" s="791"/>
      <c r="D537" s="791"/>
      <c r="E537" s="755">
        <f t="shared" si="90"/>
        <v>0</v>
      </c>
      <c r="F537" s="755"/>
      <c r="G537" s="977"/>
      <c r="H537" s="977"/>
      <c r="I537" s="738">
        <f t="shared" si="91"/>
        <v>0</v>
      </c>
      <c r="J537" s="740"/>
      <c r="K537" s="915"/>
      <c r="L537" s="916"/>
      <c r="M537" s="916"/>
      <c r="N537" s="916"/>
      <c r="O537" s="917"/>
      <c r="P537" s="961"/>
      <c r="R537" s="365">
        <f t="shared" si="92"/>
        <v>0</v>
      </c>
      <c r="S537" s="365">
        <f>LARGE($R$532:$R$561,6)</f>
        <v>0</v>
      </c>
      <c r="T537" s="688">
        <f t="shared" si="95"/>
        <v>0</v>
      </c>
      <c r="U537" s="365">
        <f t="shared" si="94"/>
        <v>0</v>
      </c>
      <c r="V537" s="291">
        <f t="shared" si="93"/>
        <v>0</v>
      </c>
      <c r="W537" s="10"/>
      <c r="X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row>
    <row r="538" spans="2:109" ht="15" customHeight="1" x14ac:dyDescent="0.2">
      <c r="B538" s="761" t="s">
        <v>1153</v>
      </c>
      <c r="C538" s="791"/>
      <c r="D538" s="791"/>
      <c r="E538" s="755">
        <f>IF(E615&gt;0,0,P398)</f>
        <v>0</v>
      </c>
      <c r="F538" s="755"/>
      <c r="G538" s="977"/>
      <c r="H538" s="977"/>
      <c r="I538" s="738">
        <f t="shared" si="91"/>
        <v>0</v>
      </c>
      <c r="J538" s="740"/>
      <c r="K538" s="915"/>
      <c r="L538" s="916"/>
      <c r="M538" s="916"/>
      <c r="N538" s="916"/>
      <c r="O538" s="917"/>
      <c r="P538" s="961"/>
      <c r="R538" s="365">
        <f t="shared" si="92"/>
        <v>0</v>
      </c>
      <c r="S538" s="365">
        <f>LARGE($R$532:$R$561,7)</f>
        <v>0</v>
      </c>
      <c r="T538" s="688">
        <f t="shared" si="95"/>
        <v>0</v>
      </c>
      <c r="U538" s="365">
        <f t="shared" si="94"/>
        <v>0</v>
      </c>
      <c r="V538" s="291">
        <f t="shared" si="93"/>
        <v>0</v>
      </c>
      <c r="W538" s="10"/>
      <c r="X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c r="CZ538" s="10"/>
      <c r="DA538" s="10"/>
      <c r="DB538" s="10"/>
      <c r="DC538" s="10"/>
      <c r="DD538" s="10"/>
      <c r="DE538" s="10"/>
    </row>
    <row r="539" spans="2:109" ht="15" customHeight="1" x14ac:dyDescent="0.2">
      <c r="B539" s="791" t="s">
        <v>1154</v>
      </c>
      <c r="C539" s="791"/>
      <c r="D539" s="791"/>
      <c r="E539" s="755">
        <f>IF(E615&gt;0,0,P408)</f>
        <v>0</v>
      </c>
      <c r="F539" s="755"/>
      <c r="G539" s="977"/>
      <c r="H539" s="977"/>
      <c r="I539" s="914">
        <f t="shared" si="91"/>
        <v>0</v>
      </c>
      <c r="J539" s="914"/>
      <c r="K539" s="915"/>
      <c r="L539" s="916"/>
      <c r="M539" s="916"/>
      <c r="N539" s="916"/>
      <c r="O539" s="917"/>
      <c r="P539" s="961"/>
      <c r="R539" s="365">
        <f>IF(I539&gt;0,I539,E539)</f>
        <v>0</v>
      </c>
      <c r="S539" s="365">
        <f>LARGE($R$532:$R$561,8)</f>
        <v>0</v>
      </c>
      <c r="T539" s="688">
        <f t="shared" si="95"/>
        <v>0</v>
      </c>
      <c r="U539" s="365">
        <f t="shared" si="94"/>
        <v>0</v>
      </c>
      <c r="V539" s="291">
        <f t="shared" si="93"/>
        <v>0</v>
      </c>
      <c r="W539" s="39"/>
      <c r="X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c r="CZ539" s="10"/>
      <c r="DA539" s="10"/>
      <c r="DB539" s="10"/>
      <c r="DC539" s="10"/>
      <c r="DD539" s="10"/>
      <c r="DE539" s="10"/>
    </row>
    <row r="540" spans="2:109" ht="15" customHeight="1" x14ac:dyDescent="0.2">
      <c r="B540" s="791" t="s">
        <v>1947</v>
      </c>
      <c r="C540" s="791"/>
      <c r="D540" s="791"/>
      <c r="E540" s="755">
        <f>P413</f>
        <v>0</v>
      </c>
      <c r="F540" s="755"/>
      <c r="G540" s="977"/>
      <c r="H540" s="977"/>
      <c r="I540" s="914">
        <f t="shared" si="91"/>
        <v>0</v>
      </c>
      <c r="J540" s="914"/>
      <c r="K540" s="915"/>
      <c r="L540" s="916"/>
      <c r="M540" s="916"/>
      <c r="N540" s="916"/>
      <c r="O540" s="917"/>
      <c r="P540" s="961"/>
      <c r="R540" s="365">
        <f t="shared" ref="R540:R560" si="96">IF(I540&gt;0,I540,E540)</f>
        <v>0</v>
      </c>
      <c r="S540" s="365">
        <f>LARGE($R$532:$R$561,9)</f>
        <v>0</v>
      </c>
      <c r="T540" s="688">
        <f t="shared" si="95"/>
        <v>0</v>
      </c>
      <c r="U540" s="365">
        <f t="shared" si="94"/>
        <v>0</v>
      </c>
      <c r="V540" s="291">
        <f t="shared" si="93"/>
        <v>0</v>
      </c>
      <c r="W540" s="39"/>
      <c r="X540" s="10"/>
      <c r="Z540" s="597"/>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c r="CZ540" s="10"/>
      <c r="DA540" s="10"/>
      <c r="DB540" s="10"/>
      <c r="DC540" s="10"/>
      <c r="DD540" s="10"/>
      <c r="DE540" s="10"/>
    </row>
    <row r="541" spans="2:109" ht="15" customHeight="1" x14ac:dyDescent="0.2">
      <c r="B541" s="791" t="s">
        <v>1155</v>
      </c>
      <c r="C541" s="791"/>
      <c r="D541" s="791"/>
      <c r="E541" s="755">
        <f>P416</f>
        <v>0</v>
      </c>
      <c r="F541" s="755"/>
      <c r="G541" s="977"/>
      <c r="H541" s="977"/>
      <c r="I541" s="914">
        <f t="shared" si="91"/>
        <v>0</v>
      </c>
      <c r="J541" s="914"/>
      <c r="K541" s="915"/>
      <c r="L541" s="916"/>
      <c r="M541" s="916"/>
      <c r="N541" s="916"/>
      <c r="O541" s="917"/>
      <c r="P541" s="961"/>
      <c r="R541" s="365">
        <f t="shared" si="96"/>
        <v>0</v>
      </c>
      <c r="S541" s="365">
        <f>LARGE($R$532:$R$561,10)</f>
        <v>0</v>
      </c>
      <c r="T541" s="688">
        <f t="shared" si="95"/>
        <v>0</v>
      </c>
      <c r="U541" s="365">
        <f t="shared" si="94"/>
        <v>0</v>
      </c>
      <c r="V541" s="291">
        <f t="shared" si="93"/>
        <v>0</v>
      </c>
      <c r="W541" s="10"/>
      <c r="X541" s="10"/>
      <c r="Z541" s="597"/>
      <c r="AA541" s="9"/>
      <c r="AB541" s="724"/>
      <c r="AC541" s="724"/>
      <c r="AD541" s="724"/>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c r="CZ541" s="10"/>
      <c r="DA541" s="10"/>
      <c r="DB541" s="10"/>
      <c r="DC541" s="10"/>
      <c r="DD541" s="10"/>
      <c r="DE541" s="10"/>
    </row>
    <row r="542" spans="2:109" ht="15" customHeight="1" x14ac:dyDescent="0.2">
      <c r="B542" s="791" t="s">
        <v>1156</v>
      </c>
      <c r="C542" s="791"/>
      <c r="D542" s="791"/>
      <c r="E542" s="755">
        <f>P419</f>
        <v>0</v>
      </c>
      <c r="F542" s="755"/>
      <c r="G542" s="977"/>
      <c r="H542" s="977"/>
      <c r="I542" s="914">
        <f t="shared" si="91"/>
        <v>0</v>
      </c>
      <c r="J542" s="914"/>
      <c r="K542" s="970"/>
      <c r="L542" s="971"/>
      <c r="M542" s="971"/>
      <c r="N542" s="971"/>
      <c r="O542" s="972"/>
      <c r="P542" s="961"/>
      <c r="R542" s="365">
        <f t="shared" si="96"/>
        <v>0</v>
      </c>
      <c r="S542" s="365">
        <f>LARGE($R$532:$R$561,11)</f>
        <v>0</v>
      </c>
      <c r="T542" s="688">
        <f t="shared" si="95"/>
        <v>0</v>
      </c>
      <c r="U542" s="365">
        <f t="shared" si="94"/>
        <v>0</v>
      </c>
      <c r="V542" s="291">
        <f t="shared" si="93"/>
        <v>0</v>
      </c>
      <c r="W542" s="10"/>
      <c r="X542" s="10"/>
      <c r="Z542" s="597"/>
      <c r="AB542" s="10"/>
      <c r="AC542" s="10"/>
      <c r="AD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row>
    <row r="543" spans="2:109" ht="15" customHeight="1" x14ac:dyDescent="0.2">
      <c r="B543" s="791" t="s">
        <v>1949</v>
      </c>
      <c r="C543" s="791"/>
      <c r="D543" s="791"/>
      <c r="E543" s="755">
        <f>P420</f>
        <v>0</v>
      </c>
      <c r="F543" s="755"/>
      <c r="G543" s="977"/>
      <c r="H543" s="977"/>
      <c r="I543" s="914">
        <f t="shared" si="91"/>
        <v>0</v>
      </c>
      <c r="J543" s="914"/>
      <c r="K543" s="970"/>
      <c r="L543" s="971"/>
      <c r="M543" s="971"/>
      <c r="N543" s="971"/>
      <c r="O543" s="972"/>
      <c r="P543" s="961"/>
      <c r="R543" s="365">
        <f t="shared" si="96"/>
        <v>0</v>
      </c>
      <c r="S543" s="365">
        <f>LARGE($R$532:$R$561,12)</f>
        <v>0</v>
      </c>
      <c r="T543" s="688">
        <f t="shared" si="95"/>
        <v>0</v>
      </c>
      <c r="U543" s="365">
        <f t="shared" si="94"/>
        <v>0</v>
      </c>
      <c r="V543" s="291">
        <f t="shared" si="93"/>
        <v>0</v>
      </c>
      <c r="W543" s="10"/>
      <c r="X543" s="10"/>
      <c r="Z543" s="597"/>
      <c r="AD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c r="CZ543" s="10"/>
      <c r="DA543" s="10"/>
      <c r="DB543" s="10"/>
      <c r="DC543" s="10"/>
      <c r="DD543" s="10"/>
      <c r="DE543" s="10"/>
    </row>
    <row r="544" spans="2:109" ht="15" customHeight="1" x14ac:dyDescent="0.2">
      <c r="B544" s="761" t="s">
        <v>779</v>
      </c>
      <c r="C544" s="791"/>
      <c r="D544" s="791"/>
      <c r="E544" s="755">
        <f>P422</f>
        <v>0</v>
      </c>
      <c r="F544" s="755"/>
      <c r="G544" s="977"/>
      <c r="H544" s="977"/>
      <c r="I544" s="914">
        <f t="shared" si="91"/>
        <v>0</v>
      </c>
      <c r="J544" s="914"/>
      <c r="K544" s="970"/>
      <c r="L544" s="971"/>
      <c r="M544" s="971"/>
      <c r="N544" s="971"/>
      <c r="O544" s="972"/>
      <c r="P544" s="961"/>
      <c r="R544" s="365">
        <f t="shared" si="96"/>
        <v>0</v>
      </c>
      <c r="S544" s="365">
        <f>LARGE($R$532:$R$561,13)</f>
        <v>0</v>
      </c>
      <c r="T544" s="688">
        <f t="shared" si="95"/>
        <v>0</v>
      </c>
      <c r="U544" s="365">
        <f t="shared" si="94"/>
        <v>0</v>
      </c>
      <c r="V544" s="291">
        <f t="shared" si="93"/>
        <v>0</v>
      </c>
      <c r="W544" s="10"/>
      <c r="X544" s="10"/>
      <c r="Z544" s="597"/>
      <c r="AA544" s="1"/>
      <c r="AB544" s="10"/>
      <c r="AC544" s="10"/>
      <c r="AD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c r="CZ544" s="10"/>
      <c r="DA544" s="10"/>
      <c r="DB544" s="10"/>
      <c r="DC544" s="10"/>
      <c r="DD544" s="10"/>
      <c r="DE544" s="10"/>
    </row>
    <row r="545" spans="2:109" ht="15" customHeight="1" x14ac:dyDescent="0.2">
      <c r="B545" s="761" t="s">
        <v>780</v>
      </c>
      <c r="C545" s="791"/>
      <c r="D545" s="791"/>
      <c r="E545" s="755">
        <f>P423</f>
        <v>0</v>
      </c>
      <c r="F545" s="755"/>
      <c r="G545" s="977"/>
      <c r="H545" s="977"/>
      <c r="I545" s="914">
        <f t="shared" si="91"/>
        <v>0</v>
      </c>
      <c r="J545" s="914"/>
      <c r="K545" s="970"/>
      <c r="L545" s="971"/>
      <c r="M545" s="971"/>
      <c r="N545" s="971"/>
      <c r="O545" s="972"/>
      <c r="P545" s="961"/>
      <c r="R545" s="365">
        <f t="shared" si="96"/>
        <v>0</v>
      </c>
      <c r="S545" s="365">
        <f>LARGE($R$532:$R$561,14)</f>
        <v>0</v>
      </c>
      <c r="T545" s="688">
        <f t="shared" si="95"/>
        <v>0</v>
      </c>
      <c r="U545" s="365">
        <f t="shared" si="94"/>
        <v>0</v>
      </c>
      <c r="V545" s="291">
        <f t="shared" si="93"/>
        <v>0</v>
      </c>
      <c r="W545" s="10"/>
      <c r="X545" s="10"/>
      <c r="Z545" s="597"/>
      <c r="AA545" s="1"/>
      <c r="AB545" s="1"/>
      <c r="AC545" s="10"/>
      <c r="AD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c r="CZ545" s="10"/>
      <c r="DA545" s="10"/>
      <c r="DB545" s="10"/>
      <c r="DC545" s="10"/>
      <c r="DD545" s="10"/>
      <c r="DE545" s="10"/>
    </row>
    <row r="546" spans="2:109" ht="15.75" customHeight="1" x14ac:dyDescent="0.2">
      <c r="B546" s="791" t="s">
        <v>619</v>
      </c>
      <c r="C546" s="791"/>
      <c r="D546" s="791"/>
      <c r="E546" s="755">
        <f>P426</f>
        <v>0</v>
      </c>
      <c r="F546" s="755"/>
      <c r="G546" s="977"/>
      <c r="H546" s="977"/>
      <c r="I546" s="914">
        <f t="shared" si="91"/>
        <v>0</v>
      </c>
      <c r="J546" s="914"/>
      <c r="K546" s="970"/>
      <c r="L546" s="971"/>
      <c r="M546" s="971"/>
      <c r="N546" s="971"/>
      <c r="O546" s="972"/>
      <c r="P546" s="961"/>
      <c r="R546" s="365">
        <f t="shared" si="96"/>
        <v>0</v>
      </c>
      <c r="S546" s="365">
        <f>LARGE($R$532:$R$561,15)</f>
        <v>0</v>
      </c>
      <c r="T546" s="688">
        <f t="shared" si="95"/>
        <v>0</v>
      </c>
      <c r="U546" s="365">
        <f t="shared" si="94"/>
        <v>0</v>
      </c>
      <c r="V546" s="291">
        <f t="shared" si="93"/>
        <v>0</v>
      </c>
      <c r="W546" s="10"/>
      <c r="X546" s="10"/>
      <c r="Z546" s="597"/>
      <c r="AA546" s="1"/>
      <c r="AB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row>
    <row r="547" spans="2:109" ht="15.75" customHeight="1" x14ac:dyDescent="0.2">
      <c r="B547" s="761" t="s">
        <v>2279</v>
      </c>
      <c r="C547" s="761"/>
      <c r="D547" s="761"/>
      <c r="E547" s="755">
        <f t="shared" ref="E547:E554" si="97">P427</f>
        <v>0</v>
      </c>
      <c r="F547" s="755"/>
      <c r="G547" s="977"/>
      <c r="H547" s="977"/>
      <c r="I547" s="914">
        <f t="shared" si="91"/>
        <v>0</v>
      </c>
      <c r="J547" s="914"/>
      <c r="K547" s="970"/>
      <c r="L547" s="971"/>
      <c r="M547" s="971"/>
      <c r="N547" s="971"/>
      <c r="O547" s="972"/>
      <c r="P547" s="961"/>
      <c r="R547" s="365">
        <f t="shared" si="96"/>
        <v>0</v>
      </c>
      <c r="S547" s="365">
        <f>LARGE($R$532:$R$561,16)</f>
        <v>0</v>
      </c>
      <c r="T547" s="688">
        <f t="shared" si="95"/>
        <v>0</v>
      </c>
      <c r="U547" s="365">
        <f t="shared" si="94"/>
        <v>0</v>
      </c>
      <c r="V547" s="291">
        <f t="shared" si="93"/>
        <v>0</v>
      </c>
      <c r="W547" s="10"/>
      <c r="X547" s="10"/>
      <c r="Z547" s="597"/>
      <c r="AA547" s="1"/>
      <c r="AB547" s="1"/>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c r="CZ547" s="10"/>
      <c r="DA547" s="10"/>
      <c r="DB547" s="10"/>
      <c r="DC547" s="10"/>
      <c r="DD547" s="10"/>
      <c r="DE547" s="10"/>
    </row>
    <row r="548" spans="2:109" ht="15.75" customHeight="1" x14ac:dyDescent="0.2">
      <c r="B548" s="761" t="s">
        <v>2280</v>
      </c>
      <c r="C548" s="761"/>
      <c r="D548" s="761"/>
      <c r="E548" s="755">
        <f t="shared" si="97"/>
        <v>0</v>
      </c>
      <c r="F548" s="755"/>
      <c r="G548" s="977"/>
      <c r="H548" s="977"/>
      <c r="I548" s="914">
        <f t="shared" si="91"/>
        <v>0</v>
      </c>
      <c r="J548" s="914"/>
      <c r="K548" s="505"/>
      <c r="L548" s="506"/>
      <c r="M548" s="506"/>
      <c r="N548" s="506"/>
      <c r="O548" s="507"/>
      <c r="P548" s="961"/>
      <c r="R548" s="365">
        <f t="shared" si="96"/>
        <v>0</v>
      </c>
      <c r="S548" s="365">
        <f>LARGE($R$532:$R$561,17)</f>
        <v>0</v>
      </c>
      <c r="T548" s="688">
        <f t="shared" si="95"/>
        <v>0</v>
      </c>
      <c r="U548" s="365">
        <f t="shared" si="94"/>
        <v>0</v>
      </c>
      <c r="V548" s="291">
        <f t="shared" si="93"/>
        <v>0</v>
      </c>
      <c r="W548" s="10"/>
      <c r="X548" s="10"/>
      <c r="Z548" s="597"/>
      <c r="AA548" s="1"/>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c r="CZ548" s="10"/>
      <c r="DA548" s="10"/>
      <c r="DB548" s="10"/>
      <c r="DC548" s="10"/>
      <c r="DD548" s="10"/>
      <c r="DE548" s="10"/>
    </row>
    <row r="549" spans="2:109" ht="15.75" customHeight="1" x14ac:dyDescent="0.2">
      <c r="B549" s="761" t="s">
        <v>2281</v>
      </c>
      <c r="C549" s="761"/>
      <c r="D549" s="761"/>
      <c r="E549" s="755">
        <f t="shared" si="97"/>
        <v>0</v>
      </c>
      <c r="F549" s="755"/>
      <c r="G549" s="977"/>
      <c r="H549" s="977"/>
      <c r="I549" s="914">
        <f t="shared" si="91"/>
        <v>0</v>
      </c>
      <c r="J549" s="914"/>
      <c r="K549" s="623"/>
      <c r="L549" s="624"/>
      <c r="M549" s="624"/>
      <c r="N549" s="624"/>
      <c r="O549" s="625"/>
      <c r="P549" s="961"/>
      <c r="R549" s="365">
        <f t="shared" si="96"/>
        <v>0</v>
      </c>
      <c r="S549" s="365">
        <f>LARGE($R$532:$R$561,18)</f>
        <v>0</v>
      </c>
      <c r="T549" s="688">
        <f t="shared" si="95"/>
        <v>0</v>
      </c>
      <c r="U549" s="365">
        <f t="shared" si="94"/>
        <v>0</v>
      </c>
      <c r="V549" s="291">
        <f t="shared" si="93"/>
        <v>0</v>
      </c>
      <c r="W549" s="10"/>
      <c r="X549" s="10"/>
      <c r="Z549" s="10"/>
      <c r="AA549" s="1"/>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row>
    <row r="550" spans="2:109" ht="15.75" customHeight="1" x14ac:dyDescent="0.2">
      <c r="B550" s="761" t="s">
        <v>2282</v>
      </c>
      <c r="C550" s="761"/>
      <c r="D550" s="761"/>
      <c r="E550" s="755">
        <f t="shared" si="97"/>
        <v>0</v>
      </c>
      <c r="F550" s="755"/>
      <c r="G550" s="977"/>
      <c r="H550" s="977"/>
      <c r="I550" s="914">
        <f t="shared" si="91"/>
        <v>0</v>
      </c>
      <c r="J550" s="914"/>
      <c r="K550" s="623"/>
      <c r="L550" s="624"/>
      <c r="M550" s="624"/>
      <c r="N550" s="624"/>
      <c r="O550" s="625"/>
      <c r="P550" s="961"/>
      <c r="R550" s="365">
        <f t="shared" si="96"/>
        <v>0</v>
      </c>
      <c r="S550" s="365">
        <f>LARGE($R$532:$R$561,19)</f>
        <v>0</v>
      </c>
      <c r="T550" s="688">
        <f t="shared" si="95"/>
        <v>0</v>
      </c>
      <c r="U550" s="365">
        <f t="shared" si="94"/>
        <v>0</v>
      </c>
      <c r="V550" s="291">
        <f t="shared" si="93"/>
        <v>0</v>
      </c>
      <c r="W550" s="10"/>
      <c r="X550" s="10"/>
      <c r="Z550" s="10"/>
      <c r="AA550" s="1"/>
      <c r="AB550" s="1"/>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row>
    <row r="551" spans="2:109" ht="15.75" customHeight="1" x14ac:dyDescent="0.2">
      <c r="B551" s="752" t="s">
        <v>2283</v>
      </c>
      <c r="C551" s="753"/>
      <c r="D551" s="753"/>
      <c r="E551" s="755">
        <f t="shared" si="97"/>
        <v>0</v>
      </c>
      <c r="F551" s="755"/>
      <c r="G551" s="977"/>
      <c r="H551" s="977"/>
      <c r="I551" s="914">
        <f t="shared" si="91"/>
        <v>0</v>
      </c>
      <c r="J551" s="914"/>
      <c r="K551" s="623"/>
      <c r="L551" s="624"/>
      <c r="M551" s="624"/>
      <c r="N551" s="624"/>
      <c r="O551" s="625"/>
      <c r="P551" s="961"/>
      <c r="R551" s="365">
        <f t="shared" si="96"/>
        <v>0</v>
      </c>
      <c r="S551" s="365">
        <f>LARGE($R$532:$R$561,20)</f>
        <v>0</v>
      </c>
      <c r="T551" s="688">
        <f t="shared" si="95"/>
        <v>0</v>
      </c>
      <c r="U551" s="365">
        <f t="shared" si="94"/>
        <v>0</v>
      </c>
      <c r="V551" s="291">
        <f t="shared" si="93"/>
        <v>0</v>
      </c>
      <c r="W551" s="10"/>
      <c r="X551" s="10"/>
      <c r="Z551" s="10"/>
      <c r="AA551" s="1"/>
      <c r="AB551" s="1"/>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row>
    <row r="552" spans="2:109" ht="15.75" customHeight="1" x14ac:dyDescent="0.2">
      <c r="B552" s="756" t="s">
        <v>2284</v>
      </c>
      <c r="C552" s="757"/>
      <c r="D552" s="758"/>
      <c r="E552" s="755">
        <f t="shared" si="97"/>
        <v>0</v>
      </c>
      <c r="F552" s="755"/>
      <c r="G552" s="977"/>
      <c r="H552" s="977"/>
      <c r="I552" s="914">
        <f t="shared" si="91"/>
        <v>0</v>
      </c>
      <c r="J552" s="914"/>
      <c r="K552" s="623"/>
      <c r="L552" s="624"/>
      <c r="M552" s="624"/>
      <c r="N552" s="624"/>
      <c r="O552" s="625"/>
      <c r="P552" s="961"/>
      <c r="R552" s="365">
        <f t="shared" si="96"/>
        <v>0</v>
      </c>
      <c r="S552" s="365">
        <f>LARGE($R$532:$R$561,21)</f>
        <v>0</v>
      </c>
      <c r="T552" s="688">
        <f t="shared" si="95"/>
        <v>0</v>
      </c>
      <c r="U552" s="365">
        <f t="shared" si="94"/>
        <v>0</v>
      </c>
      <c r="V552" s="291">
        <f t="shared" si="93"/>
        <v>0</v>
      </c>
      <c r="W552" s="10"/>
      <c r="X552" s="10"/>
      <c r="Z552" s="10"/>
      <c r="AA552" s="1"/>
      <c r="AB552" s="1"/>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row>
    <row r="553" spans="2:109" ht="15.75" customHeight="1" x14ac:dyDescent="0.2">
      <c r="B553" s="756" t="s">
        <v>2285</v>
      </c>
      <c r="C553" s="757"/>
      <c r="D553" s="758"/>
      <c r="E553" s="755">
        <f t="shared" si="97"/>
        <v>0</v>
      </c>
      <c r="F553" s="755"/>
      <c r="G553" s="977"/>
      <c r="H553" s="977"/>
      <c r="I553" s="914">
        <f t="shared" si="91"/>
        <v>0</v>
      </c>
      <c r="J553" s="914"/>
      <c r="K553" s="623"/>
      <c r="L553" s="624"/>
      <c r="M553" s="624"/>
      <c r="N553" s="624"/>
      <c r="O553" s="625"/>
      <c r="P553" s="961"/>
      <c r="R553" s="365">
        <f t="shared" si="96"/>
        <v>0</v>
      </c>
      <c r="S553" s="365">
        <f>LARGE($R$532:$R$561,22)</f>
        <v>0</v>
      </c>
      <c r="T553" s="688">
        <f t="shared" si="95"/>
        <v>0</v>
      </c>
      <c r="U553" s="365">
        <f t="shared" si="94"/>
        <v>0</v>
      </c>
      <c r="V553" s="291">
        <f t="shared" si="93"/>
        <v>0</v>
      </c>
      <c r="W553" s="10"/>
      <c r="X553" s="10"/>
      <c r="Z553" s="10"/>
      <c r="AA553" s="1"/>
      <c r="AB553" s="1"/>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c r="CZ553" s="10"/>
      <c r="DA553" s="10"/>
      <c r="DB553" s="10"/>
      <c r="DC553" s="10"/>
      <c r="DD553" s="10"/>
      <c r="DE553" s="10"/>
    </row>
    <row r="554" spans="2:109" ht="15.75" customHeight="1" x14ac:dyDescent="0.2">
      <c r="B554" s="752" t="s">
        <v>2286</v>
      </c>
      <c r="C554" s="753"/>
      <c r="D554" s="753"/>
      <c r="E554" s="755">
        <f t="shared" si="97"/>
        <v>0</v>
      </c>
      <c r="F554" s="755"/>
      <c r="G554" s="977"/>
      <c r="H554" s="977"/>
      <c r="I554" s="914">
        <f t="shared" si="91"/>
        <v>0</v>
      </c>
      <c r="J554" s="914"/>
      <c r="K554" s="623"/>
      <c r="L554" s="624"/>
      <c r="M554" s="624"/>
      <c r="N554" s="624"/>
      <c r="O554" s="625"/>
      <c r="P554" s="961"/>
      <c r="R554" s="365">
        <f t="shared" si="96"/>
        <v>0</v>
      </c>
      <c r="S554" s="365">
        <f>LARGE($R$532:$R$561,23)</f>
        <v>0</v>
      </c>
      <c r="T554" s="688">
        <f t="shared" si="95"/>
        <v>0</v>
      </c>
      <c r="U554" s="365">
        <f t="shared" si="94"/>
        <v>0</v>
      </c>
      <c r="V554" s="291">
        <f t="shared" si="93"/>
        <v>0</v>
      </c>
      <c r="W554" s="10"/>
      <c r="X554" s="10"/>
      <c r="Z554" s="10"/>
      <c r="AA554" s="1"/>
      <c r="AB554" s="1"/>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c r="CZ554" s="10"/>
      <c r="DA554" s="10"/>
      <c r="DB554" s="10"/>
      <c r="DC554" s="10"/>
      <c r="DD554" s="10"/>
      <c r="DE554" s="10"/>
    </row>
    <row r="555" spans="2:109" ht="15.75" customHeight="1" x14ac:dyDescent="0.2">
      <c r="B555" s="791" t="s">
        <v>1448</v>
      </c>
      <c r="C555" s="791"/>
      <c r="D555" s="791"/>
      <c r="E555" s="755">
        <f>P435</f>
        <v>0</v>
      </c>
      <c r="F555" s="755"/>
      <c r="G555" s="977"/>
      <c r="H555" s="977"/>
      <c r="I555" s="914">
        <f t="shared" si="91"/>
        <v>0</v>
      </c>
      <c r="J555" s="914"/>
      <c r="K555" s="623"/>
      <c r="L555" s="624"/>
      <c r="M555" s="624"/>
      <c r="N555" s="624"/>
      <c r="O555" s="625"/>
      <c r="P555" s="961"/>
      <c r="R555" s="365">
        <f t="shared" si="96"/>
        <v>0</v>
      </c>
      <c r="S555" s="365">
        <f>LARGE($R$532:$R$561,24)</f>
        <v>0</v>
      </c>
      <c r="T555" s="688">
        <f t="shared" si="95"/>
        <v>0</v>
      </c>
      <c r="U555" s="365">
        <f t="shared" si="94"/>
        <v>0</v>
      </c>
      <c r="V555" s="291">
        <f t="shared" si="93"/>
        <v>0</v>
      </c>
      <c r="W555" s="10"/>
      <c r="X555" s="10"/>
      <c r="Z555" s="10"/>
      <c r="AA555" s="1"/>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c r="CZ555" s="10"/>
      <c r="DA555" s="10"/>
      <c r="DB555" s="10"/>
      <c r="DC555" s="10"/>
      <c r="DD555" s="10"/>
      <c r="DE555" s="10"/>
    </row>
    <row r="556" spans="2:109" ht="15.75" customHeight="1" x14ac:dyDescent="0.2">
      <c r="B556" s="742" t="s">
        <v>966</v>
      </c>
      <c r="C556" s="743"/>
      <c r="D556" s="744"/>
      <c r="E556" s="727">
        <f>P436</f>
        <v>0</v>
      </c>
      <c r="F556" s="729"/>
      <c r="G556" s="977"/>
      <c r="H556" s="977"/>
      <c r="I556" s="914">
        <f t="shared" si="91"/>
        <v>0</v>
      </c>
      <c r="J556" s="914"/>
      <c r="K556" s="1009" t="str">
        <f>IF(AND(OR(P398&gt;0,P408&gt;0,P510&gt;0,P518&gt;0),E615&gt;0),"A value has been granted for motor loss. Additional impairment values are not allowed for weakness, chronic condition, or reduced ROM in the same extremity.","")</f>
        <v/>
      </c>
      <c r="L556" s="1010"/>
      <c r="M556" s="1010"/>
      <c r="N556" s="1010"/>
      <c r="O556" s="1011"/>
      <c r="P556" s="961"/>
      <c r="R556" s="365">
        <f t="shared" si="96"/>
        <v>0</v>
      </c>
      <c r="S556" s="365">
        <f>LARGE($R$532:$R$561,25)</f>
        <v>0</v>
      </c>
      <c r="T556" s="688">
        <f t="shared" si="95"/>
        <v>0</v>
      </c>
      <c r="U556" s="365">
        <f t="shared" si="94"/>
        <v>0</v>
      </c>
      <c r="V556" s="291">
        <f t="shared" si="93"/>
        <v>0</v>
      </c>
      <c r="W556" s="10"/>
      <c r="X556" s="10"/>
      <c r="Z556" s="10"/>
      <c r="AA556" s="1"/>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row>
    <row r="557" spans="2:109" ht="15.75" customHeight="1" x14ac:dyDescent="0.2">
      <c r="B557" s="791" t="s">
        <v>1419</v>
      </c>
      <c r="C557" s="791"/>
      <c r="D557" s="791"/>
      <c r="E557" s="755">
        <f>P440</f>
        <v>0</v>
      </c>
      <c r="F557" s="755"/>
      <c r="G557" s="977"/>
      <c r="H557" s="977"/>
      <c r="I557" s="914">
        <f t="shared" si="91"/>
        <v>0</v>
      </c>
      <c r="J557" s="914"/>
      <c r="K557" s="1009"/>
      <c r="L557" s="1010"/>
      <c r="M557" s="1010"/>
      <c r="N557" s="1010"/>
      <c r="O557" s="1011"/>
      <c r="P557" s="961"/>
      <c r="R557" s="365">
        <f t="shared" si="96"/>
        <v>0</v>
      </c>
      <c r="S557" s="365">
        <f>LARGE($R$532:$R$561,26)</f>
        <v>0</v>
      </c>
      <c r="T557" s="688">
        <f t="shared" si="95"/>
        <v>0</v>
      </c>
      <c r="U557" s="365">
        <f t="shared" si="94"/>
        <v>0</v>
      </c>
      <c r="V557" s="291">
        <f t="shared" si="93"/>
        <v>0</v>
      </c>
      <c r="W557" s="10"/>
      <c r="X557" s="10"/>
      <c r="Z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row>
    <row r="558" spans="2:109" ht="15.75" customHeight="1" x14ac:dyDescent="0.2">
      <c r="B558" s="791" t="s">
        <v>1235</v>
      </c>
      <c r="C558" s="791"/>
      <c r="D558" s="791"/>
      <c r="E558" s="755">
        <f>P444</f>
        <v>0</v>
      </c>
      <c r="F558" s="755"/>
      <c r="G558" s="977"/>
      <c r="H558" s="977"/>
      <c r="I558" s="914">
        <f t="shared" si="91"/>
        <v>0</v>
      </c>
      <c r="J558" s="914"/>
      <c r="K558" s="1009"/>
      <c r="L558" s="1010"/>
      <c r="M558" s="1010"/>
      <c r="N558" s="1010"/>
      <c r="O558" s="1011"/>
      <c r="P558" s="961"/>
      <c r="R558" s="365">
        <f t="shared" si="96"/>
        <v>0</v>
      </c>
      <c r="S558" s="365">
        <f>LARGE($R$532:$R$561,27)</f>
        <v>0</v>
      </c>
      <c r="T558" s="688">
        <f t="shared" si="95"/>
        <v>0</v>
      </c>
      <c r="U558" s="365">
        <f t="shared" si="94"/>
        <v>0</v>
      </c>
      <c r="V558" s="291">
        <f t="shared" si="93"/>
        <v>0</v>
      </c>
      <c r="W558" s="10"/>
      <c r="X558" s="10"/>
      <c r="Z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row>
    <row r="559" spans="2:109" ht="15.75" customHeight="1" x14ac:dyDescent="0.2">
      <c r="B559" s="791" t="s">
        <v>1607</v>
      </c>
      <c r="C559" s="791"/>
      <c r="D559" s="791"/>
      <c r="E559" s="755">
        <f>IF(E615&gt;0,0,P512)</f>
        <v>0</v>
      </c>
      <c r="F559" s="755"/>
      <c r="G559" s="977"/>
      <c r="H559" s="977"/>
      <c r="I559" s="914">
        <f t="shared" si="91"/>
        <v>0</v>
      </c>
      <c r="J559" s="914"/>
      <c r="K559" s="1009"/>
      <c r="L559" s="1010"/>
      <c r="M559" s="1010"/>
      <c r="N559" s="1010"/>
      <c r="O559" s="1011"/>
      <c r="P559" s="961"/>
      <c r="R559" s="365">
        <f t="shared" si="96"/>
        <v>0</v>
      </c>
      <c r="S559" s="365">
        <f>LARGE($R$532:$R$561,28)</f>
        <v>0</v>
      </c>
      <c r="T559" s="688">
        <f t="shared" si="95"/>
        <v>0</v>
      </c>
      <c r="U559" s="365">
        <f t="shared" si="94"/>
        <v>0</v>
      </c>
      <c r="V559" s="291">
        <f t="shared" si="93"/>
        <v>0</v>
      </c>
      <c r="W559" s="10"/>
      <c r="X559" s="10"/>
      <c r="Z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c r="CZ559" s="10"/>
      <c r="DA559" s="10"/>
      <c r="DB559" s="10"/>
      <c r="DC559" s="10"/>
      <c r="DD559" s="10"/>
      <c r="DE559" s="10"/>
    </row>
    <row r="560" spans="2:109" ht="15.75" customHeight="1" x14ac:dyDescent="0.2">
      <c r="B560" s="791" t="s">
        <v>1449</v>
      </c>
      <c r="C560" s="791"/>
      <c r="D560" s="791"/>
      <c r="E560" s="755">
        <f>IF(E615&gt;0,0,P518)</f>
        <v>0</v>
      </c>
      <c r="F560" s="755"/>
      <c r="G560" s="977"/>
      <c r="H560" s="977"/>
      <c r="I560" s="914">
        <f t="shared" si="91"/>
        <v>0</v>
      </c>
      <c r="J560" s="914"/>
      <c r="K560" s="1009"/>
      <c r="L560" s="1010"/>
      <c r="M560" s="1010"/>
      <c r="N560" s="1010"/>
      <c r="O560" s="1011"/>
      <c r="P560" s="961"/>
      <c r="R560" s="365">
        <f t="shared" si="96"/>
        <v>0</v>
      </c>
      <c r="S560" s="365">
        <f>LARGE($R$532:$R$561,29)</f>
        <v>0</v>
      </c>
      <c r="T560" s="688">
        <f t="shared" si="95"/>
        <v>0</v>
      </c>
      <c r="U560" s="365">
        <f t="shared" si="94"/>
        <v>0</v>
      </c>
      <c r="V560" s="291">
        <f t="shared" si="93"/>
        <v>0</v>
      </c>
      <c r="W560" s="10"/>
      <c r="X560" s="10"/>
      <c r="Z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c r="CZ560" s="10"/>
      <c r="DA560" s="10"/>
      <c r="DB560" s="10"/>
      <c r="DC560" s="10"/>
      <c r="DD560" s="10"/>
      <c r="DE560" s="10"/>
    </row>
    <row r="561" spans="1:109" ht="15.75" customHeight="1" x14ac:dyDescent="0.2">
      <c r="B561" s="789" t="s">
        <v>1450</v>
      </c>
      <c r="C561" s="789"/>
      <c r="D561" s="789"/>
      <c r="E561" s="1022">
        <f>P522</f>
        <v>0</v>
      </c>
      <c r="F561" s="858"/>
      <c r="G561" s="910" t="s">
        <v>1901</v>
      </c>
      <c r="H561" s="910"/>
      <c r="I561" s="910"/>
      <c r="J561" s="910"/>
      <c r="K561" s="1009"/>
      <c r="L561" s="1010"/>
      <c r="M561" s="1010"/>
      <c r="N561" s="1010"/>
      <c r="O561" s="1011"/>
      <c r="P561" s="961"/>
      <c r="R561" s="365">
        <f>E561</f>
        <v>0</v>
      </c>
      <c r="S561" s="365">
        <f>LARGE($R$532:$R$561,30)</f>
        <v>0</v>
      </c>
      <c r="T561" s="96"/>
      <c r="U561" s="128"/>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row>
    <row r="562" spans="1:109" ht="15.75" customHeight="1" x14ac:dyDescent="0.2">
      <c r="B562" s="957" t="s">
        <v>2201</v>
      </c>
      <c r="C562" s="957"/>
      <c r="D562" s="957"/>
      <c r="E562" s="957"/>
      <c r="F562" s="957"/>
      <c r="G562" s="957"/>
      <c r="H562" s="957"/>
      <c r="I562" s="957"/>
      <c r="J562" s="957"/>
      <c r="K562" s="957"/>
      <c r="L562" s="957"/>
      <c r="M562" s="957"/>
      <c r="N562" s="957"/>
      <c r="O562" s="957"/>
      <c r="P562" s="962"/>
      <c r="R562" s="14"/>
      <c r="S562" s="96"/>
      <c r="T562" s="128"/>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c r="CZ562" s="10"/>
      <c r="DA562" s="10"/>
      <c r="DB562" s="10"/>
      <c r="DC562" s="10"/>
      <c r="DD562" s="10"/>
      <c r="DE562" s="10"/>
    </row>
    <row r="563" spans="1:109" ht="12" customHeight="1" x14ac:dyDescent="0.2">
      <c r="B563" s="777"/>
      <c r="C563" s="777"/>
      <c r="D563" s="777"/>
      <c r="E563" s="777"/>
      <c r="F563" s="777"/>
      <c r="G563" s="777"/>
      <c r="H563" s="777"/>
      <c r="I563" s="777"/>
      <c r="J563" s="777"/>
      <c r="K563" s="777"/>
      <c r="L563" s="777"/>
      <c r="M563" s="777"/>
      <c r="N563" s="777"/>
      <c r="O563" s="777"/>
      <c r="P563" s="777"/>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row>
    <row r="564" spans="1:109" ht="25.5" customHeight="1" x14ac:dyDescent="0.25">
      <c r="B564" s="895" t="s">
        <v>31</v>
      </c>
      <c r="C564" s="896"/>
      <c r="D564" s="896"/>
      <c r="E564" s="896"/>
      <c r="F564" s="896"/>
      <c r="G564" s="896"/>
      <c r="H564" s="896"/>
      <c r="I564" s="896"/>
      <c r="J564" s="896"/>
      <c r="K564" s="896"/>
      <c r="L564" s="896"/>
      <c r="M564" s="896"/>
      <c r="N564" s="896"/>
      <c r="O564" s="896"/>
      <c r="P564" s="370" t="s">
        <v>1048</v>
      </c>
      <c r="R564" s="203"/>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c r="CZ564" s="10"/>
      <c r="DA564" s="10"/>
      <c r="DB564" s="10"/>
      <c r="DC564" s="10"/>
      <c r="DD564" s="10"/>
      <c r="DE564" s="10"/>
    </row>
    <row r="565" spans="1:109" ht="15" customHeight="1" x14ac:dyDescent="0.2">
      <c r="B565" s="1029" t="s">
        <v>1892</v>
      </c>
      <c r="C565" s="724"/>
      <c r="D565" s="724"/>
      <c r="E565" s="724"/>
      <c r="F565" s="724"/>
      <c r="G565" s="724"/>
      <c r="H565" s="724"/>
      <c r="I565" s="724"/>
      <c r="J565" s="724"/>
      <c r="K565" s="724"/>
      <c r="L565" s="724"/>
      <c r="M565" s="724"/>
      <c r="N565" s="724"/>
      <c r="O565" s="724"/>
      <c r="P565" s="371"/>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row>
    <row r="566" spans="1:109" ht="19.5" customHeight="1" x14ac:dyDescent="0.2">
      <c r="A566" s="15"/>
      <c r="B566" s="1017"/>
      <c r="C566" s="1018"/>
      <c r="D566" s="1018"/>
      <c r="E566" s="1018"/>
      <c r="F566" s="1018"/>
      <c r="G566" s="1018"/>
      <c r="H566" s="1018"/>
      <c r="I566" s="1018"/>
      <c r="J566" s="1018"/>
      <c r="K566" s="1018"/>
      <c r="L566" s="1018"/>
      <c r="M566" s="1018"/>
      <c r="N566" s="1018"/>
      <c r="O566" s="1018"/>
      <c r="P566" s="292">
        <f>IF(R566=2,1,0)</f>
        <v>0</v>
      </c>
      <c r="R566" s="546">
        <v>1</v>
      </c>
      <c r="S566" s="10"/>
      <c r="T566" s="10"/>
      <c r="U566" s="10"/>
      <c r="V566" s="10"/>
      <c r="W566" s="10">
        <v>1E-4</v>
      </c>
      <c r="X566" s="10"/>
      <c r="Y566" s="14"/>
      <c r="Z566" s="14"/>
      <c r="AA566" s="14"/>
      <c r="AB566" s="14"/>
      <c r="AC566" s="14"/>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row>
    <row r="567" spans="1:109" ht="7.5" customHeight="1" x14ac:dyDescent="0.2">
      <c r="B567" s="777"/>
      <c r="C567" s="777"/>
      <c r="D567" s="777"/>
      <c r="E567" s="777"/>
      <c r="F567" s="777"/>
      <c r="G567" s="777"/>
      <c r="H567" s="777"/>
      <c r="I567" s="777"/>
      <c r="J567" s="777"/>
      <c r="K567" s="777"/>
      <c r="L567" s="777"/>
      <c r="M567" s="777"/>
      <c r="N567" s="777"/>
      <c r="O567" s="777"/>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c r="CZ567" s="10"/>
      <c r="DA567" s="10"/>
      <c r="DB567" s="10"/>
      <c r="DC567" s="10"/>
      <c r="DD567" s="10"/>
      <c r="DE567" s="10"/>
    </row>
    <row r="568" spans="1:109" ht="15" customHeight="1" x14ac:dyDescent="0.2">
      <c r="B568" s="910" t="s">
        <v>1563</v>
      </c>
      <c r="C568" s="910"/>
      <c r="D568" s="910"/>
      <c r="E568" s="910"/>
      <c r="F568" s="910"/>
      <c r="G568" s="910"/>
      <c r="H568" s="910"/>
      <c r="I568" s="910"/>
      <c r="J568" s="910"/>
      <c r="K568" s="910"/>
      <c r="L568" s="910"/>
      <c r="M568" s="910"/>
      <c r="N568" s="910"/>
      <c r="O568" s="910"/>
      <c r="P568" s="910"/>
      <c r="R568" s="10"/>
      <c r="S568" s="10"/>
      <c r="T568" s="907" t="s">
        <v>2141</v>
      </c>
      <c r="U568" s="908"/>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c r="CZ568" s="10"/>
      <c r="DA568" s="10"/>
      <c r="DB568" s="10"/>
      <c r="DC568" s="10"/>
      <c r="DD568" s="10"/>
      <c r="DE568" s="10"/>
    </row>
    <row r="569" spans="1:109" ht="24.75" customHeight="1" x14ac:dyDescent="0.2">
      <c r="B569" s="18" t="s">
        <v>873</v>
      </c>
      <c r="C569" s="910" t="s">
        <v>1564</v>
      </c>
      <c r="D569" s="910"/>
      <c r="E569" s="910"/>
      <c r="F569" s="910"/>
      <c r="G569" s="912" t="s">
        <v>1064</v>
      </c>
      <c r="H569" s="912"/>
      <c r="I569" s="912"/>
      <c r="J569" s="912"/>
      <c r="K569" s="912"/>
      <c r="L569" s="912"/>
      <c r="M569" s="912"/>
      <c r="N569" s="912"/>
      <c r="O569" s="912"/>
      <c r="P569" s="910"/>
      <c r="R569" s="10"/>
      <c r="S569" s="50" t="s">
        <v>1622</v>
      </c>
      <c r="T569" s="127" t="s">
        <v>1564</v>
      </c>
      <c r="U569" s="127" t="s">
        <v>1565</v>
      </c>
      <c r="V569" s="944" t="s">
        <v>1066</v>
      </c>
      <c r="W569" s="945"/>
      <c r="X569" s="945"/>
      <c r="Y569" s="946"/>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c r="CZ569" s="10"/>
      <c r="DA569" s="10"/>
      <c r="DB569" s="10"/>
      <c r="DC569" s="10"/>
      <c r="DD569" s="10"/>
      <c r="DE569" s="10"/>
    </row>
    <row r="570" spans="1:109" ht="15" customHeight="1" x14ac:dyDescent="0.2">
      <c r="B570" s="147" t="s">
        <v>1483</v>
      </c>
      <c r="C570" s="1030"/>
      <c r="D570" s="1030"/>
      <c r="E570" s="921">
        <f>UETable!AV80</f>
        <v>0</v>
      </c>
      <c r="F570" s="921"/>
      <c r="G570" s="1030"/>
      <c r="H570" s="1030"/>
      <c r="I570" s="936">
        <f>IF(C570="",0,IF(OR(C570&lt;=0,G570&lt;=0),E570,IF(G570&lt;C570,0,UETable!BA80)))</f>
        <v>0</v>
      </c>
      <c r="J570" s="936"/>
      <c r="K570" s="930" t="str">
        <f>IF(OR(C570="NA",G570="NA"),"",IF(AND(C570&lt;&gt;"",G570=""),"Enter contralateral or NA.",IF(AND(C570="",G570&lt;&gt;""),"Need data","")))</f>
        <v/>
      </c>
      <c r="L570" s="930"/>
      <c r="M570" s="930"/>
      <c r="N570" s="930"/>
      <c r="O570" s="930"/>
      <c r="P570" s="910"/>
      <c r="R570" s="10"/>
      <c r="S570" s="50">
        <v>150</v>
      </c>
      <c r="T570" s="50" t="str">
        <f t="shared" ref="T570:T577" si="98">IF(OR(C570="",C570="NA"),"",IF(C570&gt;S570,S570,IF(C570&lt;0,0,C570)))</f>
        <v/>
      </c>
      <c r="U570" s="50" t="str">
        <f>IF(OR(G570="",G570="NA"),"",IF(G570&gt;S570,S570,IF(G570&lt;0,0,G570)))</f>
        <v/>
      </c>
      <c r="V570" s="553" t="str">
        <f>IF(Y570="","",ROUND(Y570,0))</f>
        <v/>
      </c>
      <c r="W570" s="791" t="s">
        <v>1184</v>
      </c>
      <c r="X570" s="791"/>
      <c r="Y570" s="554" t="str">
        <f>IF(T570="","",IF(OR(U570="",U570=0,U570&lt;T570),T570,(T570*150)/U570))</f>
        <v/>
      </c>
      <c r="Z570" s="10"/>
      <c r="AA570" s="10"/>
      <c r="AB570" s="10"/>
      <c r="AC570" s="10"/>
      <c r="AD570" s="10"/>
      <c r="AE570" s="10"/>
      <c r="AF570" s="10"/>
      <c r="AG570" s="10"/>
      <c r="AH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c r="CZ570" s="10"/>
      <c r="DA570" s="10"/>
      <c r="DB570" s="10"/>
      <c r="DC570" s="10"/>
      <c r="DD570" s="10"/>
      <c r="DE570" s="10"/>
    </row>
    <row r="571" spans="1:109" ht="15" customHeight="1" x14ac:dyDescent="0.2">
      <c r="B571" s="147" t="s">
        <v>1185</v>
      </c>
      <c r="C571" s="1030"/>
      <c r="D571" s="1030"/>
      <c r="E571" s="921">
        <f>IF(AND(AJ577=1,AK577=1),"ERROR",UETable!AV81)</f>
        <v>0</v>
      </c>
      <c r="F571" s="921"/>
      <c r="G571" s="930" t="str">
        <f>IF(AND($AK$577=1,$AJ$577=1),"Cannot rate ROM and ankylosis.","")</f>
        <v/>
      </c>
      <c r="H571" s="930"/>
      <c r="I571" s="930"/>
      <c r="J571" s="930"/>
      <c r="K571" s="930"/>
      <c r="L571" s="930"/>
      <c r="M571" s="930"/>
      <c r="N571" s="930"/>
      <c r="O571" s="930"/>
      <c r="P571" s="910"/>
      <c r="R571" s="10"/>
      <c r="S571" s="50">
        <v>150</v>
      </c>
      <c r="T571" s="593" t="str">
        <f t="shared" si="98"/>
        <v/>
      </c>
      <c r="U571" s="10"/>
      <c r="V571" s="61"/>
      <c r="W571" s="10"/>
      <c r="X571" s="10"/>
      <c r="Y571" s="130"/>
      <c r="Z571" s="10"/>
      <c r="AA571" s="10"/>
      <c r="AB571" s="61"/>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c r="CZ571" s="10"/>
      <c r="DA571" s="10"/>
      <c r="DB571" s="10"/>
      <c r="DC571" s="10"/>
      <c r="DD571" s="10"/>
      <c r="DE571" s="10"/>
    </row>
    <row r="572" spans="1:109" ht="15" customHeight="1" x14ac:dyDescent="0.2">
      <c r="B572" s="147" t="s">
        <v>1159</v>
      </c>
      <c r="C572" s="1030"/>
      <c r="D572" s="1030"/>
      <c r="E572" s="921">
        <f>UETable!AV82</f>
        <v>0</v>
      </c>
      <c r="F572" s="921"/>
      <c r="G572" s="1030"/>
      <c r="H572" s="1030"/>
      <c r="I572" s="936">
        <f>IF(C572="",0,IF(OR(C572&gt;=150,G572&gt;=150),E572,IF(G572&gt;C572,0,UETable!BA82)))</f>
        <v>0</v>
      </c>
      <c r="J572" s="936"/>
      <c r="K572" s="930" t="str">
        <f>IF(OR(C572="NA",G572="NA"),"",IF(AND(C572&lt;&gt;"",G572=""),"Enter contralateral or NA.",IF(AND(C572="",G572&lt;&gt;""),"Need data","")))</f>
        <v/>
      </c>
      <c r="L572" s="930"/>
      <c r="M572" s="930"/>
      <c r="N572" s="930"/>
      <c r="O572" s="930"/>
      <c r="P572" s="910"/>
      <c r="R572" s="10"/>
      <c r="S572" s="50">
        <v>150</v>
      </c>
      <c r="T572" s="50" t="str">
        <f t="shared" si="98"/>
        <v/>
      </c>
      <c r="U572" s="50" t="str">
        <f>IF(OR(G572="",G572="NA"),"",IF(G572&gt;S572,S572,IF(G572&lt;0,0,G572)))</f>
        <v/>
      </c>
      <c r="V572" s="553" t="str">
        <f>IF(Y572="","",ROUND(Y572,0))</f>
        <v/>
      </c>
      <c r="W572" s="50">
        <f>IF(T572="",0,150-T572)</f>
        <v>0</v>
      </c>
      <c r="X572" s="50">
        <f>IF(U572="",0,150-U572)</f>
        <v>0</v>
      </c>
      <c r="Y572" s="554" t="str">
        <f>IF(T572="","",IF(OR(U572="",U572=0,U572&gt;T572),T572,150-(W572*150)/X572))</f>
        <v/>
      </c>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c r="CZ572" s="10"/>
      <c r="DA572" s="10"/>
      <c r="DB572" s="10"/>
      <c r="DC572" s="10"/>
      <c r="DD572" s="10"/>
      <c r="DE572" s="10"/>
    </row>
    <row r="573" spans="1:109" ht="15" customHeight="1" x14ac:dyDescent="0.2">
      <c r="B573" s="147" t="s">
        <v>1187</v>
      </c>
      <c r="C573" s="1030"/>
      <c r="D573" s="1030"/>
      <c r="E573" s="921">
        <f>IF(AND(AJ577=1,AK577=1),"ERROR",UETable!AV83)</f>
        <v>0</v>
      </c>
      <c r="F573" s="921"/>
      <c r="G573" s="930" t="str">
        <f>IF(AND($AK$577=1,$AJ$577=1),"Cannot rate ROM and ankylosis.","")</f>
        <v/>
      </c>
      <c r="H573" s="930"/>
      <c r="I573" s="930"/>
      <c r="J573" s="930"/>
      <c r="K573" s="930"/>
      <c r="L573" s="930"/>
      <c r="M573" s="930"/>
      <c r="N573" s="930"/>
      <c r="O573" s="930"/>
      <c r="P573" s="910"/>
      <c r="R573" s="10"/>
      <c r="S573" s="50">
        <v>150</v>
      </c>
      <c r="T573" s="381" t="str">
        <f t="shared" si="98"/>
        <v/>
      </c>
      <c r="U573" s="10"/>
      <c r="V573" s="10"/>
      <c r="W573" s="10"/>
      <c r="X573" s="10"/>
      <c r="Y573" s="10"/>
      <c r="Z573" s="10"/>
      <c r="AA573" s="10"/>
      <c r="AB573" s="10"/>
      <c r="AC573" s="192">
        <f>MAX(E571,E573,E575,E577)</f>
        <v>0</v>
      </c>
      <c r="AD573" s="791" t="s">
        <v>1902</v>
      </c>
      <c r="AE573" s="791"/>
      <c r="AF573" s="791"/>
      <c r="AG573" s="791"/>
      <c r="AH573" s="10"/>
      <c r="AI573" s="761" t="s">
        <v>914</v>
      </c>
      <c r="AJ573" s="761" t="s">
        <v>678</v>
      </c>
      <c r="AK573" s="761" t="s">
        <v>679</v>
      </c>
      <c r="AL573" s="761" t="s">
        <v>879</v>
      </c>
      <c r="AM573" s="698"/>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row>
    <row r="574" spans="1:109" ht="15" customHeight="1" x14ac:dyDescent="0.2">
      <c r="B574" s="146" t="s">
        <v>897</v>
      </c>
      <c r="C574" s="694"/>
      <c r="D574" s="694"/>
      <c r="E574" s="921">
        <f>UETable!AV84</f>
        <v>0</v>
      </c>
      <c r="F574" s="921"/>
      <c r="G574" s="694"/>
      <c r="H574" s="694"/>
      <c r="I574" s="936">
        <f>IF(C574="",0,IF(OR(C574&lt;=0,G574&lt;=0),E574,IF(G574&lt;C574,0,UETable!BA84)))</f>
        <v>0</v>
      </c>
      <c r="J574" s="936"/>
      <c r="K574" s="930" t="str">
        <f>IF(OR(C574="NA",G574="NA"),"",IF(AND(C574&lt;&gt;"",G574=""),"Enter contralateral or NA.",IF(AND(C574="",G574&lt;&gt;""),"Need data","")))</f>
        <v/>
      </c>
      <c r="L574" s="930"/>
      <c r="M574" s="930"/>
      <c r="N574" s="930"/>
      <c r="O574" s="930"/>
      <c r="P574" s="910"/>
      <c r="R574" s="10"/>
      <c r="S574" s="50">
        <v>80</v>
      </c>
      <c r="T574" s="50" t="str">
        <f t="shared" si="98"/>
        <v/>
      </c>
      <c r="U574" s="50" t="str">
        <f>IF(OR(G574="",G574="NA"),"",IF(G574&gt;S574,S574,IF(G574&lt;0,0,G574)))</f>
        <v/>
      </c>
      <c r="V574" s="553" t="str">
        <f>IF(Y574="","",ROUND(Y574,0))</f>
        <v/>
      </c>
      <c r="W574" s="10"/>
      <c r="X574" s="10"/>
      <c r="Y574" s="554" t="str">
        <f>IF(T574="","",IF(OR(U574="",U574=0,U574&lt;T574),T574,(T574*80)/U574))</f>
        <v/>
      </c>
      <c r="Z574" s="10"/>
      <c r="AA574" s="10"/>
      <c r="AB574" s="10"/>
      <c r="AC574" s="581">
        <f>IF(AND(AJ577=1,AK577=1),"ERROR",SUM(I570,I572,I574,I576,AC573))</f>
        <v>0</v>
      </c>
      <c r="AD574" s="791" t="s">
        <v>1158</v>
      </c>
      <c r="AE574" s="791"/>
      <c r="AF574" s="791"/>
      <c r="AG574" s="791"/>
      <c r="AH574" s="39"/>
      <c r="AI574" s="761"/>
      <c r="AJ574" s="761"/>
      <c r="AK574" s="761"/>
      <c r="AL574" s="761"/>
      <c r="AM574" s="698"/>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row>
    <row r="575" spans="1:109" ht="15" customHeight="1" x14ac:dyDescent="0.2">
      <c r="B575" s="146" t="s">
        <v>915</v>
      </c>
      <c r="C575" s="694"/>
      <c r="D575" s="694"/>
      <c r="E575" s="921">
        <f>IF(AND(AJ577,AK577=1),"ERROR",UETable!AV85)</f>
        <v>0</v>
      </c>
      <c r="F575" s="921"/>
      <c r="G575" s="930" t="str">
        <f>IF(AND($AK$577=1,$AJ$577=1),"Cannot rate ROM and ankylosis.","")</f>
        <v/>
      </c>
      <c r="H575" s="930"/>
      <c r="I575" s="930"/>
      <c r="J575" s="930"/>
      <c r="K575" s="930"/>
      <c r="L575" s="930"/>
      <c r="M575" s="930"/>
      <c r="N575" s="930"/>
      <c r="O575" s="930"/>
      <c r="P575" s="910"/>
      <c r="R575" s="10"/>
      <c r="S575" s="50">
        <v>80</v>
      </c>
      <c r="T575" s="381" t="str">
        <f t="shared" si="98"/>
        <v/>
      </c>
      <c r="U575" s="10"/>
      <c r="V575" s="10"/>
      <c r="W575" s="10"/>
      <c r="X575" s="10"/>
      <c r="Y575" s="10"/>
      <c r="Z575" s="10"/>
      <c r="AA575" s="10"/>
      <c r="AB575" s="10"/>
      <c r="AC575" s="10"/>
      <c r="AD575" s="10"/>
      <c r="AE575" s="10"/>
      <c r="AF575" s="10"/>
      <c r="AG575" s="10"/>
      <c r="AH575" s="39"/>
      <c r="AI575" s="761"/>
      <c r="AJ575" s="761"/>
      <c r="AK575" s="761"/>
      <c r="AL575" s="761"/>
      <c r="AM575" s="698"/>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row>
    <row r="576" spans="1:109" ht="15" customHeight="1" x14ac:dyDescent="0.2">
      <c r="B576" s="146" t="s">
        <v>898</v>
      </c>
      <c r="C576" s="694"/>
      <c r="D576" s="694"/>
      <c r="E576" s="921">
        <f>UETable!AV86</f>
        <v>0</v>
      </c>
      <c r="F576" s="921"/>
      <c r="G576" s="694"/>
      <c r="H576" s="694"/>
      <c r="I576" s="936">
        <f>IF(C576="",0,IF(OR(C576&lt;=0,G576&lt;=0),E576,IF(G576&lt;C576,0,UETable!BA86)))</f>
        <v>0</v>
      </c>
      <c r="J576" s="936"/>
      <c r="K576" s="930" t="str">
        <f>IF(OR(C576="NA",G576="NA"),"",IF(AND(C576&lt;&gt;"",G576=""),"Enter contralateral or NA.",IF(AND(C576="",G576&lt;&gt;""),"Need data","")))</f>
        <v/>
      </c>
      <c r="L576" s="930"/>
      <c r="M576" s="930"/>
      <c r="N576" s="930"/>
      <c r="O576" s="930"/>
      <c r="P576" s="910"/>
      <c r="R576" s="10"/>
      <c r="S576" s="50">
        <v>80</v>
      </c>
      <c r="T576" s="50" t="str">
        <f t="shared" si="98"/>
        <v/>
      </c>
      <c r="U576" s="50" t="str">
        <f>IF(OR(G576="",G576="NA"),"",IF(G576&gt;S576,S576,IF(G576&lt;0,0,G576)))</f>
        <v/>
      </c>
      <c r="V576" s="572" t="str">
        <f>IF(Y576="","",ROUND(Y576,0))</f>
        <v/>
      </c>
      <c r="W576" s="10"/>
      <c r="X576" s="10"/>
      <c r="Y576" s="573" t="str">
        <f>IF(T576="","",IF(OR(U576="",U576=0,U576&lt;T576),T576,(T576*80)/U576))</f>
        <v/>
      </c>
      <c r="Z576" s="10"/>
      <c r="AA576" s="10"/>
      <c r="AB576" s="10"/>
      <c r="AC576" s="10"/>
      <c r="AD576" s="10"/>
      <c r="AE576" s="10"/>
      <c r="AF576" s="10"/>
      <c r="AG576" s="10"/>
      <c r="AH576" s="39"/>
      <c r="AI576" s="761"/>
      <c r="AJ576" s="761"/>
      <c r="AK576" s="761"/>
      <c r="AL576" s="761"/>
      <c r="AM576" s="698"/>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c r="CZ576" s="10"/>
      <c r="DA576" s="10"/>
      <c r="DB576" s="10"/>
      <c r="DC576" s="10"/>
      <c r="DD576" s="10"/>
      <c r="DE576" s="10"/>
    </row>
    <row r="577" spans="1:109" ht="15" customHeight="1" x14ac:dyDescent="0.2">
      <c r="B577" s="146" t="s">
        <v>916</v>
      </c>
      <c r="C577" s="694"/>
      <c r="D577" s="694"/>
      <c r="E577" s="921">
        <f>IF(AND(AJ577,AK577=1),"ERROR",UETable!AV87)</f>
        <v>0</v>
      </c>
      <c r="F577" s="921"/>
      <c r="G577" s="930" t="str">
        <f>IF(AND($AK$577=1,$AJ$577=1),"Cannot rate ROM and ankylosis.","")</f>
        <v/>
      </c>
      <c r="H577" s="930"/>
      <c r="I577" s="930"/>
      <c r="J577" s="930"/>
      <c r="K577" s="930"/>
      <c r="L577" s="930"/>
      <c r="M577" s="930"/>
      <c r="N577" s="930"/>
      <c r="O577" s="930"/>
      <c r="P577" s="910"/>
      <c r="R577" s="10"/>
      <c r="S577" s="50">
        <v>80</v>
      </c>
      <c r="T577" s="381" t="str">
        <f t="shared" si="98"/>
        <v/>
      </c>
      <c r="U577" s="50"/>
      <c r="V577" s="910" t="s">
        <v>2142</v>
      </c>
      <c r="W577" s="910"/>
      <c r="X577" s="910"/>
      <c r="Y577" s="910"/>
      <c r="Z577" s="910"/>
      <c r="AA577" s="910"/>
      <c r="AB577" s="910"/>
      <c r="AC577" s="910"/>
      <c r="AH577" s="10"/>
      <c r="AI577" s="50">
        <f>SUM(W578=1,Y578=1,AA578=1,AC578=1)</f>
        <v>0</v>
      </c>
      <c r="AJ577" s="50">
        <f>IF(OR(V578=1,X578=1,Z578=1,AB578=1),1,0)</f>
        <v>0</v>
      </c>
      <c r="AK577" s="50">
        <f>IF(OR(W578=1,Y578=1,AA578=1,AC578=1),1,0)</f>
        <v>0</v>
      </c>
      <c r="AL577" s="50">
        <f>SUM(V578,X578,Z578,AB578)</f>
        <v>0</v>
      </c>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row>
    <row r="578" spans="1:109" ht="15" customHeight="1" x14ac:dyDescent="0.2">
      <c r="B578" s="1026" t="str">
        <f>IF(AI577&gt;1,"Multiple ankylosis values; use highest value only.","")</f>
        <v/>
      </c>
      <c r="C578" s="1027"/>
      <c r="D578" s="1027"/>
      <c r="E578" s="1027"/>
      <c r="F578" s="1027"/>
      <c r="G578" s="1027"/>
      <c r="H578" s="1027"/>
      <c r="I578" s="1027"/>
      <c r="J578" s="1028"/>
      <c r="K578" s="1032" t="s">
        <v>703</v>
      </c>
      <c r="L578" s="1033"/>
      <c r="M578" s="1033"/>
      <c r="N578" s="1033"/>
      <c r="O578" s="1034"/>
      <c r="P578" s="296">
        <f>IF(AND(AJ577=1,AK577=1),"ERROR",IF(AND(AC574&gt;0,AC574&lt;0.01),0.01,ROUND(AC574,2)))</f>
        <v>0</v>
      </c>
      <c r="R578" s="136"/>
      <c r="S578" s="128"/>
      <c r="T578" s="10"/>
      <c r="U578" s="10"/>
      <c r="V578" s="50">
        <f>IF(AND(C570&lt;&gt;"",C570&lt;&gt;"NA"),1,0)</f>
        <v>0</v>
      </c>
      <c r="W578" s="50">
        <f>IF(AND(C571&lt;&gt;"",C571&lt;&gt;"NA"),1,0)</f>
        <v>0</v>
      </c>
      <c r="X578" s="50">
        <f>IF(AND(C572&lt;&gt;"",C572&lt;&gt;"NA"),1,0)</f>
        <v>0</v>
      </c>
      <c r="Y578" s="50">
        <f>IF(AND(C573&lt;&gt;"",C573&lt;&gt;"NA"),1,0)</f>
        <v>0</v>
      </c>
      <c r="Z578" s="50">
        <f>IF(AND(C574&lt;&gt;"",C574&lt;&gt;"NA"),1,0)</f>
        <v>0</v>
      </c>
      <c r="AA578" s="50">
        <f>IF(AND(C575&lt;&gt;"",C575&lt;&gt;"NA"),1,0)</f>
        <v>0</v>
      </c>
      <c r="AB578" s="50">
        <f>IF(AND(C576&lt;&gt;"",C576&lt;&gt;"NA"),1,0)</f>
        <v>0</v>
      </c>
      <c r="AC578" s="50">
        <f>IF(AND(C577&lt;&gt;"",C577&lt;&gt;"NA"),1,0)</f>
        <v>0</v>
      </c>
      <c r="AF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c r="CZ578" s="10"/>
      <c r="DA578" s="10"/>
      <c r="DB578" s="10"/>
      <c r="DC578" s="10"/>
      <c r="DD578" s="10"/>
      <c r="DE578" s="10"/>
    </row>
    <row r="579" spans="1:109" ht="6.75" customHeight="1" x14ac:dyDescent="0.2">
      <c r="B579" s="777"/>
      <c r="C579" s="777"/>
      <c r="D579" s="777"/>
      <c r="E579" s="777"/>
      <c r="F579" s="777"/>
      <c r="G579" s="777"/>
      <c r="H579" s="777"/>
      <c r="I579" s="777"/>
      <c r="J579" s="777"/>
      <c r="K579" s="777"/>
      <c r="L579" s="777"/>
      <c r="M579" s="777"/>
      <c r="N579" s="777"/>
      <c r="O579" s="777"/>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c r="CZ579" s="10"/>
      <c r="DA579" s="10"/>
      <c r="DB579" s="10"/>
      <c r="DC579" s="10"/>
      <c r="DD579" s="10"/>
      <c r="DE579" s="10"/>
    </row>
    <row r="580" spans="1:109" ht="6" customHeight="1" x14ac:dyDescent="0.2">
      <c r="B580" s="777"/>
      <c r="C580" s="777"/>
      <c r="D580" s="777"/>
      <c r="E580" s="777"/>
      <c r="F580" s="777"/>
      <c r="G580" s="777"/>
      <c r="H580" s="777"/>
      <c r="I580" s="777"/>
      <c r="J580" s="777"/>
      <c r="K580" s="777"/>
      <c r="L580" s="777"/>
      <c r="M580" s="777"/>
      <c r="N580" s="777"/>
      <c r="O580" s="777"/>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row>
    <row r="581" spans="1:109" ht="18" customHeight="1" x14ac:dyDescent="0.2">
      <c r="B581" s="756" t="s">
        <v>704</v>
      </c>
      <c r="C581" s="757"/>
      <c r="D581" s="758"/>
      <c r="E581" s="1035"/>
      <c r="F581" s="1035"/>
      <c r="G581" s="1035"/>
      <c r="H581" s="1035"/>
      <c r="I581" s="1035"/>
      <c r="J581" s="1035"/>
      <c r="K581" s="1035"/>
      <c r="L581" s="1035"/>
      <c r="M581" s="1035"/>
      <c r="N581" s="1035"/>
      <c r="O581" s="1035"/>
      <c r="P581" s="245">
        <f>IF(E581=S581,0,IF(E581=T581,0.05,IF(E581=U581,0.1,IF(E581=V581,0.15,IF(E581=W581,0.2,0)))))</f>
        <v>0</v>
      </c>
      <c r="R581" s="14"/>
      <c r="S581" s="50" t="s">
        <v>705</v>
      </c>
      <c r="T581" s="50" t="s">
        <v>706</v>
      </c>
      <c r="U581" s="147" t="s">
        <v>707</v>
      </c>
      <c r="V581" s="50" t="s">
        <v>708</v>
      </c>
      <c r="W581" s="147" t="s">
        <v>709</v>
      </c>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c r="CZ581" s="10"/>
      <c r="DA581" s="10"/>
      <c r="DB581" s="10"/>
      <c r="DC581" s="10"/>
      <c r="DD581" s="10"/>
      <c r="DE581" s="10"/>
    </row>
    <row r="582" spans="1:109" ht="12" customHeight="1" x14ac:dyDescent="0.2">
      <c r="B582" s="777"/>
      <c r="C582" s="777"/>
      <c r="D582" s="777"/>
      <c r="E582" s="777"/>
      <c r="F582" s="777"/>
      <c r="G582" s="777"/>
      <c r="H582" s="777"/>
      <c r="I582" s="777"/>
      <c r="J582" s="777"/>
      <c r="K582" s="777"/>
      <c r="L582" s="777"/>
      <c r="M582" s="777"/>
      <c r="N582" s="777"/>
      <c r="O582" s="777"/>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c r="CZ582" s="10"/>
      <c r="DA582" s="10"/>
      <c r="DB582" s="10"/>
      <c r="DC582" s="10"/>
      <c r="DD582" s="10"/>
      <c r="DE582" s="10"/>
    </row>
    <row r="583" spans="1:109" ht="18" customHeight="1" x14ac:dyDescent="0.2">
      <c r="B583" s="791" t="s">
        <v>710</v>
      </c>
      <c r="C583" s="791"/>
      <c r="D583" s="791"/>
      <c r="E583" s="791"/>
      <c r="F583" s="791"/>
      <c r="G583" s="791"/>
      <c r="H583" s="791"/>
      <c r="I583" s="791"/>
      <c r="J583" s="791"/>
      <c r="K583" s="730"/>
      <c r="L583" s="877"/>
      <c r="M583" s="877"/>
      <c r="N583" s="877"/>
      <c r="O583" s="820"/>
      <c r="P583" s="245">
        <f>IF(K583=S583,0.07,IF(K583=T583,0.14,IF(K583=U583,0.21,0)))</f>
        <v>0</v>
      </c>
      <c r="R583" s="30"/>
      <c r="S583" s="50" t="s">
        <v>711</v>
      </c>
      <c r="T583" s="50" t="s">
        <v>712</v>
      </c>
      <c r="U583" s="147" t="s">
        <v>713</v>
      </c>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row>
    <row r="584" spans="1:109" ht="12" customHeight="1" x14ac:dyDescent="0.2">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row>
    <row r="585" spans="1:109" ht="18" customHeight="1" x14ac:dyDescent="0.2">
      <c r="A585" s="15"/>
      <c r="B585" s="756" t="s">
        <v>776</v>
      </c>
      <c r="C585" s="757"/>
      <c r="D585" s="757"/>
      <c r="E585" s="757"/>
      <c r="F585" s="758"/>
      <c r="G585" s="1002"/>
      <c r="H585" s="1002"/>
      <c r="I585" s="791" t="s">
        <v>196</v>
      </c>
      <c r="J585" s="791"/>
      <c r="K585" s="791"/>
      <c r="L585" s="791"/>
      <c r="M585" s="791"/>
      <c r="N585" s="791"/>
      <c r="O585" s="791"/>
      <c r="P585" s="245">
        <f>IF(T585=1,0.25,0)</f>
        <v>0</v>
      </c>
      <c r="R585" s="256" t="s">
        <v>2164</v>
      </c>
      <c r="S585" s="592" t="b">
        <v>0</v>
      </c>
      <c r="T585" s="50">
        <f>IF(S585=TRUE,1,0)</f>
        <v>0</v>
      </c>
      <c r="U585" s="10"/>
      <c r="V585" s="10"/>
      <c r="W585" s="10"/>
      <c r="X585" s="10"/>
      <c r="Y585" s="10"/>
      <c r="Z585" s="10">
        <v>1E-4</v>
      </c>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row>
    <row r="586" spans="1:109" ht="12" customHeight="1" x14ac:dyDescent="0.2">
      <c r="B586" s="777"/>
      <c r="C586" s="777"/>
      <c r="D586" s="777"/>
      <c r="E586" s="777"/>
      <c r="F586" s="777"/>
      <c r="G586" s="777"/>
      <c r="H586" s="777"/>
      <c r="I586" s="777"/>
      <c r="J586" s="777"/>
      <c r="K586" s="777"/>
      <c r="L586" s="777"/>
      <c r="M586" s="777"/>
      <c r="N586" s="777"/>
      <c r="O586" s="777"/>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row>
    <row r="587" spans="1:109" ht="39" customHeight="1" x14ac:dyDescent="0.2">
      <c r="A587" s="15"/>
      <c r="B587" s="446" t="s">
        <v>956</v>
      </c>
      <c r="C587" s="997"/>
      <c r="D587" s="1002"/>
      <c r="E587" s="1002"/>
      <c r="F587" s="1002"/>
      <c r="G587" s="1002"/>
      <c r="H587" s="1002"/>
      <c r="I587" s="1002"/>
      <c r="J587" s="1002"/>
      <c r="K587" s="1002"/>
      <c r="L587" s="1002"/>
      <c r="M587" s="1002"/>
      <c r="N587" s="1002"/>
      <c r="O587" s="1002"/>
      <c r="P587" s="21">
        <f>IF(R587=2,0.1,IF(R587=3,0.15,0))</f>
        <v>0</v>
      </c>
      <c r="R587" s="546">
        <v>1</v>
      </c>
      <c r="S587" s="10"/>
      <c r="T587" s="10"/>
      <c r="U587" s="10"/>
      <c r="V587" s="10"/>
      <c r="W587" s="10">
        <v>1E-4</v>
      </c>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row>
    <row r="588" spans="1:109" ht="19.5" customHeight="1" x14ac:dyDescent="0.2">
      <c r="B588" s="466"/>
      <c r="C588" s="997"/>
      <c r="D588" s="1002"/>
      <c r="E588" s="1002"/>
      <c r="F588" s="1002"/>
      <c r="G588" s="1002"/>
      <c r="H588" s="1002"/>
      <c r="I588" s="1002"/>
      <c r="J588" s="1002"/>
      <c r="K588" s="1002"/>
      <c r="L588" s="1002"/>
      <c r="M588" s="1002"/>
      <c r="N588" s="1002"/>
      <c r="O588" s="1002"/>
      <c r="P588" s="21">
        <f>IF(R588=2,0.35,0)</f>
        <v>0</v>
      </c>
      <c r="R588" s="546">
        <v>1</v>
      </c>
      <c r="S588" s="10"/>
      <c r="T588" s="10"/>
      <c r="U588" s="10"/>
      <c r="V588" s="14"/>
      <c r="W588" s="14"/>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row>
    <row r="589" spans="1:109" ht="19.5" customHeight="1" x14ac:dyDescent="0.2">
      <c r="B589" s="381"/>
      <c r="C589" s="997"/>
      <c r="D589" s="1002"/>
      <c r="E589" s="1002"/>
      <c r="F589" s="1002"/>
      <c r="G589" s="1002"/>
      <c r="H589" s="1002"/>
      <c r="I589" s="1002"/>
      <c r="J589" s="1002"/>
      <c r="K589" s="1002"/>
      <c r="L589" s="1002"/>
      <c r="M589" s="1002"/>
      <c r="N589" s="1002"/>
      <c r="O589" s="1002"/>
      <c r="P589" s="21">
        <f>IF(R589=2,0.15,0)</f>
        <v>0</v>
      </c>
      <c r="R589" s="546">
        <v>1</v>
      </c>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c r="CZ589" s="10"/>
      <c r="DA589" s="10"/>
      <c r="DB589" s="10"/>
      <c r="DC589" s="10"/>
      <c r="DD589" s="10"/>
      <c r="DE589" s="10"/>
    </row>
    <row r="590" spans="1:109" ht="12" customHeight="1" x14ac:dyDescent="0.2">
      <c r="B590" s="777"/>
      <c r="C590" s="777"/>
      <c r="D590" s="777"/>
      <c r="E590" s="777"/>
      <c r="F590" s="777"/>
      <c r="G590" s="777"/>
      <c r="H590" s="777"/>
      <c r="I590" s="777"/>
      <c r="J590" s="777"/>
      <c r="K590" s="777"/>
      <c r="L590" s="777"/>
      <c r="M590" s="777"/>
      <c r="N590" s="777"/>
      <c r="O590" s="777"/>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row>
    <row r="591" spans="1:109" ht="15" customHeight="1" x14ac:dyDescent="0.2">
      <c r="B591" s="939" t="s">
        <v>460</v>
      </c>
      <c r="C591" s="939"/>
      <c r="D591" s="939"/>
      <c r="E591" s="939"/>
      <c r="F591" s="939"/>
      <c r="G591" s="939"/>
      <c r="H591" s="939"/>
      <c r="I591" s="939"/>
      <c r="J591" s="939"/>
      <c r="K591" s="939"/>
      <c r="L591" s="939"/>
      <c r="M591" s="939"/>
      <c r="N591" s="939"/>
      <c r="O591" s="312"/>
      <c r="P591" s="21">
        <f>SUMIF(S591:W591,O591,S592:W592)</f>
        <v>0</v>
      </c>
      <c r="R591" s="1102" t="s">
        <v>2165</v>
      </c>
      <c r="S591" s="50" t="s">
        <v>1928</v>
      </c>
      <c r="T591" s="50" t="s">
        <v>1929</v>
      </c>
      <c r="U591" s="147" t="s">
        <v>1931</v>
      </c>
      <c r="V591" s="50" t="s">
        <v>929</v>
      </c>
      <c r="W591" s="147" t="s">
        <v>545</v>
      </c>
      <c r="X591" s="1104" t="s">
        <v>2166</v>
      </c>
      <c r="Y591" s="1104"/>
      <c r="Z591" s="50" t="s">
        <v>1928</v>
      </c>
      <c r="AA591" s="50" t="s">
        <v>1929</v>
      </c>
      <c r="AB591" s="147" t="s">
        <v>1931</v>
      </c>
      <c r="AC591" s="50" t="s">
        <v>929</v>
      </c>
      <c r="AD591" s="147" t="s">
        <v>545</v>
      </c>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row>
    <row r="592" spans="1:109" ht="15" customHeight="1" x14ac:dyDescent="0.2">
      <c r="B592" s="939" t="s">
        <v>1469</v>
      </c>
      <c r="C592" s="939"/>
      <c r="D592" s="939"/>
      <c r="E592" s="939"/>
      <c r="F592" s="939"/>
      <c r="G592" s="939"/>
      <c r="H592" s="939"/>
      <c r="I592" s="939"/>
      <c r="J592" s="939"/>
      <c r="K592" s="939"/>
      <c r="L592" s="939"/>
      <c r="M592" s="939"/>
      <c r="N592" s="939"/>
      <c r="O592" s="312"/>
      <c r="P592" s="21">
        <f>SUMIF(Z591:AD591,O592,Z592:AD592)</f>
        <v>0</v>
      </c>
      <c r="R592" s="1102"/>
      <c r="S592" s="147">
        <v>0.03</v>
      </c>
      <c r="T592" s="147">
        <v>0.15</v>
      </c>
      <c r="U592" s="147">
        <v>0.38</v>
      </c>
      <c r="V592" s="147">
        <v>0.68</v>
      </c>
      <c r="W592" s="147">
        <v>0.9</v>
      </c>
      <c r="X592" s="1104"/>
      <c r="Y592" s="1104"/>
      <c r="Z592" s="147">
        <v>0.03</v>
      </c>
      <c r="AA592" s="147">
        <v>0.15</v>
      </c>
      <c r="AB592" s="147">
        <v>0.35</v>
      </c>
      <c r="AC592" s="147">
        <v>0.63</v>
      </c>
      <c r="AD592" s="147">
        <v>0.88</v>
      </c>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row>
    <row r="593" spans="1:109" ht="12" customHeight="1" x14ac:dyDescent="0.2">
      <c r="B593" s="777"/>
      <c r="C593" s="777"/>
      <c r="D593" s="777"/>
      <c r="E593" s="777"/>
      <c r="F593" s="777"/>
      <c r="G593" s="777"/>
      <c r="H593" s="777"/>
      <c r="I593" s="777"/>
      <c r="J593" s="777"/>
      <c r="K593" s="777"/>
      <c r="L593" s="777"/>
      <c r="M593" s="777"/>
      <c r="N593" s="777"/>
      <c r="O593" s="777"/>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c r="CZ593" s="10"/>
      <c r="DA593" s="10"/>
      <c r="DB593" s="10"/>
      <c r="DC593" s="10"/>
      <c r="DD593" s="10"/>
      <c r="DE593" s="10"/>
    </row>
    <row r="594" spans="1:109" ht="18" customHeight="1" x14ac:dyDescent="0.2">
      <c r="B594" s="912" t="s">
        <v>874</v>
      </c>
      <c r="C594" s="910"/>
      <c r="D594" s="910"/>
      <c r="E594" s="910"/>
      <c r="F594" s="910"/>
      <c r="G594" s="910"/>
      <c r="H594" s="910"/>
      <c r="I594" s="910"/>
      <c r="J594" s="910"/>
      <c r="K594" s="910"/>
      <c r="L594" s="910"/>
      <c r="M594" s="910"/>
      <c r="N594" s="910"/>
      <c r="O594" s="910"/>
      <c r="P594" s="9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c r="CZ594" s="10"/>
      <c r="DA594" s="10"/>
      <c r="DB594" s="10"/>
      <c r="DC594" s="10"/>
      <c r="DD594" s="10"/>
      <c r="DE594" s="10"/>
    </row>
    <row r="595" spans="1:109" ht="41.25" customHeight="1" x14ac:dyDescent="0.2">
      <c r="B595" s="761" t="s">
        <v>1647</v>
      </c>
      <c r="C595" s="761"/>
      <c r="D595" s="761"/>
      <c r="E595" s="761"/>
      <c r="F595" s="761"/>
      <c r="G595" s="761"/>
      <c r="H595" s="761"/>
      <c r="I595" s="761"/>
      <c r="J595" s="761"/>
      <c r="K595" s="761"/>
      <c r="L595" s="761"/>
      <c r="M595" s="761"/>
      <c r="N595" s="761"/>
      <c r="O595" s="761"/>
      <c r="P595" s="9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c r="CZ595" s="10"/>
      <c r="DA595" s="10"/>
      <c r="DB595" s="10"/>
      <c r="DC595" s="10"/>
      <c r="DD595" s="10"/>
      <c r="DE595" s="10"/>
    </row>
    <row r="596" spans="1:109" ht="19.5" customHeight="1" x14ac:dyDescent="0.2">
      <c r="A596" s="15"/>
      <c r="B596" s="791" t="s">
        <v>932</v>
      </c>
      <c r="C596" s="791"/>
      <c r="D596" s="791"/>
      <c r="E596" s="791"/>
      <c r="F596" s="791"/>
      <c r="G596" s="791"/>
      <c r="H596" s="791"/>
      <c r="I596" s="791"/>
      <c r="J596" s="791"/>
      <c r="K596" s="791"/>
      <c r="L596" s="1002"/>
      <c r="M596" s="1002"/>
      <c r="N596" s="1002"/>
      <c r="O596" s="1002"/>
      <c r="P596" s="21">
        <f>IF(R596=1,0.05,0)</f>
        <v>0</v>
      </c>
      <c r="R596" s="546">
        <v>2</v>
      </c>
      <c r="S596" s="10"/>
      <c r="T596" s="10"/>
      <c r="U596" s="10"/>
      <c r="V596" s="10"/>
      <c r="W596" s="10">
        <v>1E-4</v>
      </c>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c r="CZ596" s="10"/>
      <c r="DA596" s="10"/>
      <c r="DB596" s="10"/>
      <c r="DC596" s="10"/>
      <c r="DD596" s="10"/>
      <c r="DE596" s="10"/>
    </row>
    <row r="597" spans="1:109" ht="12" customHeight="1" x14ac:dyDescent="0.2">
      <c r="B597" s="777"/>
      <c r="C597" s="777"/>
      <c r="D597" s="777"/>
      <c r="E597" s="777"/>
      <c r="F597" s="777"/>
      <c r="G597" s="777"/>
      <c r="H597" s="777"/>
      <c r="I597" s="777"/>
      <c r="J597" s="777"/>
      <c r="K597" s="777"/>
      <c r="L597" s="777"/>
      <c r="M597" s="777"/>
      <c r="N597" s="777"/>
      <c r="O597" s="777"/>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c r="CZ597" s="10"/>
      <c r="DA597" s="10"/>
      <c r="DB597" s="10"/>
      <c r="DC597" s="10"/>
      <c r="DD597" s="10"/>
      <c r="DE597" s="10"/>
    </row>
    <row r="598" spans="1:109" ht="18" customHeight="1" x14ac:dyDescent="0.2">
      <c r="B598" s="912" t="s">
        <v>1254</v>
      </c>
      <c r="C598" s="910"/>
      <c r="D598" s="910"/>
      <c r="E598" s="910"/>
      <c r="F598" s="910"/>
      <c r="G598" s="910"/>
      <c r="H598" s="910"/>
      <c r="I598" s="910"/>
      <c r="J598" s="910"/>
      <c r="K598" s="910"/>
      <c r="L598" s="910"/>
      <c r="M598" s="910"/>
      <c r="N598" s="910"/>
      <c r="O598" s="910"/>
      <c r="P598" s="83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row>
    <row r="599" spans="1:109" ht="33" customHeight="1" x14ac:dyDescent="0.2">
      <c r="B599" s="761" t="s">
        <v>1613</v>
      </c>
      <c r="C599" s="761"/>
      <c r="D599" s="761"/>
      <c r="E599" s="761"/>
      <c r="F599" s="761"/>
      <c r="G599" s="761"/>
      <c r="H599" s="761"/>
      <c r="I599" s="761"/>
      <c r="J599" s="761"/>
      <c r="K599" s="761"/>
      <c r="L599" s="761"/>
      <c r="M599" s="761"/>
      <c r="N599" s="761"/>
      <c r="O599" s="761"/>
      <c r="P599" s="832"/>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row>
    <row r="600" spans="1:109" ht="28.5" customHeight="1" x14ac:dyDescent="0.2">
      <c r="B600" s="1012"/>
      <c r="C600" s="1012"/>
      <c r="D600" s="1012"/>
      <c r="E600" s="1012"/>
      <c r="F600" s="1012"/>
      <c r="G600" s="1012"/>
      <c r="H600" s="1012"/>
      <c r="I600" s="1012"/>
      <c r="J600" s="1012"/>
      <c r="K600" s="1012"/>
      <c r="L600" s="1012"/>
      <c r="M600" s="1012"/>
      <c r="N600" s="1012"/>
      <c r="O600" s="1012"/>
      <c r="P600" s="21">
        <f>IF(B600=R600,0.14,IF(B600=S600,0.34,IF(B600=T600,0.55,IF(B600=U600,1,0))))</f>
        <v>0</v>
      </c>
      <c r="R600" s="50" t="s">
        <v>1951</v>
      </c>
      <c r="S600" s="50" t="s">
        <v>1952</v>
      </c>
      <c r="T600" s="50" t="s">
        <v>1953</v>
      </c>
      <c r="U600" s="50" t="s">
        <v>1954</v>
      </c>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row>
    <row r="601" spans="1:109" ht="12" customHeight="1" x14ac:dyDescent="0.2">
      <c r="B601" s="777"/>
      <c r="C601" s="777"/>
      <c r="D601" s="777"/>
      <c r="E601" s="777"/>
      <c r="F601" s="777"/>
      <c r="G601" s="777"/>
      <c r="H601" s="777"/>
      <c r="I601" s="777"/>
      <c r="J601" s="777"/>
      <c r="K601" s="777"/>
      <c r="L601" s="777"/>
      <c r="M601" s="777"/>
      <c r="N601" s="777"/>
      <c r="O601" s="777"/>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c r="CZ601" s="10"/>
      <c r="DA601" s="10"/>
      <c r="DB601" s="10"/>
      <c r="DC601" s="10"/>
      <c r="DD601" s="10"/>
      <c r="DE601" s="10"/>
    </row>
    <row r="602" spans="1:109" ht="27" customHeight="1" x14ac:dyDescent="0.2">
      <c r="B602" s="1019" t="s">
        <v>1255</v>
      </c>
      <c r="C602" s="1020"/>
      <c r="D602" s="1020"/>
      <c r="E602" s="1020"/>
      <c r="F602" s="1021"/>
      <c r="G602" s="911" t="s">
        <v>1495</v>
      </c>
      <c r="H602" s="945"/>
      <c r="I602" s="945"/>
      <c r="J602" s="945"/>
      <c r="K602" s="967"/>
      <c r="L602" s="968"/>
      <c r="M602" s="968"/>
      <c r="N602" s="968"/>
      <c r="O602" s="969"/>
      <c r="P602" s="857">
        <f>U615</f>
        <v>0</v>
      </c>
      <c r="R602" s="146" t="s">
        <v>1826</v>
      </c>
      <c r="S602" s="50" t="s">
        <v>1285</v>
      </c>
      <c r="T602" s="50" t="s">
        <v>1286</v>
      </c>
      <c r="U602" s="50" t="s">
        <v>1287</v>
      </c>
      <c r="V602" s="692" t="s">
        <v>498</v>
      </c>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c r="CZ602" s="10"/>
      <c r="DA602" s="10"/>
      <c r="DB602" s="10"/>
      <c r="DC602" s="10"/>
      <c r="DD602" s="10"/>
      <c r="DE602" s="10"/>
    </row>
    <row r="603" spans="1:109" ht="15.75" customHeight="1" x14ac:dyDescent="0.2">
      <c r="B603" s="791" t="s">
        <v>615</v>
      </c>
      <c r="C603" s="791"/>
      <c r="D603" s="791"/>
      <c r="E603" s="755">
        <f>P566</f>
        <v>0</v>
      </c>
      <c r="F603" s="755"/>
      <c r="G603" s="1005"/>
      <c r="H603" s="1005"/>
      <c r="I603" s="914">
        <f t="shared" ref="I603:I615" si="99">IF(AND(V603&lt;0.01,V603&gt;0),0.01,ROUND(V603,2))</f>
        <v>0</v>
      </c>
      <c r="J603" s="738"/>
      <c r="K603" s="970"/>
      <c r="L603" s="971"/>
      <c r="M603" s="971"/>
      <c r="N603" s="971"/>
      <c r="O603" s="972"/>
      <c r="P603" s="961"/>
      <c r="R603" s="548">
        <f t="shared" ref="R603:R614" si="100">IF(I603&gt;0,I603,E603)</f>
        <v>0</v>
      </c>
      <c r="S603" s="147">
        <f>LARGE($R$603:$R$616,1)</f>
        <v>0</v>
      </c>
      <c r="T603" s="544">
        <f>S603+S604*(1-S603)</f>
        <v>0</v>
      </c>
      <c r="U603" s="548">
        <f t="shared" ref="U603:U615" si="101">ROUND(T603,2)</f>
        <v>0</v>
      </c>
      <c r="V603" s="190">
        <f t="shared" ref="V603:V615" si="102">E603*G603</f>
        <v>0</v>
      </c>
      <c r="AA603" s="777"/>
      <c r="AB603" s="777"/>
      <c r="AC603" s="777"/>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c r="CZ603" s="10"/>
      <c r="DA603" s="10"/>
      <c r="DB603" s="10"/>
      <c r="DC603" s="10"/>
      <c r="DD603" s="10"/>
      <c r="DE603" s="10"/>
    </row>
    <row r="604" spans="1:109" ht="15" customHeight="1" x14ac:dyDescent="0.2">
      <c r="B604" s="791" t="s">
        <v>1918</v>
      </c>
      <c r="C604" s="791"/>
      <c r="D604" s="791"/>
      <c r="E604" s="755">
        <f>IF(E615&gt;0,0,P578)</f>
        <v>0</v>
      </c>
      <c r="F604" s="755"/>
      <c r="G604" s="1005"/>
      <c r="H604" s="1005"/>
      <c r="I604" s="914">
        <f t="shared" si="99"/>
        <v>0</v>
      </c>
      <c r="J604" s="738"/>
      <c r="K604" s="970"/>
      <c r="L604" s="971"/>
      <c r="M604" s="971"/>
      <c r="N604" s="971"/>
      <c r="O604" s="972"/>
      <c r="P604" s="961"/>
      <c r="R604" s="548">
        <f t="shared" si="100"/>
        <v>0</v>
      </c>
      <c r="S604" s="147">
        <f>LARGE($R$603:$R$616,2)</f>
        <v>0</v>
      </c>
      <c r="T604" s="544">
        <f>U603+S605*(1-U603)</f>
        <v>0</v>
      </c>
      <c r="U604" s="548">
        <f t="shared" si="101"/>
        <v>0</v>
      </c>
      <c r="V604" s="190">
        <f t="shared" si="102"/>
        <v>0</v>
      </c>
      <c r="Z604" s="597"/>
      <c r="AA604" s="777"/>
      <c r="AB604" s="777"/>
      <c r="AC604" s="777"/>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c r="CZ604" s="10"/>
      <c r="DA604" s="10"/>
      <c r="DB604" s="10"/>
      <c r="DC604" s="10"/>
      <c r="DD604" s="10"/>
      <c r="DE604" s="10"/>
    </row>
    <row r="605" spans="1:109" ht="15" customHeight="1" x14ac:dyDescent="0.2">
      <c r="B605" s="791" t="s">
        <v>704</v>
      </c>
      <c r="C605" s="791"/>
      <c r="D605" s="791"/>
      <c r="E605" s="755">
        <f>P581</f>
        <v>0</v>
      </c>
      <c r="F605" s="755"/>
      <c r="G605" s="1005"/>
      <c r="H605" s="1005"/>
      <c r="I605" s="914">
        <f t="shared" si="99"/>
        <v>0</v>
      </c>
      <c r="J605" s="738"/>
      <c r="K605" s="1094"/>
      <c r="L605" s="1095"/>
      <c r="M605" s="1095"/>
      <c r="N605" s="1095"/>
      <c r="O605" s="1096"/>
      <c r="P605" s="961"/>
      <c r="R605" s="548">
        <f t="shared" si="100"/>
        <v>0</v>
      </c>
      <c r="S605" s="147">
        <f>LARGE($R$603:$R$616,3)</f>
        <v>0</v>
      </c>
      <c r="T605" s="544">
        <f>U604+S606*(1-U604)</f>
        <v>0</v>
      </c>
      <c r="U605" s="548">
        <f t="shared" si="101"/>
        <v>0</v>
      </c>
      <c r="V605" s="190">
        <f t="shared" si="102"/>
        <v>0</v>
      </c>
      <c r="Z605" s="597"/>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c r="CZ605" s="10"/>
      <c r="DA605" s="10"/>
      <c r="DB605" s="10"/>
      <c r="DC605" s="10"/>
      <c r="DD605" s="10"/>
      <c r="DE605" s="10"/>
    </row>
    <row r="606" spans="1:109" ht="15" customHeight="1" x14ac:dyDescent="0.2">
      <c r="B606" s="791" t="s">
        <v>380</v>
      </c>
      <c r="C606" s="791"/>
      <c r="D606" s="791"/>
      <c r="E606" s="755">
        <f>P583</f>
        <v>0</v>
      </c>
      <c r="F606" s="755"/>
      <c r="G606" s="1005"/>
      <c r="H606" s="1005"/>
      <c r="I606" s="914">
        <f t="shared" si="99"/>
        <v>0</v>
      </c>
      <c r="J606" s="738"/>
      <c r="K606" s="1094"/>
      <c r="L606" s="1095"/>
      <c r="M606" s="1095"/>
      <c r="N606" s="1095"/>
      <c r="O606" s="1096"/>
      <c r="P606" s="961"/>
      <c r="R606" s="548">
        <f t="shared" si="100"/>
        <v>0</v>
      </c>
      <c r="S606" s="147">
        <f>LARGE($R$603:$R$616,4)</f>
        <v>0</v>
      </c>
      <c r="T606" s="544">
        <f>U605+S608*(1-U605)</f>
        <v>0</v>
      </c>
      <c r="U606" s="548">
        <f t="shared" si="101"/>
        <v>0</v>
      </c>
      <c r="V606" s="190">
        <f t="shared" si="102"/>
        <v>0</v>
      </c>
      <c r="W606" s="10"/>
      <c r="X606" s="10"/>
      <c r="Z606" s="597"/>
      <c r="AA606" s="10"/>
      <c r="AB606" s="724"/>
      <c r="AC606" s="724"/>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c r="CZ606" s="10"/>
      <c r="DA606" s="10"/>
      <c r="DB606" s="10"/>
      <c r="DC606" s="10"/>
      <c r="DD606" s="10"/>
      <c r="DE606" s="10"/>
    </row>
    <row r="607" spans="1:109" ht="15" customHeight="1" x14ac:dyDescent="0.2">
      <c r="B607" s="761" t="s">
        <v>781</v>
      </c>
      <c r="C607" s="791"/>
      <c r="D607" s="791"/>
      <c r="E607" s="727">
        <f>P585</f>
        <v>0</v>
      </c>
      <c r="F607" s="729"/>
      <c r="G607" s="1005"/>
      <c r="H607" s="1005"/>
      <c r="I607" s="914">
        <f t="shared" si="99"/>
        <v>0</v>
      </c>
      <c r="J607" s="738"/>
      <c r="K607" s="1094"/>
      <c r="L607" s="1095"/>
      <c r="M607" s="1095"/>
      <c r="N607" s="1095"/>
      <c r="O607" s="1096"/>
      <c r="P607" s="961"/>
      <c r="R607" s="548">
        <f t="shared" si="100"/>
        <v>0</v>
      </c>
      <c r="S607" s="147">
        <f>LARGE($R$603:$R$616,5)</f>
        <v>0</v>
      </c>
      <c r="T607" s="544">
        <f t="shared" ref="T607:T615" si="103">U606+S609*(1-U606)</f>
        <v>0</v>
      </c>
      <c r="U607" s="548">
        <f t="shared" si="101"/>
        <v>0</v>
      </c>
      <c r="V607" s="190">
        <f t="shared" si="102"/>
        <v>0</v>
      </c>
      <c r="W607" s="10"/>
      <c r="X607" s="10"/>
      <c r="Z607" s="597"/>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c r="CZ607" s="10"/>
      <c r="DA607" s="10"/>
      <c r="DB607" s="10"/>
      <c r="DC607" s="10"/>
      <c r="DD607" s="10"/>
      <c r="DE607" s="10"/>
    </row>
    <row r="608" spans="1:109" ht="15" customHeight="1" x14ac:dyDescent="0.2">
      <c r="B608" s="791" t="s">
        <v>381</v>
      </c>
      <c r="C608" s="791"/>
      <c r="D608" s="791"/>
      <c r="E608" s="755">
        <f>P587</f>
        <v>0</v>
      </c>
      <c r="F608" s="755"/>
      <c r="G608" s="1005"/>
      <c r="H608" s="1005"/>
      <c r="I608" s="914">
        <f t="shared" si="99"/>
        <v>0</v>
      </c>
      <c r="J608" s="738"/>
      <c r="K608" s="1094"/>
      <c r="L608" s="1095"/>
      <c r="M608" s="1095"/>
      <c r="N608" s="1095"/>
      <c r="O608" s="1096"/>
      <c r="P608" s="961"/>
      <c r="R608" s="548">
        <f t="shared" si="100"/>
        <v>0</v>
      </c>
      <c r="S608" s="147">
        <f>LARGE($R$603:$R$616,6)</f>
        <v>0</v>
      </c>
      <c r="T608" s="544">
        <f t="shared" si="103"/>
        <v>0</v>
      </c>
      <c r="U608" s="548">
        <f t="shared" si="101"/>
        <v>0</v>
      </c>
      <c r="V608" s="190">
        <f t="shared" si="102"/>
        <v>0</v>
      </c>
      <c r="W608" s="10"/>
      <c r="X608" s="10"/>
      <c r="Z608" s="597"/>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c r="CZ608" s="10"/>
      <c r="DA608" s="10"/>
      <c r="DB608" s="10"/>
      <c r="DC608" s="10"/>
      <c r="DD608" s="10"/>
      <c r="DE608" s="10"/>
    </row>
    <row r="609" spans="2:109" ht="15" customHeight="1" x14ac:dyDescent="0.2">
      <c r="B609" s="791" t="s">
        <v>382</v>
      </c>
      <c r="C609" s="791"/>
      <c r="D609" s="791"/>
      <c r="E609" s="755">
        <f>P588</f>
        <v>0</v>
      </c>
      <c r="F609" s="755"/>
      <c r="G609" s="1005"/>
      <c r="H609" s="1005"/>
      <c r="I609" s="914">
        <f t="shared" si="99"/>
        <v>0</v>
      </c>
      <c r="J609" s="738"/>
      <c r="K609" s="1094"/>
      <c r="L609" s="1095"/>
      <c r="M609" s="1095"/>
      <c r="N609" s="1095"/>
      <c r="O609" s="1096"/>
      <c r="P609" s="961"/>
      <c r="R609" s="548">
        <f t="shared" si="100"/>
        <v>0</v>
      </c>
      <c r="S609" s="147">
        <f>LARGE($R$603:$R$616,7)</f>
        <v>0</v>
      </c>
      <c r="T609" s="544">
        <f t="shared" si="103"/>
        <v>0</v>
      </c>
      <c r="U609" s="548">
        <f t="shared" si="101"/>
        <v>0</v>
      </c>
      <c r="V609" s="190">
        <f t="shared" si="102"/>
        <v>0</v>
      </c>
      <c r="W609" s="10"/>
      <c r="X609" s="10"/>
      <c r="Z609" s="10"/>
      <c r="AA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row>
    <row r="610" spans="2:109" ht="15" customHeight="1" x14ac:dyDescent="0.2">
      <c r="B610" s="791" t="s">
        <v>383</v>
      </c>
      <c r="C610" s="791"/>
      <c r="D610" s="791"/>
      <c r="E610" s="755">
        <f>P589</f>
        <v>0</v>
      </c>
      <c r="F610" s="755"/>
      <c r="G610" s="1005"/>
      <c r="H610" s="1005"/>
      <c r="I610" s="914">
        <f t="shared" si="99"/>
        <v>0</v>
      </c>
      <c r="J610" s="738"/>
      <c r="K610" s="623"/>
      <c r="L610" s="624"/>
      <c r="M610" s="624"/>
      <c r="N610" s="624"/>
      <c r="O610" s="625"/>
      <c r="P610" s="961"/>
      <c r="R610" s="548">
        <f t="shared" si="100"/>
        <v>0</v>
      </c>
      <c r="S610" s="147">
        <f>LARGE($R$603:$R$616,8)</f>
        <v>0</v>
      </c>
      <c r="T610" s="544">
        <f t="shared" si="103"/>
        <v>0</v>
      </c>
      <c r="U610" s="548">
        <f t="shared" si="101"/>
        <v>0</v>
      </c>
      <c r="V610" s="190">
        <f t="shared" si="102"/>
        <v>0</v>
      </c>
      <c r="W610" s="10"/>
      <c r="X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row>
    <row r="611" spans="2:109" ht="15.75" customHeight="1" x14ac:dyDescent="0.2">
      <c r="B611" s="791" t="s">
        <v>1012</v>
      </c>
      <c r="C611" s="791"/>
      <c r="D611" s="791"/>
      <c r="E611" s="755">
        <f>P591</f>
        <v>0</v>
      </c>
      <c r="F611" s="755"/>
      <c r="G611" s="1005"/>
      <c r="H611" s="1005"/>
      <c r="I611" s="914">
        <f t="shared" si="99"/>
        <v>0</v>
      </c>
      <c r="J611" s="914"/>
      <c r="K611" s="970" t="str">
        <f>IF(AND(OR(P578&gt;0,P514&gt;0,P596&gt;0),E615&gt;0),"A value has been granted for motor loss. Additional impairment values are not allowed for weakness, chronic condition, or reduced range of motion in the same extremity.","")</f>
        <v/>
      </c>
      <c r="L611" s="971"/>
      <c r="M611" s="971"/>
      <c r="N611" s="971"/>
      <c r="O611" s="972"/>
      <c r="P611" s="961"/>
      <c r="R611" s="548">
        <f t="shared" si="100"/>
        <v>0</v>
      </c>
      <c r="S611" s="147">
        <f>LARGE($R$603:$R$616,9)</f>
        <v>0</v>
      </c>
      <c r="T611" s="544">
        <f t="shared" si="103"/>
        <v>0</v>
      </c>
      <c r="U611" s="548">
        <f t="shared" si="101"/>
        <v>0</v>
      </c>
      <c r="V611" s="190">
        <f t="shared" si="102"/>
        <v>0</v>
      </c>
      <c r="W611" s="10"/>
      <c r="X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c r="CZ611" s="10"/>
      <c r="DA611" s="10"/>
      <c r="DB611" s="10"/>
      <c r="DC611" s="10"/>
      <c r="DD611" s="10"/>
      <c r="DE611" s="10"/>
    </row>
    <row r="612" spans="2:109" ht="15.75" customHeight="1" x14ac:dyDescent="0.2">
      <c r="B612" s="791" t="s">
        <v>1235</v>
      </c>
      <c r="C612" s="791"/>
      <c r="D612" s="791"/>
      <c r="E612" s="755">
        <f>P592</f>
        <v>0</v>
      </c>
      <c r="F612" s="755"/>
      <c r="G612" s="1005"/>
      <c r="H612" s="1005"/>
      <c r="I612" s="914">
        <f t="shared" si="99"/>
        <v>0</v>
      </c>
      <c r="J612" s="914"/>
      <c r="K612" s="970"/>
      <c r="L612" s="971"/>
      <c r="M612" s="971"/>
      <c r="N612" s="971"/>
      <c r="O612" s="972"/>
      <c r="P612" s="961"/>
      <c r="R612" s="548">
        <f t="shared" si="100"/>
        <v>0</v>
      </c>
      <c r="S612" s="147">
        <f>LARGE($R$603:$R$616,10)</f>
        <v>0</v>
      </c>
      <c r="T612" s="544">
        <f t="shared" si="103"/>
        <v>0</v>
      </c>
      <c r="U612" s="548">
        <f t="shared" si="101"/>
        <v>0</v>
      </c>
      <c r="V612" s="190">
        <f t="shared" si="102"/>
        <v>0</v>
      </c>
      <c r="W612" s="10"/>
      <c r="X612" s="10"/>
      <c r="Z612" s="10"/>
      <c r="AA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c r="CZ612" s="10"/>
      <c r="DA612" s="10"/>
      <c r="DB612" s="10"/>
      <c r="DC612" s="10"/>
      <c r="DD612" s="10"/>
      <c r="DE612" s="10"/>
    </row>
    <row r="613" spans="2:109" ht="15.75" customHeight="1" x14ac:dyDescent="0.2">
      <c r="B613" s="791" t="s">
        <v>1607</v>
      </c>
      <c r="C613" s="791"/>
      <c r="D613" s="791"/>
      <c r="E613" s="755">
        <f>IF(E615&gt;0,0,P514)</f>
        <v>0</v>
      </c>
      <c r="F613" s="755"/>
      <c r="G613" s="1005"/>
      <c r="H613" s="1005"/>
      <c r="I613" s="914">
        <f t="shared" si="99"/>
        <v>0</v>
      </c>
      <c r="J613" s="914"/>
      <c r="K613" s="970"/>
      <c r="L613" s="971"/>
      <c r="M613" s="971"/>
      <c r="N613" s="971"/>
      <c r="O613" s="972"/>
      <c r="P613" s="961"/>
      <c r="R613" s="548">
        <f t="shared" si="100"/>
        <v>0</v>
      </c>
      <c r="S613" s="147">
        <f>LARGE($R$603:$R$616,11)</f>
        <v>0</v>
      </c>
      <c r="T613" s="544">
        <f t="shared" si="103"/>
        <v>0</v>
      </c>
      <c r="U613" s="548">
        <f t="shared" si="101"/>
        <v>0</v>
      </c>
      <c r="V613" s="190">
        <f t="shared" si="102"/>
        <v>0</v>
      </c>
      <c r="W613" s="10"/>
      <c r="X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c r="CZ613" s="10"/>
      <c r="DA613" s="10"/>
      <c r="DB613" s="10"/>
      <c r="DC613" s="10"/>
      <c r="DD613" s="10"/>
      <c r="DE613" s="10"/>
    </row>
    <row r="614" spans="2:109" ht="15" customHeight="1" x14ac:dyDescent="0.2">
      <c r="B614" s="791" t="s">
        <v>583</v>
      </c>
      <c r="C614" s="791"/>
      <c r="D614" s="791"/>
      <c r="E614" s="755">
        <f>IF(E615&gt;0,0,P596)</f>
        <v>0</v>
      </c>
      <c r="F614" s="755"/>
      <c r="G614" s="1005"/>
      <c r="H614" s="1005"/>
      <c r="I614" s="914">
        <f t="shared" si="99"/>
        <v>0</v>
      </c>
      <c r="J614" s="914"/>
      <c r="K614" s="970"/>
      <c r="L614" s="971"/>
      <c r="M614" s="971"/>
      <c r="N614" s="971"/>
      <c r="O614" s="972"/>
      <c r="P614" s="961"/>
      <c r="R614" s="548">
        <f t="shared" si="100"/>
        <v>0</v>
      </c>
      <c r="S614" s="147">
        <f>LARGE($R$603:$R$616,12)</f>
        <v>0</v>
      </c>
      <c r="T614" s="544">
        <f t="shared" si="103"/>
        <v>0</v>
      </c>
      <c r="U614" s="548">
        <f t="shared" si="101"/>
        <v>0</v>
      </c>
      <c r="V614" s="190">
        <f t="shared" si="102"/>
        <v>0</v>
      </c>
      <c r="W614" s="10"/>
      <c r="X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c r="CZ614" s="10"/>
      <c r="DA614" s="10"/>
      <c r="DB614" s="10"/>
      <c r="DC614" s="10"/>
      <c r="DD614" s="10"/>
      <c r="DE614" s="10"/>
    </row>
    <row r="615" spans="2:109" ht="15" customHeight="1" x14ac:dyDescent="0.2">
      <c r="B615" s="791" t="s">
        <v>910</v>
      </c>
      <c r="C615" s="791"/>
      <c r="D615" s="791"/>
      <c r="E615" s="755">
        <f>P600</f>
        <v>0</v>
      </c>
      <c r="F615" s="731"/>
      <c r="G615" s="1005"/>
      <c r="H615" s="1005"/>
      <c r="I615" s="914">
        <f t="shared" si="99"/>
        <v>0</v>
      </c>
      <c r="J615" s="914"/>
      <c r="K615" s="970"/>
      <c r="L615" s="971"/>
      <c r="M615" s="971"/>
      <c r="N615" s="971"/>
      <c r="O615" s="972"/>
      <c r="P615" s="961"/>
      <c r="R615" s="548">
        <f t="shared" ref="R615" si="104">IF(I615&gt;0,I615,E615)</f>
        <v>0</v>
      </c>
      <c r="S615" s="147">
        <f>LARGE($R$603:$R$616,13)</f>
        <v>0</v>
      </c>
      <c r="T615" s="544">
        <f t="shared" si="103"/>
        <v>0</v>
      </c>
      <c r="U615" s="548">
        <f t="shared" si="101"/>
        <v>0</v>
      </c>
      <c r="V615" s="190">
        <f t="shared" si="102"/>
        <v>0</v>
      </c>
      <c r="W615" s="10"/>
      <c r="X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row>
    <row r="616" spans="2:109" ht="15" customHeight="1" x14ac:dyDescent="0.2">
      <c r="B616" s="1031" t="s">
        <v>782</v>
      </c>
      <c r="C616" s="1031"/>
      <c r="D616" s="1031"/>
      <c r="E616" s="1022">
        <f>IF(SUM(E603:E615)&gt;0,UETable!AV97,0)</f>
        <v>0</v>
      </c>
      <c r="F616" s="858"/>
      <c r="G616" s="910" t="s">
        <v>1901</v>
      </c>
      <c r="H616" s="910"/>
      <c r="I616" s="1036"/>
      <c r="J616" s="1036"/>
      <c r="K616" s="1099"/>
      <c r="L616" s="1100"/>
      <c r="M616" s="1100"/>
      <c r="N616" s="1100"/>
      <c r="O616" s="1101"/>
      <c r="P616" s="961"/>
      <c r="R616" s="548">
        <f>E616</f>
        <v>0</v>
      </c>
      <c r="S616" s="147">
        <f>LARGE($R$603:$R$616,14)</f>
        <v>0</v>
      </c>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c r="CZ616" s="10"/>
      <c r="DA616" s="10"/>
      <c r="DB616" s="10"/>
      <c r="DC616" s="10"/>
      <c r="DD616" s="10"/>
      <c r="DE616" s="10"/>
    </row>
    <row r="617" spans="2:109" ht="15" customHeight="1" x14ac:dyDescent="0.2">
      <c r="B617" s="956" t="s">
        <v>1256</v>
      </c>
      <c r="C617" s="956"/>
      <c r="D617" s="956"/>
      <c r="E617" s="956"/>
      <c r="F617" s="956"/>
      <c r="G617" s="956"/>
      <c r="H617" s="956"/>
      <c r="I617" s="956"/>
      <c r="J617" s="956"/>
      <c r="K617" s="956"/>
      <c r="L617" s="956"/>
      <c r="M617" s="956"/>
      <c r="N617" s="956"/>
      <c r="O617" s="956"/>
      <c r="P617" s="962"/>
      <c r="R617" s="14"/>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c r="CZ617" s="10"/>
      <c r="DA617" s="10"/>
      <c r="DB617" s="10"/>
      <c r="DC617" s="10"/>
      <c r="DD617" s="10"/>
      <c r="DE617" s="10"/>
    </row>
    <row r="618" spans="2:109" ht="12" customHeight="1" x14ac:dyDescent="0.2">
      <c r="B618" s="777"/>
      <c r="C618" s="777"/>
      <c r="D618" s="777"/>
      <c r="E618" s="777"/>
      <c r="F618" s="777"/>
      <c r="G618" s="777"/>
      <c r="H618" s="777"/>
      <c r="I618" s="777"/>
      <c r="J618" s="777"/>
      <c r="K618" s="777"/>
      <c r="L618" s="777"/>
      <c r="M618" s="777"/>
      <c r="N618" s="777"/>
      <c r="O618" s="777"/>
      <c r="P618" s="777"/>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c r="CZ618" s="10"/>
      <c r="DA618" s="10"/>
      <c r="DB618" s="10"/>
      <c r="DC618" s="10"/>
      <c r="DD618" s="10"/>
      <c r="DE618" s="10"/>
    </row>
    <row r="619" spans="2:109" ht="12" customHeight="1" x14ac:dyDescent="0.2">
      <c r="B619" s="1"/>
      <c r="D619" s="1"/>
      <c r="E619" s="1"/>
      <c r="F619" s="1"/>
      <c r="G619" s="1"/>
      <c r="H619" s="1"/>
      <c r="I619" s="1"/>
      <c r="J619" s="1"/>
      <c r="K619" s="1"/>
      <c r="L619" s="1"/>
      <c r="M619" s="1"/>
      <c r="N619" s="1"/>
      <c r="O619" s="1"/>
      <c r="P619" s="1"/>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c r="CZ619" s="10"/>
      <c r="DA619" s="10"/>
      <c r="DB619" s="10"/>
      <c r="DC619" s="10"/>
      <c r="DD619" s="10"/>
      <c r="DE619" s="10"/>
    </row>
    <row r="620" spans="2:109" ht="36" customHeight="1" x14ac:dyDescent="0.2">
      <c r="B620" s="907" t="s">
        <v>180</v>
      </c>
      <c r="C620" s="945"/>
      <c r="D620" s="945"/>
      <c r="E620" s="945"/>
      <c r="F620" s="945"/>
      <c r="G620" s="945"/>
      <c r="H620" s="945"/>
      <c r="I620" s="945"/>
      <c r="J620" s="945"/>
      <c r="K620" s="945"/>
      <c r="L620" s="945"/>
      <c r="M620" s="945"/>
      <c r="N620" s="945"/>
      <c r="O620" s="945"/>
      <c r="P620" s="946"/>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c r="CZ620" s="10"/>
      <c r="DA620" s="10"/>
      <c r="DB620" s="10"/>
      <c r="DC620" s="10"/>
      <c r="DD620" s="10"/>
      <c r="DE620" s="10"/>
    </row>
    <row r="621" spans="2:109" ht="12" customHeight="1" x14ac:dyDescent="0.2">
      <c r="B621" s="697"/>
      <c r="C621" s="697"/>
      <c r="D621" s="697"/>
      <c r="E621" s="697"/>
      <c r="F621" s="697"/>
      <c r="G621" s="697"/>
      <c r="H621" s="697"/>
      <c r="I621" s="697"/>
      <c r="J621" s="697"/>
      <c r="K621" s="697"/>
      <c r="L621" s="697"/>
      <c r="M621" s="697"/>
      <c r="N621" s="697"/>
      <c r="O621" s="697"/>
      <c r="P621" s="697"/>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c r="CZ621" s="10"/>
      <c r="DA621" s="10"/>
      <c r="DB621" s="10"/>
      <c r="DC621" s="10"/>
      <c r="DD621" s="10"/>
      <c r="DE621" s="10"/>
    </row>
    <row r="622" spans="2:109" ht="30.75" customHeight="1" x14ac:dyDescent="0.2">
      <c r="B622" s="761" t="s">
        <v>397</v>
      </c>
      <c r="C622" s="761"/>
      <c r="D622" s="761"/>
      <c r="E622" s="761"/>
      <c r="F622" s="761"/>
      <c r="G622" s="761"/>
      <c r="H622" s="761"/>
      <c r="I622" s="761"/>
      <c r="J622" s="761"/>
      <c r="K622" s="761"/>
      <c r="L622" s="761"/>
      <c r="M622" s="948"/>
      <c r="N622" s="948"/>
      <c r="O622" s="948"/>
      <c r="P622" s="948"/>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row>
    <row r="623" spans="2:109" ht="37.5" customHeight="1" x14ac:dyDescent="0.2">
      <c r="B623" s="146"/>
      <c r="C623" s="912" t="s">
        <v>1759</v>
      </c>
      <c r="D623" s="910"/>
      <c r="E623" s="146"/>
      <c r="F623" s="907" t="s">
        <v>1257</v>
      </c>
      <c r="G623" s="908"/>
      <c r="H623" s="30"/>
      <c r="I623" s="910" t="s">
        <v>1759</v>
      </c>
      <c r="J623" s="910"/>
      <c r="K623" s="910"/>
      <c r="L623" s="910"/>
      <c r="M623" s="912" t="s">
        <v>1702</v>
      </c>
      <c r="N623" s="912"/>
      <c r="O623" s="912"/>
      <c r="P623" s="912"/>
      <c r="R623" s="10"/>
      <c r="S623" s="50" t="s">
        <v>1701</v>
      </c>
      <c r="T623" s="50" t="s">
        <v>1287</v>
      </c>
      <c r="U623" s="498" t="s">
        <v>1837</v>
      </c>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c r="CZ623" s="10"/>
      <c r="DA623" s="10"/>
      <c r="DB623" s="10"/>
      <c r="DC623" s="10"/>
      <c r="DD623" s="10"/>
      <c r="DE623" s="10"/>
    </row>
    <row r="624" spans="2:109" ht="18" customHeight="1" x14ac:dyDescent="0.2">
      <c r="B624" s="146" t="s">
        <v>1896</v>
      </c>
      <c r="C624" s="755">
        <f>P60</f>
        <v>0</v>
      </c>
      <c r="D624" s="731"/>
      <c r="E624" s="18" t="s">
        <v>1754</v>
      </c>
      <c r="F624" s="1023">
        <v>0.15</v>
      </c>
      <c r="G624" s="1023"/>
      <c r="H624" s="18" t="s">
        <v>1756</v>
      </c>
      <c r="I624" s="914">
        <f>IF(C634&lt;R1,"DOI&lt;2005",IF($P$522&gt;0,0,T624))</f>
        <v>0</v>
      </c>
      <c r="J624" s="914"/>
      <c r="K624" s="914"/>
      <c r="L624" s="914"/>
      <c r="M624" s="1024" t="str">
        <f>IF(C624=0,"",IF($P$522&gt;0,"Converted",""))</f>
        <v/>
      </c>
      <c r="N624" s="1024"/>
      <c r="O624" s="1024"/>
      <c r="P624" s="1024"/>
      <c r="R624" s="10"/>
      <c r="S624" s="583">
        <f>IF(AND(C624*F624&gt;0,C624*F624&lt;0.01),0.01,C624*F624)</f>
        <v>0</v>
      </c>
      <c r="T624" s="147">
        <f t="shared" ref="T624:T630" si="105">ROUND(S624,2)</f>
        <v>0</v>
      </c>
      <c r="U624" s="563">
        <f>SUM(E532:E561)</f>
        <v>0</v>
      </c>
      <c r="V624" s="50" t="s">
        <v>2167</v>
      </c>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c r="CZ624" s="10"/>
      <c r="DA624" s="10"/>
      <c r="DB624" s="10"/>
      <c r="DC624" s="10"/>
      <c r="DD624" s="10"/>
      <c r="DE624" s="10"/>
    </row>
    <row r="625" spans="2:109" ht="18" customHeight="1" x14ac:dyDescent="0.2">
      <c r="B625" s="146" t="s">
        <v>112</v>
      </c>
      <c r="C625" s="755">
        <f>P137</f>
        <v>0</v>
      </c>
      <c r="D625" s="731"/>
      <c r="E625" s="18" t="s">
        <v>1754</v>
      </c>
      <c r="F625" s="1023">
        <v>0.08</v>
      </c>
      <c r="G625" s="1023"/>
      <c r="H625" s="18" t="s">
        <v>1756</v>
      </c>
      <c r="I625" s="914">
        <f>IF(C634&lt;R1,"DOI&lt;2005",IF($P$522&gt;0,0,T625))</f>
        <v>0</v>
      </c>
      <c r="J625" s="914"/>
      <c r="K625" s="914"/>
      <c r="L625" s="914"/>
      <c r="M625" s="1024" t="str">
        <f>IF(C625=0,"",IF($P$522&gt;0,"Converted",""))</f>
        <v/>
      </c>
      <c r="N625" s="1024"/>
      <c r="O625" s="1024"/>
      <c r="P625" s="1024"/>
      <c r="R625" s="10"/>
      <c r="S625" s="583">
        <f t="shared" ref="S625:S630" si="106">IF(AND(C625*F625&gt;0,C625*F625&lt;0.01),0.01,C625*F625)</f>
        <v>0</v>
      </c>
      <c r="T625" s="147">
        <f t="shared" si="105"/>
        <v>0</v>
      </c>
      <c r="U625" s="563">
        <f>SUM(E603:E615)</f>
        <v>0</v>
      </c>
      <c r="V625" s="50" t="s">
        <v>2168</v>
      </c>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c r="CZ625" s="10"/>
      <c r="DA625" s="10"/>
      <c r="DB625" s="10"/>
      <c r="DC625" s="10"/>
      <c r="DD625" s="10"/>
      <c r="DE625" s="10"/>
    </row>
    <row r="626" spans="2:109" ht="18" customHeight="1" x14ac:dyDescent="0.2">
      <c r="B626" s="146" t="s">
        <v>114</v>
      </c>
      <c r="C626" s="755">
        <f>P214</f>
        <v>0</v>
      </c>
      <c r="D626" s="731"/>
      <c r="E626" s="18" t="s">
        <v>1754</v>
      </c>
      <c r="F626" s="1023">
        <v>7.0000000000000007E-2</v>
      </c>
      <c r="G626" s="1023"/>
      <c r="H626" s="18" t="s">
        <v>1756</v>
      </c>
      <c r="I626" s="914">
        <f>IF(C634&lt;R1,"DOI&lt;2005",IF($P$522&gt;0,0,T626))</f>
        <v>0</v>
      </c>
      <c r="J626" s="914"/>
      <c r="K626" s="914"/>
      <c r="L626" s="914"/>
      <c r="M626" s="1024" t="str">
        <f>IF(C626=0,"",IF($P$522&gt;0,"Converted",""))</f>
        <v/>
      </c>
      <c r="N626" s="1024"/>
      <c r="O626" s="1024"/>
      <c r="P626" s="1024"/>
      <c r="R626" s="10"/>
      <c r="S626" s="583">
        <f t="shared" si="106"/>
        <v>0</v>
      </c>
      <c r="T626" s="147">
        <f t="shared" si="105"/>
        <v>0</v>
      </c>
      <c r="U626" s="594">
        <f>IF(AND(U624&gt;0,U625&gt;0),1,0)</f>
        <v>0</v>
      </c>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c r="CZ626" s="10"/>
      <c r="DA626" s="10"/>
      <c r="DB626" s="10"/>
      <c r="DC626" s="10"/>
      <c r="DD626" s="10"/>
      <c r="DE626" s="10"/>
    </row>
    <row r="627" spans="2:109" ht="18" customHeight="1" x14ac:dyDescent="0.2">
      <c r="B627" s="146" t="s">
        <v>116</v>
      </c>
      <c r="C627" s="755">
        <f>P289</f>
        <v>0</v>
      </c>
      <c r="D627" s="731"/>
      <c r="E627" s="18" t="s">
        <v>1754</v>
      </c>
      <c r="F627" s="1023">
        <v>0.03</v>
      </c>
      <c r="G627" s="1023"/>
      <c r="H627" s="18" t="s">
        <v>1756</v>
      </c>
      <c r="I627" s="914">
        <f>IF(C634&lt;R1,"DOI&lt;2005",IF($P$522&gt;0,0,T627))</f>
        <v>0</v>
      </c>
      <c r="J627" s="914"/>
      <c r="K627" s="914"/>
      <c r="L627" s="914"/>
      <c r="M627" s="1024" t="str">
        <f>IF(C627=0,"",IF($P$522&gt;0,"Converted",""))</f>
        <v/>
      </c>
      <c r="N627" s="1024"/>
      <c r="O627" s="1024"/>
      <c r="P627" s="1024"/>
      <c r="R627" s="10"/>
      <c r="S627" s="583">
        <f t="shared" si="106"/>
        <v>0</v>
      </c>
      <c r="T627" s="147">
        <f t="shared" si="105"/>
        <v>0</v>
      </c>
      <c r="U627" s="14"/>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c r="CZ627" s="10"/>
      <c r="DA627" s="10"/>
      <c r="DB627" s="10"/>
      <c r="DC627" s="10"/>
      <c r="DD627" s="10"/>
      <c r="DE627" s="10"/>
    </row>
    <row r="628" spans="2:109" ht="18" customHeight="1" x14ac:dyDescent="0.2">
      <c r="B628" s="146" t="s">
        <v>1366</v>
      </c>
      <c r="C628" s="755">
        <f>P364</f>
        <v>0</v>
      </c>
      <c r="D628" s="731"/>
      <c r="E628" s="18" t="s">
        <v>1754</v>
      </c>
      <c r="F628" s="1023">
        <v>0.02</v>
      </c>
      <c r="G628" s="1023"/>
      <c r="H628" s="18" t="s">
        <v>1756</v>
      </c>
      <c r="I628" s="914">
        <f>IF(C634&lt;R1,"DOI&lt;2005",IF($P$522&gt;0,0,T628))</f>
        <v>0</v>
      </c>
      <c r="J628" s="914"/>
      <c r="K628" s="914"/>
      <c r="L628" s="914"/>
      <c r="M628" s="1024" t="str">
        <f>IF(C628=0,"",IF($P$522&gt;0,"Converted",""))</f>
        <v/>
      </c>
      <c r="N628" s="1024"/>
      <c r="O628" s="1024"/>
      <c r="P628" s="1024"/>
      <c r="R628" s="10"/>
      <c r="S628" s="583">
        <f t="shared" si="106"/>
        <v>0</v>
      </c>
      <c r="T628" s="147">
        <f t="shared" si="105"/>
        <v>0</v>
      </c>
      <c r="U628" s="14"/>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c r="CZ628" s="10"/>
      <c r="DA628" s="10"/>
      <c r="DB628" s="10"/>
      <c r="DC628" s="10"/>
      <c r="DD628" s="10"/>
      <c r="DE628" s="10"/>
    </row>
    <row r="629" spans="2:109" ht="18" customHeight="1" x14ac:dyDescent="0.2">
      <c r="B629" s="146" t="s">
        <v>602</v>
      </c>
      <c r="C629" s="755">
        <f>P531</f>
        <v>0</v>
      </c>
      <c r="D629" s="731"/>
      <c r="E629" s="18" t="s">
        <v>1754</v>
      </c>
      <c r="F629" s="1023">
        <v>0.47</v>
      </c>
      <c r="G629" s="1023"/>
      <c r="H629" s="18" t="s">
        <v>1756</v>
      </c>
      <c r="I629" s="914">
        <f>IF(C634&lt;R1,"DOI&lt;2005",IF(AND(C629&gt;0,C630&gt;0),0,T629))</f>
        <v>0</v>
      </c>
      <c r="J629" s="914"/>
      <c r="K629" s="914"/>
      <c r="L629" s="914"/>
      <c r="M629" s="1024" t="str">
        <f>IF(C629=0,"",IF(U626=1,"Converted",""))</f>
        <v/>
      </c>
      <c r="N629" s="1024"/>
      <c r="O629" s="1024"/>
      <c r="P629" s="1024"/>
      <c r="R629" s="10"/>
      <c r="S629" s="583">
        <f t="shared" si="106"/>
        <v>0</v>
      </c>
      <c r="T629" s="147">
        <f t="shared" si="105"/>
        <v>0</v>
      </c>
      <c r="U629" s="14"/>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c r="CZ629" s="10"/>
      <c r="DA629" s="10"/>
      <c r="DB629" s="10"/>
      <c r="DC629" s="10"/>
      <c r="DD629" s="10"/>
      <c r="DE629" s="10"/>
    </row>
    <row r="630" spans="2:109" ht="18" customHeight="1" x14ac:dyDescent="0.2">
      <c r="B630" s="146" t="s">
        <v>873</v>
      </c>
      <c r="C630" s="755">
        <f>P602</f>
        <v>0</v>
      </c>
      <c r="D630" s="731"/>
      <c r="E630" s="18" t="s">
        <v>1754</v>
      </c>
      <c r="F630" s="1023">
        <v>0.6</v>
      </c>
      <c r="G630" s="1023"/>
      <c r="H630" s="18" t="s">
        <v>1756</v>
      </c>
      <c r="I630" s="914">
        <f>IF(C634&lt;R1,"DOI&lt;2005",T630)</f>
        <v>0</v>
      </c>
      <c r="J630" s="914"/>
      <c r="K630" s="914"/>
      <c r="L630" s="914"/>
      <c r="M630" s="1024"/>
      <c r="N630" s="1024"/>
      <c r="O630" s="1024"/>
      <c r="P630" s="1024"/>
      <c r="R630" s="10"/>
      <c r="S630" s="583">
        <f t="shared" si="106"/>
        <v>0</v>
      </c>
      <c r="T630" s="147">
        <f t="shared" si="105"/>
        <v>0</v>
      </c>
      <c r="U630" s="14"/>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c r="CZ630" s="10"/>
      <c r="DA630" s="10"/>
      <c r="DB630" s="10"/>
      <c r="DC630" s="10"/>
      <c r="DD630" s="10"/>
      <c r="DE630" s="10"/>
    </row>
    <row r="632" spans="2:109" ht="36" customHeight="1" x14ac:dyDescent="0.2">
      <c r="B632" s="907" t="s">
        <v>1349</v>
      </c>
      <c r="C632" s="945"/>
      <c r="D632" s="945"/>
      <c r="E632" s="945"/>
      <c r="F632" s="945"/>
      <c r="G632" s="945"/>
      <c r="H632" s="945"/>
      <c r="I632" s="945"/>
      <c r="J632" s="945"/>
      <c r="K632" s="945"/>
      <c r="L632" s="945"/>
      <c r="M632" s="945"/>
      <c r="N632" s="945"/>
      <c r="O632" s="945"/>
      <c r="P632" s="946"/>
    </row>
    <row r="633" spans="2:109" ht="12" customHeight="1" x14ac:dyDescent="0.2">
      <c r="B633" s="697"/>
      <c r="C633" s="697"/>
      <c r="D633" s="697"/>
      <c r="E633" s="697"/>
      <c r="F633" s="697"/>
      <c r="G633" s="697"/>
      <c r="H633" s="697"/>
      <c r="I633" s="697"/>
      <c r="J633" s="697"/>
      <c r="K633" s="697"/>
      <c r="L633" s="697"/>
      <c r="M633" s="697"/>
      <c r="N633" s="697"/>
      <c r="O633" s="697"/>
      <c r="P633" s="697"/>
    </row>
    <row r="634" spans="2:109" ht="19.5" customHeight="1" x14ac:dyDescent="0.2">
      <c r="B634" s="39" t="s">
        <v>1170</v>
      </c>
      <c r="C634" s="760" t="str">
        <f>IF('Start here'!A8="","",'Start here'!A8)</f>
        <v/>
      </c>
      <c r="D634" s="1038"/>
      <c r="E634" s="1039"/>
      <c r="F634" s="1040" t="str">
        <f>IF(C634="","Enter date of injury on worksheet named: Start here.","")</f>
        <v>Enter date of injury on worksheet named: Start here.</v>
      </c>
      <c r="G634" s="1041"/>
      <c r="H634" s="1041"/>
      <c r="I634" s="1041"/>
      <c r="J634" s="1041"/>
      <c r="K634" s="1041"/>
      <c r="L634" s="1041"/>
      <c r="M634" s="1041"/>
      <c r="N634" s="1041"/>
      <c r="O634" s="1041"/>
      <c r="P634" s="1041"/>
    </row>
    <row r="635" spans="2:109" ht="12" customHeight="1" x14ac:dyDescent="0.2">
      <c r="B635" s="697"/>
      <c r="C635" s="697"/>
      <c r="D635" s="697"/>
      <c r="E635" s="697"/>
      <c r="F635" s="697"/>
      <c r="G635" s="697"/>
      <c r="H635" s="697"/>
      <c r="I635" s="697"/>
      <c r="J635" s="697"/>
      <c r="K635" s="697"/>
      <c r="L635" s="697"/>
      <c r="M635" s="697"/>
      <c r="N635" s="697"/>
      <c r="O635" s="697"/>
      <c r="P635" s="697"/>
    </row>
    <row r="636" spans="2:109" ht="30.75" customHeight="1" x14ac:dyDescent="0.2">
      <c r="B636" s="761" t="s">
        <v>397</v>
      </c>
      <c r="C636" s="761"/>
      <c r="D636" s="761"/>
      <c r="E636" s="761"/>
      <c r="F636" s="761"/>
      <c r="G636" s="761"/>
      <c r="H636" s="761"/>
      <c r="I636" s="761"/>
      <c r="J636" s="761"/>
      <c r="K636" s="761"/>
      <c r="L636" s="761"/>
      <c r="M636" s="761"/>
      <c r="N636" s="761"/>
      <c r="O636" s="761"/>
      <c r="P636" s="761"/>
      <c r="R636" s="947" t="s">
        <v>2147</v>
      </c>
    </row>
    <row r="637" spans="2:109" ht="33.75" customHeight="1" x14ac:dyDescent="0.2">
      <c r="B637" s="146"/>
      <c r="C637" s="912" t="s">
        <v>1759</v>
      </c>
      <c r="D637" s="910"/>
      <c r="E637" s="146"/>
      <c r="F637" s="912" t="s">
        <v>1171</v>
      </c>
      <c r="G637" s="912"/>
      <c r="H637" s="910" t="s">
        <v>355</v>
      </c>
      <c r="I637" s="910"/>
      <c r="J637" s="910"/>
      <c r="K637" s="18"/>
      <c r="L637" s="912" t="s">
        <v>1172</v>
      </c>
      <c r="M637" s="912"/>
      <c r="N637" s="18"/>
      <c r="O637" s="944" t="s">
        <v>1173</v>
      </c>
      <c r="P637" s="946"/>
      <c r="R637" s="947"/>
    </row>
    <row r="638" spans="2:109" ht="18" customHeight="1" x14ac:dyDescent="0.2">
      <c r="B638" s="146" t="s">
        <v>1896</v>
      </c>
      <c r="C638" s="755">
        <f>P60</f>
        <v>0</v>
      </c>
      <c r="D638" s="731"/>
      <c r="E638" s="18" t="s">
        <v>1754</v>
      </c>
      <c r="F638" s="18">
        <v>48</v>
      </c>
      <c r="G638" s="18" t="s">
        <v>1756</v>
      </c>
      <c r="H638" s="1025">
        <f t="shared" ref="H638:H644" si="107">C638*F638</f>
        <v>0</v>
      </c>
      <c r="I638" s="1025"/>
      <c r="J638" s="1025"/>
      <c r="K638" s="18" t="s">
        <v>1754</v>
      </c>
      <c r="L638" s="1016">
        <f>IF($C$634="",0,'Dol Per Deg'!$H$11)</f>
        <v>0</v>
      </c>
      <c r="M638" s="1016"/>
      <c r="N638" s="18" t="s">
        <v>1756</v>
      </c>
      <c r="O638" s="1016" t="str">
        <f>IF(C634&gt;=R1,"DOI&gt;2004",IF($P$522&gt;0,"Converted",H638*L638))</f>
        <v>DOI&gt;2004</v>
      </c>
      <c r="P638" s="1016"/>
      <c r="R638" s="365">
        <f>IF(O638="Converted",0,C638)</f>
        <v>0</v>
      </c>
    </row>
    <row r="639" spans="2:109" ht="18" customHeight="1" x14ac:dyDescent="0.2">
      <c r="B639" s="146" t="s">
        <v>112</v>
      </c>
      <c r="C639" s="755">
        <f>P137</f>
        <v>0</v>
      </c>
      <c r="D639" s="731"/>
      <c r="E639" s="18" t="s">
        <v>1754</v>
      </c>
      <c r="F639" s="18">
        <v>24</v>
      </c>
      <c r="G639" s="18" t="s">
        <v>1756</v>
      </c>
      <c r="H639" s="1025">
        <f t="shared" si="107"/>
        <v>0</v>
      </c>
      <c r="I639" s="1025"/>
      <c r="J639" s="1025"/>
      <c r="K639" s="18" t="s">
        <v>1754</v>
      </c>
      <c r="L639" s="1016">
        <f>IF($C$634="",0,'Dol Per Deg'!$H$11)</f>
        <v>0</v>
      </c>
      <c r="M639" s="1016"/>
      <c r="N639" s="18" t="s">
        <v>1756</v>
      </c>
      <c r="O639" s="1016" t="str">
        <f>IF(C634&gt;=R1,"DOI&gt;2004",IF($P$522&gt;0,"Converted",H639*L639))</f>
        <v>DOI&gt;2004</v>
      </c>
      <c r="P639" s="1016"/>
      <c r="R639" s="365">
        <f t="shared" ref="R639:R644" si="108">IF(O639="Converted",0,C639)</f>
        <v>0</v>
      </c>
    </row>
    <row r="640" spans="2:109" ht="18" customHeight="1" x14ac:dyDescent="0.2">
      <c r="B640" s="146" t="s">
        <v>114</v>
      </c>
      <c r="C640" s="755">
        <f>P214</f>
        <v>0</v>
      </c>
      <c r="D640" s="731"/>
      <c r="E640" s="18" t="s">
        <v>1754</v>
      </c>
      <c r="F640" s="18">
        <v>22</v>
      </c>
      <c r="G640" s="18" t="s">
        <v>1756</v>
      </c>
      <c r="H640" s="1025">
        <f t="shared" si="107"/>
        <v>0</v>
      </c>
      <c r="I640" s="1025"/>
      <c r="J640" s="1025"/>
      <c r="K640" s="18" t="s">
        <v>1754</v>
      </c>
      <c r="L640" s="1016">
        <f>IF($C$634="",0,'Dol Per Deg'!$H$11)</f>
        <v>0</v>
      </c>
      <c r="M640" s="1016"/>
      <c r="N640" s="18" t="s">
        <v>1756</v>
      </c>
      <c r="O640" s="1016" t="str">
        <f>IF(C634&gt;=R1,"DOI&gt;2004",IF($P$522&gt;0,"Converted",H640*L640))</f>
        <v>DOI&gt;2004</v>
      </c>
      <c r="P640" s="1016"/>
      <c r="R640" s="365">
        <f t="shared" si="108"/>
        <v>0</v>
      </c>
    </row>
    <row r="641" spans="2:241" ht="18" customHeight="1" x14ac:dyDescent="0.2">
      <c r="B641" s="146" t="s">
        <v>116</v>
      </c>
      <c r="C641" s="755">
        <f>P289</f>
        <v>0</v>
      </c>
      <c r="D641" s="731"/>
      <c r="E641" s="18" t="s">
        <v>1754</v>
      </c>
      <c r="F641" s="18">
        <v>10</v>
      </c>
      <c r="G641" s="18" t="s">
        <v>1756</v>
      </c>
      <c r="H641" s="1025">
        <f t="shared" si="107"/>
        <v>0</v>
      </c>
      <c r="I641" s="1025"/>
      <c r="J641" s="1025"/>
      <c r="K641" s="18" t="s">
        <v>1754</v>
      </c>
      <c r="L641" s="1016">
        <f>IF($C$634="",0,'Dol Per Deg'!$H$11)</f>
        <v>0</v>
      </c>
      <c r="M641" s="1016"/>
      <c r="N641" s="18" t="s">
        <v>1756</v>
      </c>
      <c r="O641" s="1016" t="str">
        <f>IF(C634&gt;=R1,"DOI&gt;2004",IF($P$522&gt;0,"Converted",H641*L641))</f>
        <v>DOI&gt;2004</v>
      </c>
      <c r="P641" s="1016"/>
      <c r="R641" s="365">
        <f t="shared" si="108"/>
        <v>0</v>
      </c>
    </row>
    <row r="642" spans="2:241" ht="18" customHeight="1" x14ac:dyDescent="0.2">
      <c r="B642" s="146" t="s">
        <v>1366</v>
      </c>
      <c r="C642" s="755">
        <f>P364</f>
        <v>0</v>
      </c>
      <c r="D642" s="731"/>
      <c r="E642" s="18" t="s">
        <v>1754</v>
      </c>
      <c r="F642" s="18">
        <v>6</v>
      </c>
      <c r="G642" s="18" t="s">
        <v>1756</v>
      </c>
      <c r="H642" s="845">
        <f t="shared" si="107"/>
        <v>0</v>
      </c>
      <c r="I642" s="845"/>
      <c r="J642" s="845"/>
      <c r="K642" s="18" t="s">
        <v>1754</v>
      </c>
      <c r="L642" s="1016">
        <f>IF($C$634="",0,'Dol Per Deg'!$H$11)</f>
        <v>0</v>
      </c>
      <c r="M642" s="1016"/>
      <c r="N642" s="18" t="s">
        <v>1756</v>
      </c>
      <c r="O642" s="1016" t="str">
        <f>IF(C634&gt;=R1,"DOI&gt;2004",IF($P$522&gt;0,"Converted",H642*L642))</f>
        <v>DOI&gt;2004</v>
      </c>
      <c r="P642" s="1016"/>
      <c r="R642" s="365">
        <f t="shared" si="108"/>
        <v>0</v>
      </c>
    </row>
    <row r="643" spans="2:241" ht="18" customHeight="1" x14ac:dyDescent="0.2">
      <c r="B643" s="146" t="s">
        <v>602</v>
      </c>
      <c r="C643" s="755">
        <f>P531</f>
        <v>0</v>
      </c>
      <c r="D643" s="731"/>
      <c r="E643" s="18" t="s">
        <v>1754</v>
      </c>
      <c r="F643" s="18">
        <v>150</v>
      </c>
      <c r="G643" s="18" t="s">
        <v>1756</v>
      </c>
      <c r="H643" s="845">
        <f t="shared" si="107"/>
        <v>0</v>
      </c>
      <c r="I643" s="845"/>
      <c r="J643" s="845"/>
      <c r="K643" s="18" t="s">
        <v>1754</v>
      </c>
      <c r="L643" s="1016">
        <f>IF($C$634="",0,'Dol Per Deg'!$H$11)</f>
        <v>0</v>
      </c>
      <c r="M643" s="1016"/>
      <c r="N643" s="18" t="s">
        <v>1756</v>
      </c>
      <c r="O643" s="1016" t="str">
        <f>IF(C634&gt;=R1,"DOI&gt;2004",IF(AND(C643&gt;0,C644&gt;0),"Converted",H643*L643))</f>
        <v>DOI&gt;2004</v>
      </c>
      <c r="P643" s="1016"/>
      <c r="R643" s="365">
        <f t="shared" si="108"/>
        <v>0</v>
      </c>
    </row>
    <row r="644" spans="2:241" ht="18" customHeight="1" x14ac:dyDescent="0.2">
      <c r="B644" s="146" t="s">
        <v>873</v>
      </c>
      <c r="C644" s="914">
        <f>P602</f>
        <v>0</v>
      </c>
      <c r="D644" s="914"/>
      <c r="E644" s="18" t="s">
        <v>1754</v>
      </c>
      <c r="F644" s="18">
        <v>192</v>
      </c>
      <c r="G644" s="18" t="s">
        <v>1756</v>
      </c>
      <c r="H644" s="845">
        <f t="shared" si="107"/>
        <v>0</v>
      </c>
      <c r="I644" s="845"/>
      <c r="J644" s="845"/>
      <c r="K644" s="18" t="s">
        <v>1754</v>
      </c>
      <c r="L644" s="1016">
        <f>IF($C$634="",0,'Dol Per Deg'!$H$11)</f>
        <v>0</v>
      </c>
      <c r="M644" s="1016"/>
      <c r="N644" s="18" t="s">
        <v>1756</v>
      </c>
      <c r="O644" s="1016" t="str">
        <f>IF(C634&gt;=R1,"DOI&gt;2004",H644*L644)</f>
        <v>DOI&gt;2004</v>
      </c>
      <c r="P644" s="1016"/>
      <c r="R644" s="365">
        <f t="shared" si="108"/>
        <v>0</v>
      </c>
    </row>
    <row r="645" spans="2:241" ht="36.75" customHeight="1" x14ac:dyDescent="0.25">
      <c r="B645" s="1037" t="s">
        <v>931</v>
      </c>
      <c r="C645" s="1037"/>
      <c r="D645" s="1037"/>
      <c r="E645" s="1037"/>
      <c r="F645" s="1037"/>
      <c r="G645" s="1037"/>
      <c r="H645" s="1037"/>
      <c r="I645" s="1037"/>
      <c r="J645" s="1037"/>
      <c r="K645" s="1037"/>
      <c r="L645" s="1037"/>
      <c r="M645" s="1037"/>
      <c r="N645" s="1037"/>
      <c r="O645" s="1037"/>
      <c r="P645" s="1037"/>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row>
    <row r="646" spans="2:241" x14ac:dyDescent="0.2">
      <c r="B646" s="243" t="s">
        <v>775</v>
      </c>
      <c r="C646" s="1092" t="str">
        <f>IF(S1&lt;&gt;"",S1,"")</f>
        <v>Go to PPD Worksheet</v>
      </c>
      <c r="D646" s="1092"/>
      <c r="E646" s="1092"/>
      <c r="F646" s="1092"/>
      <c r="G646" s="1092"/>
      <c r="H646" s="1092"/>
      <c r="I646" s="1092"/>
      <c r="J646" s="1093" t="str">
        <f>IF(S2&lt;&gt;"",S2,"")</f>
        <v/>
      </c>
      <c r="K646" s="1093"/>
      <c r="L646" s="1093"/>
      <c r="M646" s="1093"/>
      <c r="N646" s="1093"/>
      <c r="P646" s="15"/>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row>
    <row r="647" spans="2:241" x14ac:dyDescent="0.2">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c r="CG647" s="10"/>
      <c r="CH647" s="10"/>
      <c r="CI647" s="10"/>
      <c r="CJ647" s="10"/>
      <c r="CK647" s="10"/>
      <c r="CL647" s="10"/>
      <c r="CM647" s="10"/>
      <c r="CN647" s="10"/>
      <c r="CO647" s="10"/>
      <c r="CP647" s="10"/>
      <c r="CQ647" s="10"/>
      <c r="CR647" s="10"/>
      <c r="CS647" s="10"/>
      <c r="CT647" s="10"/>
      <c r="CU647" s="10"/>
      <c r="CV647" s="10"/>
      <c r="CW647" s="10"/>
      <c r="CX647" s="10"/>
      <c r="CY647" s="10"/>
      <c r="CZ647" s="10"/>
      <c r="DA647" s="10"/>
      <c r="DB647" s="10"/>
      <c r="DC647" s="10"/>
      <c r="DD647" s="10"/>
      <c r="DE647" s="10"/>
    </row>
    <row r="648" spans="2:241" x14ac:dyDescent="0.2">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c r="CG648" s="10"/>
      <c r="CH648" s="10"/>
      <c r="CI648" s="10"/>
      <c r="CJ648" s="10"/>
      <c r="CK648" s="10"/>
      <c r="CL648" s="10"/>
      <c r="CM648" s="10"/>
      <c r="CN648" s="10"/>
      <c r="CO648" s="10"/>
      <c r="CP648" s="10"/>
      <c r="CQ648" s="10"/>
      <c r="CR648" s="10"/>
      <c r="CS648" s="10"/>
      <c r="CT648" s="10"/>
      <c r="CU648" s="10"/>
      <c r="CV648" s="10"/>
      <c r="CW648" s="10"/>
      <c r="CX648" s="10"/>
      <c r="CY648" s="10"/>
      <c r="CZ648" s="10"/>
      <c r="DA648" s="10"/>
      <c r="DB648" s="10"/>
      <c r="DC648" s="10"/>
      <c r="DD648" s="10"/>
      <c r="DE648" s="10"/>
    </row>
    <row r="649" spans="2:241" hidden="1" x14ac:dyDescent="0.2">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c r="CG649" s="10"/>
      <c r="CH649" s="10"/>
      <c r="CI649" s="10"/>
      <c r="CJ649" s="10"/>
      <c r="CK649" s="10"/>
      <c r="CL649" s="10"/>
      <c r="CM649" s="10"/>
      <c r="CN649" s="10"/>
      <c r="CO649" s="10"/>
      <c r="CP649" s="10"/>
      <c r="CQ649" s="10"/>
      <c r="CR649" s="10"/>
      <c r="CS649" s="10"/>
      <c r="CT649" s="10"/>
      <c r="CU649" s="10"/>
      <c r="CV649" s="10"/>
      <c r="CW649" s="10"/>
      <c r="CX649" s="10"/>
      <c r="CY649" s="10"/>
      <c r="CZ649" s="10"/>
      <c r="DA649" s="10"/>
      <c r="DB649" s="10"/>
      <c r="DC649" s="10"/>
      <c r="DD649" s="10"/>
      <c r="DE649" s="10"/>
    </row>
    <row r="650" spans="2:241" s="171" customFormat="1" hidden="1" x14ac:dyDescent="0.2">
      <c r="C650" s="9"/>
      <c r="D650" s="373"/>
      <c r="F650" s="9"/>
      <c r="G650" s="373"/>
      <c r="I650" s="9"/>
      <c r="J650" s="373"/>
      <c r="L650" s="9"/>
      <c r="M650" s="373"/>
      <c r="O650" s="9"/>
      <c r="P650" s="373"/>
      <c r="R650" s="61"/>
      <c r="S650" s="62"/>
      <c r="T650" s="61"/>
      <c r="U650" s="61"/>
      <c r="V650" s="62"/>
      <c r="W650" s="61"/>
      <c r="X650" s="61"/>
      <c r="Y650" s="62"/>
      <c r="Z650" s="61"/>
      <c r="AA650" s="61"/>
      <c r="AB650" s="62"/>
      <c r="AC650" s="61"/>
      <c r="AD650" s="61"/>
      <c r="AE650" s="62"/>
      <c r="AF650" s="61"/>
      <c r="AG650" s="61"/>
      <c r="AH650" s="62"/>
      <c r="AI650" s="61"/>
      <c r="AJ650" s="61"/>
      <c r="AK650" s="62"/>
      <c r="AL650" s="61"/>
      <c r="AM650" s="61"/>
      <c r="AN650" s="62"/>
      <c r="AO650" s="61"/>
      <c r="AP650" s="61"/>
      <c r="AQ650" s="62"/>
      <c r="AR650" s="61"/>
      <c r="AS650" s="61"/>
      <c r="AT650" s="62"/>
      <c r="AV650" s="9"/>
      <c r="AW650" s="373"/>
      <c r="AY650" s="9"/>
      <c r="AZ650" s="373"/>
      <c r="BB650" s="9"/>
      <c r="BC650" s="373"/>
      <c r="BE650" s="9"/>
      <c r="BF650" s="373"/>
      <c r="BH650" s="9"/>
      <c r="BI650" s="373"/>
      <c r="BK650" s="9"/>
      <c r="BL650" s="373"/>
      <c r="BN650" s="9"/>
      <c r="BO650" s="373"/>
      <c r="BQ650" s="9"/>
      <c r="BR650" s="373"/>
      <c r="BT650" s="9"/>
      <c r="BU650" s="373"/>
      <c r="BW650" s="9"/>
      <c r="BX650" s="373"/>
      <c r="BZ650" s="9"/>
      <c r="CA650" s="373"/>
      <c r="CC650" s="9"/>
      <c r="CD650" s="373"/>
      <c r="CF650" s="9"/>
      <c r="CG650" s="373"/>
      <c r="CI650" s="9"/>
      <c r="CJ650" s="373"/>
      <c r="CL650" s="9"/>
      <c r="CM650" s="373"/>
      <c r="CO650" s="9"/>
      <c r="CP650" s="373"/>
      <c r="CR650" s="9"/>
      <c r="CS650" s="373"/>
      <c r="CU650" s="9"/>
      <c r="CV650" s="373"/>
      <c r="CX650" s="9"/>
      <c r="CY650" s="373"/>
      <c r="DA650" s="9"/>
      <c r="DB650" s="373"/>
      <c r="DD650" s="9"/>
      <c r="DE650" s="373"/>
      <c r="DG650" s="9"/>
      <c r="DH650" s="373"/>
      <c r="DJ650" s="9"/>
      <c r="DK650" s="373"/>
      <c r="DM650" s="9"/>
      <c r="DN650" s="373"/>
      <c r="DP650" s="9"/>
      <c r="DQ650" s="373"/>
      <c r="DS650" s="9"/>
      <c r="DT650" s="373"/>
      <c r="DV650" s="9"/>
      <c r="DW650" s="373"/>
      <c r="DY650" s="9"/>
      <c r="DZ650" s="373"/>
      <c r="EB650" s="9"/>
      <c r="EC650" s="373"/>
      <c r="EE650" s="9"/>
      <c r="EF650" s="373"/>
      <c r="EH650" s="9"/>
      <c r="EI650" s="373"/>
      <c r="EK650" s="9"/>
      <c r="EL650" s="373"/>
      <c r="EN650" s="9"/>
      <c r="EO650" s="373"/>
      <c r="EQ650" s="9"/>
      <c r="ER650" s="373"/>
      <c r="ET650" s="9"/>
      <c r="EU650" s="373"/>
      <c r="EW650" s="9"/>
      <c r="EX650" s="373"/>
      <c r="EZ650" s="9"/>
      <c r="FA650" s="373"/>
      <c r="FC650" s="9"/>
      <c r="FD650" s="373"/>
      <c r="FF650" s="9"/>
      <c r="FG650" s="373"/>
      <c r="FI650" s="9"/>
      <c r="FJ650" s="373"/>
      <c r="FL650" s="9"/>
      <c r="FM650" s="373"/>
      <c r="FO650" s="9"/>
      <c r="FP650" s="373"/>
      <c r="FR650" s="9"/>
      <c r="FS650" s="373"/>
      <c r="FU650" s="9"/>
      <c r="FV650" s="373"/>
      <c r="FX650" s="9"/>
      <c r="FY650" s="373"/>
      <c r="GA650" s="9"/>
      <c r="GB650" s="373"/>
      <c r="GD650" s="9"/>
      <c r="GE650" s="373"/>
      <c r="GG650" s="9"/>
      <c r="GH650" s="373"/>
      <c r="GJ650" s="9"/>
      <c r="GK650" s="373"/>
      <c r="GM650" s="9"/>
      <c r="GN650" s="373"/>
      <c r="GP650" s="9"/>
      <c r="GQ650" s="373"/>
      <c r="GS650" s="9"/>
      <c r="GT650" s="373"/>
      <c r="GV650" s="9"/>
      <c r="GW650" s="373"/>
      <c r="GY650" s="9"/>
      <c r="GZ650" s="373"/>
      <c r="HB650" s="9"/>
      <c r="HC650" s="373"/>
      <c r="HE650" s="9"/>
      <c r="HF650" s="373"/>
      <c r="HH650" s="9"/>
      <c r="HI650" s="373"/>
      <c r="HK650" s="9"/>
      <c r="HL650" s="373"/>
      <c r="HN650" s="9"/>
      <c r="HO650" s="373"/>
      <c r="HQ650" s="9"/>
      <c r="HR650" s="373"/>
      <c r="HT650" s="9"/>
      <c r="HU650" s="373"/>
      <c r="HW650" s="9"/>
      <c r="HX650" s="373"/>
      <c r="HZ650" s="9"/>
      <c r="IA650" s="373"/>
      <c r="IC650" s="9"/>
      <c r="ID650" s="373"/>
      <c r="IF650" s="9"/>
      <c r="IG650" s="373"/>
    </row>
    <row r="651" spans="2:241" hidden="1" x14ac:dyDescent="0.2">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c r="CG651" s="10"/>
      <c r="CH651" s="10"/>
      <c r="CI651" s="10"/>
      <c r="CJ651" s="10"/>
      <c r="CK651" s="10"/>
      <c r="CL651" s="10"/>
      <c r="CM651" s="10"/>
      <c r="CN651" s="10"/>
      <c r="CO651" s="10"/>
      <c r="CP651" s="10"/>
      <c r="CQ651" s="10"/>
      <c r="CR651" s="10"/>
      <c r="CS651" s="10"/>
      <c r="CT651" s="10"/>
      <c r="CU651" s="10"/>
      <c r="CV651" s="10"/>
      <c r="CW651" s="10"/>
      <c r="CX651" s="10"/>
      <c r="CY651" s="10"/>
      <c r="CZ651" s="10"/>
      <c r="DA651" s="10"/>
      <c r="DB651" s="10"/>
      <c r="DC651" s="10"/>
      <c r="DD651" s="10"/>
      <c r="DE651" s="10"/>
    </row>
    <row r="652" spans="2:241" ht="12" hidden="1" customHeight="1" x14ac:dyDescent="0.2">
      <c r="B652" s="365">
        <v>0.01</v>
      </c>
      <c r="C652" s="791" t="s">
        <v>2169</v>
      </c>
      <c r="D652" s="791"/>
      <c r="E652" s="791"/>
      <c r="F652" s="791"/>
      <c r="G652" s="791"/>
      <c r="H652" s="791"/>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c r="CG652" s="10"/>
      <c r="CH652" s="10"/>
      <c r="CI652" s="10"/>
      <c r="CJ652" s="10"/>
      <c r="CK652" s="10"/>
      <c r="CL652" s="10"/>
      <c r="CM652" s="10"/>
      <c r="CN652" s="10"/>
      <c r="CO652" s="10"/>
      <c r="CP652" s="10"/>
      <c r="CQ652" s="10"/>
      <c r="CR652" s="10"/>
      <c r="CS652" s="10"/>
      <c r="CT652" s="10"/>
      <c r="CU652" s="10"/>
      <c r="CV652" s="10"/>
      <c r="CW652" s="10"/>
      <c r="CX652" s="10"/>
      <c r="CY652" s="10"/>
      <c r="CZ652" s="10"/>
      <c r="DA652" s="10"/>
      <c r="DB652" s="10"/>
      <c r="DC652" s="10"/>
      <c r="DD652" s="10"/>
      <c r="DE652" s="10"/>
    </row>
    <row r="653" spans="2:241" hidden="1" x14ac:dyDescent="0.2">
      <c r="B653" s="365">
        <v>0.99</v>
      </c>
      <c r="C653" s="791" t="s">
        <v>2169</v>
      </c>
      <c r="D653" s="791"/>
      <c r="E653" s="791"/>
      <c r="F653" s="791"/>
      <c r="G653" s="791"/>
      <c r="H653" s="791"/>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c r="CG653" s="10"/>
      <c r="CH653" s="10"/>
      <c r="CI653" s="10"/>
      <c r="CJ653" s="10"/>
      <c r="CK653" s="10"/>
      <c r="CL653" s="10"/>
      <c r="CM653" s="10"/>
      <c r="CN653" s="10"/>
      <c r="CO653" s="10"/>
      <c r="CP653" s="10"/>
      <c r="CQ653" s="10"/>
      <c r="CR653" s="10"/>
      <c r="CS653" s="10"/>
      <c r="CT653" s="10"/>
      <c r="CU653" s="10"/>
      <c r="CV653" s="10"/>
      <c r="CW653" s="10"/>
      <c r="CX653" s="10"/>
      <c r="CY653" s="10"/>
      <c r="CZ653" s="10"/>
      <c r="DA653" s="10"/>
      <c r="DB653" s="10"/>
      <c r="DC653" s="10"/>
      <c r="DD653" s="10"/>
      <c r="DE653" s="10"/>
    </row>
    <row r="654" spans="2:241" hidden="1" x14ac:dyDescent="0.2">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row>
    <row r="655" spans="2:241" hidden="1" x14ac:dyDescent="0.2">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row>
    <row r="656" spans="2:241" hidden="1" x14ac:dyDescent="0.2">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row>
    <row r="657" spans="2:109" hidden="1" x14ac:dyDescent="0.2">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c r="CH657" s="10"/>
      <c r="CI657" s="10"/>
      <c r="CJ657" s="10"/>
      <c r="CK657" s="10"/>
      <c r="CL657" s="10"/>
      <c r="CM657" s="10"/>
      <c r="CN657" s="10"/>
      <c r="CO657" s="10"/>
      <c r="CP657" s="10"/>
      <c r="CQ657" s="10"/>
      <c r="CR657" s="10"/>
      <c r="CS657" s="10"/>
      <c r="CT657" s="10"/>
      <c r="CU657" s="10"/>
      <c r="CV657" s="10"/>
      <c r="CW657" s="10"/>
      <c r="CX657" s="10"/>
      <c r="CY657" s="10"/>
      <c r="CZ657" s="10"/>
      <c r="DA657" s="10"/>
      <c r="DB657" s="10"/>
      <c r="DC657" s="10"/>
      <c r="DD657" s="10"/>
      <c r="DE657" s="10"/>
    </row>
    <row r="658" spans="2:109" hidden="1" x14ac:dyDescent="0.2">
      <c r="B658" s="761" t="s">
        <v>2170</v>
      </c>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c r="CG658" s="10"/>
      <c r="CH658" s="10"/>
      <c r="CI658" s="10"/>
      <c r="CJ658" s="10"/>
      <c r="CK658" s="10"/>
      <c r="CL658" s="10"/>
      <c r="CM658" s="10"/>
      <c r="CN658" s="10"/>
      <c r="CO658" s="10"/>
      <c r="CP658" s="10"/>
      <c r="CQ658" s="10"/>
      <c r="CR658" s="10"/>
      <c r="CS658" s="10"/>
      <c r="CT658" s="10"/>
      <c r="CU658" s="10"/>
      <c r="CV658" s="10"/>
      <c r="CW658" s="10"/>
      <c r="CX658" s="10"/>
      <c r="CY658" s="10"/>
      <c r="CZ658" s="10"/>
      <c r="DA658" s="10"/>
      <c r="DB658" s="10"/>
      <c r="DC658" s="10"/>
      <c r="DD658" s="10"/>
      <c r="DE658" s="10"/>
    </row>
    <row r="659" spans="2:109" hidden="1" x14ac:dyDescent="0.2">
      <c r="B659" s="761"/>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c r="CF659" s="10"/>
      <c r="CG659" s="10"/>
      <c r="CH659" s="10"/>
      <c r="CI659" s="10"/>
      <c r="CJ659" s="10"/>
      <c r="CK659" s="10"/>
      <c r="CL659" s="10"/>
      <c r="CM659" s="10"/>
      <c r="CN659" s="10"/>
      <c r="CO659" s="10"/>
      <c r="CP659" s="10"/>
      <c r="CQ659" s="10"/>
      <c r="CR659" s="10"/>
      <c r="CS659" s="10"/>
      <c r="CT659" s="10"/>
      <c r="CU659" s="10"/>
      <c r="CV659" s="10"/>
      <c r="CW659" s="10"/>
      <c r="CX659" s="10"/>
      <c r="CY659" s="10"/>
      <c r="CZ659" s="10"/>
      <c r="DA659" s="10"/>
      <c r="DB659" s="10"/>
      <c r="DC659" s="10"/>
      <c r="DD659" s="10"/>
      <c r="DE659" s="10"/>
    </row>
    <row r="660" spans="2:109" hidden="1" x14ac:dyDescent="0.2">
      <c r="B660" s="761"/>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c r="CF660" s="10"/>
      <c r="CG660" s="10"/>
      <c r="CH660" s="10"/>
      <c r="CI660" s="10"/>
      <c r="CJ660" s="10"/>
      <c r="CK660" s="10"/>
      <c r="CL660" s="10"/>
      <c r="CM660" s="10"/>
      <c r="CN660" s="10"/>
      <c r="CO660" s="10"/>
      <c r="CP660" s="10"/>
      <c r="CQ660" s="10"/>
      <c r="CR660" s="10"/>
      <c r="CS660" s="10"/>
      <c r="CT660" s="10"/>
      <c r="CU660" s="10"/>
      <c r="CV660" s="10"/>
      <c r="CW660" s="10"/>
      <c r="CX660" s="10"/>
      <c r="CY660" s="10"/>
      <c r="CZ660" s="10"/>
      <c r="DA660" s="10"/>
      <c r="DB660" s="10"/>
      <c r="DC660" s="10"/>
      <c r="DD660" s="10"/>
      <c r="DE660" s="10"/>
    </row>
    <row r="661" spans="2:109" hidden="1" x14ac:dyDescent="0.2">
      <c r="B661" s="761"/>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c r="CF661" s="10"/>
      <c r="CG661" s="10"/>
      <c r="CH661" s="10"/>
      <c r="CI661" s="10"/>
      <c r="CJ661" s="10"/>
      <c r="CK661" s="10"/>
      <c r="CL661" s="10"/>
      <c r="CM661" s="10"/>
      <c r="CN661" s="10"/>
      <c r="CO661" s="10"/>
      <c r="CP661" s="10"/>
      <c r="CQ661" s="10"/>
      <c r="CR661" s="10"/>
      <c r="CS661" s="10"/>
      <c r="CT661" s="10"/>
      <c r="CU661" s="10"/>
      <c r="CV661" s="10"/>
      <c r="CW661" s="10"/>
      <c r="CX661" s="10"/>
      <c r="CY661" s="10"/>
      <c r="CZ661" s="10"/>
      <c r="DA661" s="10"/>
      <c r="DB661" s="10"/>
      <c r="DC661" s="10"/>
      <c r="DD661" s="10"/>
      <c r="DE661" s="10"/>
    </row>
    <row r="662" spans="2:109" hidden="1" x14ac:dyDescent="0.2">
      <c r="B662" s="13" t="s">
        <v>1901</v>
      </c>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c r="CF662" s="10"/>
      <c r="CG662" s="10"/>
      <c r="CH662" s="10"/>
      <c r="CI662" s="10"/>
      <c r="CJ662" s="10"/>
      <c r="CK662" s="10"/>
      <c r="CL662" s="10"/>
      <c r="CM662" s="10"/>
      <c r="CN662" s="10"/>
      <c r="CO662" s="10"/>
      <c r="CP662" s="10"/>
      <c r="CQ662" s="10"/>
      <c r="CR662" s="10"/>
      <c r="CS662" s="10"/>
      <c r="CT662" s="10"/>
      <c r="CU662" s="10"/>
      <c r="CV662" s="10"/>
      <c r="CW662" s="10"/>
      <c r="CX662" s="10"/>
      <c r="CY662" s="10"/>
      <c r="CZ662" s="10"/>
      <c r="DA662" s="10"/>
      <c r="DB662" s="10"/>
      <c r="DC662" s="10"/>
      <c r="DD662" s="10"/>
      <c r="DE662" s="10"/>
    </row>
    <row r="663" spans="2:109" hidden="1" x14ac:dyDescent="0.2">
      <c r="B663" s="146">
        <v>0</v>
      </c>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c r="CF663" s="10"/>
      <c r="CG663" s="10"/>
      <c r="CH663" s="10"/>
      <c r="CI663" s="10"/>
      <c r="CJ663" s="10"/>
      <c r="CK663" s="10"/>
      <c r="CL663" s="10"/>
      <c r="CM663" s="10"/>
      <c r="CN663" s="10"/>
      <c r="CO663" s="10"/>
      <c r="CP663" s="10"/>
      <c r="CQ663" s="10"/>
      <c r="CR663" s="10"/>
      <c r="CS663" s="10"/>
      <c r="CT663" s="10"/>
      <c r="CU663" s="10"/>
      <c r="CV663" s="10"/>
      <c r="CW663" s="10"/>
      <c r="CX663" s="10"/>
      <c r="CY663" s="10"/>
      <c r="CZ663" s="10"/>
      <c r="DA663" s="10"/>
      <c r="DB663" s="10"/>
      <c r="DC663" s="10"/>
      <c r="DD663" s="10"/>
      <c r="DE663" s="10"/>
    </row>
    <row r="664" spans="2:109" hidden="1" x14ac:dyDescent="0.2">
      <c r="B664" s="146">
        <v>1</v>
      </c>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c r="CF664" s="10"/>
      <c r="CG664" s="10"/>
      <c r="CH664" s="10"/>
      <c r="CI664" s="10"/>
      <c r="CJ664" s="10"/>
      <c r="CK664" s="10"/>
      <c r="CL664" s="10"/>
      <c r="CM664" s="10"/>
      <c r="CN664" s="10"/>
      <c r="CO664" s="10"/>
      <c r="CP664" s="10"/>
      <c r="CQ664" s="10"/>
      <c r="CR664" s="10"/>
      <c r="CS664" s="10"/>
      <c r="CT664" s="10"/>
      <c r="CU664" s="10"/>
      <c r="CV664" s="10"/>
      <c r="CW664" s="10"/>
      <c r="CX664" s="10"/>
      <c r="CY664" s="10"/>
      <c r="CZ664" s="10"/>
      <c r="DA664" s="10"/>
      <c r="DB664" s="10"/>
      <c r="DC664" s="10"/>
      <c r="DD664" s="10"/>
      <c r="DE664" s="10"/>
    </row>
    <row r="665" spans="2:109" hidden="1" x14ac:dyDescent="0.2">
      <c r="B665" s="146">
        <v>2</v>
      </c>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c r="CF665" s="10"/>
      <c r="CG665" s="10"/>
      <c r="CH665" s="10"/>
      <c r="CI665" s="10"/>
      <c r="CJ665" s="10"/>
      <c r="CK665" s="10"/>
      <c r="CL665" s="10"/>
      <c r="CM665" s="10"/>
      <c r="CN665" s="10"/>
      <c r="CO665" s="10"/>
      <c r="CP665" s="10"/>
      <c r="CQ665" s="10"/>
      <c r="CR665" s="10"/>
      <c r="CS665" s="10"/>
      <c r="CT665" s="10"/>
      <c r="CU665" s="10"/>
      <c r="CV665" s="10"/>
      <c r="CW665" s="10"/>
      <c r="CX665" s="10"/>
      <c r="CY665" s="10"/>
      <c r="CZ665" s="10"/>
      <c r="DA665" s="10"/>
      <c r="DB665" s="10"/>
      <c r="DC665" s="10"/>
      <c r="DD665" s="10"/>
      <c r="DE665" s="10"/>
    </row>
    <row r="666" spans="2:109" hidden="1" x14ac:dyDescent="0.2">
      <c r="B666" s="146">
        <v>3</v>
      </c>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c r="CF666" s="10"/>
      <c r="CG666" s="10"/>
      <c r="CH666" s="10"/>
      <c r="CI666" s="10"/>
      <c r="CJ666" s="10"/>
      <c r="CK666" s="10"/>
      <c r="CL666" s="10"/>
      <c r="CM666" s="10"/>
      <c r="CN666" s="10"/>
      <c r="CO666" s="10"/>
      <c r="CP666" s="10"/>
      <c r="CQ666" s="10"/>
      <c r="CR666" s="10"/>
      <c r="CS666" s="10"/>
      <c r="CT666" s="10"/>
      <c r="CU666" s="10"/>
      <c r="CV666" s="10"/>
      <c r="CW666" s="10"/>
      <c r="CX666" s="10"/>
      <c r="CY666" s="10"/>
      <c r="CZ666" s="10"/>
      <c r="DA666" s="10"/>
      <c r="DB666" s="10"/>
      <c r="DC666" s="10"/>
      <c r="DD666" s="10"/>
      <c r="DE666" s="10"/>
    </row>
    <row r="667" spans="2:109" hidden="1" x14ac:dyDescent="0.2">
      <c r="B667" s="146">
        <v>4</v>
      </c>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c r="CF667" s="10"/>
      <c r="CG667" s="10"/>
      <c r="CH667" s="10"/>
      <c r="CI667" s="10"/>
      <c r="CJ667" s="10"/>
      <c r="CK667" s="10"/>
      <c r="CL667" s="10"/>
      <c r="CM667" s="10"/>
      <c r="CN667" s="10"/>
      <c r="CO667" s="10"/>
      <c r="CP667" s="10"/>
      <c r="CQ667" s="10"/>
      <c r="CR667" s="10"/>
      <c r="CS667" s="10"/>
      <c r="CT667" s="10"/>
      <c r="CU667" s="10"/>
      <c r="CV667" s="10"/>
      <c r="CW667" s="10"/>
      <c r="CX667" s="10"/>
      <c r="CY667" s="10"/>
      <c r="CZ667" s="10"/>
      <c r="DA667" s="10"/>
      <c r="DB667" s="10"/>
      <c r="DC667" s="10"/>
      <c r="DD667" s="10"/>
      <c r="DE667" s="10"/>
    </row>
    <row r="668" spans="2:109" hidden="1" x14ac:dyDescent="0.2">
      <c r="B668" s="146">
        <v>5</v>
      </c>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c r="CF668" s="10"/>
      <c r="CG668" s="10"/>
      <c r="CH668" s="10"/>
      <c r="CI668" s="10"/>
      <c r="CJ668" s="10"/>
      <c r="CK668" s="10"/>
      <c r="CL668" s="10"/>
      <c r="CM668" s="10"/>
      <c r="CN668" s="10"/>
      <c r="CO668" s="10"/>
      <c r="CP668" s="10"/>
      <c r="CQ668" s="10"/>
      <c r="CR668" s="10"/>
      <c r="CS668" s="10"/>
      <c r="CT668" s="10"/>
      <c r="CU668" s="10"/>
      <c r="CV668" s="10"/>
      <c r="CW668" s="10"/>
      <c r="CX668" s="10"/>
      <c r="CY668" s="10"/>
      <c r="CZ668" s="10"/>
      <c r="DA668" s="10"/>
      <c r="DB668" s="10"/>
      <c r="DC668" s="10"/>
      <c r="DD668" s="10"/>
      <c r="DE668" s="10"/>
    </row>
    <row r="669" spans="2:109" hidden="1" x14ac:dyDescent="0.2">
      <c r="B669" s="146">
        <v>6</v>
      </c>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c r="CF669" s="10"/>
      <c r="CG669" s="10"/>
      <c r="CH669" s="10"/>
      <c r="CI669" s="10"/>
      <c r="CJ669" s="10"/>
      <c r="CK669" s="10"/>
      <c r="CL669" s="10"/>
      <c r="CM669" s="10"/>
      <c r="CN669" s="10"/>
      <c r="CO669" s="10"/>
      <c r="CP669" s="10"/>
      <c r="CQ669" s="10"/>
      <c r="CR669" s="10"/>
      <c r="CS669" s="10"/>
      <c r="CT669" s="10"/>
      <c r="CU669" s="10"/>
      <c r="CV669" s="10"/>
      <c r="CW669" s="10"/>
      <c r="CX669" s="10"/>
      <c r="CY669" s="10"/>
      <c r="CZ669" s="10"/>
      <c r="DA669" s="10"/>
      <c r="DB669" s="10"/>
      <c r="DC669" s="10"/>
      <c r="DD669" s="10"/>
      <c r="DE669" s="10"/>
    </row>
    <row r="670" spans="2:109" hidden="1" x14ac:dyDescent="0.2">
      <c r="B670" s="146">
        <v>7</v>
      </c>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c r="CG670" s="10"/>
      <c r="CH670" s="10"/>
      <c r="CI670" s="10"/>
      <c r="CJ670" s="10"/>
      <c r="CK670" s="10"/>
      <c r="CL670" s="10"/>
      <c r="CM670" s="10"/>
      <c r="CN670" s="10"/>
      <c r="CO670" s="10"/>
      <c r="CP670" s="10"/>
      <c r="CQ670" s="10"/>
      <c r="CR670" s="10"/>
      <c r="CS670" s="10"/>
      <c r="CT670" s="10"/>
      <c r="CU670" s="10"/>
      <c r="CV670" s="10"/>
      <c r="CW670" s="10"/>
      <c r="CX670" s="10"/>
      <c r="CY670" s="10"/>
      <c r="CZ670" s="10"/>
      <c r="DA670" s="10"/>
      <c r="DB670" s="10"/>
      <c r="DC670" s="10"/>
      <c r="DD670" s="10"/>
      <c r="DE670" s="10"/>
    </row>
    <row r="671" spans="2:109" hidden="1" x14ac:dyDescent="0.2">
      <c r="B671" s="146">
        <v>8</v>
      </c>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c r="CF671" s="10"/>
      <c r="CG671" s="10"/>
      <c r="CH671" s="10"/>
      <c r="CI671" s="10"/>
      <c r="CJ671" s="10"/>
      <c r="CK671" s="10"/>
      <c r="CL671" s="10"/>
      <c r="CM671" s="10"/>
      <c r="CN671" s="10"/>
      <c r="CO671" s="10"/>
      <c r="CP671" s="10"/>
      <c r="CQ671" s="10"/>
      <c r="CR671" s="10"/>
      <c r="CS671" s="10"/>
      <c r="CT671" s="10"/>
      <c r="CU671" s="10"/>
      <c r="CV671" s="10"/>
      <c r="CW671" s="10"/>
      <c r="CX671" s="10"/>
      <c r="CY671" s="10"/>
      <c r="CZ671" s="10"/>
      <c r="DA671" s="10"/>
      <c r="DB671" s="10"/>
      <c r="DC671" s="10"/>
      <c r="DD671" s="10"/>
      <c r="DE671" s="10"/>
    </row>
    <row r="672" spans="2:109" hidden="1" x14ac:dyDescent="0.2">
      <c r="B672" s="146">
        <v>9</v>
      </c>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c r="CF672" s="10"/>
      <c r="CG672" s="10"/>
      <c r="CH672" s="10"/>
      <c r="CI672" s="10"/>
      <c r="CJ672" s="10"/>
      <c r="CK672" s="10"/>
      <c r="CL672" s="10"/>
      <c r="CM672" s="10"/>
      <c r="CN672" s="10"/>
      <c r="CO672" s="10"/>
      <c r="CP672" s="10"/>
      <c r="CQ672" s="10"/>
      <c r="CR672" s="10"/>
      <c r="CS672" s="10"/>
      <c r="CT672" s="10"/>
      <c r="CU672" s="10"/>
      <c r="CV672" s="10"/>
      <c r="CW672" s="10"/>
      <c r="CX672" s="10"/>
      <c r="CY672" s="10"/>
      <c r="CZ672" s="10"/>
      <c r="DA672" s="10"/>
      <c r="DB672" s="10"/>
      <c r="DC672" s="10"/>
      <c r="DD672" s="10"/>
      <c r="DE672" s="10"/>
    </row>
    <row r="673" spans="2:109" hidden="1" x14ac:dyDescent="0.2">
      <c r="B673" s="146">
        <v>10</v>
      </c>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c r="CG673" s="10"/>
      <c r="CH673" s="10"/>
      <c r="CI673" s="10"/>
      <c r="CJ673" s="10"/>
      <c r="CK673" s="10"/>
      <c r="CL673" s="10"/>
      <c r="CM673" s="10"/>
      <c r="CN673" s="10"/>
      <c r="CO673" s="10"/>
      <c r="CP673" s="10"/>
      <c r="CQ673" s="10"/>
      <c r="CR673" s="10"/>
      <c r="CS673" s="10"/>
      <c r="CT673" s="10"/>
      <c r="CU673" s="10"/>
      <c r="CV673" s="10"/>
      <c r="CW673" s="10"/>
      <c r="CX673" s="10"/>
      <c r="CY673" s="10"/>
      <c r="CZ673" s="10"/>
      <c r="DA673" s="10"/>
      <c r="DB673" s="10"/>
      <c r="DC673" s="10"/>
      <c r="DD673" s="10"/>
      <c r="DE673" s="10"/>
    </row>
    <row r="674" spans="2:109" hidden="1" x14ac:dyDescent="0.2">
      <c r="B674" s="146">
        <v>11</v>
      </c>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c r="CF674" s="10"/>
      <c r="CG674" s="10"/>
      <c r="CH674" s="10"/>
      <c r="CI674" s="10"/>
      <c r="CJ674" s="10"/>
      <c r="CK674" s="10"/>
      <c r="CL674" s="10"/>
      <c r="CM674" s="10"/>
      <c r="CN674" s="10"/>
      <c r="CO674" s="10"/>
      <c r="CP674" s="10"/>
      <c r="CQ674" s="10"/>
      <c r="CR674" s="10"/>
      <c r="CS674" s="10"/>
      <c r="CT674" s="10"/>
      <c r="CU674" s="10"/>
      <c r="CV674" s="10"/>
      <c r="CW674" s="10"/>
      <c r="CX674" s="10"/>
      <c r="CY674" s="10"/>
      <c r="CZ674" s="10"/>
      <c r="DA674" s="10"/>
      <c r="DB674" s="10"/>
      <c r="DC674" s="10"/>
      <c r="DD674" s="10"/>
      <c r="DE674" s="10"/>
    </row>
    <row r="675" spans="2:109" hidden="1" x14ac:dyDescent="0.2">
      <c r="B675" s="146">
        <v>12</v>
      </c>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c r="CF675" s="10"/>
      <c r="CG675" s="10"/>
      <c r="CH675" s="10"/>
      <c r="CI675" s="10"/>
      <c r="CJ675" s="10"/>
      <c r="CK675" s="10"/>
      <c r="CL675" s="10"/>
      <c r="CM675" s="10"/>
      <c r="CN675" s="10"/>
      <c r="CO675" s="10"/>
      <c r="CP675" s="10"/>
      <c r="CQ675" s="10"/>
      <c r="CR675" s="10"/>
      <c r="CS675" s="10"/>
      <c r="CT675" s="10"/>
      <c r="CU675" s="10"/>
      <c r="CV675" s="10"/>
      <c r="CW675" s="10"/>
      <c r="CX675" s="10"/>
      <c r="CY675" s="10"/>
      <c r="CZ675" s="10"/>
      <c r="DA675" s="10"/>
      <c r="DB675" s="10"/>
      <c r="DC675" s="10"/>
      <c r="DD675" s="10"/>
      <c r="DE675" s="10"/>
    </row>
    <row r="676" spans="2:109" hidden="1" x14ac:dyDescent="0.2">
      <c r="B676" s="146">
        <v>13</v>
      </c>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c r="CF676" s="10"/>
      <c r="CG676" s="10"/>
      <c r="CH676" s="10"/>
      <c r="CI676" s="10"/>
      <c r="CJ676" s="10"/>
      <c r="CK676" s="10"/>
      <c r="CL676" s="10"/>
      <c r="CM676" s="10"/>
      <c r="CN676" s="10"/>
      <c r="CO676" s="10"/>
      <c r="CP676" s="10"/>
      <c r="CQ676" s="10"/>
      <c r="CR676" s="10"/>
      <c r="CS676" s="10"/>
      <c r="CT676" s="10"/>
      <c r="CU676" s="10"/>
      <c r="CV676" s="10"/>
      <c r="CW676" s="10"/>
      <c r="CX676" s="10"/>
      <c r="CY676" s="10"/>
      <c r="CZ676" s="10"/>
      <c r="DA676" s="10"/>
      <c r="DB676" s="10"/>
      <c r="DC676" s="10"/>
      <c r="DD676" s="10"/>
      <c r="DE676" s="10"/>
    </row>
    <row r="677" spans="2:109" hidden="1" x14ac:dyDescent="0.2">
      <c r="B677" s="146">
        <v>14</v>
      </c>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c r="CF677" s="10"/>
      <c r="CG677" s="10"/>
      <c r="CH677" s="10"/>
      <c r="CI677" s="10"/>
      <c r="CJ677" s="10"/>
      <c r="CK677" s="10"/>
      <c r="CL677" s="10"/>
      <c r="CM677" s="10"/>
      <c r="CN677" s="10"/>
      <c r="CO677" s="10"/>
      <c r="CP677" s="10"/>
      <c r="CQ677" s="10"/>
      <c r="CR677" s="10"/>
      <c r="CS677" s="10"/>
      <c r="CT677" s="10"/>
      <c r="CU677" s="10"/>
      <c r="CV677" s="10"/>
      <c r="CW677" s="10"/>
      <c r="CX677" s="10"/>
      <c r="CY677" s="10"/>
      <c r="CZ677" s="10"/>
      <c r="DA677" s="10"/>
      <c r="DB677" s="10"/>
      <c r="DC677" s="10"/>
      <c r="DD677" s="10"/>
      <c r="DE677" s="10"/>
    </row>
    <row r="678" spans="2:109" hidden="1" x14ac:dyDescent="0.2">
      <c r="B678" s="146">
        <v>15</v>
      </c>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c r="CF678" s="10"/>
      <c r="CG678" s="10"/>
      <c r="CH678" s="10"/>
      <c r="CI678" s="10"/>
      <c r="CJ678" s="10"/>
      <c r="CK678" s="10"/>
      <c r="CL678" s="10"/>
      <c r="CM678" s="10"/>
      <c r="CN678" s="10"/>
      <c r="CO678" s="10"/>
      <c r="CP678" s="10"/>
      <c r="CQ678" s="10"/>
      <c r="CR678" s="10"/>
      <c r="CS678" s="10"/>
      <c r="CT678" s="10"/>
      <c r="CU678" s="10"/>
      <c r="CV678" s="10"/>
      <c r="CW678" s="10"/>
      <c r="CX678" s="10"/>
      <c r="CY678" s="10"/>
      <c r="CZ678" s="10"/>
      <c r="DA678" s="10"/>
      <c r="DB678" s="10"/>
      <c r="DC678" s="10"/>
      <c r="DD678" s="10"/>
      <c r="DE678" s="10"/>
    </row>
    <row r="679" spans="2:109" hidden="1" x14ac:dyDescent="0.2">
      <c r="B679" s="146">
        <v>16</v>
      </c>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c r="CF679" s="10"/>
      <c r="CG679" s="10"/>
      <c r="CH679" s="10"/>
      <c r="CI679" s="10"/>
      <c r="CJ679" s="10"/>
      <c r="CK679" s="10"/>
      <c r="CL679" s="10"/>
      <c r="CM679" s="10"/>
      <c r="CN679" s="10"/>
      <c r="CO679" s="10"/>
      <c r="CP679" s="10"/>
      <c r="CQ679" s="10"/>
      <c r="CR679" s="10"/>
      <c r="CS679" s="10"/>
      <c r="CT679" s="10"/>
      <c r="CU679" s="10"/>
      <c r="CV679" s="10"/>
      <c r="CW679" s="10"/>
      <c r="CX679" s="10"/>
      <c r="CY679" s="10"/>
      <c r="CZ679" s="10"/>
      <c r="DA679" s="10"/>
      <c r="DB679" s="10"/>
      <c r="DC679" s="10"/>
      <c r="DD679" s="10"/>
      <c r="DE679" s="10"/>
    </row>
    <row r="680" spans="2:109" hidden="1" x14ac:dyDescent="0.2">
      <c r="B680" s="146">
        <v>17</v>
      </c>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c r="CG680" s="10"/>
      <c r="CH680" s="10"/>
      <c r="CI680" s="10"/>
      <c r="CJ680" s="10"/>
      <c r="CK680" s="10"/>
      <c r="CL680" s="10"/>
      <c r="CM680" s="10"/>
      <c r="CN680" s="10"/>
      <c r="CO680" s="10"/>
      <c r="CP680" s="10"/>
      <c r="CQ680" s="10"/>
      <c r="CR680" s="10"/>
      <c r="CS680" s="10"/>
      <c r="CT680" s="10"/>
      <c r="CU680" s="10"/>
      <c r="CV680" s="10"/>
      <c r="CW680" s="10"/>
      <c r="CX680" s="10"/>
      <c r="CY680" s="10"/>
      <c r="CZ680" s="10"/>
      <c r="DA680" s="10"/>
      <c r="DB680" s="10"/>
      <c r="DC680" s="10"/>
      <c r="DD680" s="10"/>
      <c r="DE680" s="10"/>
    </row>
    <row r="681" spans="2:109" hidden="1" x14ac:dyDescent="0.2">
      <c r="B681" s="146">
        <v>18</v>
      </c>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c r="CG681" s="10"/>
      <c r="CH681" s="10"/>
      <c r="CI681" s="10"/>
      <c r="CJ681" s="10"/>
      <c r="CK681" s="10"/>
      <c r="CL681" s="10"/>
      <c r="CM681" s="10"/>
      <c r="CN681" s="10"/>
      <c r="CO681" s="10"/>
      <c r="CP681" s="10"/>
      <c r="CQ681" s="10"/>
      <c r="CR681" s="10"/>
      <c r="CS681" s="10"/>
      <c r="CT681" s="10"/>
      <c r="CU681" s="10"/>
      <c r="CV681" s="10"/>
      <c r="CW681" s="10"/>
      <c r="CX681" s="10"/>
      <c r="CY681" s="10"/>
      <c r="CZ681" s="10"/>
      <c r="DA681" s="10"/>
      <c r="DB681" s="10"/>
      <c r="DC681" s="10"/>
      <c r="DD681" s="10"/>
      <c r="DE681" s="10"/>
    </row>
    <row r="682" spans="2:109" hidden="1" x14ac:dyDescent="0.2">
      <c r="B682" s="146">
        <v>19</v>
      </c>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c r="CF682" s="10"/>
      <c r="CG682" s="10"/>
      <c r="CH682" s="10"/>
      <c r="CI682" s="10"/>
      <c r="CJ682" s="10"/>
      <c r="CK682" s="10"/>
      <c r="CL682" s="10"/>
      <c r="CM682" s="10"/>
      <c r="CN682" s="10"/>
      <c r="CO682" s="10"/>
      <c r="CP682" s="10"/>
      <c r="CQ682" s="10"/>
      <c r="CR682" s="10"/>
      <c r="CS682" s="10"/>
      <c r="CT682" s="10"/>
      <c r="CU682" s="10"/>
      <c r="CV682" s="10"/>
      <c r="CW682" s="10"/>
      <c r="CX682" s="10"/>
      <c r="CY682" s="10"/>
      <c r="CZ682" s="10"/>
      <c r="DA682" s="10"/>
      <c r="DB682" s="10"/>
      <c r="DC682" s="10"/>
      <c r="DD682" s="10"/>
      <c r="DE682" s="10"/>
    </row>
    <row r="683" spans="2:109" hidden="1" x14ac:dyDescent="0.2">
      <c r="B683" s="146">
        <v>20</v>
      </c>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c r="CG683" s="10"/>
      <c r="CH683" s="10"/>
      <c r="CI683" s="10"/>
      <c r="CJ683" s="10"/>
      <c r="CK683" s="10"/>
      <c r="CL683" s="10"/>
      <c r="CM683" s="10"/>
      <c r="CN683" s="10"/>
      <c r="CO683" s="10"/>
      <c r="CP683" s="10"/>
      <c r="CQ683" s="10"/>
      <c r="CR683" s="10"/>
      <c r="CS683" s="10"/>
      <c r="CT683" s="10"/>
      <c r="CU683" s="10"/>
      <c r="CV683" s="10"/>
      <c r="CW683" s="10"/>
      <c r="CX683" s="10"/>
      <c r="CY683" s="10"/>
      <c r="CZ683" s="10"/>
      <c r="DA683" s="10"/>
      <c r="DB683" s="10"/>
      <c r="DC683" s="10"/>
      <c r="DD683" s="10"/>
      <c r="DE683" s="10"/>
    </row>
    <row r="684" spans="2:109" hidden="1" x14ac:dyDescent="0.2">
      <c r="B684" s="146">
        <v>21</v>
      </c>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c r="CF684" s="10"/>
      <c r="CG684" s="10"/>
      <c r="CH684" s="10"/>
      <c r="CI684" s="10"/>
      <c r="CJ684" s="10"/>
      <c r="CK684" s="10"/>
      <c r="CL684" s="10"/>
      <c r="CM684" s="10"/>
      <c r="CN684" s="10"/>
      <c r="CO684" s="10"/>
      <c r="CP684" s="10"/>
      <c r="CQ684" s="10"/>
      <c r="CR684" s="10"/>
      <c r="CS684" s="10"/>
      <c r="CT684" s="10"/>
      <c r="CU684" s="10"/>
      <c r="CV684" s="10"/>
      <c r="CW684" s="10"/>
      <c r="CX684" s="10"/>
      <c r="CY684" s="10"/>
      <c r="CZ684" s="10"/>
      <c r="DA684" s="10"/>
      <c r="DB684" s="10"/>
      <c r="DC684" s="10"/>
      <c r="DD684" s="10"/>
      <c r="DE684" s="10"/>
    </row>
    <row r="685" spans="2:109" hidden="1" x14ac:dyDescent="0.2">
      <c r="B685" s="146">
        <v>22</v>
      </c>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c r="CF685" s="10"/>
      <c r="CG685" s="10"/>
      <c r="CH685" s="10"/>
      <c r="CI685" s="10"/>
      <c r="CJ685" s="10"/>
      <c r="CK685" s="10"/>
      <c r="CL685" s="10"/>
      <c r="CM685" s="10"/>
      <c r="CN685" s="10"/>
      <c r="CO685" s="10"/>
      <c r="CP685" s="10"/>
      <c r="CQ685" s="10"/>
      <c r="CR685" s="10"/>
      <c r="CS685" s="10"/>
      <c r="CT685" s="10"/>
      <c r="CU685" s="10"/>
      <c r="CV685" s="10"/>
      <c r="CW685" s="10"/>
      <c r="CX685" s="10"/>
      <c r="CY685" s="10"/>
      <c r="CZ685" s="10"/>
      <c r="DA685" s="10"/>
      <c r="DB685" s="10"/>
      <c r="DC685" s="10"/>
      <c r="DD685" s="10"/>
      <c r="DE685" s="10"/>
    </row>
    <row r="686" spans="2:109" hidden="1" x14ac:dyDescent="0.2">
      <c r="B686" s="146">
        <v>23</v>
      </c>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c r="CG686" s="10"/>
      <c r="CH686" s="10"/>
      <c r="CI686" s="10"/>
      <c r="CJ686" s="10"/>
      <c r="CK686" s="10"/>
      <c r="CL686" s="10"/>
      <c r="CM686" s="10"/>
      <c r="CN686" s="10"/>
      <c r="CO686" s="10"/>
      <c r="CP686" s="10"/>
      <c r="CQ686" s="10"/>
      <c r="CR686" s="10"/>
      <c r="CS686" s="10"/>
      <c r="CT686" s="10"/>
      <c r="CU686" s="10"/>
      <c r="CV686" s="10"/>
      <c r="CW686" s="10"/>
      <c r="CX686" s="10"/>
      <c r="CY686" s="10"/>
      <c r="CZ686" s="10"/>
      <c r="DA686" s="10"/>
      <c r="DB686" s="10"/>
      <c r="DC686" s="10"/>
      <c r="DD686" s="10"/>
      <c r="DE686" s="10"/>
    </row>
    <row r="687" spans="2:109" hidden="1" x14ac:dyDescent="0.2">
      <c r="B687" s="146">
        <v>24</v>
      </c>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c r="CF687" s="10"/>
      <c r="CG687" s="10"/>
      <c r="CH687" s="10"/>
      <c r="CI687" s="10"/>
      <c r="CJ687" s="10"/>
      <c r="CK687" s="10"/>
      <c r="CL687" s="10"/>
      <c r="CM687" s="10"/>
      <c r="CN687" s="10"/>
      <c r="CO687" s="10"/>
      <c r="CP687" s="10"/>
      <c r="CQ687" s="10"/>
      <c r="CR687" s="10"/>
      <c r="CS687" s="10"/>
      <c r="CT687" s="10"/>
      <c r="CU687" s="10"/>
      <c r="CV687" s="10"/>
      <c r="CW687" s="10"/>
      <c r="CX687" s="10"/>
      <c r="CY687" s="10"/>
      <c r="CZ687" s="10"/>
      <c r="DA687" s="10"/>
      <c r="DB687" s="10"/>
      <c r="DC687" s="10"/>
      <c r="DD687" s="10"/>
      <c r="DE687" s="10"/>
    </row>
    <row r="688" spans="2:109" hidden="1" x14ac:dyDescent="0.2">
      <c r="B688" s="146">
        <v>25</v>
      </c>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c r="CF688" s="10"/>
      <c r="CG688" s="10"/>
      <c r="CH688" s="10"/>
      <c r="CI688" s="10"/>
      <c r="CJ688" s="10"/>
      <c r="CK688" s="10"/>
      <c r="CL688" s="10"/>
      <c r="CM688" s="10"/>
      <c r="CN688" s="10"/>
      <c r="CO688" s="10"/>
      <c r="CP688" s="10"/>
      <c r="CQ688" s="10"/>
      <c r="CR688" s="10"/>
      <c r="CS688" s="10"/>
      <c r="CT688" s="10"/>
      <c r="CU688" s="10"/>
      <c r="CV688" s="10"/>
      <c r="CW688" s="10"/>
      <c r="CX688" s="10"/>
      <c r="CY688" s="10"/>
      <c r="CZ688" s="10"/>
      <c r="DA688" s="10"/>
      <c r="DB688" s="10"/>
      <c r="DC688" s="10"/>
      <c r="DD688" s="10"/>
      <c r="DE688" s="10"/>
    </row>
    <row r="689" spans="2:109" hidden="1" x14ac:dyDescent="0.2">
      <c r="B689" s="146">
        <v>26</v>
      </c>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c r="CF689" s="10"/>
      <c r="CG689" s="10"/>
      <c r="CH689" s="10"/>
      <c r="CI689" s="10"/>
      <c r="CJ689" s="10"/>
      <c r="CK689" s="10"/>
      <c r="CL689" s="10"/>
      <c r="CM689" s="10"/>
      <c r="CN689" s="10"/>
      <c r="CO689" s="10"/>
      <c r="CP689" s="10"/>
      <c r="CQ689" s="10"/>
      <c r="CR689" s="10"/>
      <c r="CS689" s="10"/>
      <c r="CT689" s="10"/>
      <c r="CU689" s="10"/>
      <c r="CV689" s="10"/>
      <c r="CW689" s="10"/>
      <c r="CX689" s="10"/>
      <c r="CY689" s="10"/>
      <c r="CZ689" s="10"/>
      <c r="DA689" s="10"/>
      <c r="DB689" s="10"/>
      <c r="DC689" s="10"/>
      <c r="DD689" s="10"/>
      <c r="DE689" s="10"/>
    </row>
    <row r="690" spans="2:109" hidden="1" x14ac:dyDescent="0.2">
      <c r="B690" s="146">
        <v>27</v>
      </c>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c r="CF690" s="10"/>
      <c r="CG690" s="10"/>
      <c r="CH690" s="10"/>
      <c r="CI690" s="10"/>
      <c r="CJ690" s="10"/>
      <c r="CK690" s="10"/>
      <c r="CL690" s="10"/>
      <c r="CM690" s="10"/>
      <c r="CN690" s="10"/>
      <c r="CO690" s="10"/>
      <c r="CP690" s="10"/>
      <c r="CQ690" s="10"/>
      <c r="CR690" s="10"/>
      <c r="CS690" s="10"/>
      <c r="CT690" s="10"/>
      <c r="CU690" s="10"/>
      <c r="CV690" s="10"/>
      <c r="CW690" s="10"/>
      <c r="CX690" s="10"/>
      <c r="CY690" s="10"/>
      <c r="CZ690" s="10"/>
      <c r="DA690" s="10"/>
      <c r="DB690" s="10"/>
      <c r="DC690" s="10"/>
      <c r="DD690" s="10"/>
      <c r="DE690" s="10"/>
    </row>
    <row r="691" spans="2:109" hidden="1" x14ac:dyDescent="0.2">
      <c r="B691" s="146">
        <v>28</v>
      </c>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c r="CF691" s="10"/>
      <c r="CG691" s="10"/>
      <c r="CH691" s="10"/>
      <c r="CI691" s="10"/>
      <c r="CJ691" s="10"/>
      <c r="CK691" s="10"/>
      <c r="CL691" s="10"/>
      <c r="CM691" s="10"/>
      <c r="CN691" s="10"/>
      <c r="CO691" s="10"/>
      <c r="CP691" s="10"/>
      <c r="CQ691" s="10"/>
      <c r="CR691" s="10"/>
      <c r="CS691" s="10"/>
      <c r="CT691" s="10"/>
      <c r="CU691" s="10"/>
      <c r="CV691" s="10"/>
      <c r="CW691" s="10"/>
      <c r="CX691" s="10"/>
      <c r="CY691" s="10"/>
      <c r="CZ691" s="10"/>
      <c r="DA691" s="10"/>
      <c r="DB691" s="10"/>
      <c r="DC691" s="10"/>
      <c r="DD691" s="10"/>
      <c r="DE691" s="10"/>
    </row>
    <row r="692" spans="2:109" hidden="1" x14ac:dyDescent="0.2">
      <c r="B692" s="146">
        <v>29</v>
      </c>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c r="CF692" s="10"/>
      <c r="CG692" s="10"/>
      <c r="CH692" s="10"/>
      <c r="CI692" s="10"/>
      <c r="CJ692" s="10"/>
      <c r="CK692" s="10"/>
      <c r="CL692" s="10"/>
      <c r="CM692" s="10"/>
      <c r="CN692" s="10"/>
      <c r="CO692" s="10"/>
      <c r="CP692" s="10"/>
      <c r="CQ692" s="10"/>
      <c r="CR692" s="10"/>
      <c r="CS692" s="10"/>
      <c r="CT692" s="10"/>
      <c r="CU692" s="10"/>
      <c r="CV692" s="10"/>
      <c r="CW692" s="10"/>
      <c r="CX692" s="10"/>
      <c r="CY692" s="10"/>
      <c r="CZ692" s="10"/>
      <c r="DA692" s="10"/>
      <c r="DB692" s="10"/>
      <c r="DC692" s="10"/>
      <c r="DD692" s="10"/>
      <c r="DE692" s="10"/>
    </row>
    <row r="693" spans="2:109" hidden="1" x14ac:dyDescent="0.2">
      <c r="B693" s="146">
        <v>30</v>
      </c>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c r="CF693" s="10"/>
      <c r="CG693" s="10"/>
      <c r="CH693" s="10"/>
      <c r="CI693" s="10"/>
      <c r="CJ693" s="10"/>
      <c r="CK693" s="10"/>
      <c r="CL693" s="10"/>
      <c r="CM693" s="10"/>
      <c r="CN693" s="10"/>
      <c r="CO693" s="10"/>
      <c r="CP693" s="10"/>
      <c r="CQ693" s="10"/>
      <c r="CR693" s="10"/>
      <c r="CS693" s="10"/>
      <c r="CT693" s="10"/>
      <c r="CU693" s="10"/>
      <c r="CV693" s="10"/>
      <c r="CW693" s="10"/>
      <c r="CX693" s="10"/>
      <c r="CY693" s="10"/>
      <c r="CZ693" s="10"/>
      <c r="DA693" s="10"/>
      <c r="DB693" s="10"/>
      <c r="DC693" s="10"/>
      <c r="DD693" s="10"/>
      <c r="DE693" s="10"/>
    </row>
    <row r="694" spans="2:109" hidden="1" x14ac:dyDescent="0.2">
      <c r="B694" s="146">
        <v>31</v>
      </c>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c r="CF694" s="10"/>
      <c r="CG694" s="10"/>
      <c r="CH694" s="10"/>
      <c r="CI694" s="10"/>
      <c r="CJ694" s="10"/>
      <c r="CK694" s="10"/>
      <c r="CL694" s="10"/>
      <c r="CM694" s="10"/>
      <c r="CN694" s="10"/>
      <c r="CO694" s="10"/>
      <c r="CP694" s="10"/>
      <c r="CQ694" s="10"/>
      <c r="CR694" s="10"/>
      <c r="CS694" s="10"/>
      <c r="CT694" s="10"/>
      <c r="CU694" s="10"/>
      <c r="CV694" s="10"/>
      <c r="CW694" s="10"/>
      <c r="CX694" s="10"/>
      <c r="CY694" s="10"/>
      <c r="CZ694" s="10"/>
      <c r="DA694" s="10"/>
      <c r="DB694" s="10"/>
      <c r="DC694" s="10"/>
      <c r="DD694" s="10"/>
      <c r="DE694" s="10"/>
    </row>
    <row r="695" spans="2:109" hidden="1" x14ac:dyDescent="0.2">
      <c r="B695" s="146">
        <v>32</v>
      </c>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c r="CE695" s="10"/>
      <c r="CF695" s="10"/>
      <c r="CG695" s="10"/>
      <c r="CH695" s="10"/>
      <c r="CI695" s="10"/>
      <c r="CJ695" s="10"/>
      <c r="CK695" s="10"/>
      <c r="CL695" s="10"/>
      <c r="CM695" s="10"/>
      <c r="CN695" s="10"/>
      <c r="CO695" s="10"/>
      <c r="CP695" s="10"/>
      <c r="CQ695" s="10"/>
      <c r="CR695" s="10"/>
      <c r="CS695" s="10"/>
      <c r="CT695" s="10"/>
      <c r="CU695" s="10"/>
      <c r="CV695" s="10"/>
      <c r="CW695" s="10"/>
      <c r="CX695" s="10"/>
      <c r="CY695" s="10"/>
      <c r="CZ695" s="10"/>
      <c r="DA695" s="10"/>
      <c r="DB695" s="10"/>
      <c r="DC695" s="10"/>
      <c r="DD695" s="10"/>
      <c r="DE695" s="10"/>
    </row>
    <row r="696" spans="2:109" hidden="1" x14ac:dyDescent="0.2">
      <c r="B696" s="146">
        <v>33</v>
      </c>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c r="CA696" s="10"/>
      <c r="CB696" s="10"/>
      <c r="CC696" s="10"/>
      <c r="CD696" s="10"/>
      <c r="CE696" s="10"/>
      <c r="CF696" s="10"/>
      <c r="CG696" s="10"/>
      <c r="CH696" s="10"/>
      <c r="CI696" s="10"/>
      <c r="CJ696" s="10"/>
      <c r="CK696" s="10"/>
      <c r="CL696" s="10"/>
      <c r="CM696" s="10"/>
      <c r="CN696" s="10"/>
      <c r="CO696" s="10"/>
      <c r="CP696" s="10"/>
      <c r="CQ696" s="10"/>
      <c r="CR696" s="10"/>
      <c r="CS696" s="10"/>
      <c r="CT696" s="10"/>
      <c r="CU696" s="10"/>
      <c r="CV696" s="10"/>
      <c r="CW696" s="10"/>
      <c r="CX696" s="10"/>
      <c r="CY696" s="10"/>
      <c r="CZ696" s="10"/>
      <c r="DA696" s="10"/>
      <c r="DB696" s="10"/>
      <c r="DC696" s="10"/>
      <c r="DD696" s="10"/>
      <c r="DE696" s="10"/>
    </row>
    <row r="697" spans="2:109" hidden="1" x14ac:dyDescent="0.2">
      <c r="B697" s="146">
        <v>34</v>
      </c>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c r="BY697" s="10"/>
      <c r="BZ697" s="10"/>
      <c r="CA697" s="10"/>
      <c r="CB697" s="10"/>
      <c r="CC697" s="10"/>
      <c r="CD697" s="10"/>
      <c r="CE697" s="10"/>
      <c r="CF697" s="10"/>
      <c r="CG697" s="10"/>
      <c r="CH697" s="10"/>
      <c r="CI697" s="10"/>
      <c r="CJ697" s="10"/>
      <c r="CK697" s="10"/>
      <c r="CL697" s="10"/>
      <c r="CM697" s="10"/>
      <c r="CN697" s="10"/>
      <c r="CO697" s="10"/>
      <c r="CP697" s="10"/>
      <c r="CQ697" s="10"/>
      <c r="CR697" s="10"/>
      <c r="CS697" s="10"/>
      <c r="CT697" s="10"/>
      <c r="CU697" s="10"/>
      <c r="CV697" s="10"/>
      <c r="CW697" s="10"/>
      <c r="CX697" s="10"/>
      <c r="CY697" s="10"/>
      <c r="CZ697" s="10"/>
      <c r="DA697" s="10"/>
      <c r="DB697" s="10"/>
      <c r="DC697" s="10"/>
      <c r="DD697" s="10"/>
      <c r="DE697" s="10"/>
    </row>
    <row r="698" spans="2:109" hidden="1" x14ac:dyDescent="0.2">
      <c r="B698" s="146">
        <v>35</v>
      </c>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c r="BY698" s="10"/>
      <c r="BZ698" s="10"/>
      <c r="CA698" s="10"/>
      <c r="CB698" s="10"/>
      <c r="CC698" s="10"/>
      <c r="CD698" s="10"/>
      <c r="CE698" s="10"/>
      <c r="CF698" s="10"/>
      <c r="CG698" s="10"/>
      <c r="CH698" s="10"/>
      <c r="CI698" s="10"/>
      <c r="CJ698" s="10"/>
      <c r="CK698" s="10"/>
      <c r="CL698" s="10"/>
      <c r="CM698" s="10"/>
      <c r="CN698" s="10"/>
      <c r="CO698" s="10"/>
      <c r="CP698" s="10"/>
      <c r="CQ698" s="10"/>
      <c r="CR698" s="10"/>
      <c r="CS698" s="10"/>
      <c r="CT698" s="10"/>
      <c r="CU698" s="10"/>
      <c r="CV698" s="10"/>
      <c r="CW698" s="10"/>
      <c r="CX698" s="10"/>
      <c r="CY698" s="10"/>
      <c r="CZ698" s="10"/>
      <c r="DA698" s="10"/>
      <c r="DB698" s="10"/>
      <c r="DC698" s="10"/>
      <c r="DD698" s="10"/>
      <c r="DE698" s="10"/>
    </row>
    <row r="699" spans="2:109" hidden="1" x14ac:dyDescent="0.2">
      <c r="B699" s="146">
        <v>36</v>
      </c>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c r="BY699" s="10"/>
      <c r="BZ699" s="10"/>
      <c r="CA699" s="10"/>
      <c r="CB699" s="10"/>
      <c r="CC699" s="10"/>
      <c r="CD699" s="10"/>
      <c r="CE699" s="10"/>
      <c r="CF699" s="10"/>
      <c r="CG699" s="10"/>
      <c r="CH699" s="10"/>
      <c r="CI699" s="10"/>
      <c r="CJ699" s="10"/>
      <c r="CK699" s="10"/>
      <c r="CL699" s="10"/>
      <c r="CM699" s="10"/>
      <c r="CN699" s="10"/>
      <c r="CO699" s="10"/>
      <c r="CP699" s="10"/>
      <c r="CQ699" s="10"/>
      <c r="CR699" s="10"/>
      <c r="CS699" s="10"/>
      <c r="CT699" s="10"/>
      <c r="CU699" s="10"/>
      <c r="CV699" s="10"/>
      <c r="CW699" s="10"/>
      <c r="CX699" s="10"/>
      <c r="CY699" s="10"/>
      <c r="CZ699" s="10"/>
      <c r="DA699" s="10"/>
      <c r="DB699" s="10"/>
      <c r="DC699" s="10"/>
      <c r="DD699" s="10"/>
      <c r="DE699" s="10"/>
    </row>
    <row r="700" spans="2:109" hidden="1" x14ac:dyDescent="0.2">
      <c r="B700" s="146">
        <v>37</v>
      </c>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c r="BY700" s="10"/>
      <c r="BZ700" s="10"/>
      <c r="CA700" s="10"/>
      <c r="CB700" s="10"/>
      <c r="CC700" s="10"/>
      <c r="CD700" s="10"/>
      <c r="CE700" s="10"/>
      <c r="CF700" s="10"/>
      <c r="CG700" s="10"/>
      <c r="CH700" s="10"/>
      <c r="CI700" s="10"/>
      <c r="CJ700" s="10"/>
      <c r="CK700" s="10"/>
      <c r="CL700" s="10"/>
      <c r="CM700" s="10"/>
      <c r="CN700" s="10"/>
      <c r="CO700" s="10"/>
      <c r="CP700" s="10"/>
      <c r="CQ700" s="10"/>
      <c r="CR700" s="10"/>
      <c r="CS700" s="10"/>
      <c r="CT700" s="10"/>
      <c r="CU700" s="10"/>
      <c r="CV700" s="10"/>
      <c r="CW700" s="10"/>
      <c r="CX700" s="10"/>
      <c r="CY700" s="10"/>
      <c r="CZ700" s="10"/>
      <c r="DA700" s="10"/>
      <c r="DB700" s="10"/>
      <c r="DC700" s="10"/>
      <c r="DD700" s="10"/>
      <c r="DE700" s="10"/>
    </row>
    <row r="701" spans="2:109" hidden="1" x14ac:dyDescent="0.2">
      <c r="B701" s="146">
        <v>38</v>
      </c>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c r="BY701" s="10"/>
      <c r="BZ701" s="10"/>
      <c r="CA701" s="10"/>
      <c r="CB701" s="10"/>
      <c r="CC701" s="10"/>
      <c r="CD701" s="10"/>
      <c r="CE701" s="10"/>
      <c r="CF701" s="10"/>
      <c r="CG701" s="10"/>
      <c r="CH701" s="10"/>
      <c r="CI701" s="10"/>
      <c r="CJ701" s="10"/>
      <c r="CK701" s="10"/>
      <c r="CL701" s="10"/>
      <c r="CM701" s="10"/>
      <c r="CN701" s="10"/>
      <c r="CO701" s="10"/>
      <c r="CP701" s="10"/>
      <c r="CQ701" s="10"/>
      <c r="CR701" s="10"/>
      <c r="CS701" s="10"/>
      <c r="CT701" s="10"/>
      <c r="CU701" s="10"/>
      <c r="CV701" s="10"/>
      <c r="CW701" s="10"/>
      <c r="CX701" s="10"/>
      <c r="CY701" s="10"/>
      <c r="CZ701" s="10"/>
      <c r="DA701" s="10"/>
      <c r="DB701" s="10"/>
      <c r="DC701" s="10"/>
      <c r="DD701" s="10"/>
      <c r="DE701" s="10"/>
    </row>
    <row r="702" spans="2:109" hidden="1" x14ac:dyDescent="0.2">
      <c r="B702" s="146">
        <v>39</v>
      </c>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BY702" s="10"/>
      <c r="BZ702" s="10"/>
      <c r="CA702" s="10"/>
      <c r="CB702" s="10"/>
      <c r="CC702" s="10"/>
      <c r="CD702" s="10"/>
      <c r="CE702" s="10"/>
      <c r="CF702" s="10"/>
      <c r="CG702" s="10"/>
      <c r="CH702" s="10"/>
      <c r="CI702" s="10"/>
      <c r="CJ702" s="10"/>
      <c r="CK702" s="10"/>
      <c r="CL702" s="10"/>
      <c r="CM702" s="10"/>
      <c r="CN702" s="10"/>
      <c r="CO702" s="10"/>
      <c r="CP702" s="10"/>
      <c r="CQ702" s="10"/>
      <c r="CR702" s="10"/>
      <c r="CS702" s="10"/>
      <c r="CT702" s="10"/>
      <c r="CU702" s="10"/>
      <c r="CV702" s="10"/>
      <c r="CW702" s="10"/>
      <c r="CX702" s="10"/>
      <c r="CY702" s="10"/>
      <c r="CZ702" s="10"/>
      <c r="DA702" s="10"/>
      <c r="DB702" s="10"/>
      <c r="DC702" s="10"/>
      <c r="DD702" s="10"/>
      <c r="DE702" s="10"/>
    </row>
    <row r="703" spans="2:109" hidden="1" x14ac:dyDescent="0.2">
      <c r="B703" s="146">
        <v>40</v>
      </c>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BY703" s="10"/>
      <c r="BZ703" s="10"/>
      <c r="CA703" s="10"/>
      <c r="CB703" s="10"/>
      <c r="CC703" s="10"/>
      <c r="CD703" s="10"/>
      <c r="CE703" s="10"/>
      <c r="CF703" s="10"/>
      <c r="CG703" s="10"/>
      <c r="CH703" s="10"/>
      <c r="CI703" s="10"/>
      <c r="CJ703" s="10"/>
      <c r="CK703" s="10"/>
      <c r="CL703" s="10"/>
      <c r="CM703" s="10"/>
      <c r="CN703" s="10"/>
      <c r="CO703" s="10"/>
      <c r="CP703" s="10"/>
      <c r="CQ703" s="10"/>
      <c r="CR703" s="10"/>
      <c r="CS703" s="10"/>
      <c r="CT703" s="10"/>
      <c r="CU703" s="10"/>
      <c r="CV703" s="10"/>
      <c r="CW703" s="10"/>
      <c r="CX703" s="10"/>
      <c r="CY703" s="10"/>
      <c r="CZ703" s="10"/>
      <c r="DA703" s="10"/>
      <c r="DB703" s="10"/>
      <c r="DC703" s="10"/>
      <c r="DD703" s="10"/>
      <c r="DE703" s="10"/>
    </row>
    <row r="704" spans="2:109" hidden="1" x14ac:dyDescent="0.2">
      <c r="B704" s="146">
        <v>41</v>
      </c>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c r="BY704" s="10"/>
      <c r="BZ704" s="10"/>
      <c r="CA704" s="10"/>
      <c r="CB704" s="10"/>
      <c r="CC704" s="10"/>
      <c r="CD704" s="10"/>
      <c r="CE704" s="10"/>
      <c r="CF704" s="10"/>
      <c r="CG704" s="10"/>
      <c r="CH704" s="10"/>
      <c r="CI704" s="10"/>
      <c r="CJ704" s="10"/>
      <c r="CK704" s="10"/>
      <c r="CL704" s="10"/>
      <c r="CM704" s="10"/>
      <c r="CN704" s="10"/>
      <c r="CO704" s="10"/>
      <c r="CP704" s="10"/>
      <c r="CQ704" s="10"/>
      <c r="CR704" s="10"/>
      <c r="CS704" s="10"/>
      <c r="CT704" s="10"/>
      <c r="CU704" s="10"/>
      <c r="CV704" s="10"/>
      <c r="CW704" s="10"/>
      <c r="CX704" s="10"/>
      <c r="CY704" s="10"/>
      <c r="CZ704" s="10"/>
      <c r="DA704" s="10"/>
      <c r="DB704" s="10"/>
      <c r="DC704" s="10"/>
      <c r="DD704" s="10"/>
      <c r="DE704" s="10"/>
    </row>
    <row r="705" spans="2:109" hidden="1" x14ac:dyDescent="0.2">
      <c r="B705" s="146">
        <v>42</v>
      </c>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c r="BY705" s="10"/>
      <c r="BZ705" s="10"/>
      <c r="CA705" s="10"/>
      <c r="CB705" s="10"/>
      <c r="CC705" s="10"/>
      <c r="CD705" s="10"/>
      <c r="CE705" s="10"/>
      <c r="CF705" s="10"/>
      <c r="CG705" s="10"/>
      <c r="CH705" s="10"/>
      <c r="CI705" s="10"/>
      <c r="CJ705" s="10"/>
      <c r="CK705" s="10"/>
      <c r="CL705" s="10"/>
      <c r="CM705" s="10"/>
      <c r="CN705" s="10"/>
      <c r="CO705" s="10"/>
      <c r="CP705" s="10"/>
      <c r="CQ705" s="10"/>
      <c r="CR705" s="10"/>
      <c r="CS705" s="10"/>
      <c r="CT705" s="10"/>
      <c r="CU705" s="10"/>
      <c r="CV705" s="10"/>
      <c r="CW705" s="10"/>
      <c r="CX705" s="10"/>
      <c r="CY705" s="10"/>
      <c r="CZ705" s="10"/>
      <c r="DA705" s="10"/>
      <c r="DB705" s="10"/>
      <c r="DC705" s="10"/>
      <c r="DD705" s="10"/>
      <c r="DE705" s="10"/>
    </row>
    <row r="706" spans="2:109" hidden="1" x14ac:dyDescent="0.2">
      <c r="B706" s="146">
        <v>43</v>
      </c>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BY706" s="10"/>
      <c r="BZ706" s="10"/>
      <c r="CA706" s="10"/>
      <c r="CB706" s="10"/>
      <c r="CC706" s="10"/>
      <c r="CD706" s="10"/>
      <c r="CE706" s="10"/>
      <c r="CF706" s="10"/>
      <c r="CG706" s="10"/>
      <c r="CH706" s="10"/>
      <c r="CI706" s="10"/>
      <c r="CJ706" s="10"/>
      <c r="CK706" s="10"/>
      <c r="CL706" s="10"/>
      <c r="CM706" s="10"/>
      <c r="CN706" s="10"/>
      <c r="CO706" s="10"/>
      <c r="CP706" s="10"/>
      <c r="CQ706" s="10"/>
      <c r="CR706" s="10"/>
      <c r="CS706" s="10"/>
      <c r="CT706" s="10"/>
      <c r="CU706" s="10"/>
      <c r="CV706" s="10"/>
      <c r="CW706" s="10"/>
      <c r="CX706" s="10"/>
      <c r="CY706" s="10"/>
      <c r="CZ706" s="10"/>
      <c r="DA706" s="10"/>
      <c r="DB706" s="10"/>
      <c r="DC706" s="10"/>
      <c r="DD706" s="10"/>
      <c r="DE706" s="10"/>
    </row>
    <row r="707" spans="2:109" hidden="1" x14ac:dyDescent="0.2">
      <c r="B707" s="146">
        <v>44</v>
      </c>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c r="BY707" s="10"/>
      <c r="BZ707" s="10"/>
      <c r="CA707" s="10"/>
      <c r="CB707" s="10"/>
      <c r="CC707" s="10"/>
      <c r="CD707" s="10"/>
      <c r="CE707" s="10"/>
      <c r="CF707" s="10"/>
      <c r="CG707" s="10"/>
      <c r="CH707" s="10"/>
      <c r="CI707" s="10"/>
      <c r="CJ707" s="10"/>
      <c r="CK707" s="10"/>
      <c r="CL707" s="10"/>
      <c r="CM707" s="10"/>
      <c r="CN707" s="10"/>
      <c r="CO707" s="10"/>
      <c r="CP707" s="10"/>
      <c r="CQ707" s="10"/>
      <c r="CR707" s="10"/>
      <c r="CS707" s="10"/>
      <c r="CT707" s="10"/>
      <c r="CU707" s="10"/>
      <c r="CV707" s="10"/>
      <c r="CW707" s="10"/>
      <c r="CX707" s="10"/>
      <c r="CY707" s="10"/>
      <c r="CZ707" s="10"/>
      <c r="DA707" s="10"/>
      <c r="DB707" s="10"/>
      <c r="DC707" s="10"/>
      <c r="DD707" s="10"/>
      <c r="DE707" s="10"/>
    </row>
    <row r="708" spans="2:109" hidden="1" x14ac:dyDescent="0.2">
      <c r="B708" s="146">
        <v>45</v>
      </c>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c r="BY708" s="10"/>
      <c r="BZ708" s="10"/>
      <c r="CA708" s="10"/>
      <c r="CB708" s="10"/>
      <c r="CC708" s="10"/>
      <c r="CD708" s="10"/>
      <c r="CE708" s="10"/>
      <c r="CF708" s="10"/>
      <c r="CG708" s="10"/>
      <c r="CH708" s="10"/>
      <c r="CI708" s="10"/>
      <c r="CJ708" s="10"/>
      <c r="CK708" s="10"/>
      <c r="CL708" s="10"/>
      <c r="CM708" s="10"/>
      <c r="CN708" s="10"/>
      <c r="CO708" s="10"/>
      <c r="CP708" s="10"/>
      <c r="CQ708" s="10"/>
      <c r="CR708" s="10"/>
      <c r="CS708" s="10"/>
      <c r="CT708" s="10"/>
      <c r="CU708" s="10"/>
      <c r="CV708" s="10"/>
      <c r="CW708" s="10"/>
      <c r="CX708" s="10"/>
      <c r="CY708" s="10"/>
      <c r="CZ708" s="10"/>
      <c r="DA708" s="10"/>
      <c r="DB708" s="10"/>
      <c r="DC708" s="10"/>
      <c r="DD708" s="10"/>
      <c r="DE708" s="10"/>
    </row>
    <row r="709" spans="2:109" hidden="1" x14ac:dyDescent="0.2">
      <c r="B709" s="146">
        <v>46</v>
      </c>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c r="BY709" s="10"/>
      <c r="BZ709" s="10"/>
      <c r="CA709" s="10"/>
      <c r="CB709" s="10"/>
      <c r="CC709" s="10"/>
      <c r="CD709" s="10"/>
      <c r="CE709" s="10"/>
      <c r="CF709" s="10"/>
      <c r="CG709" s="10"/>
      <c r="CH709" s="10"/>
      <c r="CI709" s="10"/>
      <c r="CJ709" s="10"/>
      <c r="CK709" s="10"/>
      <c r="CL709" s="10"/>
      <c r="CM709" s="10"/>
      <c r="CN709" s="10"/>
      <c r="CO709" s="10"/>
      <c r="CP709" s="10"/>
      <c r="CQ709" s="10"/>
      <c r="CR709" s="10"/>
      <c r="CS709" s="10"/>
      <c r="CT709" s="10"/>
      <c r="CU709" s="10"/>
      <c r="CV709" s="10"/>
      <c r="CW709" s="10"/>
      <c r="CX709" s="10"/>
      <c r="CY709" s="10"/>
      <c r="CZ709" s="10"/>
      <c r="DA709" s="10"/>
      <c r="DB709" s="10"/>
      <c r="DC709" s="10"/>
      <c r="DD709" s="10"/>
      <c r="DE709" s="10"/>
    </row>
    <row r="710" spans="2:109" hidden="1" x14ac:dyDescent="0.2">
      <c r="B710" s="146">
        <v>47</v>
      </c>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c r="BY710" s="10"/>
      <c r="BZ710" s="10"/>
      <c r="CA710" s="10"/>
      <c r="CB710" s="10"/>
      <c r="CC710" s="10"/>
      <c r="CD710" s="10"/>
      <c r="CE710" s="10"/>
      <c r="CF710" s="10"/>
      <c r="CG710" s="10"/>
      <c r="CH710" s="10"/>
      <c r="CI710" s="10"/>
      <c r="CJ710" s="10"/>
      <c r="CK710" s="10"/>
      <c r="CL710" s="10"/>
      <c r="CM710" s="10"/>
      <c r="CN710" s="10"/>
      <c r="CO710" s="10"/>
      <c r="CP710" s="10"/>
      <c r="CQ710" s="10"/>
      <c r="CR710" s="10"/>
      <c r="CS710" s="10"/>
      <c r="CT710" s="10"/>
      <c r="CU710" s="10"/>
      <c r="CV710" s="10"/>
      <c r="CW710" s="10"/>
      <c r="CX710" s="10"/>
      <c r="CY710" s="10"/>
      <c r="CZ710" s="10"/>
      <c r="DA710" s="10"/>
      <c r="DB710" s="10"/>
      <c r="DC710" s="10"/>
      <c r="DD710" s="10"/>
      <c r="DE710" s="10"/>
    </row>
    <row r="711" spans="2:109" hidden="1" x14ac:dyDescent="0.2">
      <c r="B711" s="146">
        <v>48</v>
      </c>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c r="BY711" s="10"/>
      <c r="BZ711" s="10"/>
      <c r="CA711" s="10"/>
      <c r="CB711" s="10"/>
      <c r="CC711" s="10"/>
      <c r="CD711" s="10"/>
      <c r="CE711" s="10"/>
      <c r="CF711" s="10"/>
      <c r="CG711" s="10"/>
      <c r="CH711" s="10"/>
      <c r="CI711" s="10"/>
      <c r="CJ711" s="10"/>
      <c r="CK711" s="10"/>
      <c r="CL711" s="10"/>
      <c r="CM711" s="10"/>
      <c r="CN711" s="10"/>
      <c r="CO711" s="10"/>
      <c r="CP711" s="10"/>
      <c r="CQ711" s="10"/>
      <c r="CR711" s="10"/>
      <c r="CS711" s="10"/>
      <c r="CT711" s="10"/>
      <c r="CU711" s="10"/>
      <c r="CV711" s="10"/>
      <c r="CW711" s="10"/>
      <c r="CX711" s="10"/>
      <c r="CY711" s="10"/>
      <c r="CZ711" s="10"/>
      <c r="DA711" s="10"/>
      <c r="DB711" s="10"/>
      <c r="DC711" s="10"/>
      <c r="DD711" s="10"/>
      <c r="DE711" s="10"/>
    </row>
    <row r="712" spans="2:109" hidden="1" x14ac:dyDescent="0.2">
      <c r="B712" s="146">
        <v>49</v>
      </c>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c r="BY712" s="10"/>
      <c r="BZ712" s="10"/>
      <c r="CA712" s="10"/>
      <c r="CB712" s="10"/>
      <c r="CC712" s="10"/>
      <c r="CD712" s="10"/>
      <c r="CE712" s="10"/>
      <c r="CF712" s="10"/>
      <c r="CG712" s="10"/>
      <c r="CH712" s="10"/>
      <c r="CI712" s="10"/>
      <c r="CJ712" s="10"/>
      <c r="CK712" s="10"/>
      <c r="CL712" s="10"/>
      <c r="CM712" s="10"/>
      <c r="CN712" s="10"/>
      <c r="CO712" s="10"/>
      <c r="CP712" s="10"/>
      <c r="CQ712" s="10"/>
      <c r="CR712" s="10"/>
      <c r="CS712" s="10"/>
      <c r="CT712" s="10"/>
      <c r="CU712" s="10"/>
      <c r="CV712" s="10"/>
      <c r="CW712" s="10"/>
      <c r="CX712" s="10"/>
      <c r="CY712" s="10"/>
      <c r="CZ712" s="10"/>
      <c r="DA712" s="10"/>
      <c r="DB712" s="10"/>
      <c r="DC712" s="10"/>
      <c r="DD712" s="10"/>
      <c r="DE712" s="10"/>
    </row>
    <row r="713" spans="2:109" hidden="1" x14ac:dyDescent="0.2">
      <c r="B713" s="146">
        <v>50</v>
      </c>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BY713" s="10"/>
      <c r="BZ713" s="10"/>
      <c r="CA713" s="10"/>
      <c r="CB713" s="10"/>
      <c r="CC713" s="10"/>
      <c r="CD713" s="10"/>
      <c r="CE713" s="10"/>
      <c r="CF713" s="10"/>
      <c r="CG713" s="10"/>
      <c r="CH713" s="10"/>
      <c r="CI713" s="10"/>
      <c r="CJ713" s="10"/>
      <c r="CK713" s="10"/>
      <c r="CL713" s="10"/>
      <c r="CM713" s="10"/>
      <c r="CN713" s="10"/>
      <c r="CO713" s="10"/>
      <c r="CP713" s="10"/>
      <c r="CQ713" s="10"/>
      <c r="CR713" s="10"/>
      <c r="CS713" s="10"/>
      <c r="CT713" s="10"/>
      <c r="CU713" s="10"/>
      <c r="CV713" s="10"/>
      <c r="CW713" s="10"/>
      <c r="CX713" s="10"/>
      <c r="CY713" s="10"/>
      <c r="CZ713" s="10"/>
      <c r="DA713" s="10"/>
      <c r="DB713" s="10"/>
      <c r="DC713" s="10"/>
      <c r="DD713" s="10"/>
      <c r="DE713" s="10"/>
    </row>
    <row r="714" spans="2:109" hidden="1" x14ac:dyDescent="0.2">
      <c r="B714" s="146">
        <v>51</v>
      </c>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c r="BY714" s="10"/>
      <c r="BZ714" s="10"/>
      <c r="CA714" s="10"/>
      <c r="CB714" s="10"/>
      <c r="CC714" s="10"/>
      <c r="CD714" s="10"/>
      <c r="CE714" s="10"/>
      <c r="CF714" s="10"/>
      <c r="CG714" s="10"/>
      <c r="CH714" s="10"/>
      <c r="CI714" s="10"/>
      <c r="CJ714" s="10"/>
      <c r="CK714" s="10"/>
      <c r="CL714" s="10"/>
      <c r="CM714" s="10"/>
      <c r="CN714" s="10"/>
      <c r="CO714" s="10"/>
      <c r="CP714" s="10"/>
      <c r="CQ714" s="10"/>
      <c r="CR714" s="10"/>
      <c r="CS714" s="10"/>
      <c r="CT714" s="10"/>
      <c r="CU714" s="10"/>
      <c r="CV714" s="10"/>
      <c r="CW714" s="10"/>
      <c r="CX714" s="10"/>
      <c r="CY714" s="10"/>
      <c r="CZ714" s="10"/>
      <c r="DA714" s="10"/>
      <c r="DB714" s="10"/>
      <c r="DC714" s="10"/>
      <c r="DD714" s="10"/>
      <c r="DE714" s="10"/>
    </row>
    <row r="715" spans="2:109" hidden="1" x14ac:dyDescent="0.2">
      <c r="B715" s="146">
        <v>52</v>
      </c>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BY715" s="10"/>
      <c r="BZ715" s="10"/>
      <c r="CA715" s="10"/>
      <c r="CB715" s="10"/>
      <c r="CC715" s="10"/>
      <c r="CD715" s="10"/>
      <c r="CE715" s="10"/>
      <c r="CF715" s="10"/>
      <c r="CG715" s="10"/>
      <c r="CH715" s="10"/>
      <c r="CI715" s="10"/>
      <c r="CJ715" s="10"/>
      <c r="CK715" s="10"/>
      <c r="CL715" s="10"/>
      <c r="CM715" s="10"/>
      <c r="CN715" s="10"/>
      <c r="CO715" s="10"/>
      <c r="CP715" s="10"/>
      <c r="CQ715" s="10"/>
      <c r="CR715" s="10"/>
      <c r="CS715" s="10"/>
      <c r="CT715" s="10"/>
      <c r="CU715" s="10"/>
      <c r="CV715" s="10"/>
      <c r="CW715" s="10"/>
      <c r="CX715" s="10"/>
      <c r="CY715" s="10"/>
      <c r="CZ715" s="10"/>
      <c r="DA715" s="10"/>
      <c r="DB715" s="10"/>
      <c r="DC715" s="10"/>
      <c r="DD715" s="10"/>
      <c r="DE715" s="10"/>
    </row>
    <row r="716" spans="2:109" hidden="1" x14ac:dyDescent="0.2">
      <c r="B716" s="146">
        <v>53</v>
      </c>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c r="BY716" s="10"/>
      <c r="BZ716" s="10"/>
      <c r="CA716" s="10"/>
      <c r="CB716" s="10"/>
      <c r="CC716" s="10"/>
      <c r="CD716" s="10"/>
      <c r="CE716" s="10"/>
      <c r="CF716" s="10"/>
      <c r="CG716" s="10"/>
      <c r="CH716" s="10"/>
      <c r="CI716" s="10"/>
      <c r="CJ716" s="10"/>
      <c r="CK716" s="10"/>
      <c r="CL716" s="10"/>
      <c r="CM716" s="10"/>
      <c r="CN716" s="10"/>
      <c r="CO716" s="10"/>
      <c r="CP716" s="10"/>
      <c r="CQ716" s="10"/>
      <c r="CR716" s="10"/>
      <c r="CS716" s="10"/>
      <c r="CT716" s="10"/>
      <c r="CU716" s="10"/>
      <c r="CV716" s="10"/>
      <c r="CW716" s="10"/>
      <c r="CX716" s="10"/>
      <c r="CY716" s="10"/>
      <c r="CZ716" s="10"/>
      <c r="DA716" s="10"/>
      <c r="DB716" s="10"/>
      <c r="DC716" s="10"/>
      <c r="DD716" s="10"/>
      <c r="DE716" s="10"/>
    </row>
    <row r="717" spans="2:109" hidden="1" x14ac:dyDescent="0.2">
      <c r="B717" s="146">
        <v>54</v>
      </c>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BY717" s="10"/>
      <c r="BZ717" s="10"/>
      <c r="CA717" s="10"/>
      <c r="CB717" s="10"/>
      <c r="CC717" s="10"/>
      <c r="CD717" s="10"/>
      <c r="CE717" s="10"/>
      <c r="CF717" s="10"/>
      <c r="CG717" s="10"/>
      <c r="CH717" s="10"/>
      <c r="CI717" s="10"/>
      <c r="CJ717" s="10"/>
      <c r="CK717" s="10"/>
      <c r="CL717" s="10"/>
      <c r="CM717" s="10"/>
      <c r="CN717" s="10"/>
      <c r="CO717" s="10"/>
      <c r="CP717" s="10"/>
      <c r="CQ717" s="10"/>
      <c r="CR717" s="10"/>
      <c r="CS717" s="10"/>
      <c r="CT717" s="10"/>
      <c r="CU717" s="10"/>
      <c r="CV717" s="10"/>
      <c r="CW717" s="10"/>
      <c r="CX717" s="10"/>
      <c r="CY717" s="10"/>
      <c r="CZ717" s="10"/>
      <c r="DA717" s="10"/>
      <c r="DB717" s="10"/>
      <c r="DC717" s="10"/>
      <c r="DD717" s="10"/>
      <c r="DE717" s="10"/>
    </row>
    <row r="718" spans="2:109" hidden="1" x14ac:dyDescent="0.2">
      <c r="B718" s="146">
        <v>55</v>
      </c>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c r="BY718" s="10"/>
      <c r="BZ718" s="10"/>
      <c r="CA718" s="10"/>
      <c r="CB718" s="10"/>
      <c r="CC718" s="10"/>
      <c r="CD718" s="10"/>
      <c r="CE718" s="10"/>
      <c r="CF718" s="10"/>
      <c r="CG718" s="10"/>
      <c r="CH718" s="10"/>
      <c r="CI718" s="10"/>
      <c r="CJ718" s="10"/>
      <c r="CK718" s="10"/>
      <c r="CL718" s="10"/>
      <c r="CM718" s="10"/>
      <c r="CN718" s="10"/>
      <c r="CO718" s="10"/>
      <c r="CP718" s="10"/>
      <c r="CQ718" s="10"/>
      <c r="CR718" s="10"/>
      <c r="CS718" s="10"/>
      <c r="CT718" s="10"/>
      <c r="CU718" s="10"/>
      <c r="CV718" s="10"/>
      <c r="CW718" s="10"/>
      <c r="CX718" s="10"/>
      <c r="CY718" s="10"/>
      <c r="CZ718" s="10"/>
      <c r="DA718" s="10"/>
      <c r="DB718" s="10"/>
      <c r="DC718" s="10"/>
      <c r="DD718" s="10"/>
      <c r="DE718" s="10"/>
    </row>
    <row r="719" spans="2:109" hidden="1" x14ac:dyDescent="0.2">
      <c r="B719" s="146">
        <v>56</v>
      </c>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BY719" s="10"/>
      <c r="BZ719" s="10"/>
      <c r="CA719" s="10"/>
      <c r="CB719" s="10"/>
      <c r="CC719" s="10"/>
      <c r="CD719" s="10"/>
      <c r="CE719" s="10"/>
      <c r="CF719" s="10"/>
      <c r="CG719" s="10"/>
      <c r="CH719" s="10"/>
      <c r="CI719" s="10"/>
      <c r="CJ719" s="10"/>
      <c r="CK719" s="10"/>
      <c r="CL719" s="10"/>
      <c r="CM719" s="10"/>
      <c r="CN719" s="10"/>
      <c r="CO719" s="10"/>
      <c r="CP719" s="10"/>
      <c r="CQ719" s="10"/>
      <c r="CR719" s="10"/>
      <c r="CS719" s="10"/>
      <c r="CT719" s="10"/>
      <c r="CU719" s="10"/>
      <c r="CV719" s="10"/>
      <c r="CW719" s="10"/>
      <c r="CX719" s="10"/>
      <c r="CY719" s="10"/>
      <c r="CZ719" s="10"/>
      <c r="DA719" s="10"/>
      <c r="DB719" s="10"/>
      <c r="DC719" s="10"/>
      <c r="DD719" s="10"/>
      <c r="DE719" s="10"/>
    </row>
    <row r="720" spans="2:109" hidden="1" x14ac:dyDescent="0.2">
      <c r="B720" s="146">
        <v>57</v>
      </c>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c r="BY720" s="10"/>
      <c r="BZ720" s="10"/>
      <c r="CA720" s="10"/>
      <c r="CB720" s="10"/>
      <c r="CC720" s="10"/>
      <c r="CD720" s="10"/>
      <c r="CE720" s="10"/>
      <c r="CF720" s="10"/>
      <c r="CG720" s="10"/>
      <c r="CH720" s="10"/>
      <c r="CI720" s="10"/>
      <c r="CJ720" s="10"/>
      <c r="CK720" s="10"/>
      <c r="CL720" s="10"/>
      <c r="CM720" s="10"/>
      <c r="CN720" s="10"/>
      <c r="CO720" s="10"/>
      <c r="CP720" s="10"/>
      <c r="CQ720" s="10"/>
      <c r="CR720" s="10"/>
      <c r="CS720" s="10"/>
      <c r="CT720" s="10"/>
      <c r="CU720" s="10"/>
      <c r="CV720" s="10"/>
      <c r="CW720" s="10"/>
      <c r="CX720" s="10"/>
      <c r="CY720" s="10"/>
      <c r="CZ720" s="10"/>
      <c r="DA720" s="10"/>
      <c r="DB720" s="10"/>
      <c r="DC720" s="10"/>
      <c r="DD720" s="10"/>
      <c r="DE720" s="10"/>
    </row>
    <row r="721" spans="2:109" hidden="1" x14ac:dyDescent="0.2">
      <c r="B721" s="146">
        <v>58</v>
      </c>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BY721" s="10"/>
      <c r="BZ721" s="10"/>
      <c r="CA721" s="10"/>
      <c r="CB721" s="10"/>
      <c r="CC721" s="10"/>
      <c r="CD721" s="10"/>
      <c r="CE721" s="10"/>
      <c r="CF721" s="10"/>
      <c r="CG721" s="10"/>
      <c r="CH721" s="10"/>
      <c r="CI721" s="10"/>
      <c r="CJ721" s="10"/>
      <c r="CK721" s="10"/>
      <c r="CL721" s="10"/>
      <c r="CM721" s="10"/>
      <c r="CN721" s="10"/>
      <c r="CO721" s="10"/>
      <c r="CP721" s="10"/>
      <c r="CQ721" s="10"/>
      <c r="CR721" s="10"/>
      <c r="CS721" s="10"/>
      <c r="CT721" s="10"/>
      <c r="CU721" s="10"/>
      <c r="CV721" s="10"/>
      <c r="CW721" s="10"/>
      <c r="CX721" s="10"/>
      <c r="CY721" s="10"/>
      <c r="CZ721" s="10"/>
      <c r="DA721" s="10"/>
      <c r="DB721" s="10"/>
      <c r="DC721" s="10"/>
      <c r="DD721" s="10"/>
      <c r="DE721" s="10"/>
    </row>
    <row r="722" spans="2:109" hidden="1" x14ac:dyDescent="0.2">
      <c r="B722" s="146">
        <v>59</v>
      </c>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BY722" s="10"/>
      <c r="BZ722" s="10"/>
      <c r="CA722" s="10"/>
      <c r="CB722" s="10"/>
      <c r="CC722" s="10"/>
      <c r="CD722" s="10"/>
      <c r="CE722" s="10"/>
      <c r="CF722" s="10"/>
      <c r="CG722" s="10"/>
      <c r="CH722" s="10"/>
      <c r="CI722" s="10"/>
      <c r="CJ722" s="10"/>
      <c r="CK722" s="10"/>
      <c r="CL722" s="10"/>
      <c r="CM722" s="10"/>
      <c r="CN722" s="10"/>
      <c r="CO722" s="10"/>
      <c r="CP722" s="10"/>
      <c r="CQ722" s="10"/>
      <c r="CR722" s="10"/>
      <c r="CS722" s="10"/>
      <c r="CT722" s="10"/>
      <c r="CU722" s="10"/>
      <c r="CV722" s="10"/>
      <c r="CW722" s="10"/>
      <c r="CX722" s="10"/>
      <c r="CY722" s="10"/>
      <c r="CZ722" s="10"/>
      <c r="DA722" s="10"/>
      <c r="DB722" s="10"/>
      <c r="DC722" s="10"/>
      <c r="DD722" s="10"/>
      <c r="DE722" s="10"/>
    </row>
    <row r="723" spans="2:109" hidden="1" x14ac:dyDescent="0.2">
      <c r="B723" s="146">
        <v>60</v>
      </c>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c r="BY723" s="10"/>
      <c r="BZ723" s="10"/>
      <c r="CA723" s="10"/>
      <c r="CB723" s="10"/>
      <c r="CC723" s="10"/>
      <c r="CD723" s="10"/>
      <c r="CE723" s="10"/>
      <c r="CF723" s="10"/>
      <c r="CG723" s="10"/>
      <c r="CH723" s="10"/>
      <c r="CI723" s="10"/>
      <c r="CJ723" s="10"/>
      <c r="CK723" s="10"/>
      <c r="CL723" s="10"/>
      <c r="CM723" s="10"/>
      <c r="CN723" s="10"/>
      <c r="CO723" s="10"/>
      <c r="CP723" s="10"/>
      <c r="CQ723" s="10"/>
      <c r="CR723" s="10"/>
      <c r="CS723" s="10"/>
      <c r="CT723" s="10"/>
      <c r="CU723" s="10"/>
      <c r="CV723" s="10"/>
      <c r="CW723" s="10"/>
      <c r="CX723" s="10"/>
      <c r="CY723" s="10"/>
      <c r="CZ723" s="10"/>
      <c r="DA723" s="10"/>
      <c r="DB723" s="10"/>
      <c r="DC723" s="10"/>
      <c r="DD723" s="10"/>
      <c r="DE723" s="10"/>
    </row>
    <row r="724" spans="2:109" hidden="1" x14ac:dyDescent="0.2">
      <c r="B724" s="146">
        <v>61</v>
      </c>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c r="BY724" s="10"/>
      <c r="BZ724" s="10"/>
      <c r="CA724" s="10"/>
      <c r="CB724" s="10"/>
      <c r="CC724" s="10"/>
      <c r="CD724" s="10"/>
      <c r="CE724" s="10"/>
      <c r="CF724" s="10"/>
      <c r="CG724" s="10"/>
      <c r="CH724" s="10"/>
      <c r="CI724" s="10"/>
      <c r="CJ724" s="10"/>
      <c r="CK724" s="10"/>
      <c r="CL724" s="10"/>
      <c r="CM724" s="10"/>
      <c r="CN724" s="10"/>
      <c r="CO724" s="10"/>
      <c r="CP724" s="10"/>
      <c r="CQ724" s="10"/>
      <c r="CR724" s="10"/>
      <c r="CS724" s="10"/>
      <c r="CT724" s="10"/>
      <c r="CU724" s="10"/>
      <c r="CV724" s="10"/>
      <c r="CW724" s="10"/>
      <c r="CX724" s="10"/>
      <c r="CY724" s="10"/>
      <c r="CZ724" s="10"/>
      <c r="DA724" s="10"/>
      <c r="DB724" s="10"/>
      <c r="DC724" s="10"/>
      <c r="DD724" s="10"/>
      <c r="DE724" s="10"/>
    </row>
    <row r="725" spans="2:109" hidden="1" x14ac:dyDescent="0.2">
      <c r="B725" s="146">
        <v>62</v>
      </c>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c r="BY725" s="10"/>
      <c r="BZ725" s="10"/>
      <c r="CA725" s="10"/>
      <c r="CB725" s="10"/>
      <c r="CC725" s="10"/>
      <c r="CD725" s="10"/>
      <c r="CE725" s="10"/>
      <c r="CF725" s="10"/>
      <c r="CG725" s="10"/>
      <c r="CH725" s="10"/>
      <c r="CI725" s="10"/>
      <c r="CJ725" s="10"/>
      <c r="CK725" s="10"/>
      <c r="CL725" s="10"/>
      <c r="CM725" s="10"/>
      <c r="CN725" s="10"/>
      <c r="CO725" s="10"/>
      <c r="CP725" s="10"/>
      <c r="CQ725" s="10"/>
      <c r="CR725" s="10"/>
      <c r="CS725" s="10"/>
      <c r="CT725" s="10"/>
      <c r="CU725" s="10"/>
      <c r="CV725" s="10"/>
      <c r="CW725" s="10"/>
      <c r="CX725" s="10"/>
      <c r="CY725" s="10"/>
      <c r="CZ725" s="10"/>
      <c r="DA725" s="10"/>
      <c r="DB725" s="10"/>
      <c r="DC725" s="10"/>
      <c r="DD725" s="10"/>
      <c r="DE725" s="10"/>
    </row>
    <row r="726" spans="2:109" hidden="1" x14ac:dyDescent="0.2">
      <c r="B726" s="146">
        <v>63</v>
      </c>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BY726" s="10"/>
      <c r="BZ726" s="10"/>
      <c r="CA726" s="10"/>
      <c r="CB726" s="10"/>
      <c r="CC726" s="10"/>
      <c r="CD726" s="10"/>
      <c r="CE726" s="10"/>
      <c r="CF726" s="10"/>
      <c r="CG726" s="10"/>
      <c r="CH726" s="10"/>
      <c r="CI726" s="10"/>
      <c r="CJ726" s="10"/>
      <c r="CK726" s="10"/>
      <c r="CL726" s="10"/>
      <c r="CM726" s="10"/>
      <c r="CN726" s="10"/>
      <c r="CO726" s="10"/>
      <c r="CP726" s="10"/>
      <c r="CQ726" s="10"/>
      <c r="CR726" s="10"/>
      <c r="CS726" s="10"/>
      <c r="CT726" s="10"/>
      <c r="CU726" s="10"/>
      <c r="CV726" s="10"/>
      <c r="CW726" s="10"/>
      <c r="CX726" s="10"/>
      <c r="CY726" s="10"/>
      <c r="CZ726" s="10"/>
      <c r="DA726" s="10"/>
      <c r="DB726" s="10"/>
      <c r="DC726" s="10"/>
      <c r="DD726" s="10"/>
      <c r="DE726" s="10"/>
    </row>
    <row r="727" spans="2:109" hidden="1" x14ac:dyDescent="0.2">
      <c r="B727" s="146">
        <v>64</v>
      </c>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BY727" s="10"/>
      <c r="BZ727" s="10"/>
      <c r="CA727" s="10"/>
      <c r="CB727" s="10"/>
      <c r="CC727" s="10"/>
      <c r="CD727" s="10"/>
      <c r="CE727" s="10"/>
      <c r="CF727" s="10"/>
      <c r="CG727" s="10"/>
      <c r="CH727" s="10"/>
      <c r="CI727" s="10"/>
      <c r="CJ727" s="10"/>
      <c r="CK727" s="10"/>
      <c r="CL727" s="10"/>
      <c r="CM727" s="10"/>
      <c r="CN727" s="10"/>
      <c r="CO727" s="10"/>
      <c r="CP727" s="10"/>
      <c r="CQ727" s="10"/>
      <c r="CR727" s="10"/>
      <c r="CS727" s="10"/>
      <c r="CT727" s="10"/>
      <c r="CU727" s="10"/>
      <c r="CV727" s="10"/>
      <c r="CW727" s="10"/>
      <c r="CX727" s="10"/>
      <c r="CY727" s="10"/>
      <c r="CZ727" s="10"/>
      <c r="DA727" s="10"/>
      <c r="DB727" s="10"/>
      <c r="DC727" s="10"/>
      <c r="DD727" s="10"/>
      <c r="DE727" s="10"/>
    </row>
    <row r="728" spans="2:109" hidden="1" x14ac:dyDescent="0.2">
      <c r="B728" s="146">
        <v>65</v>
      </c>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c r="BX728" s="10"/>
      <c r="BY728" s="10"/>
      <c r="BZ728" s="10"/>
      <c r="CA728" s="10"/>
      <c r="CB728" s="10"/>
      <c r="CC728" s="10"/>
      <c r="CD728" s="10"/>
      <c r="CE728" s="10"/>
      <c r="CF728" s="10"/>
      <c r="CG728" s="10"/>
      <c r="CH728" s="10"/>
      <c r="CI728" s="10"/>
      <c r="CJ728" s="10"/>
      <c r="CK728" s="10"/>
      <c r="CL728" s="10"/>
      <c r="CM728" s="10"/>
      <c r="CN728" s="10"/>
      <c r="CO728" s="10"/>
      <c r="CP728" s="10"/>
      <c r="CQ728" s="10"/>
      <c r="CR728" s="10"/>
      <c r="CS728" s="10"/>
      <c r="CT728" s="10"/>
      <c r="CU728" s="10"/>
      <c r="CV728" s="10"/>
      <c r="CW728" s="10"/>
      <c r="CX728" s="10"/>
      <c r="CY728" s="10"/>
      <c r="CZ728" s="10"/>
      <c r="DA728" s="10"/>
      <c r="DB728" s="10"/>
      <c r="DC728" s="10"/>
      <c r="DD728" s="10"/>
      <c r="DE728" s="10"/>
    </row>
    <row r="729" spans="2:109" hidden="1" x14ac:dyDescent="0.2">
      <c r="B729" s="146">
        <v>66</v>
      </c>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c r="BX729" s="10"/>
      <c r="BY729" s="10"/>
      <c r="BZ729" s="10"/>
      <c r="CA729" s="10"/>
      <c r="CB729" s="10"/>
      <c r="CC729" s="10"/>
      <c r="CD729" s="10"/>
      <c r="CE729" s="10"/>
      <c r="CF729" s="10"/>
      <c r="CG729" s="10"/>
      <c r="CH729" s="10"/>
      <c r="CI729" s="10"/>
      <c r="CJ729" s="10"/>
      <c r="CK729" s="10"/>
      <c r="CL729" s="10"/>
      <c r="CM729" s="10"/>
      <c r="CN729" s="10"/>
      <c r="CO729" s="10"/>
      <c r="CP729" s="10"/>
      <c r="CQ729" s="10"/>
      <c r="CR729" s="10"/>
      <c r="CS729" s="10"/>
      <c r="CT729" s="10"/>
      <c r="CU729" s="10"/>
      <c r="CV729" s="10"/>
      <c r="CW729" s="10"/>
      <c r="CX729" s="10"/>
      <c r="CY729" s="10"/>
      <c r="CZ729" s="10"/>
      <c r="DA729" s="10"/>
      <c r="DB729" s="10"/>
      <c r="DC729" s="10"/>
      <c r="DD729" s="10"/>
      <c r="DE729" s="10"/>
    </row>
    <row r="730" spans="2:109" hidden="1" x14ac:dyDescent="0.2">
      <c r="B730" s="146">
        <v>67</v>
      </c>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c r="BX730" s="10"/>
      <c r="BY730" s="10"/>
      <c r="BZ730" s="10"/>
      <c r="CA730" s="10"/>
      <c r="CB730" s="10"/>
      <c r="CC730" s="10"/>
      <c r="CD730" s="10"/>
      <c r="CE730" s="10"/>
      <c r="CF730" s="10"/>
      <c r="CG730" s="10"/>
      <c r="CH730" s="10"/>
      <c r="CI730" s="10"/>
      <c r="CJ730" s="10"/>
      <c r="CK730" s="10"/>
      <c r="CL730" s="10"/>
      <c r="CM730" s="10"/>
      <c r="CN730" s="10"/>
      <c r="CO730" s="10"/>
      <c r="CP730" s="10"/>
      <c r="CQ730" s="10"/>
      <c r="CR730" s="10"/>
      <c r="CS730" s="10"/>
      <c r="CT730" s="10"/>
      <c r="CU730" s="10"/>
      <c r="CV730" s="10"/>
      <c r="CW730" s="10"/>
      <c r="CX730" s="10"/>
      <c r="CY730" s="10"/>
      <c r="CZ730" s="10"/>
      <c r="DA730" s="10"/>
      <c r="DB730" s="10"/>
      <c r="DC730" s="10"/>
      <c r="DD730" s="10"/>
      <c r="DE730" s="10"/>
    </row>
    <row r="731" spans="2:109" hidden="1" x14ac:dyDescent="0.2">
      <c r="B731" s="146">
        <v>68</v>
      </c>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c r="BX731" s="10"/>
      <c r="BY731" s="10"/>
      <c r="BZ731" s="10"/>
      <c r="CA731" s="10"/>
      <c r="CB731" s="10"/>
      <c r="CC731" s="10"/>
      <c r="CD731" s="10"/>
      <c r="CE731" s="10"/>
      <c r="CF731" s="10"/>
      <c r="CG731" s="10"/>
      <c r="CH731" s="10"/>
      <c r="CI731" s="10"/>
      <c r="CJ731" s="10"/>
      <c r="CK731" s="10"/>
      <c r="CL731" s="10"/>
      <c r="CM731" s="10"/>
      <c r="CN731" s="10"/>
      <c r="CO731" s="10"/>
      <c r="CP731" s="10"/>
      <c r="CQ731" s="10"/>
      <c r="CR731" s="10"/>
      <c r="CS731" s="10"/>
      <c r="CT731" s="10"/>
      <c r="CU731" s="10"/>
      <c r="CV731" s="10"/>
      <c r="CW731" s="10"/>
      <c r="CX731" s="10"/>
      <c r="CY731" s="10"/>
      <c r="CZ731" s="10"/>
      <c r="DA731" s="10"/>
      <c r="DB731" s="10"/>
      <c r="DC731" s="10"/>
      <c r="DD731" s="10"/>
      <c r="DE731" s="10"/>
    </row>
    <row r="732" spans="2:109" hidden="1" x14ac:dyDescent="0.2">
      <c r="B732" s="146">
        <v>69</v>
      </c>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c r="BX732" s="10"/>
      <c r="BY732" s="10"/>
      <c r="BZ732" s="10"/>
      <c r="CA732" s="10"/>
      <c r="CB732" s="10"/>
      <c r="CC732" s="10"/>
      <c r="CD732" s="10"/>
      <c r="CE732" s="10"/>
      <c r="CF732" s="10"/>
      <c r="CG732" s="10"/>
      <c r="CH732" s="10"/>
      <c r="CI732" s="10"/>
      <c r="CJ732" s="10"/>
      <c r="CK732" s="10"/>
      <c r="CL732" s="10"/>
      <c r="CM732" s="10"/>
      <c r="CN732" s="10"/>
      <c r="CO732" s="10"/>
      <c r="CP732" s="10"/>
      <c r="CQ732" s="10"/>
      <c r="CR732" s="10"/>
      <c r="CS732" s="10"/>
      <c r="CT732" s="10"/>
      <c r="CU732" s="10"/>
      <c r="CV732" s="10"/>
      <c r="CW732" s="10"/>
      <c r="CX732" s="10"/>
      <c r="CY732" s="10"/>
      <c r="CZ732" s="10"/>
      <c r="DA732" s="10"/>
      <c r="DB732" s="10"/>
      <c r="DC732" s="10"/>
      <c r="DD732" s="10"/>
      <c r="DE732" s="10"/>
    </row>
    <row r="733" spans="2:109" hidden="1" x14ac:dyDescent="0.2">
      <c r="B733" s="146">
        <v>70</v>
      </c>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c r="BX733" s="10"/>
      <c r="BY733" s="10"/>
      <c r="BZ733" s="10"/>
      <c r="CA733" s="10"/>
      <c r="CB733" s="10"/>
      <c r="CC733" s="10"/>
      <c r="CD733" s="10"/>
      <c r="CE733" s="10"/>
      <c r="CF733" s="10"/>
      <c r="CG733" s="10"/>
      <c r="CH733" s="10"/>
      <c r="CI733" s="10"/>
      <c r="CJ733" s="10"/>
      <c r="CK733" s="10"/>
      <c r="CL733" s="10"/>
      <c r="CM733" s="10"/>
      <c r="CN733" s="10"/>
      <c r="CO733" s="10"/>
      <c r="CP733" s="10"/>
      <c r="CQ733" s="10"/>
      <c r="CR733" s="10"/>
      <c r="CS733" s="10"/>
      <c r="CT733" s="10"/>
      <c r="CU733" s="10"/>
      <c r="CV733" s="10"/>
      <c r="CW733" s="10"/>
      <c r="CX733" s="10"/>
      <c r="CY733" s="10"/>
      <c r="CZ733" s="10"/>
      <c r="DA733" s="10"/>
      <c r="DB733" s="10"/>
      <c r="DC733" s="10"/>
      <c r="DD733" s="10"/>
      <c r="DE733" s="10"/>
    </row>
    <row r="734" spans="2:109" hidden="1" x14ac:dyDescent="0.2">
      <c r="B734" s="146">
        <v>71</v>
      </c>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c r="BY734" s="10"/>
      <c r="BZ734" s="10"/>
      <c r="CA734" s="10"/>
      <c r="CB734" s="10"/>
      <c r="CC734" s="10"/>
      <c r="CD734" s="10"/>
      <c r="CE734" s="10"/>
      <c r="CF734" s="10"/>
      <c r="CG734" s="10"/>
      <c r="CH734" s="10"/>
      <c r="CI734" s="10"/>
      <c r="CJ734" s="10"/>
      <c r="CK734" s="10"/>
      <c r="CL734" s="10"/>
      <c r="CM734" s="10"/>
      <c r="CN734" s="10"/>
      <c r="CO734" s="10"/>
      <c r="CP734" s="10"/>
      <c r="CQ734" s="10"/>
      <c r="CR734" s="10"/>
      <c r="CS734" s="10"/>
      <c r="CT734" s="10"/>
      <c r="CU734" s="10"/>
      <c r="CV734" s="10"/>
      <c r="CW734" s="10"/>
      <c r="CX734" s="10"/>
      <c r="CY734" s="10"/>
      <c r="CZ734" s="10"/>
      <c r="DA734" s="10"/>
      <c r="DB734" s="10"/>
      <c r="DC734" s="10"/>
      <c r="DD734" s="10"/>
      <c r="DE734" s="10"/>
    </row>
    <row r="735" spans="2:109" hidden="1" x14ac:dyDescent="0.2">
      <c r="B735" s="146">
        <v>72</v>
      </c>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c r="BX735" s="10"/>
      <c r="BY735" s="10"/>
      <c r="BZ735" s="10"/>
      <c r="CA735" s="10"/>
      <c r="CB735" s="10"/>
      <c r="CC735" s="10"/>
      <c r="CD735" s="10"/>
      <c r="CE735" s="10"/>
      <c r="CF735" s="10"/>
      <c r="CG735" s="10"/>
      <c r="CH735" s="10"/>
      <c r="CI735" s="10"/>
      <c r="CJ735" s="10"/>
      <c r="CK735" s="10"/>
      <c r="CL735" s="10"/>
      <c r="CM735" s="10"/>
      <c r="CN735" s="10"/>
      <c r="CO735" s="10"/>
      <c r="CP735" s="10"/>
      <c r="CQ735" s="10"/>
      <c r="CR735" s="10"/>
      <c r="CS735" s="10"/>
      <c r="CT735" s="10"/>
      <c r="CU735" s="10"/>
      <c r="CV735" s="10"/>
      <c r="CW735" s="10"/>
      <c r="CX735" s="10"/>
      <c r="CY735" s="10"/>
      <c r="CZ735" s="10"/>
      <c r="DA735" s="10"/>
      <c r="DB735" s="10"/>
      <c r="DC735" s="10"/>
      <c r="DD735" s="10"/>
      <c r="DE735" s="10"/>
    </row>
    <row r="736" spans="2:109" hidden="1" x14ac:dyDescent="0.2">
      <c r="B736" s="146">
        <v>73</v>
      </c>
    </row>
    <row r="737" spans="2:2" hidden="1" x14ac:dyDescent="0.2">
      <c r="B737" s="146">
        <v>74</v>
      </c>
    </row>
    <row r="738" spans="2:2" hidden="1" x14ac:dyDescent="0.2">
      <c r="B738" s="146">
        <v>75</v>
      </c>
    </row>
    <row r="739" spans="2:2" hidden="1" x14ac:dyDescent="0.2">
      <c r="B739" s="146">
        <v>76</v>
      </c>
    </row>
    <row r="740" spans="2:2" hidden="1" x14ac:dyDescent="0.2">
      <c r="B740" s="146">
        <v>77</v>
      </c>
    </row>
    <row r="741" spans="2:2" hidden="1" x14ac:dyDescent="0.2">
      <c r="B741" s="146">
        <v>78</v>
      </c>
    </row>
    <row r="742" spans="2:2" hidden="1" x14ac:dyDescent="0.2">
      <c r="B742" s="146">
        <v>79</v>
      </c>
    </row>
    <row r="743" spans="2:2" hidden="1" x14ac:dyDescent="0.2">
      <c r="B743" s="146">
        <v>80</v>
      </c>
    </row>
    <row r="744" spans="2:2" hidden="1" x14ac:dyDescent="0.2">
      <c r="B744" s="146">
        <v>81</v>
      </c>
    </row>
    <row r="745" spans="2:2" hidden="1" x14ac:dyDescent="0.2">
      <c r="B745" s="146">
        <v>82</v>
      </c>
    </row>
    <row r="746" spans="2:2" hidden="1" x14ac:dyDescent="0.2">
      <c r="B746" s="146">
        <v>83</v>
      </c>
    </row>
    <row r="747" spans="2:2" hidden="1" x14ac:dyDescent="0.2">
      <c r="B747" s="146">
        <v>84</v>
      </c>
    </row>
    <row r="748" spans="2:2" hidden="1" x14ac:dyDescent="0.2">
      <c r="B748" s="146">
        <v>85</v>
      </c>
    </row>
    <row r="749" spans="2:2" hidden="1" x14ac:dyDescent="0.2">
      <c r="B749" s="146">
        <v>86</v>
      </c>
    </row>
    <row r="750" spans="2:2" hidden="1" x14ac:dyDescent="0.2">
      <c r="B750" s="146">
        <v>87</v>
      </c>
    </row>
    <row r="751" spans="2:2" hidden="1" x14ac:dyDescent="0.2">
      <c r="B751" s="146">
        <v>88</v>
      </c>
    </row>
    <row r="752" spans="2:2" hidden="1" x14ac:dyDescent="0.2">
      <c r="B752" s="146">
        <v>89</v>
      </c>
    </row>
    <row r="753" spans="2:2" hidden="1" x14ac:dyDescent="0.2">
      <c r="B753" s="146">
        <v>90</v>
      </c>
    </row>
    <row r="754" spans="2:2" hidden="1" x14ac:dyDescent="0.2">
      <c r="B754" s="146">
        <v>91</v>
      </c>
    </row>
    <row r="755" spans="2:2" hidden="1" x14ac:dyDescent="0.2">
      <c r="B755" s="146">
        <v>92</v>
      </c>
    </row>
    <row r="756" spans="2:2" hidden="1" x14ac:dyDescent="0.2">
      <c r="B756" s="146">
        <v>93</v>
      </c>
    </row>
    <row r="757" spans="2:2" hidden="1" x14ac:dyDescent="0.2">
      <c r="B757" s="146">
        <v>94</v>
      </c>
    </row>
    <row r="758" spans="2:2" hidden="1" x14ac:dyDescent="0.2">
      <c r="B758" s="146">
        <v>95</v>
      </c>
    </row>
    <row r="759" spans="2:2" hidden="1" x14ac:dyDescent="0.2">
      <c r="B759" s="146">
        <v>96</v>
      </c>
    </row>
    <row r="760" spans="2:2" hidden="1" x14ac:dyDescent="0.2">
      <c r="B760" s="146">
        <v>97</v>
      </c>
    </row>
    <row r="761" spans="2:2" hidden="1" x14ac:dyDescent="0.2">
      <c r="B761" s="146">
        <v>98</v>
      </c>
    </row>
    <row r="762" spans="2:2" hidden="1" x14ac:dyDescent="0.2">
      <c r="B762" s="146">
        <v>99</v>
      </c>
    </row>
    <row r="763" spans="2:2" hidden="1" x14ac:dyDescent="0.2">
      <c r="B763" s="146">
        <v>100</v>
      </c>
    </row>
    <row r="764" spans="2:2" hidden="1" x14ac:dyDescent="0.2">
      <c r="B764" s="146">
        <v>101</v>
      </c>
    </row>
    <row r="765" spans="2:2" hidden="1" x14ac:dyDescent="0.2">
      <c r="B765" s="146">
        <v>102</v>
      </c>
    </row>
    <row r="766" spans="2:2" hidden="1" x14ac:dyDescent="0.2">
      <c r="B766" s="146">
        <v>103</v>
      </c>
    </row>
    <row r="767" spans="2:2" hidden="1" x14ac:dyDescent="0.2">
      <c r="B767" s="146">
        <v>104</v>
      </c>
    </row>
    <row r="768" spans="2:2" hidden="1" x14ac:dyDescent="0.2">
      <c r="B768" s="146">
        <v>105</v>
      </c>
    </row>
    <row r="769" spans="2:2" hidden="1" x14ac:dyDescent="0.2">
      <c r="B769" s="146">
        <v>106</v>
      </c>
    </row>
    <row r="770" spans="2:2" hidden="1" x14ac:dyDescent="0.2">
      <c r="B770" s="146">
        <v>107</v>
      </c>
    </row>
    <row r="771" spans="2:2" hidden="1" x14ac:dyDescent="0.2">
      <c r="B771" s="146">
        <v>108</v>
      </c>
    </row>
    <row r="772" spans="2:2" hidden="1" x14ac:dyDescent="0.2">
      <c r="B772" s="146">
        <v>109</v>
      </c>
    </row>
    <row r="773" spans="2:2" hidden="1" x14ac:dyDescent="0.2">
      <c r="B773" s="146">
        <v>110</v>
      </c>
    </row>
    <row r="774" spans="2:2" hidden="1" x14ac:dyDescent="0.2">
      <c r="B774" s="146">
        <v>111</v>
      </c>
    </row>
    <row r="775" spans="2:2" hidden="1" x14ac:dyDescent="0.2">
      <c r="B775" s="146">
        <v>112</v>
      </c>
    </row>
    <row r="776" spans="2:2" hidden="1" x14ac:dyDescent="0.2">
      <c r="B776" s="146">
        <v>113</v>
      </c>
    </row>
    <row r="777" spans="2:2" hidden="1" x14ac:dyDescent="0.2">
      <c r="B777" s="146">
        <v>114</v>
      </c>
    </row>
    <row r="778" spans="2:2" hidden="1" x14ac:dyDescent="0.2">
      <c r="B778" s="146">
        <v>115</v>
      </c>
    </row>
    <row r="779" spans="2:2" hidden="1" x14ac:dyDescent="0.2">
      <c r="B779" s="146">
        <v>116</v>
      </c>
    </row>
    <row r="780" spans="2:2" hidden="1" x14ac:dyDescent="0.2">
      <c r="B780" s="146">
        <v>117</v>
      </c>
    </row>
    <row r="781" spans="2:2" hidden="1" x14ac:dyDescent="0.2">
      <c r="B781" s="146">
        <v>118</v>
      </c>
    </row>
    <row r="782" spans="2:2" hidden="1" x14ac:dyDescent="0.2">
      <c r="B782" s="146">
        <v>119</v>
      </c>
    </row>
    <row r="783" spans="2:2" hidden="1" x14ac:dyDescent="0.2">
      <c r="B783" s="146">
        <v>120</v>
      </c>
    </row>
    <row r="784" spans="2:2" hidden="1" x14ac:dyDescent="0.2">
      <c r="B784" s="146">
        <v>121</v>
      </c>
    </row>
    <row r="785" spans="2:2" hidden="1" x14ac:dyDescent="0.2">
      <c r="B785" s="146">
        <v>122</v>
      </c>
    </row>
    <row r="786" spans="2:2" hidden="1" x14ac:dyDescent="0.2">
      <c r="B786" s="146">
        <v>123</v>
      </c>
    </row>
    <row r="787" spans="2:2" hidden="1" x14ac:dyDescent="0.2">
      <c r="B787" s="146">
        <v>124</v>
      </c>
    </row>
    <row r="788" spans="2:2" hidden="1" x14ac:dyDescent="0.2">
      <c r="B788" s="146">
        <v>125</v>
      </c>
    </row>
    <row r="789" spans="2:2" hidden="1" x14ac:dyDescent="0.2">
      <c r="B789" s="146">
        <v>126</v>
      </c>
    </row>
    <row r="790" spans="2:2" hidden="1" x14ac:dyDescent="0.2">
      <c r="B790" s="146">
        <v>127</v>
      </c>
    </row>
    <row r="791" spans="2:2" hidden="1" x14ac:dyDescent="0.2">
      <c r="B791" s="146">
        <v>128</v>
      </c>
    </row>
    <row r="792" spans="2:2" hidden="1" x14ac:dyDescent="0.2">
      <c r="B792" s="146">
        <v>129</v>
      </c>
    </row>
    <row r="793" spans="2:2" hidden="1" x14ac:dyDescent="0.2">
      <c r="B793" s="146">
        <v>130</v>
      </c>
    </row>
    <row r="794" spans="2:2" hidden="1" x14ac:dyDescent="0.2">
      <c r="B794" s="146">
        <v>131</v>
      </c>
    </row>
    <row r="795" spans="2:2" hidden="1" x14ac:dyDescent="0.2">
      <c r="B795" s="146">
        <v>132</v>
      </c>
    </row>
    <row r="796" spans="2:2" hidden="1" x14ac:dyDescent="0.2">
      <c r="B796" s="146">
        <v>133</v>
      </c>
    </row>
    <row r="797" spans="2:2" hidden="1" x14ac:dyDescent="0.2">
      <c r="B797" s="146">
        <v>134</v>
      </c>
    </row>
    <row r="798" spans="2:2" hidden="1" x14ac:dyDescent="0.2">
      <c r="B798" s="146">
        <v>135</v>
      </c>
    </row>
    <row r="799" spans="2:2" hidden="1" x14ac:dyDescent="0.2">
      <c r="B799" s="146">
        <v>136</v>
      </c>
    </row>
    <row r="800" spans="2:2" hidden="1" x14ac:dyDescent="0.2">
      <c r="B800" s="146">
        <v>137</v>
      </c>
    </row>
    <row r="801" spans="2:2" hidden="1" x14ac:dyDescent="0.2">
      <c r="B801" s="146">
        <v>138</v>
      </c>
    </row>
    <row r="802" spans="2:2" hidden="1" x14ac:dyDescent="0.2">
      <c r="B802" s="146">
        <v>139</v>
      </c>
    </row>
    <row r="803" spans="2:2" hidden="1" x14ac:dyDescent="0.2">
      <c r="B803" s="146">
        <v>140</v>
      </c>
    </row>
    <row r="804" spans="2:2" hidden="1" x14ac:dyDescent="0.2">
      <c r="B804" s="146">
        <v>141</v>
      </c>
    </row>
    <row r="805" spans="2:2" hidden="1" x14ac:dyDescent="0.2">
      <c r="B805" s="146">
        <v>142</v>
      </c>
    </row>
    <row r="806" spans="2:2" hidden="1" x14ac:dyDescent="0.2">
      <c r="B806" s="146">
        <v>143</v>
      </c>
    </row>
    <row r="807" spans="2:2" hidden="1" x14ac:dyDescent="0.2">
      <c r="B807" s="146">
        <v>144</v>
      </c>
    </row>
    <row r="808" spans="2:2" hidden="1" x14ac:dyDescent="0.2">
      <c r="B808" s="146">
        <v>145</v>
      </c>
    </row>
    <row r="809" spans="2:2" hidden="1" x14ac:dyDescent="0.2">
      <c r="B809" s="146">
        <v>146</v>
      </c>
    </row>
    <row r="810" spans="2:2" hidden="1" x14ac:dyDescent="0.2">
      <c r="B810" s="146">
        <v>147</v>
      </c>
    </row>
    <row r="811" spans="2:2" hidden="1" x14ac:dyDescent="0.2">
      <c r="B811" s="146">
        <v>148</v>
      </c>
    </row>
    <row r="812" spans="2:2" hidden="1" x14ac:dyDescent="0.2">
      <c r="B812" s="146">
        <v>149</v>
      </c>
    </row>
    <row r="813" spans="2:2" hidden="1" x14ac:dyDescent="0.2">
      <c r="B813" s="146">
        <v>150</v>
      </c>
    </row>
    <row r="814" spans="2:2" hidden="1" x14ac:dyDescent="0.2"/>
    <row r="815" spans="2:2" hidden="1" x14ac:dyDescent="0.2"/>
    <row r="816" spans="2:2" hidden="1" x14ac:dyDescent="0.2"/>
    <row r="817" hidden="1" x14ac:dyDescent="0.2"/>
  </sheetData>
  <sheetProtection sheet="1" objects="1" scenarios="1"/>
  <mergeCells count="1962">
    <mergeCell ref="AN403:AN406"/>
    <mergeCell ref="AJ401:AM401"/>
    <mergeCell ref="AC316:AD316"/>
    <mergeCell ref="S105:T105"/>
    <mergeCell ref="S114:X114"/>
    <mergeCell ref="I328:J328"/>
    <mergeCell ref="E321:F321"/>
    <mergeCell ref="E268:F268"/>
    <mergeCell ref="U316:U317"/>
    <mergeCell ref="P312:P314"/>
    <mergeCell ref="P277:P280"/>
    <mergeCell ref="S332:T332"/>
    <mergeCell ref="S341:X341"/>
    <mergeCell ref="AL32:AO32"/>
    <mergeCell ref="AA114:AF114"/>
    <mergeCell ref="W176:X176"/>
    <mergeCell ref="AA464:AC464"/>
    <mergeCell ref="R449:S449"/>
    <mergeCell ref="Z443:AB443"/>
    <mergeCell ref="Z444:AB444"/>
    <mergeCell ref="Z440:AB440"/>
    <mergeCell ref="Z442:AB442"/>
    <mergeCell ref="V407:AC407"/>
    <mergeCell ref="G396:O396"/>
    <mergeCell ref="G397:O397"/>
    <mergeCell ref="G398:O398"/>
    <mergeCell ref="E396:F396"/>
    <mergeCell ref="E397:F397"/>
    <mergeCell ref="B381:P381"/>
    <mergeCell ref="G365:H365"/>
    <mergeCell ref="E375:F375"/>
    <mergeCell ref="AA216:AC219"/>
    <mergeCell ref="AA603:AC604"/>
    <mergeCell ref="B332:O332"/>
    <mergeCell ref="G614:H614"/>
    <mergeCell ref="I614:J614"/>
    <mergeCell ref="B617:O617"/>
    <mergeCell ref="K611:O616"/>
    <mergeCell ref="Z386:AB386"/>
    <mergeCell ref="AD396:AG396"/>
    <mergeCell ref="R591:R592"/>
    <mergeCell ref="AB606:AC606"/>
    <mergeCell ref="AD404:AG404"/>
    <mergeCell ref="T392:U392"/>
    <mergeCell ref="V393:Y393"/>
    <mergeCell ref="V396:Y396"/>
    <mergeCell ref="Z438:AB438"/>
    <mergeCell ref="W400:X400"/>
    <mergeCell ref="AD395:AG395"/>
    <mergeCell ref="W394:X394"/>
    <mergeCell ref="AD403:AG403"/>
    <mergeCell ref="R427:R434"/>
    <mergeCell ref="P602:P617"/>
    <mergeCell ref="B391:O391"/>
    <mergeCell ref="X591:Y592"/>
    <mergeCell ref="Z439:AB439"/>
    <mergeCell ref="S414:T414"/>
    <mergeCell ref="U418:X418"/>
    <mergeCell ref="S418:T418"/>
    <mergeCell ref="R422:R423"/>
    <mergeCell ref="B595:O595"/>
    <mergeCell ref="B583:J583"/>
    <mergeCell ref="I604:J604"/>
    <mergeCell ref="B383:P383"/>
    <mergeCell ref="AA291:AC294"/>
    <mergeCell ref="AA366:AC369"/>
    <mergeCell ref="AC241:AD241"/>
    <mergeCell ref="R309:R310"/>
    <mergeCell ref="E342:F342"/>
    <mergeCell ref="W323:X323"/>
    <mergeCell ref="P289:P305"/>
    <mergeCell ref="I343:J343"/>
    <mergeCell ref="B337:O337"/>
    <mergeCell ref="D334:E334"/>
    <mergeCell ref="V318:Y318"/>
    <mergeCell ref="E193:F193"/>
    <mergeCell ref="K190:L190"/>
    <mergeCell ref="G172:H172"/>
    <mergeCell ref="K169:O169"/>
    <mergeCell ref="G169:H169"/>
    <mergeCell ref="L202:N202"/>
    <mergeCell ref="L203:N203"/>
    <mergeCell ref="B214:F214"/>
    <mergeCell ref="D260:E260"/>
    <mergeCell ref="R313:R314"/>
    <mergeCell ref="R282:R284"/>
    <mergeCell ref="C193:D193"/>
    <mergeCell ref="I268:J268"/>
    <mergeCell ref="W244:X244"/>
    <mergeCell ref="E325:F325"/>
    <mergeCell ref="C321:D321"/>
    <mergeCell ref="C324:D324"/>
    <mergeCell ref="F182:O182"/>
    <mergeCell ref="C176:D176"/>
    <mergeCell ref="B181:O181"/>
    <mergeCell ref="K175:N175"/>
    <mergeCell ref="AB541:AD541"/>
    <mergeCell ref="T568:U568"/>
    <mergeCell ref="V569:Y569"/>
    <mergeCell ref="G24:H24"/>
    <mergeCell ref="I23:J23"/>
    <mergeCell ref="K19:O19"/>
    <mergeCell ref="K27:O27"/>
    <mergeCell ref="G25:O25"/>
    <mergeCell ref="K30:L30"/>
    <mergeCell ref="K31:L31"/>
    <mergeCell ref="G72:H72"/>
    <mergeCell ref="I38:J38"/>
    <mergeCell ref="S411:T411"/>
    <mergeCell ref="W248:X248"/>
    <mergeCell ref="I152:J152"/>
    <mergeCell ref="G141:H141"/>
    <mergeCell ref="I141:J141"/>
    <mergeCell ref="G138:H138"/>
    <mergeCell ref="G144:H144"/>
    <mergeCell ref="F183:O183"/>
    <mergeCell ref="G147:H147"/>
    <mergeCell ref="M191:N191"/>
    <mergeCell ref="G191:H191"/>
    <mergeCell ref="W327:X327"/>
    <mergeCell ref="W319:X319"/>
    <mergeCell ref="T316:T317"/>
    <mergeCell ref="W125:Z125"/>
    <mergeCell ref="W202:Z202"/>
    <mergeCell ref="G166:J166"/>
    <mergeCell ref="I215:J215"/>
    <mergeCell ref="G215:H215"/>
    <mergeCell ref="E215:F215"/>
    <mergeCell ref="AH32:AJ32"/>
    <mergeCell ref="R81:R82"/>
    <mergeCell ref="R85:R86"/>
    <mergeCell ref="W99:X99"/>
    <mergeCell ref="B81:O81"/>
    <mergeCell ref="B74:D74"/>
    <mergeCell ref="I76:J76"/>
    <mergeCell ref="B85:O85"/>
    <mergeCell ref="G77:H77"/>
    <mergeCell ref="P88:P103"/>
    <mergeCell ref="AC32:AF32"/>
    <mergeCell ref="S43:T43"/>
    <mergeCell ref="I90:J90"/>
    <mergeCell ref="K90:O90"/>
    <mergeCell ref="B75:D75"/>
    <mergeCell ref="E66:F66"/>
    <mergeCell ref="B79:P79"/>
    <mergeCell ref="C100:D100"/>
    <mergeCell ref="K98:N98"/>
    <mergeCell ref="W95:X95"/>
    <mergeCell ref="S32:V32"/>
    <mergeCell ref="W50:Z50"/>
    <mergeCell ref="B57:N57"/>
    <mergeCell ref="C51:G51"/>
    <mergeCell ref="B36:O36"/>
    <mergeCell ref="F55:O55"/>
    <mergeCell ref="E38:F38"/>
    <mergeCell ref="G38:H38"/>
    <mergeCell ref="H51:J51"/>
    <mergeCell ref="K65:O69"/>
    <mergeCell ref="G60:J60"/>
    <mergeCell ref="P84:P86"/>
    <mergeCell ref="V167:Y167"/>
    <mergeCell ref="M190:N190"/>
    <mergeCell ref="E176:F176"/>
    <mergeCell ref="G176:H176"/>
    <mergeCell ref="C190:D190"/>
    <mergeCell ref="I173:J173"/>
    <mergeCell ref="E293:F293"/>
    <mergeCell ref="E269:F269"/>
    <mergeCell ref="M272:N272"/>
    <mergeCell ref="W278:Z278"/>
    <mergeCell ref="S266:X266"/>
    <mergeCell ref="V243:Y243"/>
    <mergeCell ref="U241:U242"/>
    <mergeCell ref="W168:X168"/>
    <mergeCell ref="S190:X190"/>
    <mergeCell ref="E302:F302"/>
    <mergeCell ref="I294:J294"/>
    <mergeCell ref="L277:O277"/>
    <mergeCell ref="C278:G278"/>
    <mergeCell ref="G272:H272"/>
    <mergeCell ref="E191:F191"/>
    <mergeCell ref="G273:H273"/>
    <mergeCell ref="E273:F273"/>
    <mergeCell ref="K272:L272"/>
    <mergeCell ref="I243:J243"/>
    <mergeCell ref="K268:L268"/>
    <mergeCell ref="I249:J249"/>
    <mergeCell ref="B293:D293"/>
    <mergeCell ref="T165:T166"/>
    <mergeCell ref="U165:U166"/>
    <mergeCell ref="S257:T257"/>
    <mergeCell ref="G302:H302"/>
    <mergeCell ref="M273:N273"/>
    <mergeCell ref="G246:O246"/>
    <mergeCell ref="M189:N189"/>
    <mergeCell ref="C187:D187"/>
    <mergeCell ref="E173:F173"/>
    <mergeCell ref="G173:H173"/>
    <mergeCell ref="B258:C261"/>
    <mergeCell ref="G188:H188"/>
    <mergeCell ref="B300:D300"/>
    <mergeCell ref="S181:T181"/>
    <mergeCell ref="C202:G202"/>
    <mergeCell ref="I148:J148"/>
    <mergeCell ref="K173:O173"/>
    <mergeCell ref="G150:H150"/>
    <mergeCell ref="F184:O184"/>
    <mergeCell ref="E188:F188"/>
    <mergeCell ref="E150:F150"/>
    <mergeCell ref="E149:F149"/>
    <mergeCell ref="B146:D146"/>
    <mergeCell ref="K192:L192"/>
    <mergeCell ref="I248:J248"/>
    <mergeCell ref="C267:D267"/>
    <mergeCell ref="K243:O243"/>
    <mergeCell ref="C242:F242"/>
    <mergeCell ref="C246:D246"/>
    <mergeCell ref="B151:D151"/>
    <mergeCell ref="B233:P233"/>
    <mergeCell ref="B226:D226"/>
    <mergeCell ref="G289:J289"/>
    <mergeCell ref="I624:L624"/>
    <mergeCell ref="M624:P624"/>
    <mergeCell ref="B618:P618"/>
    <mergeCell ref="I611:J611"/>
    <mergeCell ref="B600:O600"/>
    <mergeCell ref="K602:O604"/>
    <mergeCell ref="B604:D604"/>
    <mergeCell ref="I273:J273"/>
    <mergeCell ref="D183:E183"/>
    <mergeCell ref="H202:J202"/>
    <mergeCell ref="E327:F327"/>
    <mergeCell ref="I221:J221"/>
    <mergeCell ref="G222:H222"/>
    <mergeCell ref="D259:E259"/>
    <mergeCell ref="B227:D227"/>
    <mergeCell ref="D258:E258"/>
    <mergeCell ref="D185:E185"/>
    <mergeCell ref="I274:J274"/>
    <mergeCell ref="G298:H298"/>
    <mergeCell ref="B296:D296"/>
    <mergeCell ref="C192:D192"/>
    <mergeCell ref="B282:B284"/>
    <mergeCell ref="I190:J190"/>
    <mergeCell ref="D261:E261"/>
    <mergeCell ref="G193:H193"/>
    <mergeCell ref="E190:F190"/>
    <mergeCell ref="C191:D191"/>
    <mergeCell ref="E246:F246"/>
    <mergeCell ref="E282:O282"/>
    <mergeCell ref="C279:G279"/>
    <mergeCell ref="C253:D253"/>
    <mergeCell ref="E296:F296"/>
    <mergeCell ref="E301:F301"/>
    <mergeCell ref="C646:I646"/>
    <mergeCell ref="J646:N646"/>
    <mergeCell ref="B408:F408"/>
    <mergeCell ref="B590:O590"/>
    <mergeCell ref="L596:O596"/>
    <mergeCell ref="B555:D555"/>
    <mergeCell ref="B545:D545"/>
    <mergeCell ref="F502:K502"/>
    <mergeCell ref="B606:D606"/>
    <mergeCell ref="E611:F611"/>
    <mergeCell ref="E606:F606"/>
    <mergeCell ref="C589:O589"/>
    <mergeCell ref="B609:D609"/>
    <mergeCell ref="F628:G628"/>
    <mergeCell ref="F625:G625"/>
    <mergeCell ref="G616:H616"/>
    <mergeCell ref="I613:J613"/>
    <mergeCell ref="B592:N592"/>
    <mergeCell ref="B614:D614"/>
    <mergeCell ref="B562:O562"/>
    <mergeCell ref="I612:J612"/>
    <mergeCell ref="G301:H301"/>
    <mergeCell ref="M341:N341"/>
    <mergeCell ref="H389:O389"/>
    <mergeCell ref="I394:J394"/>
    <mergeCell ref="G393:J393"/>
    <mergeCell ref="K393:O393"/>
    <mergeCell ref="B410:O410"/>
    <mergeCell ref="C393:F393"/>
    <mergeCell ref="K605:O609"/>
    <mergeCell ref="C283:D283"/>
    <mergeCell ref="I304:J304"/>
    <mergeCell ref="R636:R637"/>
    <mergeCell ref="B593:O593"/>
    <mergeCell ref="B603:D603"/>
    <mergeCell ref="G603:H603"/>
    <mergeCell ref="E76:F76"/>
    <mergeCell ref="B607:D607"/>
    <mergeCell ref="E607:F607"/>
    <mergeCell ref="G605:H605"/>
    <mergeCell ref="E297:F297"/>
    <mergeCell ref="G303:H303"/>
    <mergeCell ref="I303:J303"/>
    <mergeCell ref="G367:H367"/>
    <mergeCell ref="I367:J367"/>
    <mergeCell ref="G368:H368"/>
    <mergeCell ref="G366:H366"/>
    <mergeCell ref="M342:N342"/>
    <mergeCell ref="I366:J366"/>
    <mergeCell ref="I368:J368"/>
    <mergeCell ref="G369:H369"/>
    <mergeCell ref="I374:J374"/>
    <mergeCell ref="G375:H375"/>
    <mergeCell ref="I375:J375"/>
    <mergeCell ref="E377:F377"/>
    <mergeCell ref="I377:J377"/>
    <mergeCell ref="G297:H297"/>
    <mergeCell ref="E187:F187"/>
    <mergeCell ref="P316:P331"/>
    <mergeCell ref="K320:O320"/>
    <mergeCell ref="C317:F317"/>
    <mergeCell ref="P309:P310"/>
    <mergeCell ref="M274:N274"/>
    <mergeCell ref="B302:D302"/>
    <mergeCell ref="G304:H304"/>
    <mergeCell ref="E292:F292"/>
    <mergeCell ref="B281:O281"/>
    <mergeCell ref="E253:F253"/>
    <mergeCell ref="E249:F249"/>
    <mergeCell ref="C243:D243"/>
    <mergeCell ref="E300:F300"/>
    <mergeCell ref="I266:J266"/>
    <mergeCell ref="B287:N287"/>
    <mergeCell ref="M268:N268"/>
    <mergeCell ref="E267:F267"/>
    <mergeCell ref="C245:D245"/>
    <mergeCell ref="C264:D264"/>
    <mergeCell ref="K251:N251"/>
    <mergeCell ref="G265:H265"/>
    <mergeCell ref="B247:J247"/>
    <mergeCell ref="E291:F291"/>
    <mergeCell ref="B291:D291"/>
    <mergeCell ref="I269:J269"/>
    <mergeCell ref="C282:D282"/>
    <mergeCell ref="I296:J296"/>
    <mergeCell ref="I265:J265"/>
    <mergeCell ref="B286:N286"/>
    <mergeCell ref="E290:F290"/>
    <mergeCell ref="K247:N247"/>
    <mergeCell ref="E264:F264"/>
    <mergeCell ref="H277:J277"/>
    <mergeCell ref="I297:J297"/>
    <mergeCell ref="G294:H294"/>
    <mergeCell ref="B304:D304"/>
    <mergeCell ref="B2:P2"/>
    <mergeCell ref="B3:P3"/>
    <mergeCell ref="B6:O6"/>
    <mergeCell ref="B7:O7"/>
    <mergeCell ref="L280:N280"/>
    <mergeCell ref="E371:F371"/>
    <mergeCell ref="E376:F376"/>
    <mergeCell ref="G344:H344"/>
    <mergeCell ref="I371:J371"/>
    <mergeCell ref="B373:D373"/>
    <mergeCell ref="B367:D367"/>
    <mergeCell ref="B369:D369"/>
    <mergeCell ref="K347:L347"/>
    <mergeCell ref="C359:D359"/>
    <mergeCell ref="E359:O359"/>
    <mergeCell ref="B288:O288"/>
    <mergeCell ref="G268:H268"/>
    <mergeCell ref="B310:O310"/>
    <mergeCell ref="E252:F252"/>
    <mergeCell ref="B262:O262"/>
    <mergeCell ref="K188:L188"/>
    <mergeCell ref="I187:J187"/>
    <mergeCell ref="M187:N187"/>
    <mergeCell ref="J255:N255"/>
    <mergeCell ref="E323:F323"/>
    <mergeCell ref="G323:H323"/>
    <mergeCell ref="K252:O252"/>
    <mergeCell ref="K289:O292"/>
    <mergeCell ref="H280:J280"/>
    <mergeCell ref="K269:L269"/>
    <mergeCell ref="G267:H267"/>
    <mergeCell ref="C268:D268"/>
    <mergeCell ref="G555:H555"/>
    <mergeCell ref="C419:G419"/>
    <mergeCell ref="F468:K468"/>
    <mergeCell ref="G395:H395"/>
    <mergeCell ref="G405:O405"/>
    <mergeCell ref="E394:F394"/>
    <mergeCell ref="K394:O394"/>
    <mergeCell ref="M474:N474"/>
    <mergeCell ref="G403:O403"/>
    <mergeCell ref="K399:O399"/>
    <mergeCell ref="I406:J406"/>
    <mergeCell ref="E406:F406"/>
    <mergeCell ref="C397:D397"/>
    <mergeCell ref="B425:O425"/>
    <mergeCell ref="B398:F398"/>
    <mergeCell ref="C406:D406"/>
    <mergeCell ref="K406:O406"/>
    <mergeCell ref="M489:N489"/>
    <mergeCell ref="M484:N484"/>
    <mergeCell ref="E404:F404"/>
    <mergeCell ref="C394:D394"/>
    <mergeCell ref="C400:D400"/>
    <mergeCell ref="C415:O415"/>
    <mergeCell ref="M472:N472"/>
    <mergeCell ref="F472:K472"/>
    <mergeCell ref="G423:H423"/>
    <mergeCell ref="I395:J395"/>
    <mergeCell ref="E395:F395"/>
    <mergeCell ref="C396:D396"/>
    <mergeCell ref="B445:O445"/>
    <mergeCell ref="F476:K476"/>
    <mergeCell ref="B1:C1"/>
    <mergeCell ref="D1:K1"/>
    <mergeCell ref="B5:P5"/>
    <mergeCell ref="G73:H73"/>
    <mergeCell ref="P50:P52"/>
    <mergeCell ref="C50:G50"/>
    <mergeCell ref="H50:J50"/>
    <mergeCell ref="B64:D64"/>
    <mergeCell ref="B61:D61"/>
    <mergeCell ref="G65:H65"/>
    <mergeCell ref="G66:H66"/>
    <mergeCell ref="E62:F62"/>
    <mergeCell ref="E74:F74"/>
    <mergeCell ref="B73:D73"/>
    <mergeCell ref="B70:D70"/>
    <mergeCell ref="B86:O86"/>
    <mergeCell ref="B58:N58"/>
    <mergeCell ref="B56:O56"/>
    <mergeCell ref="P6:P7"/>
    <mergeCell ref="I30:J30"/>
    <mergeCell ref="I31:J31"/>
    <mergeCell ref="G35:H35"/>
    <mergeCell ref="G30:H30"/>
    <mergeCell ref="B26:J27"/>
    <mergeCell ref="P16:P27"/>
    <mergeCell ref="B9:O9"/>
    <mergeCell ref="M1:P1"/>
    <mergeCell ref="I67:J67"/>
    <mergeCell ref="L51:N51"/>
    <mergeCell ref="B54:C55"/>
    <mergeCell ref="D54:E54"/>
    <mergeCell ref="B69:D69"/>
    <mergeCell ref="C4:D4"/>
    <mergeCell ref="K300:O304"/>
    <mergeCell ref="B297:D297"/>
    <mergeCell ref="G296:H296"/>
    <mergeCell ref="B292:D292"/>
    <mergeCell ref="I292:J292"/>
    <mergeCell ref="I295:J295"/>
    <mergeCell ref="B303:D303"/>
    <mergeCell ref="H386:O386"/>
    <mergeCell ref="P392:P397"/>
    <mergeCell ref="B387:E390"/>
    <mergeCell ref="F390:G390"/>
    <mergeCell ref="K395:O395"/>
    <mergeCell ref="E609:F609"/>
    <mergeCell ref="I608:J608"/>
    <mergeCell ref="G608:H608"/>
    <mergeCell ref="E328:F328"/>
    <mergeCell ref="E324:F324"/>
    <mergeCell ref="C274:D274"/>
    <mergeCell ref="I291:J291"/>
    <mergeCell ref="G394:H394"/>
    <mergeCell ref="C323:D323"/>
    <mergeCell ref="B608:D608"/>
    <mergeCell ref="G585:H585"/>
    <mergeCell ref="C449:K449"/>
    <mergeCell ref="B448:K448"/>
    <mergeCell ref="L418:O418"/>
    <mergeCell ref="M450:N450"/>
    <mergeCell ref="M508:N508"/>
    <mergeCell ref="G538:H538"/>
    <mergeCell ref="I538:J538"/>
    <mergeCell ref="B598:O598"/>
    <mergeCell ref="K24:O24"/>
    <mergeCell ref="E24:F24"/>
    <mergeCell ref="C341:D341"/>
    <mergeCell ref="E615:F615"/>
    <mergeCell ref="B613:D613"/>
    <mergeCell ref="L439:N439"/>
    <mergeCell ref="F458:K458"/>
    <mergeCell ref="B411:O411"/>
    <mergeCell ref="L419:N419"/>
    <mergeCell ref="B424:O424"/>
    <mergeCell ref="M476:N476"/>
    <mergeCell ref="B528:P528"/>
    <mergeCell ref="P516:P517"/>
    <mergeCell ref="B531:F531"/>
    <mergeCell ref="E555:F555"/>
    <mergeCell ref="B556:D556"/>
    <mergeCell ref="B529:O529"/>
    <mergeCell ref="E557:F557"/>
    <mergeCell ref="B540:D540"/>
    <mergeCell ref="C526:E526"/>
    <mergeCell ref="B546:D546"/>
    <mergeCell ref="B543:D543"/>
    <mergeCell ref="G537:H537"/>
    <mergeCell ref="I537:J537"/>
    <mergeCell ref="E540:F540"/>
    <mergeCell ref="B601:O601"/>
    <mergeCell ref="G615:H615"/>
    <mergeCell ref="I615:J615"/>
    <mergeCell ref="E608:F608"/>
    <mergeCell ref="B568:O568"/>
    <mergeCell ref="E571:F571"/>
    <mergeCell ref="G613:H613"/>
    <mergeCell ref="E405:F405"/>
    <mergeCell ref="B469:L469"/>
    <mergeCell ref="I404:J404"/>
    <mergeCell ref="M459:N459"/>
    <mergeCell ref="F471:K471"/>
    <mergeCell ref="M451:N451"/>
    <mergeCell ref="G435:N435"/>
    <mergeCell ref="G402:H402"/>
    <mergeCell ref="H418:J418"/>
    <mergeCell ref="H419:J419"/>
    <mergeCell ref="F453:K453"/>
    <mergeCell ref="M465:N465"/>
    <mergeCell ref="C420:G420"/>
    <mergeCell ref="M464:N464"/>
    <mergeCell ref="M461:N461"/>
    <mergeCell ref="L442:N442"/>
    <mergeCell ref="H420:J420"/>
    <mergeCell ref="M466:N466"/>
    <mergeCell ref="M458:N458"/>
    <mergeCell ref="B422:F422"/>
    <mergeCell ref="B457:P457"/>
    <mergeCell ref="B446:P446"/>
    <mergeCell ref="F454:K454"/>
    <mergeCell ref="C395:D395"/>
    <mergeCell ref="E400:F400"/>
    <mergeCell ref="M480:N480"/>
    <mergeCell ref="G438:K438"/>
    <mergeCell ref="G422:H422"/>
    <mergeCell ref="E407:F407"/>
    <mergeCell ref="G442:K442"/>
    <mergeCell ref="M479:N479"/>
    <mergeCell ref="F475:K475"/>
    <mergeCell ref="F477:K477"/>
    <mergeCell ref="F495:K495"/>
    <mergeCell ref="M491:N491"/>
    <mergeCell ref="F484:K484"/>
    <mergeCell ref="F460:K460"/>
    <mergeCell ref="M475:N475"/>
    <mergeCell ref="B436:F436"/>
    <mergeCell ref="B444:O444"/>
    <mergeCell ref="G443:K443"/>
    <mergeCell ref="B437:O437"/>
    <mergeCell ref="B435:F435"/>
    <mergeCell ref="B442:F443"/>
    <mergeCell ref="G439:K439"/>
    <mergeCell ref="F461:K461"/>
    <mergeCell ref="F466:K466"/>
    <mergeCell ref="L438:N438"/>
    <mergeCell ref="M454:N454"/>
    <mergeCell ref="M449:N449"/>
    <mergeCell ref="L448:L449"/>
    <mergeCell ref="F451:K451"/>
    <mergeCell ref="G408:O408"/>
    <mergeCell ref="M448:P448"/>
    <mergeCell ref="F459:K459"/>
    <mergeCell ref="M492:N492"/>
    <mergeCell ref="G533:H533"/>
    <mergeCell ref="B519:O519"/>
    <mergeCell ref="L523:M523"/>
    <mergeCell ref="L526:M526"/>
    <mergeCell ref="B530:O530"/>
    <mergeCell ref="I536:J536"/>
    <mergeCell ref="B532:D532"/>
    <mergeCell ref="B515:O515"/>
    <mergeCell ref="M505:N505"/>
    <mergeCell ref="B517:O517"/>
    <mergeCell ref="C524:E524"/>
    <mergeCell ref="F524:K524"/>
    <mergeCell ref="F505:K505"/>
    <mergeCell ref="F503:K503"/>
    <mergeCell ref="M488:N488"/>
    <mergeCell ref="M490:N490"/>
    <mergeCell ref="M500:N500"/>
    <mergeCell ref="F489:K489"/>
    <mergeCell ref="M495:N495"/>
    <mergeCell ref="B514:O514"/>
    <mergeCell ref="F522:K522"/>
    <mergeCell ref="F508:K508"/>
    <mergeCell ref="F509:K509"/>
    <mergeCell ref="B516:O516"/>
    <mergeCell ref="M502:N502"/>
    <mergeCell ref="M499:N499"/>
    <mergeCell ref="M504:N504"/>
    <mergeCell ref="M501:N501"/>
    <mergeCell ref="B462:O462"/>
    <mergeCell ref="B441:O441"/>
    <mergeCell ref="I423:O423"/>
    <mergeCell ref="B426:F426"/>
    <mergeCell ref="B447:P447"/>
    <mergeCell ref="C405:D405"/>
    <mergeCell ref="P399:P407"/>
    <mergeCell ref="G436:N436"/>
    <mergeCell ref="C418:G418"/>
    <mergeCell ref="G400:H400"/>
    <mergeCell ref="P414:P415"/>
    <mergeCell ref="P438:P439"/>
    <mergeCell ref="G431:O431"/>
    <mergeCell ref="G432:O432"/>
    <mergeCell ref="C401:D401"/>
    <mergeCell ref="C413:O413"/>
    <mergeCell ref="I400:J400"/>
    <mergeCell ref="K400:O400"/>
    <mergeCell ref="M452:N452"/>
    <mergeCell ref="F450:K450"/>
    <mergeCell ref="F452:K452"/>
    <mergeCell ref="B450:D454"/>
    <mergeCell ref="M453:N453"/>
    <mergeCell ref="C402:D402"/>
    <mergeCell ref="I402:J402"/>
    <mergeCell ref="C403:D403"/>
    <mergeCell ref="C404:D404"/>
    <mergeCell ref="C399:F399"/>
    <mergeCell ref="C407:D407"/>
    <mergeCell ref="K404:O404"/>
    <mergeCell ref="G401:O401"/>
    <mergeCell ref="E402:F402"/>
    <mergeCell ref="G371:H371"/>
    <mergeCell ref="G374:H374"/>
    <mergeCell ref="B371:D371"/>
    <mergeCell ref="H388:O388"/>
    <mergeCell ref="K368:O372"/>
    <mergeCell ref="B384:O384"/>
    <mergeCell ref="E369:F369"/>
    <mergeCell ref="G378:H378"/>
    <mergeCell ref="B379:D379"/>
    <mergeCell ref="B375:D375"/>
    <mergeCell ref="E379:F379"/>
    <mergeCell ref="B378:D378"/>
    <mergeCell ref="B377:D377"/>
    <mergeCell ref="G377:H377"/>
    <mergeCell ref="G379:H379"/>
    <mergeCell ref="I379:J379"/>
    <mergeCell ref="I378:J378"/>
    <mergeCell ref="B385:O385"/>
    <mergeCell ref="F386:G386"/>
    <mergeCell ref="B376:D376"/>
    <mergeCell ref="I372:J372"/>
    <mergeCell ref="G373:H373"/>
    <mergeCell ref="E372:F372"/>
    <mergeCell ref="G372:H372"/>
    <mergeCell ref="E373:F373"/>
    <mergeCell ref="B374:D374"/>
    <mergeCell ref="I373:J373"/>
    <mergeCell ref="B372:D372"/>
    <mergeCell ref="E368:F368"/>
    <mergeCell ref="K375:O379"/>
    <mergeCell ref="F388:G388"/>
    <mergeCell ref="E378:F378"/>
    <mergeCell ref="C354:G354"/>
    <mergeCell ref="H354:J354"/>
    <mergeCell ref="I370:J370"/>
    <mergeCell ref="C342:D342"/>
    <mergeCell ref="I342:J342"/>
    <mergeCell ref="K348:L348"/>
    <mergeCell ref="B368:D368"/>
    <mergeCell ref="L353:N353"/>
    <mergeCell ref="G370:H370"/>
    <mergeCell ref="B365:D365"/>
    <mergeCell ref="K364:O367"/>
    <mergeCell ref="E367:F367"/>
    <mergeCell ref="E358:O358"/>
    <mergeCell ref="L354:N354"/>
    <mergeCell ref="I348:J348"/>
    <mergeCell ref="K349:L349"/>
    <mergeCell ref="E347:F347"/>
    <mergeCell ref="C348:D348"/>
    <mergeCell ref="C344:D344"/>
    <mergeCell ref="C347:D347"/>
    <mergeCell ref="E304:F304"/>
    <mergeCell ref="G328:H328"/>
    <mergeCell ref="C319:D319"/>
    <mergeCell ref="B311:P311"/>
    <mergeCell ref="G317:J317"/>
    <mergeCell ref="B315:O315"/>
    <mergeCell ref="B316:O316"/>
    <mergeCell ref="K318:O318"/>
    <mergeCell ref="B326:J326"/>
    <mergeCell ref="G327:H327"/>
    <mergeCell ref="I323:J323"/>
    <mergeCell ref="B312:O312"/>
    <mergeCell ref="K326:N326"/>
    <mergeCell ref="B309:O309"/>
    <mergeCell ref="C320:D320"/>
    <mergeCell ref="I320:J320"/>
    <mergeCell ref="E319:F319"/>
    <mergeCell ref="G318:H318"/>
    <mergeCell ref="G321:O321"/>
    <mergeCell ref="B306:P306"/>
    <mergeCell ref="K328:O328"/>
    <mergeCell ref="C327:D327"/>
    <mergeCell ref="E303:F303"/>
    <mergeCell ref="I172:J172"/>
    <mergeCell ref="P125:P128"/>
    <mergeCell ref="E177:F177"/>
    <mergeCell ref="G177:H177"/>
    <mergeCell ref="I177:J177"/>
    <mergeCell ref="B175:J175"/>
    <mergeCell ref="E174:F174"/>
    <mergeCell ref="C173:D173"/>
    <mergeCell ref="C178:D178"/>
    <mergeCell ref="E178:F178"/>
    <mergeCell ref="C252:D252"/>
    <mergeCell ref="B285:O285"/>
    <mergeCell ref="C269:D269"/>
    <mergeCell ref="H279:J279"/>
    <mergeCell ref="L279:N279"/>
    <mergeCell ref="C273:D273"/>
    <mergeCell ref="M263:N263"/>
    <mergeCell ref="K245:O245"/>
    <mergeCell ref="G250:O250"/>
    <mergeCell ref="K249:O249"/>
    <mergeCell ref="C263:D263"/>
    <mergeCell ref="C248:D248"/>
    <mergeCell ref="F258:O258"/>
    <mergeCell ref="B222:D222"/>
    <mergeCell ref="G248:H248"/>
    <mergeCell ref="K264:L264"/>
    <mergeCell ref="G300:H300"/>
    <mergeCell ref="I300:J300"/>
    <mergeCell ref="M264:N264"/>
    <mergeCell ref="C254:D254"/>
    <mergeCell ref="B236:P236"/>
    <mergeCell ref="H127:J127"/>
    <mergeCell ref="B135:N135"/>
    <mergeCell ref="C127:G127"/>
    <mergeCell ref="B134:N134"/>
    <mergeCell ref="C166:F166"/>
    <mergeCell ref="I217:J217"/>
    <mergeCell ref="G219:H219"/>
    <mergeCell ref="I227:J227"/>
    <mergeCell ref="G224:H224"/>
    <mergeCell ref="C132:D132"/>
    <mergeCell ref="I140:J140"/>
    <mergeCell ref="E140:F140"/>
    <mergeCell ref="E138:F138"/>
    <mergeCell ref="B136:O136"/>
    <mergeCell ref="P237:P239"/>
    <mergeCell ref="E228:F228"/>
    <mergeCell ref="G229:H229"/>
    <mergeCell ref="P234:P235"/>
    <mergeCell ref="I222:J222"/>
    <mergeCell ref="C131:D131"/>
    <mergeCell ref="G196:H196"/>
    <mergeCell ref="B216:D216"/>
    <mergeCell ref="G216:H216"/>
    <mergeCell ref="H204:J204"/>
    <mergeCell ref="B205:O205"/>
    <mergeCell ref="E197:F197"/>
    <mergeCell ref="G197:H197"/>
    <mergeCell ref="C198:D198"/>
    <mergeCell ref="E198:F198"/>
    <mergeCell ref="B171:J171"/>
    <mergeCell ref="G140:H140"/>
    <mergeCell ref="E144:F144"/>
    <mergeCell ref="G244:H244"/>
    <mergeCell ref="G228:H228"/>
    <mergeCell ref="B229:D229"/>
    <mergeCell ref="E222:F222"/>
    <mergeCell ref="B234:O234"/>
    <mergeCell ref="E206:O206"/>
    <mergeCell ref="E220:F220"/>
    <mergeCell ref="I192:J192"/>
    <mergeCell ref="C125:G125"/>
    <mergeCell ref="D182:E182"/>
    <mergeCell ref="B154:P154"/>
    <mergeCell ref="K168:O168"/>
    <mergeCell ref="B157:O157"/>
    <mergeCell ref="B163:O163"/>
    <mergeCell ref="E131:O131"/>
    <mergeCell ref="I149:J149"/>
    <mergeCell ref="G145:H145"/>
    <mergeCell ref="B161:O161"/>
    <mergeCell ref="C130:D130"/>
    <mergeCell ref="B142:D142"/>
    <mergeCell ref="P157:P158"/>
    <mergeCell ref="I144:J144"/>
    <mergeCell ref="I145:J145"/>
    <mergeCell ref="K166:O166"/>
    <mergeCell ref="C167:D167"/>
    <mergeCell ref="K176:O176"/>
    <mergeCell ref="E152:F152"/>
    <mergeCell ref="C126:G126"/>
    <mergeCell ref="L127:N127"/>
    <mergeCell ref="C128:G128"/>
    <mergeCell ref="L128:N128"/>
    <mergeCell ref="H128:J128"/>
    <mergeCell ref="B239:O239"/>
    <mergeCell ref="P214:P230"/>
    <mergeCell ref="G242:J242"/>
    <mergeCell ref="B228:D228"/>
    <mergeCell ref="I228:J228"/>
    <mergeCell ref="E226:F226"/>
    <mergeCell ref="I229:J229"/>
    <mergeCell ref="E229:F229"/>
    <mergeCell ref="B224:D224"/>
    <mergeCell ref="B206:B208"/>
    <mergeCell ref="C206:D206"/>
    <mergeCell ref="E208:O208"/>
    <mergeCell ref="K214:O217"/>
    <mergeCell ref="G214:J214"/>
    <mergeCell ref="G226:H226"/>
    <mergeCell ref="E225:F225"/>
    <mergeCell ref="E227:F227"/>
    <mergeCell ref="B213:O213"/>
    <mergeCell ref="B225:D225"/>
    <mergeCell ref="B237:O237"/>
    <mergeCell ref="P241:P256"/>
    <mergeCell ref="P60:P78"/>
    <mergeCell ref="G69:H69"/>
    <mergeCell ref="G64:H64"/>
    <mergeCell ref="E90:F90"/>
    <mergeCell ref="B60:F60"/>
    <mergeCell ref="K96:O96"/>
    <mergeCell ref="B82:O82"/>
    <mergeCell ref="E77:F77"/>
    <mergeCell ref="E75:F75"/>
    <mergeCell ref="G68:H68"/>
    <mergeCell ref="I66:J66"/>
    <mergeCell ref="I65:J65"/>
    <mergeCell ref="E64:F64"/>
    <mergeCell ref="B138:D138"/>
    <mergeCell ref="B145:D145"/>
    <mergeCell ref="G137:J137"/>
    <mergeCell ref="I143:J143"/>
    <mergeCell ref="L125:O125"/>
    <mergeCell ref="H125:J125"/>
    <mergeCell ref="H126:J126"/>
    <mergeCell ref="I147:J147"/>
    <mergeCell ref="G114:H114"/>
    <mergeCell ref="C197:D197"/>
    <mergeCell ref="C203:G203"/>
    <mergeCell ref="K197:L197"/>
    <mergeCell ref="I188:J188"/>
    <mergeCell ref="E151:F151"/>
    <mergeCell ref="L126:N126"/>
    <mergeCell ref="B129:O129"/>
    <mergeCell ref="B182:C185"/>
    <mergeCell ref="K242:O242"/>
    <mergeCell ref="K218:O222"/>
    <mergeCell ref="B241:O241"/>
    <mergeCell ref="B148:D148"/>
    <mergeCell ref="I220:J220"/>
    <mergeCell ref="G217:H217"/>
    <mergeCell ref="G245:H245"/>
    <mergeCell ref="E248:F248"/>
    <mergeCell ref="B257:O257"/>
    <mergeCell ref="I169:J169"/>
    <mergeCell ref="I167:J167"/>
    <mergeCell ref="I168:J168"/>
    <mergeCell ref="B160:O160"/>
    <mergeCell ref="B251:J251"/>
    <mergeCell ref="G252:H252"/>
    <mergeCell ref="E221:F221"/>
    <mergeCell ref="I224:J224"/>
    <mergeCell ref="G225:H225"/>
    <mergeCell ref="G221:H221"/>
    <mergeCell ref="I151:J151"/>
    <mergeCell ref="K193:L193"/>
    <mergeCell ref="K191:L191"/>
    <mergeCell ref="E167:F167"/>
    <mergeCell ref="B152:D152"/>
    <mergeCell ref="B158:O158"/>
    <mergeCell ref="L201:O201"/>
    <mergeCell ref="I225:J225"/>
    <mergeCell ref="B212:O212"/>
    <mergeCell ref="G192:H192"/>
    <mergeCell ref="I245:J245"/>
    <mergeCell ref="B218:D218"/>
    <mergeCell ref="G220:H220"/>
    <mergeCell ref="B220:D220"/>
    <mergeCell ref="E4:F4"/>
    <mergeCell ref="G4:H4"/>
    <mergeCell ref="I4:J4"/>
    <mergeCell ref="K18:O18"/>
    <mergeCell ref="G18:H18"/>
    <mergeCell ref="I32:J32"/>
    <mergeCell ref="K35:L35"/>
    <mergeCell ref="C35:D35"/>
    <mergeCell ref="M30:N30"/>
    <mergeCell ref="M31:N31"/>
    <mergeCell ref="E29:F29"/>
    <mergeCell ref="E30:F30"/>
    <mergeCell ref="C25:D25"/>
    <mergeCell ref="C32:D32"/>
    <mergeCell ref="K23:O23"/>
    <mergeCell ref="N13:O13"/>
    <mergeCell ref="E19:F19"/>
    <mergeCell ref="E20:F20"/>
    <mergeCell ref="K22:N22"/>
    <mergeCell ref="E25:F25"/>
    <mergeCell ref="M34:N34"/>
    <mergeCell ref="B22:J22"/>
    <mergeCell ref="I20:J20"/>
    <mergeCell ref="M33:N33"/>
    <mergeCell ref="I24:J24"/>
    <mergeCell ref="C24:D24"/>
    <mergeCell ref="N12:O12"/>
    <mergeCell ref="K32:L32"/>
    <mergeCell ref="K4:L4"/>
    <mergeCell ref="E18:F18"/>
    <mergeCell ref="M4:N4"/>
    <mergeCell ref="E32:F32"/>
    <mergeCell ref="K33:L33"/>
    <mergeCell ref="T6:T7"/>
    <mergeCell ref="B8:P8"/>
    <mergeCell ref="P9:P10"/>
    <mergeCell ref="G17:J17"/>
    <mergeCell ref="T10:Y10"/>
    <mergeCell ref="C18:D18"/>
    <mergeCell ref="C23:D23"/>
    <mergeCell ref="C20:D20"/>
    <mergeCell ref="C21:D21"/>
    <mergeCell ref="B15:P15"/>
    <mergeCell ref="E21:F21"/>
    <mergeCell ref="B16:O16"/>
    <mergeCell ref="C19:D19"/>
    <mergeCell ref="I18:J18"/>
    <mergeCell ref="C17:F17"/>
    <mergeCell ref="B10:O10"/>
    <mergeCell ref="G19:H19"/>
    <mergeCell ref="G20:H20"/>
    <mergeCell ref="G23:H23"/>
    <mergeCell ref="G21:O21"/>
    <mergeCell ref="E23:F23"/>
    <mergeCell ref="N11:O11"/>
    <mergeCell ref="K17:O17"/>
    <mergeCell ref="I19:J19"/>
    <mergeCell ref="K20:O20"/>
    <mergeCell ref="B11:M14"/>
    <mergeCell ref="N14:O14"/>
    <mergeCell ref="T16:U16"/>
    <mergeCell ref="W23:X23"/>
    <mergeCell ref="W18:X18"/>
    <mergeCell ref="V17:Y17"/>
    <mergeCell ref="K26:N26"/>
    <mergeCell ref="B28:O28"/>
    <mergeCell ref="C52:G52"/>
    <mergeCell ref="E35:F35"/>
    <mergeCell ref="D45:E45"/>
    <mergeCell ref="B44:C47"/>
    <mergeCell ref="B41:O41"/>
    <mergeCell ref="B42:O42"/>
    <mergeCell ref="M35:N35"/>
    <mergeCell ref="F45:O45"/>
    <mergeCell ref="F46:O46"/>
    <mergeCell ref="G32:H32"/>
    <mergeCell ref="E33:F33"/>
    <mergeCell ref="E34:F34"/>
    <mergeCell ref="I29:J29"/>
    <mergeCell ref="G34:H34"/>
    <mergeCell ref="M29:N29"/>
    <mergeCell ref="B48:O48"/>
    <mergeCell ref="G31:H31"/>
    <mergeCell ref="K38:L38"/>
    <mergeCell ref="I35:J35"/>
    <mergeCell ref="C29:D29"/>
    <mergeCell ref="K34:L34"/>
    <mergeCell ref="C38:D38"/>
    <mergeCell ref="H52:J52"/>
    <mergeCell ref="G33:H33"/>
    <mergeCell ref="C31:D31"/>
    <mergeCell ref="E31:F31"/>
    <mergeCell ref="C30:D30"/>
    <mergeCell ref="M32:N32"/>
    <mergeCell ref="L50:O50"/>
    <mergeCell ref="D44:E44"/>
    <mergeCell ref="B211:N211"/>
    <mergeCell ref="G95:H95"/>
    <mergeCell ref="G96:H96"/>
    <mergeCell ref="G93:O93"/>
    <mergeCell ref="K94:N94"/>
    <mergeCell ref="B94:J94"/>
    <mergeCell ref="D55:E55"/>
    <mergeCell ref="B53:O53"/>
    <mergeCell ref="G62:H62"/>
    <mergeCell ref="B77:D77"/>
    <mergeCell ref="F54:O54"/>
    <mergeCell ref="B71:D71"/>
    <mergeCell ref="B199:O199"/>
    <mergeCell ref="M197:N197"/>
    <mergeCell ref="I191:J191"/>
    <mergeCell ref="E132:O132"/>
    <mergeCell ref="P160:P162"/>
    <mergeCell ref="B149:D149"/>
    <mergeCell ref="G198:H198"/>
    <mergeCell ref="L204:N204"/>
    <mergeCell ref="I62:J62"/>
    <mergeCell ref="E61:F61"/>
    <mergeCell ref="K95:O95"/>
    <mergeCell ref="M192:N192"/>
    <mergeCell ref="I196:J196"/>
    <mergeCell ref="E192:F192"/>
    <mergeCell ref="B162:O162"/>
    <mergeCell ref="G178:O178"/>
    <mergeCell ref="K196:L196"/>
    <mergeCell ref="M196:N196"/>
    <mergeCell ref="K198:L198"/>
    <mergeCell ref="E196:F196"/>
    <mergeCell ref="I298:J298"/>
    <mergeCell ref="B308:P308"/>
    <mergeCell ref="K253:O253"/>
    <mergeCell ref="E254:F254"/>
    <mergeCell ref="G253:H253"/>
    <mergeCell ref="M265:N265"/>
    <mergeCell ref="I244:J244"/>
    <mergeCell ref="E244:F244"/>
    <mergeCell ref="B235:O235"/>
    <mergeCell ref="B238:O238"/>
    <mergeCell ref="B223:D223"/>
    <mergeCell ref="G227:H227"/>
    <mergeCell ref="G264:H264"/>
    <mergeCell ref="I264:J264"/>
    <mergeCell ref="I263:J263"/>
    <mergeCell ref="I216:J216"/>
    <mergeCell ref="F259:O259"/>
    <mergeCell ref="C265:D265"/>
    <mergeCell ref="B255:I256"/>
    <mergeCell ref="B219:D219"/>
    <mergeCell ref="I252:J252"/>
    <mergeCell ref="C250:D250"/>
    <mergeCell ref="K244:O244"/>
    <mergeCell ref="J256:O256"/>
    <mergeCell ref="K248:O248"/>
    <mergeCell ref="G249:H249"/>
    <mergeCell ref="F261:O261"/>
    <mergeCell ref="I253:J253"/>
    <mergeCell ref="E263:F263"/>
    <mergeCell ref="I226:J226"/>
    <mergeCell ref="I223:J223"/>
    <mergeCell ref="C244:D244"/>
    <mergeCell ref="E265:F265"/>
    <mergeCell ref="E320:F320"/>
    <mergeCell ref="K319:O319"/>
    <mergeCell ref="K324:O324"/>
    <mergeCell ref="G324:H324"/>
    <mergeCell ref="B322:J322"/>
    <mergeCell ref="K323:O323"/>
    <mergeCell ref="I302:J302"/>
    <mergeCell ref="I301:J301"/>
    <mergeCell ref="K317:O317"/>
    <mergeCell ref="E298:F298"/>
    <mergeCell ref="G269:H269"/>
    <mergeCell ref="C284:D284"/>
    <mergeCell ref="E266:F266"/>
    <mergeCell ref="M269:N269"/>
    <mergeCell ref="E283:O283"/>
    <mergeCell ref="I272:J272"/>
    <mergeCell ref="B295:D295"/>
    <mergeCell ref="I299:J299"/>
    <mergeCell ref="E299:F299"/>
    <mergeCell ref="E272:F272"/>
    <mergeCell ref="K274:L274"/>
    <mergeCell ref="G266:H266"/>
    <mergeCell ref="E274:F274"/>
    <mergeCell ref="G274:H274"/>
    <mergeCell ref="B299:D299"/>
    <mergeCell ref="C318:D318"/>
    <mergeCell ref="G291:H291"/>
    <mergeCell ref="I290:J290"/>
    <mergeCell ref="E284:O284"/>
    <mergeCell ref="B270:O270"/>
    <mergeCell ref="G292:H292"/>
    <mergeCell ref="I324:J324"/>
    <mergeCell ref="K322:N322"/>
    <mergeCell ref="E370:F370"/>
    <mergeCell ref="C340:D340"/>
    <mergeCell ref="F335:O335"/>
    <mergeCell ref="B290:D290"/>
    <mergeCell ref="P442:P443"/>
    <mergeCell ref="C412:O412"/>
    <mergeCell ref="B417:O417"/>
    <mergeCell ref="G342:H342"/>
    <mergeCell ref="E338:F338"/>
    <mergeCell ref="B345:O345"/>
    <mergeCell ref="I327:J327"/>
    <mergeCell ref="G325:O325"/>
    <mergeCell ref="F334:O334"/>
    <mergeCell ref="L352:O352"/>
    <mergeCell ref="K341:L341"/>
    <mergeCell ref="B350:O350"/>
    <mergeCell ref="J330:N330"/>
    <mergeCell ref="J331:O331"/>
    <mergeCell ref="K344:L344"/>
    <mergeCell ref="C343:D343"/>
    <mergeCell ref="C339:D339"/>
    <mergeCell ref="E344:F344"/>
    <mergeCell ref="G343:H343"/>
    <mergeCell ref="F336:O336"/>
    <mergeCell ref="F333:O333"/>
    <mergeCell ref="I338:J338"/>
    <mergeCell ref="K343:L343"/>
    <mergeCell ref="E343:F343"/>
    <mergeCell ref="H390:O390"/>
    <mergeCell ref="E295:F295"/>
    <mergeCell ref="F387:G387"/>
    <mergeCell ref="H387:O387"/>
    <mergeCell ref="E357:O357"/>
    <mergeCell ref="M340:N340"/>
    <mergeCell ref="C358:D358"/>
    <mergeCell ref="M339:N339"/>
    <mergeCell ref="B362:N362"/>
    <mergeCell ref="B364:F364"/>
    <mergeCell ref="C338:D338"/>
    <mergeCell ref="I341:J341"/>
    <mergeCell ref="G329:O329"/>
    <mergeCell ref="B333:C336"/>
    <mergeCell ref="E349:F349"/>
    <mergeCell ref="I349:J349"/>
    <mergeCell ref="M344:N344"/>
    <mergeCell ref="E339:F339"/>
    <mergeCell ref="E341:F341"/>
    <mergeCell ref="M348:N348"/>
    <mergeCell ref="M349:N349"/>
    <mergeCell ref="G339:H339"/>
    <mergeCell ref="I339:J339"/>
    <mergeCell ref="K339:L339"/>
    <mergeCell ref="L355:N355"/>
    <mergeCell ref="C349:D349"/>
    <mergeCell ref="C352:G352"/>
    <mergeCell ref="H352:J352"/>
    <mergeCell ref="I376:J376"/>
    <mergeCell ref="D335:E335"/>
    <mergeCell ref="G347:H347"/>
    <mergeCell ref="G348:H348"/>
    <mergeCell ref="I365:J365"/>
    <mergeCell ref="E366:F366"/>
    <mergeCell ref="F480:K480"/>
    <mergeCell ref="M486:N486"/>
    <mergeCell ref="F474:K474"/>
    <mergeCell ref="AM573:AM576"/>
    <mergeCell ref="W570:X570"/>
    <mergeCell ref="C575:D575"/>
    <mergeCell ref="C576:D576"/>
    <mergeCell ref="E570:F570"/>
    <mergeCell ref="AI573:AI576"/>
    <mergeCell ref="AD574:AG574"/>
    <mergeCell ref="AK573:AK576"/>
    <mergeCell ref="E575:F575"/>
    <mergeCell ref="E572:F572"/>
    <mergeCell ref="AL573:AL576"/>
    <mergeCell ref="AD573:AG573"/>
    <mergeCell ref="P568:P577"/>
    <mergeCell ref="G574:H574"/>
    <mergeCell ref="G573:O573"/>
    <mergeCell ref="G576:H576"/>
    <mergeCell ref="K576:O576"/>
    <mergeCell ref="F494:K494"/>
    <mergeCell ref="B520:O520"/>
    <mergeCell ref="F487:K487"/>
    <mergeCell ref="M487:N487"/>
    <mergeCell ref="F490:K490"/>
    <mergeCell ref="F493:K493"/>
    <mergeCell ref="B512:O512"/>
    <mergeCell ref="N525:O525"/>
    <mergeCell ref="I533:J533"/>
    <mergeCell ref="E532:F532"/>
    <mergeCell ref="B542:D542"/>
    <mergeCell ref="E574:F574"/>
    <mergeCell ref="F464:K464"/>
    <mergeCell ref="AJ573:AJ576"/>
    <mergeCell ref="F500:K500"/>
    <mergeCell ref="F488:K488"/>
    <mergeCell ref="M506:N506"/>
    <mergeCell ref="M503:N503"/>
    <mergeCell ref="H640:J640"/>
    <mergeCell ref="AK403:AK406"/>
    <mergeCell ref="AL403:AL406"/>
    <mergeCell ref="P411:P412"/>
    <mergeCell ref="V577:AC577"/>
    <mergeCell ref="E561:F561"/>
    <mergeCell ref="G577:O577"/>
    <mergeCell ref="I576:J576"/>
    <mergeCell ref="G534:H534"/>
    <mergeCell ref="G531:J531"/>
    <mergeCell ref="AJ403:AJ406"/>
    <mergeCell ref="M460:N460"/>
    <mergeCell ref="B455:O455"/>
    <mergeCell ref="B456:O456"/>
    <mergeCell ref="F485:K485"/>
    <mergeCell ref="L443:N443"/>
    <mergeCell ref="M468:N468"/>
    <mergeCell ref="F479:K479"/>
    <mergeCell ref="B440:O440"/>
    <mergeCell ref="M494:N494"/>
    <mergeCell ref="M467:N467"/>
    <mergeCell ref="L640:M640"/>
    <mergeCell ref="F629:G629"/>
    <mergeCell ref="L639:M639"/>
    <mergeCell ref="C628:D628"/>
    <mergeCell ref="B481:O481"/>
    <mergeCell ref="O640:P640"/>
    <mergeCell ref="G545:H545"/>
    <mergeCell ref="B645:P645"/>
    <mergeCell ref="C630:D630"/>
    <mergeCell ref="C629:D629"/>
    <mergeCell ref="C625:D625"/>
    <mergeCell ref="C626:D626"/>
    <mergeCell ref="C627:D627"/>
    <mergeCell ref="B633:P633"/>
    <mergeCell ref="C634:E634"/>
    <mergeCell ref="F634:P634"/>
    <mergeCell ref="C644:D644"/>
    <mergeCell ref="H644:J644"/>
    <mergeCell ref="L644:M644"/>
    <mergeCell ref="O644:P644"/>
    <mergeCell ref="C643:D643"/>
    <mergeCell ref="C642:D642"/>
    <mergeCell ref="F637:G637"/>
    <mergeCell ref="H637:J637"/>
    <mergeCell ref="B632:P632"/>
    <mergeCell ref="F630:G630"/>
    <mergeCell ref="M630:P630"/>
    <mergeCell ref="B635:P635"/>
    <mergeCell ref="B636:P636"/>
    <mergeCell ref="C637:D637"/>
    <mergeCell ref="O638:P638"/>
    <mergeCell ref="H638:J638"/>
    <mergeCell ref="L638:M638"/>
    <mergeCell ref="I627:L627"/>
    <mergeCell ref="I628:L628"/>
    <mergeCell ref="I629:L629"/>
    <mergeCell ref="H641:J641"/>
    <mergeCell ref="E556:F556"/>
    <mergeCell ref="G558:H558"/>
    <mergeCell ref="G557:H557"/>
    <mergeCell ref="I557:J557"/>
    <mergeCell ref="B597:O597"/>
    <mergeCell ref="K570:O570"/>
    <mergeCell ref="K572:O572"/>
    <mergeCell ref="B564:O564"/>
    <mergeCell ref="I561:J561"/>
    <mergeCell ref="E581:O581"/>
    <mergeCell ref="I560:J560"/>
    <mergeCell ref="I556:J556"/>
    <mergeCell ref="I559:J559"/>
    <mergeCell ref="G556:H556"/>
    <mergeCell ref="B559:D559"/>
    <mergeCell ref="K574:O574"/>
    <mergeCell ref="I616:J616"/>
    <mergeCell ref="B567:O567"/>
    <mergeCell ref="I572:J572"/>
    <mergeCell ref="C572:D572"/>
    <mergeCell ref="C573:D573"/>
    <mergeCell ref="E612:F612"/>
    <mergeCell ref="E614:F614"/>
    <mergeCell ref="E613:F613"/>
    <mergeCell ref="B612:D612"/>
    <mergeCell ref="B611:D611"/>
    <mergeCell ref="I610:J610"/>
    <mergeCell ref="B610:D610"/>
    <mergeCell ref="G606:H606"/>
    <mergeCell ref="F626:G626"/>
    <mergeCell ref="E605:F605"/>
    <mergeCell ref="B591:N591"/>
    <mergeCell ref="B616:D616"/>
    <mergeCell ref="M625:P625"/>
    <mergeCell ref="E610:F610"/>
    <mergeCell ref="G611:H611"/>
    <mergeCell ref="G610:H610"/>
    <mergeCell ref="I606:J606"/>
    <mergeCell ref="B550:D550"/>
    <mergeCell ref="B551:D551"/>
    <mergeCell ref="B552:D552"/>
    <mergeCell ref="B553:D553"/>
    <mergeCell ref="G607:H607"/>
    <mergeCell ref="B558:D558"/>
    <mergeCell ref="G572:H572"/>
    <mergeCell ref="I550:J550"/>
    <mergeCell ref="G554:H554"/>
    <mergeCell ref="I554:J554"/>
    <mergeCell ref="F624:G624"/>
    <mergeCell ref="C623:D623"/>
    <mergeCell ref="E604:F604"/>
    <mergeCell ref="B615:D615"/>
    <mergeCell ref="G570:H570"/>
    <mergeCell ref="P594:P595"/>
    <mergeCell ref="B605:D605"/>
    <mergeCell ref="G571:O571"/>
    <mergeCell ref="G561:H561"/>
    <mergeCell ref="B581:D581"/>
    <mergeCell ref="K578:O578"/>
    <mergeCell ref="B599:O599"/>
    <mergeCell ref="B582:O582"/>
    <mergeCell ref="M623:P623"/>
    <mergeCell ref="G604:H604"/>
    <mergeCell ref="B596:K596"/>
    <mergeCell ref="B561:D561"/>
    <mergeCell ref="B578:J578"/>
    <mergeCell ref="B565:O565"/>
    <mergeCell ref="B622:P622"/>
    <mergeCell ref="P598:P599"/>
    <mergeCell ref="B586:O586"/>
    <mergeCell ref="K583:O583"/>
    <mergeCell ref="I609:J609"/>
    <mergeCell ref="G609:H609"/>
    <mergeCell ref="B621:P621"/>
    <mergeCell ref="I603:J603"/>
    <mergeCell ref="I585:O585"/>
    <mergeCell ref="C569:F569"/>
    <mergeCell ref="G569:J569"/>
    <mergeCell ref="B594:O594"/>
    <mergeCell ref="C570:D570"/>
    <mergeCell ref="C577:D577"/>
    <mergeCell ref="C571:D571"/>
    <mergeCell ref="C588:O588"/>
    <mergeCell ref="I607:J607"/>
    <mergeCell ref="G602:J602"/>
    <mergeCell ref="G575:O575"/>
    <mergeCell ref="K569:O569"/>
    <mergeCell ref="I570:J570"/>
    <mergeCell ref="E576:F576"/>
    <mergeCell ref="H643:J643"/>
    <mergeCell ref="L643:M643"/>
    <mergeCell ref="O643:P643"/>
    <mergeCell ref="O639:P639"/>
    <mergeCell ref="C641:D641"/>
    <mergeCell ref="H642:J642"/>
    <mergeCell ref="L642:M642"/>
    <mergeCell ref="L641:M641"/>
    <mergeCell ref="F627:G627"/>
    <mergeCell ref="C638:D638"/>
    <mergeCell ref="G549:H549"/>
    <mergeCell ref="B536:D536"/>
    <mergeCell ref="B538:D538"/>
    <mergeCell ref="E544:F544"/>
    <mergeCell ref="I545:J545"/>
    <mergeCell ref="G544:H544"/>
    <mergeCell ref="I541:J541"/>
    <mergeCell ref="G543:H543"/>
    <mergeCell ref="O641:P641"/>
    <mergeCell ref="I574:J574"/>
    <mergeCell ref="C640:D640"/>
    <mergeCell ref="M626:P626"/>
    <mergeCell ref="I626:L626"/>
    <mergeCell ref="M627:P627"/>
    <mergeCell ref="B620:P620"/>
    <mergeCell ref="H639:J639"/>
    <mergeCell ref="I630:L630"/>
    <mergeCell ref="M629:P629"/>
    <mergeCell ref="M628:P628"/>
    <mergeCell ref="C624:D624"/>
    <mergeCell ref="G612:H612"/>
    <mergeCell ref="I625:L625"/>
    <mergeCell ref="O642:P642"/>
    <mergeCell ref="G547:H547"/>
    <mergeCell ref="B537:D537"/>
    <mergeCell ref="E541:F541"/>
    <mergeCell ref="N526:O526"/>
    <mergeCell ref="B518:K518"/>
    <mergeCell ref="L518:O518"/>
    <mergeCell ref="E533:F533"/>
    <mergeCell ref="B535:D535"/>
    <mergeCell ref="K531:O534"/>
    <mergeCell ref="F523:K523"/>
    <mergeCell ref="I534:J534"/>
    <mergeCell ref="C523:E523"/>
    <mergeCell ref="B580:O580"/>
    <mergeCell ref="B579:O579"/>
    <mergeCell ref="E577:F577"/>
    <mergeCell ref="L637:M637"/>
    <mergeCell ref="O637:P637"/>
    <mergeCell ref="C639:D639"/>
    <mergeCell ref="C587:O587"/>
    <mergeCell ref="B563:P563"/>
    <mergeCell ref="B566:O566"/>
    <mergeCell ref="C574:D574"/>
    <mergeCell ref="E573:F573"/>
    <mergeCell ref="F623:G623"/>
    <mergeCell ref="I623:L623"/>
    <mergeCell ref="G532:H532"/>
    <mergeCell ref="E558:F558"/>
    <mergeCell ref="I605:J605"/>
    <mergeCell ref="B602:F602"/>
    <mergeCell ref="E616:F616"/>
    <mergeCell ref="G559:H559"/>
    <mergeCell ref="P364:P380"/>
    <mergeCell ref="B360:O360"/>
    <mergeCell ref="B363:O363"/>
    <mergeCell ref="C355:G355"/>
    <mergeCell ref="B313:O313"/>
    <mergeCell ref="G406:H406"/>
    <mergeCell ref="G407:O407"/>
    <mergeCell ref="K402:O402"/>
    <mergeCell ref="B409:O409"/>
    <mergeCell ref="B414:O414"/>
    <mergeCell ref="B421:O421"/>
    <mergeCell ref="I422:O422"/>
    <mergeCell ref="B330:I331"/>
    <mergeCell ref="G427:O427"/>
    <mergeCell ref="G428:O428"/>
    <mergeCell ref="G429:O429"/>
    <mergeCell ref="G430:O430"/>
    <mergeCell ref="K342:L342"/>
    <mergeCell ref="G340:H340"/>
    <mergeCell ref="I340:J340"/>
    <mergeCell ref="E340:F340"/>
    <mergeCell ref="C325:D325"/>
    <mergeCell ref="P352:P355"/>
    <mergeCell ref="G399:J399"/>
    <mergeCell ref="E365:F365"/>
    <mergeCell ref="E401:F401"/>
    <mergeCell ref="L420:N420"/>
    <mergeCell ref="B314:O314"/>
    <mergeCell ref="C353:G353"/>
    <mergeCell ref="H353:J353"/>
    <mergeCell ref="C357:D357"/>
    <mergeCell ref="B361:N361"/>
    <mergeCell ref="P522:P527"/>
    <mergeCell ref="B510:O510"/>
    <mergeCell ref="P520:P521"/>
    <mergeCell ref="N524:O524"/>
    <mergeCell ref="P531:P562"/>
    <mergeCell ref="I548:J548"/>
    <mergeCell ref="I558:J558"/>
    <mergeCell ref="E535:F535"/>
    <mergeCell ref="K556:O561"/>
    <mergeCell ref="E548:F548"/>
    <mergeCell ref="B527:O527"/>
    <mergeCell ref="I532:J532"/>
    <mergeCell ref="N523:O523"/>
    <mergeCell ref="F525:K525"/>
    <mergeCell ref="F526:K526"/>
    <mergeCell ref="G546:H546"/>
    <mergeCell ref="E543:F543"/>
    <mergeCell ref="B541:D541"/>
    <mergeCell ref="I543:J543"/>
    <mergeCell ref="L524:M524"/>
    <mergeCell ref="E545:F545"/>
    <mergeCell ref="I535:J535"/>
    <mergeCell ref="E546:F546"/>
    <mergeCell ref="G550:H550"/>
    <mergeCell ref="G540:H540"/>
    <mergeCell ref="G536:H536"/>
    <mergeCell ref="I539:J539"/>
    <mergeCell ref="E537:F537"/>
    <mergeCell ref="E538:F538"/>
    <mergeCell ref="B554:D554"/>
    <mergeCell ref="E547:F547"/>
    <mergeCell ref="I544:J544"/>
    <mergeCell ref="K542:O547"/>
    <mergeCell ref="B544:D544"/>
    <mergeCell ref="I542:J542"/>
    <mergeCell ref="E536:F536"/>
    <mergeCell ref="N522:O522"/>
    <mergeCell ref="E542:F542"/>
    <mergeCell ref="B533:D533"/>
    <mergeCell ref="I549:J549"/>
    <mergeCell ref="I547:J547"/>
    <mergeCell ref="E534:F534"/>
    <mergeCell ref="M477:N477"/>
    <mergeCell ref="F478:K478"/>
    <mergeCell ref="F486:K486"/>
    <mergeCell ref="M478:N478"/>
    <mergeCell ref="M473:N473"/>
    <mergeCell ref="F467:K467"/>
    <mergeCell ref="M469:O469"/>
    <mergeCell ref="M471:N471"/>
    <mergeCell ref="F504:K504"/>
    <mergeCell ref="M493:N493"/>
    <mergeCell ref="M485:N485"/>
    <mergeCell ref="F492:K492"/>
    <mergeCell ref="M483:N483"/>
    <mergeCell ref="B547:D547"/>
    <mergeCell ref="B548:D548"/>
    <mergeCell ref="B549:D549"/>
    <mergeCell ref="M507:N507"/>
    <mergeCell ref="C522:E522"/>
    <mergeCell ref="K535:O541"/>
    <mergeCell ref="G535:H535"/>
    <mergeCell ref="E539:F539"/>
    <mergeCell ref="M509:N509"/>
    <mergeCell ref="I555:J555"/>
    <mergeCell ref="E560:F560"/>
    <mergeCell ref="B560:D560"/>
    <mergeCell ref="B557:D557"/>
    <mergeCell ref="E559:F559"/>
    <mergeCell ref="G560:H560"/>
    <mergeCell ref="G552:H552"/>
    <mergeCell ref="I552:J552"/>
    <mergeCell ref="G553:H553"/>
    <mergeCell ref="I553:J553"/>
    <mergeCell ref="E603:F603"/>
    <mergeCell ref="B585:F585"/>
    <mergeCell ref="C427:F427"/>
    <mergeCell ref="C428:F428"/>
    <mergeCell ref="C429:F429"/>
    <mergeCell ref="C430:F430"/>
    <mergeCell ref="C431:F431"/>
    <mergeCell ref="C432:F432"/>
    <mergeCell ref="C433:F433"/>
    <mergeCell ref="C434:F434"/>
    <mergeCell ref="I540:J540"/>
    <mergeCell ref="G539:H539"/>
    <mergeCell ref="B539:D539"/>
    <mergeCell ref="I551:J551"/>
    <mergeCell ref="G548:H548"/>
    <mergeCell ref="F499:K499"/>
    <mergeCell ref="B521:O521"/>
    <mergeCell ref="L522:M522"/>
    <mergeCell ref="F501:K501"/>
    <mergeCell ref="B498:O498"/>
    <mergeCell ref="G541:H541"/>
    <mergeCell ref="G542:H542"/>
    <mergeCell ref="E348:F348"/>
    <mergeCell ref="C329:D329"/>
    <mergeCell ref="C416:O416"/>
    <mergeCell ref="H426:O426"/>
    <mergeCell ref="B423:F423"/>
    <mergeCell ref="G349:H349"/>
    <mergeCell ref="I347:J347"/>
    <mergeCell ref="C328:D328"/>
    <mergeCell ref="M343:N343"/>
    <mergeCell ref="E329:F329"/>
    <mergeCell ref="D333:E333"/>
    <mergeCell ref="E318:F318"/>
    <mergeCell ref="B370:D370"/>
    <mergeCell ref="G364:J364"/>
    <mergeCell ref="B356:O356"/>
    <mergeCell ref="B357:B359"/>
    <mergeCell ref="I369:J369"/>
    <mergeCell ref="H355:J355"/>
    <mergeCell ref="I318:J318"/>
    <mergeCell ref="G319:H319"/>
    <mergeCell ref="G341:H341"/>
    <mergeCell ref="K327:O327"/>
    <mergeCell ref="M338:N338"/>
    <mergeCell ref="K340:L340"/>
    <mergeCell ref="G320:H320"/>
    <mergeCell ref="D336:E336"/>
    <mergeCell ref="M347:N347"/>
    <mergeCell ref="F389:G389"/>
    <mergeCell ref="G404:H404"/>
    <mergeCell ref="E403:F403"/>
    <mergeCell ref="B392:O392"/>
    <mergeCell ref="B386:E386"/>
    <mergeCell ref="K293:O297"/>
    <mergeCell ref="I267:J267"/>
    <mergeCell ref="K267:L267"/>
    <mergeCell ref="B294:D294"/>
    <mergeCell ref="E294:F294"/>
    <mergeCell ref="I319:J319"/>
    <mergeCell ref="E553:F553"/>
    <mergeCell ref="E554:F554"/>
    <mergeCell ref="G551:H551"/>
    <mergeCell ref="I546:J546"/>
    <mergeCell ref="F507:K507"/>
    <mergeCell ref="F506:K506"/>
    <mergeCell ref="F491:K491"/>
    <mergeCell ref="F483:K483"/>
    <mergeCell ref="F473:K473"/>
    <mergeCell ref="F465:K465"/>
    <mergeCell ref="E549:F549"/>
    <mergeCell ref="E550:F550"/>
    <mergeCell ref="E551:F551"/>
    <mergeCell ref="E552:F552"/>
    <mergeCell ref="B534:D534"/>
    <mergeCell ref="L525:M525"/>
    <mergeCell ref="B496:O496"/>
    <mergeCell ref="B497:O497"/>
    <mergeCell ref="C525:E525"/>
    <mergeCell ref="G433:O433"/>
    <mergeCell ref="G434:O434"/>
    <mergeCell ref="B427:B434"/>
    <mergeCell ref="G376:H376"/>
    <mergeCell ref="E374:F374"/>
    <mergeCell ref="B366:D366"/>
    <mergeCell ref="I344:J344"/>
    <mergeCell ref="AQ32:AT32"/>
    <mergeCell ref="B164:O164"/>
    <mergeCell ref="G152:H152"/>
    <mergeCell ref="E143:F143"/>
    <mergeCell ref="E139:F139"/>
    <mergeCell ref="B141:D141"/>
    <mergeCell ref="E141:F141"/>
    <mergeCell ref="K141:O145"/>
    <mergeCell ref="I70:J70"/>
    <mergeCell ref="I71:J71"/>
    <mergeCell ref="G67:H67"/>
    <mergeCell ref="K112:L112"/>
    <mergeCell ref="M113:N113"/>
    <mergeCell ref="B104:P104"/>
    <mergeCell ref="C101:D101"/>
    <mergeCell ref="E101:F101"/>
    <mergeCell ref="I114:J114"/>
    <mergeCell ref="B137:F137"/>
    <mergeCell ref="B144:D144"/>
    <mergeCell ref="I146:J146"/>
    <mergeCell ref="F47:O47"/>
    <mergeCell ref="G70:H70"/>
    <mergeCell ref="I40:J40"/>
    <mergeCell ref="X32:AA32"/>
    <mergeCell ref="I74:J74"/>
    <mergeCell ref="C33:D33"/>
    <mergeCell ref="C34:D34"/>
    <mergeCell ref="P81:P82"/>
    <mergeCell ref="K60:O64"/>
    <mergeCell ref="G101:O101"/>
    <mergeCell ref="I113:J113"/>
    <mergeCell ref="I73:J73"/>
    <mergeCell ref="AX33:BC33"/>
    <mergeCell ref="W91:X91"/>
    <mergeCell ref="C39:D39"/>
    <mergeCell ref="E39:F39"/>
    <mergeCell ref="G39:H39"/>
    <mergeCell ref="I39:J39"/>
    <mergeCell ref="M38:N38"/>
    <mergeCell ref="K39:L39"/>
    <mergeCell ref="M39:N39"/>
    <mergeCell ref="K40:L40"/>
    <mergeCell ref="M40:N40"/>
    <mergeCell ref="C40:D40"/>
    <mergeCell ref="E40:F40"/>
    <mergeCell ref="G40:H40"/>
    <mergeCell ref="I33:J33"/>
    <mergeCell ref="I34:J34"/>
    <mergeCell ref="I69:J69"/>
    <mergeCell ref="I64:J64"/>
    <mergeCell ref="D46:E46"/>
    <mergeCell ref="D47:E47"/>
    <mergeCell ref="F44:O44"/>
    <mergeCell ref="L52:N52"/>
    <mergeCell ref="G76:H76"/>
    <mergeCell ref="B88:O88"/>
    <mergeCell ref="G74:H74"/>
    <mergeCell ref="E72:F72"/>
    <mergeCell ref="I72:J72"/>
    <mergeCell ref="C91:D91"/>
    <mergeCell ref="E91:F91"/>
    <mergeCell ref="B62:D62"/>
    <mergeCell ref="I63:J63"/>
    <mergeCell ref="E73:F73"/>
    <mergeCell ref="C122:D122"/>
    <mergeCell ref="B123:O123"/>
    <mergeCell ref="E96:F96"/>
    <mergeCell ref="I96:J96"/>
    <mergeCell ref="C95:D95"/>
    <mergeCell ref="C96:D96"/>
    <mergeCell ref="E121:F121"/>
    <mergeCell ref="C113:D113"/>
    <mergeCell ref="G71:H71"/>
    <mergeCell ref="K73:O77"/>
    <mergeCell ref="K100:O100"/>
    <mergeCell ref="K99:O99"/>
    <mergeCell ref="B106:C109"/>
    <mergeCell ref="E93:F93"/>
    <mergeCell ref="M112:N112"/>
    <mergeCell ref="K92:O92"/>
    <mergeCell ref="M116:N116"/>
    <mergeCell ref="D109:E109"/>
    <mergeCell ref="G122:H122"/>
    <mergeCell ref="I77:J77"/>
    <mergeCell ref="I75:J75"/>
    <mergeCell ref="G117:H117"/>
    <mergeCell ref="F109:O109"/>
    <mergeCell ref="E117:F117"/>
    <mergeCell ref="M117:N117"/>
    <mergeCell ref="K115:L115"/>
    <mergeCell ref="I115:J115"/>
    <mergeCell ref="I95:J95"/>
    <mergeCell ref="B76:D76"/>
    <mergeCell ref="C97:D97"/>
    <mergeCell ref="D108:E108"/>
    <mergeCell ref="D106:E106"/>
    <mergeCell ref="K117:L117"/>
    <mergeCell ref="C120:D120"/>
    <mergeCell ref="C115:D115"/>
    <mergeCell ref="B68:D68"/>
    <mergeCell ref="I68:J68"/>
    <mergeCell ref="B63:D63"/>
    <mergeCell ref="G63:H63"/>
    <mergeCell ref="G100:H100"/>
    <mergeCell ref="E71:F71"/>
    <mergeCell ref="E112:F112"/>
    <mergeCell ref="F106:O106"/>
    <mergeCell ref="B98:J98"/>
    <mergeCell ref="E97:F97"/>
    <mergeCell ref="G120:H120"/>
    <mergeCell ref="I121:J121"/>
    <mergeCell ref="E95:F95"/>
    <mergeCell ref="I92:J92"/>
    <mergeCell ref="C93:D93"/>
    <mergeCell ref="E69:F69"/>
    <mergeCell ref="E67:F67"/>
    <mergeCell ref="B84:O84"/>
    <mergeCell ref="K91:O91"/>
    <mergeCell ref="B80:P80"/>
    <mergeCell ref="BR115:CA115"/>
    <mergeCell ref="AZ114:BG114"/>
    <mergeCell ref="BI114:BN114"/>
    <mergeCell ref="U88:U89"/>
    <mergeCell ref="AU114:AX114"/>
    <mergeCell ref="I91:J91"/>
    <mergeCell ref="G75:H75"/>
    <mergeCell ref="V90:Y90"/>
    <mergeCell ref="B87:O87"/>
    <mergeCell ref="G90:H90"/>
    <mergeCell ref="E100:F100"/>
    <mergeCell ref="G121:H121"/>
    <mergeCell ref="I122:J122"/>
    <mergeCell ref="C89:F89"/>
    <mergeCell ref="B83:P83"/>
    <mergeCell ref="J102:N102"/>
    <mergeCell ref="G89:J89"/>
    <mergeCell ref="K89:O89"/>
    <mergeCell ref="C90:D90"/>
    <mergeCell ref="J103:O103"/>
    <mergeCell ref="B105:O105"/>
    <mergeCell ref="C99:D99"/>
    <mergeCell ref="I99:J99"/>
    <mergeCell ref="B118:O118"/>
    <mergeCell ref="AH114:AM114"/>
    <mergeCell ref="D107:E107"/>
    <mergeCell ref="AO114:AS114"/>
    <mergeCell ref="F108:O108"/>
    <mergeCell ref="M121:N121"/>
    <mergeCell ref="C111:D111"/>
    <mergeCell ref="C114:D114"/>
    <mergeCell ref="G112:H112"/>
    <mergeCell ref="E122:F122"/>
    <mergeCell ref="E116:F116"/>
    <mergeCell ref="G115:H115"/>
    <mergeCell ref="G116:H116"/>
    <mergeCell ref="R54:R55"/>
    <mergeCell ref="R57:S58"/>
    <mergeCell ref="V60:X60"/>
    <mergeCell ref="I61:J61"/>
    <mergeCell ref="B65:D65"/>
    <mergeCell ref="E68:F68"/>
    <mergeCell ref="E70:F70"/>
    <mergeCell ref="B72:D72"/>
    <mergeCell ref="B66:D66"/>
    <mergeCell ref="E63:F63"/>
    <mergeCell ref="E65:F65"/>
    <mergeCell ref="M115:N115"/>
    <mergeCell ref="E115:F115"/>
    <mergeCell ref="C117:D117"/>
    <mergeCell ref="B59:O59"/>
    <mergeCell ref="M114:N114"/>
    <mergeCell ref="K114:L114"/>
    <mergeCell ref="E114:F114"/>
    <mergeCell ref="K120:L120"/>
    <mergeCell ref="C121:D121"/>
    <mergeCell ref="C112:D112"/>
    <mergeCell ref="M120:N120"/>
    <mergeCell ref="E120:F120"/>
    <mergeCell ref="B67:D67"/>
    <mergeCell ref="G61:H61"/>
    <mergeCell ref="B110:O110"/>
    <mergeCell ref="G92:H92"/>
    <mergeCell ref="E111:F111"/>
    <mergeCell ref="V137:X137"/>
    <mergeCell ref="B78:O78"/>
    <mergeCell ref="K113:L113"/>
    <mergeCell ref="I100:J100"/>
    <mergeCell ref="E99:F99"/>
    <mergeCell ref="F107:O107"/>
    <mergeCell ref="R161:R162"/>
    <mergeCell ref="K121:L121"/>
    <mergeCell ref="C170:D170"/>
    <mergeCell ref="B165:O165"/>
    <mergeCell ref="I116:J116"/>
    <mergeCell ref="K116:L116"/>
    <mergeCell ref="E113:F113"/>
    <mergeCell ref="K148:O152"/>
    <mergeCell ref="B140:D140"/>
    <mergeCell ref="B143:D143"/>
    <mergeCell ref="G97:O97"/>
    <mergeCell ref="B102:I103"/>
    <mergeCell ref="B130:B132"/>
    <mergeCell ref="E130:O130"/>
    <mergeCell ref="G99:H99"/>
    <mergeCell ref="B153:O153"/>
    <mergeCell ref="I112:J112"/>
    <mergeCell ref="G113:H113"/>
    <mergeCell ref="I117:J117"/>
    <mergeCell ref="M122:N122"/>
    <mergeCell ref="T88:T89"/>
    <mergeCell ref="C92:D92"/>
    <mergeCell ref="G91:H91"/>
    <mergeCell ref="I111:J111"/>
    <mergeCell ref="M111:N111"/>
    <mergeCell ref="K122:L122"/>
    <mergeCell ref="K171:N171"/>
    <mergeCell ref="B159:P159"/>
    <mergeCell ref="F185:O185"/>
    <mergeCell ref="M188:N188"/>
    <mergeCell ref="K189:L189"/>
    <mergeCell ref="P137:P153"/>
    <mergeCell ref="C189:D189"/>
    <mergeCell ref="E189:F189"/>
    <mergeCell ref="I189:J189"/>
    <mergeCell ref="C188:D188"/>
    <mergeCell ref="B179:I180"/>
    <mergeCell ref="B150:D150"/>
    <mergeCell ref="B194:O194"/>
    <mergeCell ref="M193:N193"/>
    <mergeCell ref="I193:J193"/>
    <mergeCell ref="C196:D196"/>
    <mergeCell ref="K137:O140"/>
    <mergeCell ref="B156:P156"/>
    <mergeCell ref="B147:D147"/>
    <mergeCell ref="B139:D139"/>
    <mergeCell ref="G190:H190"/>
    <mergeCell ref="G146:H146"/>
    <mergeCell ref="K177:O177"/>
    <mergeCell ref="C652:H652"/>
    <mergeCell ref="C653:H653"/>
    <mergeCell ref="B658:B661"/>
    <mergeCell ref="R286:S287"/>
    <mergeCell ref="AM403:AM406"/>
    <mergeCell ref="AA341:AF341"/>
    <mergeCell ref="V528:AD528"/>
    <mergeCell ref="R435:R436"/>
    <mergeCell ref="R438:S443"/>
    <mergeCell ref="R130:R132"/>
    <mergeCell ref="V364:X364"/>
    <mergeCell ref="W353:Z353"/>
    <mergeCell ref="B380:O380"/>
    <mergeCell ref="R238:R239"/>
    <mergeCell ref="R234:R235"/>
    <mergeCell ref="AJ400:AM400"/>
    <mergeCell ref="G295:H295"/>
    <mergeCell ref="J179:N179"/>
    <mergeCell ref="J180:O180"/>
    <mergeCell ref="C177:D177"/>
    <mergeCell ref="R134:S135"/>
    <mergeCell ref="R210:S211"/>
    <mergeCell ref="R357:R359"/>
    <mergeCell ref="R361:S362"/>
    <mergeCell ref="B305:O305"/>
    <mergeCell ref="B230:O230"/>
    <mergeCell ref="W172:X172"/>
    <mergeCell ref="AA190:AF190"/>
    <mergeCell ref="AA266:AF266"/>
    <mergeCell ref="T241:T242"/>
    <mergeCell ref="E170:F170"/>
    <mergeCell ref="G170:O170"/>
    <mergeCell ref="BR342:CA342"/>
    <mergeCell ref="AH341:AM341"/>
    <mergeCell ref="AO341:AS341"/>
    <mergeCell ref="AU341:AX341"/>
    <mergeCell ref="AZ341:BG341"/>
    <mergeCell ref="BI341:BN341"/>
    <mergeCell ref="BR191:CA191"/>
    <mergeCell ref="BR267:CA267"/>
    <mergeCell ref="AU190:AX190"/>
    <mergeCell ref="AZ190:BG190"/>
    <mergeCell ref="BI190:BN190"/>
    <mergeCell ref="AH266:AM266"/>
    <mergeCell ref="AO266:AS266"/>
    <mergeCell ref="AU266:AX266"/>
    <mergeCell ref="AZ266:BG266"/>
    <mergeCell ref="BI266:BN266"/>
    <mergeCell ref="AM392:AM395"/>
    <mergeCell ref="AL392:AL395"/>
    <mergeCell ref="AK392:AK395"/>
    <mergeCell ref="AJ392:AJ395"/>
    <mergeCell ref="AH190:AM190"/>
    <mergeCell ref="AO190:AS190"/>
    <mergeCell ref="R206:R208"/>
    <mergeCell ref="E92:F92"/>
    <mergeCell ref="C172:D172"/>
    <mergeCell ref="E172:F172"/>
    <mergeCell ref="I120:J120"/>
    <mergeCell ref="C116:D116"/>
    <mergeCell ref="C174:D174"/>
    <mergeCell ref="C168:D168"/>
    <mergeCell ref="E168:F168"/>
    <mergeCell ref="G174:O174"/>
    <mergeCell ref="G168:H168"/>
    <mergeCell ref="I138:J138"/>
    <mergeCell ref="G151:H151"/>
    <mergeCell ref="E146:F146"/>
    <mergeCell ref="E148:F148"/>
    <mergeCell ref="E147:F147"/>
    <mergeCell ref="G139:H139"/>
    <mergeCell ref="G149:H149"/>
    <mergeCell ref="G143:H143"/>
    <mergeCell ref="I150:J150"/>
    <mergeCell ref="E142:F142"/>
    <mergeCell ref="K167:O167"/>
    <mergeCell ref="C169:D169"/>
    <mergeCell ref="E169:F169"/>
    <mergeCell ref="R157:R158"/>
    <mergeCell ref="G167:H167"/>
    <mergeCell ref="E145:F145"/>
    <mergeCell ref="G148:H148"/>
    <mergeCell ref="B133:O133"/>
    <mergeCell ref="I142:J142"/>
    <mergeCell ref="G142:H142"/>
    <mergeCell ref="I139:J139"/>
    <mergeCell ref="W252:X252"/>
    <mergeCell ref="I176:J176"/>
    <mergeCell ref="C207:D207"/>
    <mergeCell ref="B210:N210"/>
    <mergeCell ref="C204:G204"/>
    <mergeCell ref="C208:D208"/>
    <mergeCell ref="E217:F217"/>
    <mergeCell ref="H201:J201"/>
    <mergeCell ref="D184:E184"/>
    <mergeCell ref="B221:D221"/>
    <mergeCell ref="E219:F219"/>
    <mergeCell ref="G218:H218"/>
    <mergeCell ref="I218:J218"/>
    <mergeCell ref="B217:D217"/>
    <mergeCell ref="B215:D215"/>
    <mergeCell ref="V289:X289"/>
    <mergeCell ref="E207:O207"/>
    <mergeCell ref="E216:F216"/>
    <mergeCell ref="G223:H223"/>
    <mergeCell ref="E223:F223"/>
    <mergeCell ref="I219:J219"/>
    <mergeCell ref="B186:O186"/>
    <mergeCell ref="V214:X214"/>
    <mergeCell ref="G189:H189"/>
    <mergeCell ref="M198:N198"/>
    <mergeCell ref="I198:J198"/>
    <mergeCell ref="I197:J197"/>
    <mergeCell ref="P201:P204"/>
    <mergeCell ref="C201:G201"/>
    <mergeCell ref="B209:O209"/>
    <mergeCell ref="P165:P180"/>
    <mergeCell ref="K172:O172"/>
    <mergeCell ref="H203:J203"/>
    <mergeCell ref="E224:F224"/>
    <mergeCell ref="K225:O229"/>
    <mergeCell ref="E250:F250"/>
    <mergeCell ref="B231:P231"/>
    <mergeCell ref="C249:D249"/>
    <mergeCell ref="B240:O240"/>
    <mergeCell ref="L278:N278"/>
    <mergeCell ref="C280:G280"/>
    <mergeCell ref="B301:D301"/>
    <mergeCell ref="G299:H299"/>
    <mergeCell ref="E245:F245"/>
    <mergeCell ref="F260:O260"/>
    <mergeCell ref="C272:D272"/>
    <mergeCell ref="E243:F243"/>
    <mergeCell ref="G243:H243"/>
    <mergeCell ref="E218:F218"/>
    <mergeCell ref="M267:N267"/>
    <mergeCell ref="B275:O275"/>
    <mergeCell ref="G290:H290"/>
    <mergeCell ref="B289:F289"/>
    <mergeCell ref="G293:H293"/>
    <mergeCell ref="B298:D298"/>
    <mergeCell ref="I293:J293"/>
    <mergeCell ref="G254:O254"/>
    <mergeCell ref="H278:J278"/>
    <mergeCell ref="K266:L266"/>
    <mergeCell ref="C266:D266"/>
    <mergeCell ref="M266:N266"/>
    <mergeCell ref="K273:L273"/>
    <mergeCell ref="K265:L265"/>
    <mergeCell ref="C277:G277"/>
  </mergeCells>
  <phoneticPr fontId="0" type="noConversion"/>
  <conditionalFormatting sqref="G532:J538">
    <cfRule type="cellIs" dxfId="52" priority="12" stopIfTrue="1" operator="lessThan">
      <formula>$AA$538</formula>
    </cfRule>
  </conditionalFormatting>
  <conditionalFormatting sqref="G539:J539">
    <cfRule type="cellIs" dxfId="51" priority="159" stopIfTrue="1" operator="lessThan">
      <formula>$AA$539</formula>
    </cfRule>
  </conditionalFormatting>
  <conditionalFormatting sqref="G603:J610">
    <cfRule type="cellIs" dxfId="50" priority="7" stopIfTrue="1" operator="lessThan">
      <formula>$AA$605</formula>
    </cfRule>
  </conditionalFormatting>
  <conditionalFormatting sqref="G396:O397">
    <cfRule type="cellIs" dxfId="49" priority="1" operator="equal">
      <formula>$AJ$400</formula>
    </cfRule>
  </conditionalFormatting>
  <conditionalFormatting sqref="G401:O401">
    <cfRule type="cellIs" dxfId="48" priority="3" operator="equal">
      <formula>$AJ$401</formula>
    </cfRule>
  </conditionalFormatting>
  <conditionalFormatting sqref="G403:O403">
    <cfRule type="cellIs" dxfId="47" priority="4" operator="equal">
      <formula>$AJ$401</formula>
    </cfRule>
  </conditionalFormatting>
  <conditionalFormatting sqref="G405:O405">
    <cfRule type="cellIs" dxfId="46" priority="5" operator="equal">
      <formula>$AJ$401</formula>
    </cfRule>
  </conditionalFormatting>
  <conditionalFormatting sqref="G407:O407">
    <cfRule type="cellIs" dxfId="45" priority="6" operator="equal">
      <formula>$AJ$401</formula>
    </cfRule>
  </conditionalFormatting>
  <dataValidations xWindow="861" yWindow="265" count="106">
    <dataValidation type="list" showInputMessage="1" showErrorMessage="1" promptTitle="Thumb" prompt="Enter retained degrees of motion, interphalangeal joint, flexion. If joint was not affected by the injury, select &quot;NA&quot; or leave blank." sqref="C19:D19" xr:uid="{266964E7-E44E-4B63-AA12-E813F2E03735}">
      <formula1>$B$662:$B$743</formula1>
    </dataValidation>
    <dataValidation type="list" allowBlank="1" showInputMessage="1" showErrorMessage="1" promptTitle="Severity of joint instability" prompt="Mild, moderate, or severe" sqref="C51:G52" xr:uid="{F5A83858-C2AB-4838-9287-DC3424E3D288}">
      <formula1>$W$52:$Z$52</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51:N52" xr:uid="{AB68E5BF-42AA-420A-BAAA-B2595BC89D7A}">
      <formula1>$V$51:$Z$51</formula1>
    </dataValidation>
    <dataValidation type="list" allowBlank="1" showInputMessage="1" showErrorMessage="1" promptTitle="Thumb amputation" prompt="Select extent of loss." sqref="B7:O7" xr:uid="{63E153E0-C25C-4124-8C01-D926F1089E1C}">
      <formula1>$U$6:$Z$6</formula1>
    </dataValidation>
    <dataValidation type="list" allowBlank="1" showInputMessage="1" showErrorMessage="1" promptTitle="Dermatological conditions" prompt="Select from classes 1-5. See OAR 436-035-0110." sqref="O57 O134 O210 O286 O361 O591" xr:uid="{447BA499-4258-4D6D-AF29-75B2386D9250}">
      <formula1>$T$57:$X$57</formula1>
    </dataValidation>
    <dataValidation type="list" showInputMessage="1" showErrorMessage="1" promptTitle="Thumb" prompt="Enter retained degrees of motion, metacarpophalangeal joint, flexion. If joint was not affected by the injury, select &quot;NA&quot; or leave blank." sqref="C23:D23" xr:uid="{66F29B36-B656-4BFE-93B1-4B6DD2AAF8A6}">
      <formula1>$B$662:$B$723</formula1>
    </dataValidation>
    <dataValidation type="list" allowBlank="1" showInputMessage="1" showErrorMessage="1" promptTitle="Loss of opposition" prompt="Ratings apply to the fingers." sqref="B10" xr:uid="{C84EF711-5AC3-4F62-9FDE-281876613082}">
      <formula1>$W$11:$AD$11</formula1>
    </dataValidation>
    <dataValidation type="list" allowBlank="1" showInputMessage="1" showErrorMessage="1" promptTitle="Vascular dysfunction" prompt="Select from classes 1-5. See OAR 436-035-0110." sqref="O58 O135 O211 O287 O362 O592" xr:uid="{8C466423-B9D5-4441-96CA-07040D182294}">
      <formula1>$Z$57:$AD$57</formula1>
    </dataValidation>
    <dataValidation type="list" allowBlank="1" showInputMessage="1" showErrorMessage="1" promptTitle="Index finger amputation" prompt="Select extent of loss." sqref="B82:O82 B158:O158" xr:uid="{B7399262-84ED-4403-B787-34AE25903B1C}">
      <formula1>$S$81:$Y$81</formula1>
    </dataValidation>
    <dataValidation type="list" allowBlank="1" showInputMessage="1" showErrorMessage="1" promptTitle="Loss of opposition" prompt="Select extent of amputation or shortening of digit." sqref="B85:O85 B161:O161" xr:uid="{0A667A6F-A1C4-4410-9734-5868BE809FF9}">
      <formula1>$S$84:$AD$84</formula1>
    </dataValidation>
    <dataValidation type="list" allowBlank="1" showInputMessage="1" showErrorMessage="1" promptTitle="Severity of joint instability" prompt="Mild, moderate, or severe" sqref="C126:G128 C202:G204 C278:G280 C353:G355" xr:uid="{C0878222-24B0-4689-8BD7-8093C917456B}">
      <formula1>$X$127:$Z$127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126:N128 L202:N204 L278:N280 L353:N355" xr:uid="{81D6AEF1-F41A-48C2-BDAA-47EEA85D76F3}">
      <formula1>$X$128:$AA$128</formula1>
    </dataValidation>
    <dataValidation type="list" allowBlank="1" showInputMessage="1" showErrorMessage="1" promptTitle="Loss of opposition" prompt="Select extent of amputation or shortening of digit." sqref="B238:O238" xr:uid="{8EAB48A6-F140-403B-8BD5-1FA4FDE9CA1E}">
      <formula1>$S$237:$AD$237</formula1>
    </dataValidation>
    <dataValidation type="list" allowBlank="1" showInputMessage="1" showErrorMessage="1" promptTitle="Index finger amputation" prompt="Select extent of loss." sqref="B235:O235" xr:uid="{D94BEFFA-3B17-4808-9FC6-26EC48F1716A}">
      <formula1>$S$234:$Y$234</formula1>
    </dataValidation>
    <dataValidation type="list" allowBlank="1" showInputMessage="1" showErrorMessage="1" promptTitle="Index finger amputation" prompt="Select extent of loss." sqref="B310:O310" xr:uid="{88EEF81B-DEA4-498C-A318-BB6B5C16839F}">
      <formula1>$S$309:$Y$309</formula1>
    </dataValidation>
    <dataValidation type="list" allowBlank="1" showInputMessage="1" showErrorMessage="1" promptTitle="Loss of opposition" prompt="Select extent of amputation or shortening of digit." sqref="B313:O313" xr:uid="{6279225A-6E16-40FB-A9CB-F56FC4CA05FE}">
      <formula1>$S$312:$AD$312</formula1>
    </dataValidation>
    <dataValidation type="list" allowBlank="1" showInputMessage="1" showErrorMessage="1" promptTitle="Dermatological condition" prompt="Affecting wrist/forearm -- select from classes 1-5. See OAR 436-035-0110." sqref="L439:N439" xr:uid="{1DBAC254-3662-492B-93E9-CEC1DC45126A}">
      <formula1>$T$442:$X$442</formula1>
    </dataValidation>
    <dataValidation type="list" allowBlank="1" showInputMessage="1" showErrorMessage="1" promptTitle="Vascular dysfunction" prompt="Affecting wrist/forearm -- select from classes 1-5. See OAR 436-035-0110." sqref="L443:N443" xr:uid="{9D43983F-8909-4711-9910-B86D2D584E31}">
      <formula1>$T$442:$X$442</formula1>
    </dataValidation>
    <dataValidation type="list" allowBlank="1" showInputMessage="1" showErrorMessage="1" promptTitle="Dermatological condition" prompt="Affecting hand -- select from classes 1-5. See OAR 436-035-0110." sqref="L438:N438" xr:uid="{3311052D-0E3D-450D-BF0A-B2FF7C715C49}">
      <formula1>$T$438:$X$438</formula1>
    </dataValidation>
    <dataValidation type="list" allowBlank="1" showInputMessage="1" showErrorMessage="1" promptTitle="Vascular dysfunction" prompt="Affecting hand -- select from classes 1-5. See OAR 436-035-0110." sqref="L442:N442" xr:uid="{EE48F8BD-2C71-4DFE-BD2A-35FC85F787E8}">
      <formula1>$T$442:$X$442</formula1>
    </dataValidation>
    <dataValidation type="decimal" operator="equal" allowBlank="1" showInputMessage="1" showErrorMessage="1" promptTitle="Amputation - metatarsals" prompt="Check (click) the box next to amputated metatarsals, if any." sqref="A386" xr:uid="{9B1F824F-70F5-4135-8586-F50764813CA8}">
      <formula1>W386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450" xr:uid="{75A6EB73-FFB9-4FD4-BA01-5724A1114F7D}">
      <formula1>AK452</formula1>
    </dataValidation>
    <dataValidation type="decimal" operator="equal" allowBlank="1" showInputMessage="1" showErrorMessage="1" promptTitle="Deformity of movement" prompt="Mark the type of deformity, if any." sqref="A44 A106 A182 A258 A333" xr:uid="{22F90AD1-E995-448B-8B46-83C1B3475881}">
      <formula1>AG44</formula1>
    </dataValidation>
    <dataValidation type="decimal" operator="equal" allowBlank="1" showInputMessage="1" showErrorMessage="1" promptTitle="Joint replacement" prompt="Mark the type of prosthetic joint replacement, if any." sqref="A54 A130 A206 A282 A357" xr:uid="{33EEBD77-3497-4E37-AE1E-56BE8815B59E}">
      <formula1>AG54</formula1>
    </dataValidation>
    <dataValidation type="decimal" operator="equal" allowBlank="1" showInputMessage="1" showErrorMessage="1" promptTitle="Amputation" prompt="Show the level of loss, if any." sqref="A385" xr:uid="{5A556469-6D18-4A07-B3DA-9C7E1F8584EA}">
      <formula1>W385</formula1>
    </dataValidation>
    <dataValidation type="decimal" operator="equal" allowBlank="1" showInputMessage="1" showErrorMessage="1" promptTitle="Sensation impairment" prompt="Show type and extent of sensation impairment, if any." sqref="A412" xr:uid="{DE019C5F-4D32-4CF0-B02B-FE45124A1EDF}">
      <formula1>Z412</formula1>
    </dataValidation>
    <dataValidation type="decimal" operator="equal" allowBlank="1" showInputMessage="1" showErrorMessage="1" promptTitle="Hypersensitivity" prompt="Show type and extent of hypersensitivity, if any." sqref="A415" xr:uid="{2E36B0B0-92ED-4CBA-AD73-B80EC71A1CBF}">
      <formula1>Z415</formula1>
    </dataValidation>
    <dataValidation type="decimal" operator="equal" allowBlank="1" showInputMessage="1" showErrorMessage="1" promptTitle="Angulation or malalignment" prompt="Radius or ulna" sqref="A422:A423" xr:uid="{52B7E475-AD62-4574-91B3-E225ED6C8B4A}">
      <formula1>Z422</formula1>
    </dataValidation>
    <dataValidation type="decimal" operator="equal" allowBlank="1" showInputMessage="1" showErrorMessage="1" promptTitle="Chronic condition" prompt="Check Yes or No." sqref="A518 A596" xr:uid="{389F74C9-9A6E-4F95-A1A2-48D721A43274}">
      <formula1>W518</formula1>
    </dataValidation>
    <dataValidation type="decimal" operator="equal" allowBlank="1" showInputMessage="1" showErrorMessage="1" promptTitle="Amputation" prompt="Show the level of loss or select &quot;NA.&quot;" sqref="A566" xr:uid="{397F35EC-CEC8-42F1-A2C3-679431F94FC5}">
      <formula1>W566</formula1>
    </dataValidation>
    <dataValidation type="decimal" operator="equal" allowBlank="1" showInputMessage="1" showErrorMessage="1" promptTitle="Arm surgery" prompt="Show the type of surgery performed, if any." sqref="A587" xr:uid="{14680D87-234A-4396-A1BA-21976829F677}">
      <formula1>W587</formula1>
    </dataValidation>
    <dataValidation allowBlank="1" showInputMessage="1" showErrorMessage="1" promptTitle="Date of injury" prompt="The dollar value of each degree of disability depends on the date of injury, and the program cannot calculate the disability award without the date." sqref="C634" xr:uid="{0ACBEC99-EC07-461A-8049-D268086D6181}"/>
    <dataValidation type="list" showInputMessage="1" showErrorMessage="1" promptTitle="Hand" prompt="Enter retained degrees of motion, carpometacarpal joint of the thumb, flexion. If joint was not affected by the injury, select &quot;NA&quot; or leave blank." sqref="C394:D394" xr:uid="{3267CFB5-A6C7-43D1-81D5-C3855A3DC152}">
      <formula1>$B$662:$B$678</formula1>
    </dataValidation>
    <dataValidation type="list" showInputMessage="1" showErrorMessage="1" promptTitle="Wrist" prompt="Enter retained degrees of motion, extension. If joint was not affected by the injury, select &quot;NA&quot; or leave blank." sqref="C400:D400" xr:uid="{9991C7AB-021D-4CCC-BC8F-82A118C99F16}">
      <formula1>$B$662:$B$723</formula1>
    </dataValidation>
    <dataValidation type="list" showInputMessage="1" showErrorMessage="1" promptTitle="Wrist" prompt="Enter degrees of flexion ankylosis.  If joint was not affected by the injury, select &quot;NA&quot; or leave blank." sqref="C403:D403" xr:uid="{AFA4D0C0-F032-49B9-AF11-248E64545D37}">
      <formula1>$B$662:$B$733</formula1>
    </dataValidation>
    <dataValidation type="list" showInputMessage="1" showErrorMessage="1" promptTitle="Wrist" prompt="Radial deviation; enter retained degrees of motion.  If joint was not affected by the injury, select &quot;NA&quot; or leave blank." sqref="C404:D404" xr:uid="{123341E6-625B-4DEE-9ED5-247077A833F3}">
      <formula1>$B$662:$B$683</formula1>
    </dataValidation>
    <dataValidation type="list" showInputMessage="1" showErrorMessage="1" promptTitle="Wrist" prompt="Ulnar deviation; enter retained degrees of motion.  If joint was not affected by the injury, select &quot;NA&quot; or leave blank." sqref="C406:D406" xr:uid="{021ABDC2-2843-41E5-9E66-E310E1756168}">
      <formula1>$B$662:$B$693</formula1>
    </dataValidation>
    <dataValidation type="list" showInputMessage="1" showErrorMessage="1" promptTitle="Elbow" prompt="Enter retained degrees of motion, flexion. If joint was not affected by the injury, select &quot;NA&quot; or leave blank." sqref="C570:D570" xr:uid="{CA140996-875D-46F0-9D83-2271C8AC4C80}">
      <formula1>$B$662:$B$813</formula1>
    </dataValidation>
    <dataValidation type="list" showInputMessage="1" showErrorMessage="1" promptTitle="Arm" prompt="Supination; enter retained degrees of motion. If joint was not affected by the injury, select &quot;NA&quot; or leave blank." sqref="C574:D574" xr:uid="{B588115B-1C1D-4B90-A6DE-CA9C669BAEA9}">
      <formula1>$B$662:$B$743</formula1>
    </dataValidation>
    <dataValidation allowBlank="1" showInputMessage="1" showErrorMessage="1" promptTitle="End of worksheet" prompt="Press TAB to return to top of sheet." sqref="P646" xr:uid="{37950831-C894-4EB4-850D-52E552D3559C}"/>
    <dataValidation type="decimal" allowBlank="1" showInputMessage="1" showErrorMessage="1" promptTitle="Apportionment, if any" prompt="Enter percentage of impairment caused by the injury or illness. See OAR 436-035-0013." sqref="G138:H152 G215:H229 G290:H304 G61:H77 G603:H615 G365:H379 G532:H560" xr:uid="{792F9FDA-2BEE-4E12-85CA-0DF55F58D78C}">
      <formula1>$B$652</formula1>
      <formula2>$B$653</formula2>
    </dataValidation>
    <dataValidation type="list" allowBlank="1" showInputMessage="1" showErrorMessage="1" promptTitle="Carpometacarpal arthroplasty" prompt="Impairment equals 1/2 the lowest ankylosis value for the carpometacarpal joint of the thumb." sqref="G436" xr:uid="{A0B90427-6422-4319-B085-58B7D4F58600}">
      <formula1>$R$436:$T$436</formula1>
    </dataValidation>
    <dataValidation type="list" allowBlank="1" showInputMessage="1" showErrorMessage="1" promptTitle="Severity of loss" prompt="Grade 1 = Normal_x000a_Grade 2 = Less than normal_x000a_Grade 3 = Protective sensation_x000a_Grade 4 = Total loss" sqref="C33:F35 I33:J35 M33:N35 I38:J40 C38:F40 M38:N40" xr:uid="{007B379C-7F55-4E82-B533-498803968C20}">
      <formula1>$AH$31:$AK$31</formula1>
    </dataValidation>
    <dataValidation type="list" allowBlank="1" showInputMessage="1" showErrorMessage="1" promptTitle="Severity of loss" prompt="Grade 1 = Normal_x000a_Grade 2 = Less than normal_x000a_Grade 3 = Protective sensation_x000a_Grade 4 = Total loss" sqref="C115:N117 C120:N122" xr:uid="{EE8F4985-62A5-49F6-9C50-6FB8DA5EA86B}">
      <formula1>$AH$113:$AK$113</formula1>
    </dataValidation>
    <dataValidation type="list" allowBlank="1" showInputMessage="1" showErrorMessage="1" promptTitle="Severity of loss" prompt="Grade 1 = Normal_x000a_Grade 2 = Less than normal_x000a_Grade 3 = Protective sensation_x000a_Grade 4 = Total loss" sqref="C196:N198 C191:N193" xr:uid="{A46E0CE3-68BA-48DF-8881-DAD89404BDFD}">
      <formula1>$AH$189:$AK$189</formula1>
    </dataValidation>
    <dataValidation type="list" allowBlank="1" showInputMessage="1" showErrorMessage="1" promptTitle="Severity of loss" prompt="Grade 1 = Normal_x000a_Grade 2 = Less than normal_x000a_Grade 3 = Protective sensation_x000a_Grade 4 = Total loss" sqref="C272:N274 C267:N269" xr:uid="{A2F9C4C3-618D-44DF-A72B-D673DEC34ECC}">
      <formula1>$AH$265:$AK$265</formula1>
    </dataValidation>
    <dataValidation type="list" allowBlank="1" showInputMessage="1" showErrorMessage="1" promptTitle="Severity of loss" prompt="Grade 1 = Normal_x000a_Grade 2 = Less than normal_x000a_Grade 3 = Protective sensation_x000a_Grade 4 = Total loss" sqref="K342:K344 I342:I344 G342:G344 E342:E344 C342:C344 M347:M349 K347:K349 I347:I349 G347:G349 E347:E349 M342:M344 C347:C349" xr:uid="{A3058170-ADD9-4986-9766-501747F0CA3C}">
      <formula1>$AH$340:$AK$340</formula1>
    </dataValidation>
    <dataValidation type="decimal" operator="equal" allowBlank="1" showInputMessage="1" showErrorMessage="1" promptTitle="Angulation or malalignment" prompt="Humerus" sqref="A585" xr:uid="{ACA72AFA-3625-446E-907E-A07C9BB7B855}">
      <formula1>Z585</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419:N420" xr:uid="{C0A7234D-8F41-4AC0-A3AB-91D3CC8BDB89}">
      <formula1>$U$420:$X$420</formula1>
    </dataValidation>
    <dataValidation type="list" allowBlank="1" showInputMessage="1" showErrorMessage="1" promptTitle="Severity of joint instability" prompt="Mild, moderate, or severe" sqref="C419:G420" xr:uid="{A1D3052F-A572-4EDF-B600-BA6A0B358033}">
      <formula1>$U$419:$W$419</formula1>
    </dataValidation>
    <dataValidation type="list" allowBlank="1" showInputMessage="1" showErrorMessage="1" promptTitle="Carpal bone fusion" prompt="5% each (Add values up to 30% maximum.)" sqref="G426" xr:uid="{145B29F5-7305-45F6-9274-777ADC9DEDF4}">
      <formula1>$T426:$AA426</formula1>
    </dataValidation>
    <dataValidation type="list" allowBlank="1" showInputMessage="1" showErrorMessage="1" promptTitle="Distal ulnar" prompt="Resection with prosthetic replacement = 5%; resection without replacement = 10% impairment." sqref="G435:N435" xr:uid="{4BB712FF-4035-4943-ACCB-5A7003BD5CFF}">
      <formula1>$S$435:$T$435</formula1>
    </dataValidation>
    <dataValidation type="list" allowBlank="1" showInputMessage="1" showErrorMessage="1" promptTitle="Strength grade" prompt="Record strength using the 0 to 5  grading system as described in OAR 436-035-0011." sqref="M450:N454 M499:N509 M464:N468 M471:N480 M483:N495 M458:N461" xr:uid="{A6A4C2FF-2E71-4D68-890B-2109BDE5E51C}">
      <formula1>$T$447:$AH$447</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450:O454 O471:O480 O464:O468 O483:O495 O499:O509 O458:O461" xr:uid="{AA4580F8-B555-4CD2-B734-36ACEF5454FA}">
      <formula1>$S$447:$AH$447</formula1>
    </dataValidation>
    <dataValidation type="list" allowBlank="1" showInputMessage="1" showErrorMessage="1" promptTitle="Lateral deviation" prompt="At or above elbow, mild, moderate, or severe" sqref="K583:O583" xr:uid="{5D75649E-FD84-49AE-B2BD-8D7B657B94D6}">
      <formula1>$S$583:$U$583</formula1>
    </dataValidation>
    <dataValidation type="list" allowBlank="1" showInputMessage="1" showErrorMessage="1" promptTitle="Arm length discrepancy" prompt="Discrepancy in inches involving the injured arm and resulting from the injury/surgery" sqref="K581:O581" xr:uid="{0B9874F1-FD06-4D9B-AE96-90083F41447D}">
      <formula1>Z581:AE581</formula1>
    </dataValidation>
    <dataValidation type="list" allowBlank="1" showInputMessage="1" showErrorMessage="1" promptTitle="Arm length discrepancy" prompt="Discrepancy in inches involving the injured arm and resulting from the injury/surgery" sqref="E581" xr:uid="{E9B08A2A-326A-4A86-80E0-4ADB89A08348}">
      <formula1>S581:W581</formula1>
    </dataValidation>
    <dataValidation type="list" allowBlank="1" showInputMessage="1" showErrorMessage="1" promptTitle="Arm length discrepancy" prompt="Discrepancy in inches involving the injured arm and resulting from the injury/surgery" sqref="F581:J581" xr:uid="{EBBB9E4D-6D48-45C8-AE9F-C576FF7EFD19}">
      <formula1>S581:Z581</formula1>
    </dataValidation>
    <dataValidation type="list" allowBlank="1" showInputMessage="1" showErrorMessage="1" promptTitle="Motor loss, arm" prompt="Select the statement that best describes the severity of motor loss." sqref="B600:O600" xr:uid="{342EE870-6627-491B-85FA-A09AD58EC189}">
      <formula1>$R$600:$U$600</formula1>
    </dataValidation>
    <dataValidation type="list" showInputMessage="1" showErrorMessage="1" promptTitle="Finger" prompt="Enter retained degrees of motion, distal interphalangeal joint, flexion.  If joint was not affected by the injury, select &quot;NA&quot; or leave blank." sqref="C168:D168 C244:D244 C91:D91 C319:D319" xr:uid="{1960668F-C51F-4D09-BBD3-23370432B2AC}">
      <formula1>$B$662:$B$733</formula1>
    </dataValidation>
    <dataValidation type="list" showInputMessage="1" showErrorMessage="1" promptTitle="Finger" prompt="Enter retained degrees of motion, proximal interphalangeal joint, flexion.  If joint was not affected by the injury, select &quot;NA&quot; or leave blank." sqref="C95:D95 C248:D248 C172:D172 C323:D323" xr:uid="{91F4C280-3C09-4AC2-9FBE-23C1B4BCA96F}">
      <formula1>$B$662:$B$763</formula1>
    </dataValidation>
    <dataValidation type="list" showInputMessage="1" showErrorMessage="1" promptTitle="Finger" prompt="Enter retained degrees of motion, metacarpophalangeal joint, flexion.  If joint was not affected by the injury, select &quot;NA&quot; or leave blank." sqref="C99:D99 C252:D252 C176:D176 C327:D327" xr:uid="{BA825E6F-0EFD-4383-9062-FC3A6CCEA406}">
      <formula1>$B$662:$B$753</formula1>
    </dataValidation>
    <dataValidation type="list" showInputMessage="1" showErrorMessage="1" promptTitle="Hand" prompt="Enter degrees of carpometacarpal joint ankylosis. If joint was not affected by the injury, select &quot;NA&quot; or leave blank." sqref="C397:D397" xr:uid="{5C6A3872-5F3E-4B6E-B60F-9BE3119DF1E5}">
      <formula1>$B$662:$B$693</formula1>
    </dataValidation>
    <dataValidation type="list" showInputMessage="1" showErrorMessage="1" promptTitle="Thumb" prompt="Enter retained degrees of motion or &quot;NA&quot; if contralateral joint has a history of injury or disease." sqref="G19:H20" xr:uid="{F0C748D3-1FEF-4B6A-9C44-6B65F1072ADC}">
      <formula1>$B$662:$B$743</formula1>
    </dataValidation>
    <dataValidation type="list" showInputMessage="1" showErrorMessage="1" promptTitle="Thumb" prompt="Enter retained degrees of motion or &quot;NA&quot; if contralateral joint has a history of injury or disease." sqref="G23:H24" xr:uid="{D00F8527-3B01-415A-B0F6-22F999F09296}">
      <formula1>$B$662:$B$723</formula1>
    </dataValidation>
    <dataValidation type="list" showInputMessage="1" showErrorMessage="1" promptTitle="Finger" prompt="Enter retained degrees of motion or &quot;NA&quot; if contralateral joint has a history of injury or disease." sqref="G91:H92 G168:H169 G244:H245 G319:H320" xr:uid="{C1CB02A6-17F4-4D93-8537-DB08156456DA}">
      <formula1>$B$662:$B$733</formula1>
    </dataValidation>
    <dataValidation type="list" showInputMessage="1" showErrorMessage="1" promptTitle="Finger" prompt="Enter retained degrees of motion or &quot;NA&quot; if contralateral joint has a history of injury or disease." sqref="G95:H96 G172:H173 G248:H249 G323:H324" xr:uid="{C0434338-DA0B-459C-811D-A394275BC2B5}">
      <formula1>$B$662:$B$763</formula1>
    </dataValidation>
    <dataValidation type="list" showInputMessage="1" showErrorMessage="1" promptTitle="Finger" prompt="Enter retained degrees of motion or &quot;NA&quot; if contralateral joint has a history of injury or disease." sqref="G99:H100 G176:H177 G252:H253 G327:H328" xr:uid="{AF77D1E9-AA7E-4700-95AF-50B242D07F93}">
      <formula1>$B$662:$B$753</formula1>
    </dataValidation>
    <dataValidation type="list" showInputMessage="1" showErrorMessage="1" promptTitle="Finger" prompt="Enter retained degrees of motion, distal interphalangeal joint, extension  If joint was not affected by the injury, select &quot;NA&quot; or leave blank." sqref="C92:D92" xr:uid="{37EBD77B-297A-4BF7-9364-C2060B1FA4FA}">
      <formula1>$B$662:$B$733</formula1>
    </dataValidation>
    <dataValidation type="list" showInputMessage="1" showErrorMessage="1" promptTitle="Finger" prompt="Enter degrees distal interphalangeal joint, ankylosis  If joint was not affected by the injury, select &quot;NA&quot; or leave blank." sqref="C93:D93" xr:uid="{C5E75F88-6918-463B-96A5-0DCEC11DDF10}">
      <formula1>$B$662:$B$733</formula1>
    </dataValidation>
    <dataValidation type="list" showInputMessage="1" showErrorMessage="1" promptTitle="Thumb" prompt="Enter retained degrees of motion, interphalangeal joint, extension. If joint was not affected by the injury, select &quot;NA&quot; or leave blank." sqref="C20:D20" xr:uid="{38BBA3C1-A7DC-43CC-8C5F-3A32A92C7CBB}">
      <formula1>$B$662:$B$743</formula1>
    </dataValidation>
    <dataValidation type="list" showInputMessage="1" showErrorMessage="1" promptTitle="Thumb" prompt="Enter degrees of interphalangeal joint, ankylosis. If joint was not affected by the injury, select &quot;NA&quot; or leave blank." sqref="C21:D21" xr:uid="{96463E8F-07BA-40CA-921C-F5FF21B62C11}">
      <formula1>$B$662:$B$743</formula1>
    </dataValidation>
    <dataValidation type="list" showInputMessage="1" showErrorMessage="1" promptTitle="Thumb" prompt="Enter retained degrees of motion, metacarpophalangeal joint, extension. If joint was not affected by the injury, select &quot;NA&quot; or leave blank." sqref="C24:D24" xr:uid="{B32BE9DF-DFF8-4EA3-8FA6-D0B11709F3F9}">
      <formula1>$B$662:$B$723</formula1>
    </dataValidation>
    <dataValidation type="list" showInputMessage="1" showErrorMessage="1" promptTitle="Thumb" prompt="Enter degrees metacarpophalangeal joint, ankylosis. If joint was not affected by the injury, select &quot;NA&quot; or leave blank." sqref="C25:D25" xr:uid="{D62FC0AF-B80C-4271-B350-A57777584843}">
      <formula1>$B$662:$B$723</formula1>
    </dataValidation>
    <dataValidation type="list" showInputMessage="1" showErrorMessage="1" promptTitle="Finger" prompt="Enter retained degrees of motion, proximal interphalangeal joint, extension.  If joint was not affected by the injury, select &quot;NA&quot; or leave blank." sqref="C96:D96 C173:D173 C249:D249 C324:D324" xr:uid="{4BC6244D-F49F-407C-9DE0-7C1816A5C5D0}">
      <formula1>$B$662:$B$763</formula1>
    </dataValidation>
    <dataValidation type="list" showInputMessage="1" showErrorMessage="1" promptTitle="Finger" prompt="Enter degrees of motion, proximal interphalangeal joint, ankylosis.  If joint was not affected by the injury, select &quot;NA&quot; or leave blank." sqref="C97:D97" xr:uid="{F3529974-1594-4AF6-9433-F34B906042E8}">
      <formula1>$B$662:$B$763</formula1>
    </dataValidation>
    <dataValidation type="list" showInputMessage="1" showErrorMessage="1" promptTitle="Finger" prompt="Enter retained degrees of motion, metacarpophalangeal joint, extension.  If joint was not affected by the injury, select &quot;NA&quot; or leave blank." sqref="C100:D100 C177:D177 C253:D253 C328:D328" xr:uid="{4AD146EB-9BFF-4868-87B8-2B7D08279301}">
      <formula1>$B$662:$B$753</formula1>
    </dataValidation>
    <dataValidation type="list" showInputMessage="1" showErrorMessage="1" promptTitle="Finger" prompt="Enter degrees of metacarpophalangeal joint, ankylosis.  If joint was not affected by the injury, select &quot;NA&quot; or leave blank." sqref="C101:D101 C329:D329" xr:uid="{C169797D-7523-410E-8F6B-E94777B08BD7}">
      <formula1>$B$662:$B$753</formula1>
    </dataValidation>
    <dataValidation type="list" showInputMessage="1" showErrorMessage="1" promptTitle="Finger" prompt="Enter retained degrees of motion, distal interphalangeal joint, extension.  If joint was not affected by the injury, select &quot;NA&quot; or leave blank." sqref="C169:D169 C245:D245 C320:D320" xr:uid="{7E9F9282-C569-488B-A6BA-198C0AB69265}">
      <formula1>$B$662:$B$733</formula1>
    </dataValidation>
    <dataValidation type="list" showInputMessage="1" showErrorMessage="1" promptTitle="Finger" prompt="Enter degrees of distal interphalangeal joint, ankylosis.  If joint was not affected by the injury, select &quot;NA&quot; or leave blank." sqref="C170:D170" xr:uid="{74B0E608-0FF8-494B-B9E6-9393C5BF1A8B}">
      <formula1>$B$662:$B$733</formula1>
    </dataValidation>
    <dataValidation type="list" showInputMessage="1" showErrorMessage="1" promptTitle="Finger" prompt="Enter retained degrees of proximal interphalangeal joint, ankylosis.  If joint was not affected by the injury, select &quot;NA&quot; or leave blank." sqref="C174:D174" xr:uid="{0059EAEC-9D7C-44AC-8369-B506F7E7416C}">
      <formula1>$B$662:$B$763</formula1>
    </dataValidation>
    <dataValidation type="list" showInputMessage="1" showErrorMessage="1" promptTitle="Finger" prompt="Enter degrees metacarpophalangeal joint, ankylosis.  If joint was not affected by the injury, select &quot;NA&quot; or leave blank." sqref="C178:D178" xr:uid="{1A42B0E0-0E65-42A6-B4D6-6316A191E64B}">
      <formula1>$B$662:$B$753</formula1>
    </dataValidation>
    <dataValidation type="list" showInputMessage="1" showErrorMessage="1" promptTitle="Finger" prompt="Enterdegrees of proximal interphalangeal joint ankylosis  If joint was not affected by the injury, select &quot;NA&quot; or leave blank." sqref="C250:D250" xr:uid="{51C2198A-3232-481C-8D0D-19A2A2151EEE}">
      <formula1>$B$662:$B$763</formula1>
    </dataValidation>
    <dataValidation type="list" showInputMessage="1" showErrorMessage="1" promptTitle="Finger" prompt="Enter degrees metacarpophalangeal joint ankylosis.  If joint was not affected by the injury, select &quot;NA&quot; or leave blank." sqref="C254:D254" xr:uid="{D94C15B7-2D3E-4B06-A87E-81F1BF5443B9}">
      <formula1>$B$662:$B$753</formula1>
    </dataValidation>
    <dataValidation type="list" showInputMessage="1" showErrorMessage="1" promptTitle="Finger" prompt="Enter degrees of distal interphalangeal joint ankylosis.  If joint was not affected by the injury, select &quot;NA&quot; or leave blank." sqref="C246:D246 C321:D321" xr:uid="{6670CD97-EE6B-437C-9DDC-1A8DBD90418F}">
      <formula1>$B$662:$B$733</formula1>
    </dataValidation>
    <dataValidation type="list" showInputMessage="1" showErrorMessage="1" promptTitle="Finger" prompt="Enter degrees of proximal interphalangeal joint ankylosis  If joint was not affected by the injury, select &quot;NA&quot; or leave blank." sqref="C325:D325" xr:uid="{12A8A42B-037C-4FF0-9A27-6E7F77839350}">
      <formula1>$B$662:$B$763</formula1>
    </dataValidation>
    <dataValidation type="list" showInputMessage="1" showErrorMessage="1" promptTitle="Hand" prompt="Enter retained degrees of motion or &quot;NA&quot; if contralateral joint has a history of injury or disease." sqref="G394:H394" xr:uid="{2F8EC61B-6FD2-4C69-AC9C-D995B5DF0559}">
      <formula1>$B$662:$B$678</formula1>
    </dataValidation>
    <dataValidation type="list" showInputMessage="1" showErrorMessage="1" promptTitle="Hand" prompt="Enter retained degrees of motion or &quot;NA&quot; if contralateral joint has a history of injury or disease." sqref="G395:H395" xr:uid="{AE0B1B07-CD9C-4A37-9D62-4BF56797E0C7}">
      <formula1>$B$662:$B$693</formula1>
    </dataValidation>
    <dataValidation type="list" showInputMessage="1" showErrorMessage="1" promptTitle="Wrist" prompt="Enter retained degrees of motion or &quot;NA&quot; if contralateral joint has a history of injury or disease." sqref="G400:H400" xr:uid="{73C7F395-1963-4696-B774-CF237416C76D}">
      <formula1>$B$662:$B$723</formula1>
    </dataValidation>
    <dataValidation type="list" showInputMessage="1" showErrorMessage="1" promptTitle="Wrist" prompt="Enter retained degrees of motion or &quot;NA&quot; if contralateral joint has a history of injury or disease." sqref="G402:H402" xr:uid="{CF201FA5-5673-4352-8465-72D190A874DA}">
      <formula1>$B$662:$B$733</formula1>
    </dataValidation>
    <dataValidation type="list" showInputMessage="1" showErrorMessage="1" promptTitle="Wrist" prompt="Enter retained degrees of motion or &quot;NA&quot; if contralateral joint has a history of injury or disease." sqref="G404:H404" xr:uid="{7B755340-A87D-4491-8596-C8DFA90BDC53}">
      <formula1>$B$662:$B$683</formula1>
    </dataValidation>
    <dataValidation type="list" showInputMessage="1" showErrorMessage="1" promptTitle="Wrist" prompt="Enter retained degrees of motion or &quot;NA&quot; if contralateral joint has a history of injury or disease." sqref="G406:H406" xr:uid="{5C2E2D21-5C59-4D56-962D-8972A9A00BE4}">
      <formula1>$B$662:$B$693</formula1>
    </dataValidation>
    <dataValidation type="list" showInputMessage="1" showErrorMessage="1" promptTitle="Elbow" prompt="Enter retained degrees of motion or &quot;NA&quot; if contralateral joint has a history of injury or disease." sqref="G570:H570 G572:H572" xr:uid="{BE268365-62BB-475F-9CEC-E2A2C5635A05}">
      <formula1>$B$662:$B$813</formula1>
    </dataValidation>
    <dataValidation type="list" showInputMessage="1" showErrorMessage="1" promptTitle="Arm" prompt="Enter retained degrees of motion or &quot;NA&quot; if contralateral joint has a history of injury or disease." sqref="G574:H574 G576:H576" xr:uid="{3992157D-9027-4F2B-9A7A-4DDB068ABAEA}">
      <formula1>$B$662:$B$743</formula1>
    </dataValidation>
    <dataValidation type="list" showInputMessage="1" showErrorMessage="1" promptTitle="Hand" prompt="Enter retained degrees of motion, carpometacarpal joint of the thumb, extension. If joint was not affected by the injury, select &quot;NA&quot; or leave blank." sqref="C395:D395" xr:uid="{CA614588-42A6-447B-AD22-1A2FC2D7371B}">
      <formula1>$B$662:$B$693</formula1>
    </dataValidation>
    <dataValidation type="list" showInputMessage="1" showErrorMessage="1" promptTitle="Hand" prompt="Enter degrees of carpometacarpal joint ankylosis. If joint was not affected by the injury, select &quot;NA&quot; or leave blank." sqref="C396:D396" xr:uid="{92349E0E-8A74-4317-95F4-443172E59CE0}">
      <formula1>$B$662:$B$678</formula1>
    </dataValidation>
    <dataValidation type="list" showInputMessage="1" showErrorMessage="1" promptTitle="Wrist" prompt="Enter degrees of extension ankylosis. If joint was not affected by the injury, select &quot;NA&quot; or leave blank." sqref="C401:D401" xr:uid="{067FA9E3-03B8-4122-A5C8-BBCA23CE0C20}">
      <formula1>$B$662:$B$723</formula1>
    </dataValidation>
    <dataValidation type="list" showInputMessage="1" showErrorMessage="1" promptTitle="Wrist" prompt="Enter retained degrees of motion, flexion (palmar) flexion.  If joint was not affected by the injury, select &quot;NA&quot; or leave blank." sqref="C402:D402" xr:uid="{0BF5BE9C-CE81-4595-A281-1FB06C77D35A}">
      <formula1>$B$662:$B$733</formula1>
    </dataValidation>
    <dataValidation type="list" showInputMessage="1" showErrorMessage="1" promptTitle="Wrist" prompt="Radial deviation; enter degrees of radial deviation ankylosis.  If joint was not affected by the injury, select &quot;NA&quot; or leave blank." sqref="C405:D405" xr:uid="{5A8BC8A7-AD9C-4A13-98E9-9B6CEED4C0C6}">
      <formula1>$B$662:$B$683</formula1>
    </dataValidation>
    <dataValidation type="list" showInputMessage="1" showErrorMessage="1" promptTitle="Wrist" prompt="Ulnar deviation; enter degrees of ankylosis.  If joint was not affected by the injury, select &quot;NA&quot; or leave blank." sqref="C407:D407" xr:uid="{5946298A-A9BA-4932-A9FA-2775636F921B}">
      <formula1>$B$662:$B$693</formula1>
    </dataValidation>
    <dataValidation type="list" showInputMessage="1" showErrorMessage="1" promptTitle="Elbow" prompt="Enter degrees of flexion ankylosis. If joint was not affected by the injury, select &quot;NA&quot; or leave blank." sqref="C571:D571" xr:uid="{65676D41-FE67-4177-9694-A60D5D7DA3A9}">
      <formula1>$B$662:$B$813</formula1>
    </dataValidation>
    <dataValidation type="list" showInputMessage="1" showErrorMessage="1" promptTitle="Elbow" prompt="Enter retained degrees of motion, extension. If joint was not affected by the injury, select &quot;NA&quot; or leave blank." sqref="C572:D572" xr:uid="{D02FF24D-CD0C-46F3-9D53-2F4CEDF792A4}">
      <formula1>$B$662:$B$813</formula1>
    </dataValidation>
    <dataValidation type="list" showInputMessage="1" showErrorMessage="1" promptTitle="Elbow" prompt="Enter degrees of extension ankylosis. If joint was not affected by the injury, select &quot;NA&quot; or leave blank." sqref="C573:D573" xr:uid="{7B08B99E-E292-41D4-A53A-524855BE7D22}">
      <formula1>$B$662:$B$813</formula1>
    </dataValidation>
    <dataValidation type="list" showInputMessage="1" showErrorMessage="1" promptTitle="Arm" prompt="Supination; enter degrees of supination ankylosis. If joint was not affected by the injury, select &quot;NA&quot; or leave blank." sqref="C575:D575" xr:uid="{F97085A5-C50D-4B37-A2F1-1A233F5BE4A8}">
      <formula1>$B$662:$B$743</formula1>
    </dataValidation>
    <dataValidation type="list" showInputMessage="1" showErrorMessage="1" promptTitle="Arm" prompt="Pronation; enter retained degrees of motion. If joint was not affected by the injury, select &quot;NA&quot; or leave blank." sqref="C576:D576" xr:uid="{7359A360-56E9-4846-A0DE-0E3A230E12B8}">
      <formula1>$B$662:$B$743</formula1>
    </dataValidation>
    <dataValidation type="list" showInputMessage="1" showErrorMessage="1" promptTitle="Arm" prompt="Pronation; enter degrees of pronation ankylosis. If joint was not affected by the injury, select &quot;NA&quot; or leave blank." sqref="C577:D577" xr:uid="{EB6274D7-E6CA-4AD4-9995-EBD8B82C268A}">
      <formula1>$B$662:$B$743</formula1>
    </dataValidation>
  </dataValidations>
  <hyperlinks>
    <hyperlink ref="B57:N57" location="Rules!A57" display="Dermatological conditions of the thumb, including burns" xr:uid="{00000000-0004-0000-0400-000000000000}"/>
    <hyperlink ref="B134:N134" location="Rules!A57" display="Dermatological conditions of the thumb, including burns" xr:uid="{00000000-0004-0000-0400-000001000000}"/>
    <hyperlink ref="B135:N135" location="Rules!A80" display="Vascular dysfunction - thumb; or neurological dysfunction resulting in cold intolerance " xr:uid="{00000000-0004-0000-0400-000002000000}"/>
    <hyperlink ref="B210:N210" location="Rules!A57" display="Dermatological conditions of the thumb, including burns" xr:uid="{00000000-0004-0000-0400-000003000000}"/>
    <hyperlink ref="B211:N211" location="Rules!A80" display="Vascular dysfunction - thumb; or neurological dysfunction resulting in cold intolerance " xr:uid="{00000000-0004-0000-0400-000004000000}"/>
    <hyperlink ref="B286:N286" location="Rules!A57" display="Dermatological conditions of the thumb, including burns" xr:uid="{00000000-0004-0000-0400-000005000000}"/>
    <hyperlink ref="B287:N287" location="Rules!A80" display="Vascular dysfunction - thumb; or neurological dysfunction resulting in cold intolerance " xr:uid="{00000000-0004-0000-0400-000006000000}"/>
    <hyperlink ref="B361:N361" location="Rules!A57" display="Dermatological conditions of the thumb, including burns" xr:uid="{00000000-0004-0000-0400-000007000000}"/>
    <hyperlink ref="B362:N362" location="Rules!A80" display="Vascular dysfunction - thumb; or neurological dysfunction resulting in cold intolerance " xr:uid="{00000000-0004-0000-0400-000008000000}"/>
    <hyperlink ref="B442:F443" location="Rules!A80" display="Vascular dysfunction; or neurological dysfunction resulting in cold intolerance:" xr:uid="{00000000-0004-0000-0400-000009000000}"/>
    <hyperlink ref="B591:N591" location="Rules!A57" display="Dermatological conditions of the thumb, including burns" xr:uid="{00000000-0004-0000-0400-00000A000000}"/>
    <hyperlink ref="B592:N592" location="Rules!A80" display="Vascular dysfunction - thumb; or neurological dysfunction resulting in cold intolerance " xr:uid="{00000000-0004-0000-0400-00000B000000}"/>
    <hyperlink ref="M448:P448" location="Rules!A3" display="Strength grade &amp; loss " xr:uid="{00000000-0004-0000-0400-00000C000000}"/>
    <hyperlink ref="C4:D4" location="'Upper Extremity-Right'!B5" display="Thumb" xr:uid="{00000000-0004-0000-0400-00000D000000}"/>
    <hyperlink ref="E4:F4" location="'Upper Extremity-Right'!B80" display="Index" xr:uid="{00000000-0004-0000-0400-00000E000000}"/>
    <hyperlink ref="G4:H4" location="'Upper Extremity-Right'!B156" display="Middle" xr:uid="{00000000-0004-0000-0400-00000F000000}"/>
    <hyperlink ref="I4:J4" location="'Upper Extremity-Right'!B233" display="Ring" xr:uid="{00000000-0004-0000-0400-000010000000}"/>
    <hyperlink ref="K4:L4" location="'Upper Extremity-Right'!B308" display="Little" xr:uid="{00000000-0004-0000-0400-000011000000}"/>
    <hyperlink ref="M4:N4" location="'Upper Extremity-Right'!B383" display="hand/  forearm" xr:uid="{00000000-0004-0000-0400-000012000000}"/>
    <hyperlink ref="O4" location="'Upper Extremity-Right'!B556" display="Arm" xr:uid="{00000000-0004-0000-0400-000013000000}"/>
    <hyperlink ref="P4" location="'Upper Extremity-Right'!B442" display="Strength" xr:uid="{00000000-0004-0000-0400-000014000000}"/>
    <hyperlink ref="P564" location="'Upper Extremity-Right'!A429" display="Arm strength" xr:uid="{00000000-0004-0000-0400-000015000000}"/>
    <hyperlink ref="B646" location="'Upper Extremity-Right'!A1" display="Return to top of sheet" xr:uid="{00000000-0004-0000-0400-000016000000}"/>
    <hyperlink ref="J646:N646" location="'PPD DOI on or after 2005'!A1" display="'PPD DOI on or after 2005'!A1" xr:uid="{00000000-0004-0000-0400-000017000000}"/>
    <hyperlink ref="C646:I646" location="'PPD DOI before 2005'!A1" display="'PPD DOI before 2005'!A1" xr:uid="{00000000-0004-0000-0400-000018000000}"/>
    <hyperlink ref="B58:N58" location="Rules!A80" display="Vascular dysfunction - thumb; or neurological dysfunction resulting in cold intolerance " xr:uid="{00000000-0004-0000-0400-000019000000}"/>
    <hyperlink ref="B438" location="Rules!A57" display="Dermatological conditions, " xr:uid="{00000000-0004-0000-0400-00001A000000}"/>
    <hyperlink ref="B32" location="Rules!A116" display="Loss of sensation" xr:uid="{00000000-0004-0000-0400-00001B000000}"/>
    <hyperlink ref="B114" location="Rules!A116" display="Loss of sensation" xr:uid="{00000000-0004-0000-0400-00001C000000}"/>
    <hyperlink ref="B190" location="Rules!A116" display="Loss of sensation" xr:uid="{00000000-0004-0000-0400-00001D000000}"/>
    <hyperlink ref="B266" location="Rules!A116" display="Loss of sensation" xr:uid="{00000000-0004-0000-0400-00001E000000}"/>
    <hyperlink ref="B341" location="Rules!A116" display="Loss of sensation" xr:uid="{00000000-0004-0000-0400-00001F000000}"/>
  </hyperlinks>
  <pageMargins left="0.66" right="0.55000000000000004" top="0.55000000000000004" bottom="0.86" header="0.44" footer="0.5"/>
  <pageSetup orientation="portrait" horizontalDpi="300" verticalDpi="300" r:id="rId1"/>
  <headerFooter alignWithMargins="0">
    <oddFooter>&amp;LUpper extremity, Right&amp;CPage &amp;P</oddFooter>
  </headerFooter>
  <rowBreaks count="17" manualBreakCount="17">
    <brk id="42" max="16383" man="1"/>
    <brk id="78" max="16383" man="1"/>
    <brk id="123" max="16383" man="1"/>
    <brk id="154" max="16383" man="1"/>
    <brk id="199" max="16383" man="1"/>
    <brk id="231" max="16383" man="1"/>
    <brk id="275" max="16383" man="1"/>
    <brk id="306" max="16383" man="1"/>
    <brk id="350" max="16383" man="1"/>
    <brk id="381" max="16383" man="1"/>
    <brk id="423" max="16383" man="1"/>
    <brk id="455" max="16383" man="1"/>
    <brk id="497" max="16383" man="1"/>
    <brk id="529" max="16383" man="1"/>
    <brk id="562" max="16383" man="1"/>
    <brk id="600" max="16383" man="1"/>
    <brk id="618" max="16383" man="1"/>
  </rowBreaks>
  <ignoredErrors>
    <ignoredError sqref="V139 V366 AC450:AC451 AE450:AE45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defaultSize="0" autoFill="0" autoLine="0" autoPict="0">
                <anchor moveWithCells="1">
                  <from>
                    <xdr:col>4</xdr:col>
                    <xdr:colOff>0</xdr:colOff>
                    <xdr:row>42</xdr:row>
                    <xdr:rowOff>104775</xdr:rowOff>
                  </from>
                  <to>
                    <xdr:col>5</xdr:col>
                    <xdr:colOff>95250</xdr:colOff>
                    <xdr:row>44</xdr:row>
                    <xdr:rowOff>19050</xdr:rowOff>
                  </to>
                </anchor>
              </controlPr>
            </control>
          </mc:Choice>
        </mc:AlternateContent>
        <mc:AlternateContent xmlns:mc="http://schemas.openxmlformats.org/markup-compatibility/2006">
          <mc:Choice Requires="x14">
            <control shapeId="48130" r:id="rId5" name="Check Box 2">
              <controlPr defaultSize="0" autoFill="0" autoLine="0" autoPict="0">
                <anchor moveWithCells="1">
                  <from>
                    <xdr:col>4</xdr:col>
                    <xdr:colOff>0</xdr:colOff>
                    <xdr:row>43</xdr:row>
                    <xdr:rowOff>161925</xdr:rowOff>
                  </from>
                  <to>
                    <xdr:col>5</xdr:col>
                    <xdr:colOff>95250</xdr:colOff>
                    <xdr:row>45</xdr:row>
                    <xdr:rowOff>28575</xdr:rowOff>
                  </to>
                </anchor>
              </controlPr>
            </control>
          </mc:Choice>
        </mc:AlternateContent>
        <mc:AlternateContent xmlns:mc="http://schemas.openxmlformats.org/markup-compatibility/2006">
          <mc:Choice Requires="x14">
            <control shapeId="48131" r:id="rId6" name="Check Box 3">
              <controlPr defaultSize="0" autoFill="0" autoLine="0" autoPict="0">
                <anchor moveWithCells="1">
                  <from>
                    <xdr:col>4</xdr:col>
                    <xdr:colOff>0</xdr:colOff>
                    <xdr:row>45</xdr:row>
                    <xdr:rowOff>133350</xdr:rowOff>
                  </from>
                  <to>
                    <xdr:col>5</xdr:col>
                    <xdr:colOff>95250</xdr:colOff>
                    <xdr:row>47</xdr:row>
                    <xdr:rowOff>28575</xdr:rowOff>
                  </to>
                </anchor>
              </controlPr>
            </control>
          </mc:Choice>
        </mc:AlternateContent>
        <mc:AlternateContent xmlns:mc="http://schemas.openxmlformats.org/markup-compatibility/2006">
          <mc:Choice Requires="x14">
            <control shapeId="48132" r:id="rId7" name="Check Box 4">
              <controlPr defaultSize="0" autoFill="0" autoLine="0" autoPict="0">
                <anchor moveWithCells="1">
                  <from>
                    <xdr:col>4</xdr:col>
                    <xdr:colOff>0</xdr:colOff>
                    <xdr:row>44</xdr:row>
                    <xdr:rowOff>142875</xdr:rowOff>
                  </from>
                  <to>
                    <xdr:col>5</xdr:col>
                    <xdr:colOff>95250</xdr:colOff>
                    <xdr:row>46</xdr:row>
                    <xdr:rowOff>28575</xdr:rowOff>
                  </to>
                </anchor>
              </controlPr>
            </control>
          </mc:Choice>
        </mc:AlternateContent>
        <mc:AlternateContent xmlns:mc="http://schemas.openxmlformats.org/markup-compatibility/2006">
          <mc:Choice Requires="x14">
            <control shapeId="48133" r:id="rId8" name="Check Box 5">
              <controlPr defaultSize="0" autoFill="0" autoLine="0" autoPict="0">
                <anchor moveWithCells="1">
                  <from>
                    <xdr:col>3</xdr:col>
                    <xdr:colOff>238125</xdr:colOff>
                    <xdr:row>52</xdr:row>
                    <xdr:rowOff>123825</xdr:rowOff>
                  </from>
                  <to>
                    <xdr:col>5</xdr:col>
                    <xdr:colOff>66675</xdr:colOff>
                    <xdr:row>54</xdr:row>
                    <xdr:rowOff>19050</xdr:rowOff>
                  </to>
                </anchor>
              </controlPr>
            </control>
          </mc:Choice>
        </mc:AlternateContent>
        <mc:AlternateContent xmlns:mc="http://schemas.openxmlformats.org/markup-compatibility/2006">
          <mc:Choice Requires="x14">
            <control shapeId="48134" r:id="rId9" name="Check Box 6">
              <controlPr defaultSize="0" autoFill="0" autoLine="0" autoPict="0">
                <anchor moveWithCells="1">
                  <from>
                    <xdr:col>3</xdr:col>
                    <xdr:colOff>238125</xdr:colOff>
                    <xdr:row>53</xdr:row>
                    <xdr:rowOff>180975</xdr:rowOff>
                  </from>
                  <to>
                    <xdr:col>5</xdr:col>
                    <xdr:colOff>66675</xdr:colOff>
                    <xdr:row>55</xdr:row>
                    <xdr:rowOff>19050</xdr:rowOff>
                  </to>
                </anchor>
              </controlPr>
            </control>
          </mc:Choice>
        </mc:AlternateContent>
        <mc:AlternateContent xmlns:mc="http://schemas.openxmlformats.org/markup-compatibility/2006">
          <mc:Choice Requires="x14">
            <control shapeId="48135" r:id="rId10" name="Check Box 7">
              <controlPr defaultSize="0" autoFill="0" autoLine="0" autoPict="0">
                <anchor moveWithCells="1">
                  <from>
                    <xdr:col>4</xdr:col>
                    <xdr:colOff>0</xdr:colOff>
                    <xdr:row>104</xdr:row>
                    <xdr:rowOff>142875</xdr:rowOff>
                  </from>
                  <to>
                    <xdr:col>5</xdr:col>
                    <xdr:colOff>95250</xdr:colOff>
                    <xdr:row>106</xdr:row>
                    <xdr:rowOff>38100</xdr:rowOff>
                  </to>
                </anchor>
              </controlPr>
            </control>
          </mc:Choice>
        </mc:AlternateContent>
        <mc:AlternateContent xmlns:mc="http://schemas.openxmlformats.org/markup-compatibility/2006">
          <mc:Choice Requires="x14">
            <control shapeId="48139" r:id="rId11" name="Check Box 11">
              <controlPr defaultSize="0" autoFill="0" autoLine="0" autoPict="0">
                <anchor moveWithCells="1">
                  <from>
                    <xdr:col>3</xdr:col>
                    <xdr:colOff>19050</xdr:colOff>
                    <xdr:row>128</xdr:row>
                    <xdr:rowOff>123825</xdr:rowOff>
                  </from>
                  <to>
                    <xdr:col>4</xdr:col>
                    <xdr:colOff>57150</xdr:colOff>
                    <xdr:row>130</xdr:row>
                    <xdr:rowOff>0</xdr:rowOff>
                  </to>
                </anchor>
              </controlPr>
            </control>
          </mc:Choice>
        </mc:AlternateContent>
        <mc:AlternateContent xmlns:mc="http://schemas.openxmlformats.org/markup-compatibility/2006">
          <mc:Choice Requires="x14">
            <control shapeId="48140" r:id="rId12" name="Check Box 12">
              <controlPr defaultSize="0" autoFill="0" autoLine="0" autoPict="0">
                <anchor moveWithCells="1">
                  <from>
                    <xdr:col>3</xdr:col>
                    <xdr:colOff>19050</xdr:colOff>
                    <xdr:row>129</xdr:row>
                    <xdr:rowOff>152400</xdr:rowOff>
                  </from>
                  <to>
                    <xdr:col>4</xdr:col>
                    <xdr:colOff>57150</xdr:colOff>
                    <xdr:row>130</xdr:row>
                    <xdr:rowOff>180975</xdr:rowOff>
                  </to>
                </anchor>
              </controlPr>
            </control>
          </mc:Choice>
        </mc:AlternateContent>
        <mc:AlternateContent xmlns:mc="http://schemas.openxmlformats.org/markup-compatibility/2006">
          <mc:Choice Requires="x14">
            <control shapeId="48141" r:id="rId13" name="Check Box 13">
              <controlPr defaultSize="0" autoFill="0" autoLine="0" autoPict="0">
                <anchor moveWithCells="1">
                  <from>
                    <xdr:col>3</xdr:col>
                    <xdr:colOff>19050</xdr:colOff>
                    <xdr:row>130</xdr:row>
                    <xdr:rowOff>161925</xdr:rowOff>
                  </from>
                  <to>
                    <xdr:col>4</xdr:col>
                    <xdr:colOff>57150</xdr:colOff>
                    <xdr:row>132</xdr:row>
                    <xdr:rowOff>0</xdr:rowOff>
                  </to>
                </anchor>
              </controlPr>
            </control>
          </mc:Choice>
        </mc:AlternateContent>
        <mc:AlternateContent xmlns:mc="http://schemas.openxmlformats.org/markup-compatibility/2006">
          <mc:Choice Requires="x14">
            <control shapeId="48146" r:id="rId14" name="Check Box 18">
              <controlPr defaultSize="0" autoFill="0" autoLine="0" autoPict="0">
                <anchor moveWithCells="1">
                  <from>
                    <xdr:col>3</xdr:col>
                    <xdr:colOff>19050</xdr:colOff>
                    <xdr:row>204</xdr:row>
                    <xdr:rowOff>123825</xdr:rowOff>
                  </from>
                  <to>
                    <xdr:col>4</xdr:col>
                    <xdr:colOff>57150</xdr:colOff>
                    <xdr:row>206</xdr:row>
                    <xdr:rowOff>0</xdr:rowOff>
                  </to>
                </anchor>
              </controlPr>
            </control>
          </mc:Choice>
        </mc:AlternateContent>
        <mc:AlternateContent xmlns:mc="http://schemas.openxmlformats.org/markup-compatibility/2006">
          <mc:Choice Requires="x14">
            <control shapeId="48147" r:id="rId15" name="Check Box 19">
              <controlPr defaultSize="0" autoFill="0" autoLine="0" autoPict="0">
                <anchor moveWithCells="1">
                  <from>
                    <xdr:col>3</xdr:col>
                    <xdr:colOff>19050</xdr:colOff>
                    <xdr:row>205</xdr:row>
                    <xdr:rowOff>152400</xdr:rowOff>
                  </from>
                  <to>
                    <xdr:col>4</xdr:col>
                    <xdr:colOff>57150</xdr:colOff>
                    <xdr:row>206</xdr:row>
                    <xdr:rowOff>180975</xdr:rowOff>
                  </to>
                </anchor>
              </controlPr>
            </control>
          </mc:Choice>
        </mc:AlternateContent>
        <mc:AlternateContent xmlns:mc="http://schemas.openxmlformats.org/markup-compatibility/2006">
          <mc:Choice Requires="x14">
            <control shapeId="48148" r:id="rId16" name="Check Box 20">
              <controlPr defaultSize="0" autoFill="0" autoLine="0" autoPict="0">
                <anchor moveWithCells="1">
                  <from>
                    <xdr:col>3</xdr:col>
                    <xdr:colOff>19050</xdr:colOff>
                    <xdr:row>206</xdr:row>
                    <xdr:rowOff>161925</xdr:rowOff>
                  </from>
                  <to>
                    <xdr:col>4</xdr:col>
                    <xdr:colOff>57150</xdr:colOff>
                    <xdr:row>208</xdr:row>
                    <xdr:rowOff>0</xdr:rowOff>
                  </to>
                </anchor>
              </controlPr>
            </control>
          </mc:Choice>
        </mc:AlternateContent>
        <mc:AlternateContent xmlns:mc="http://schemas.openxmlformats.org/markup-compatibility/2006">
          <mc:Choice Requires="x14">
            <control shapeId="48153" r:id="rId17" name="Check Box 25">
              <controlPr defaultSize="0" autoFill="0" autoLine="0" autoPict="0">
                <anchor moveWithCells="1">
                  <from>
                    <xdr:col>3</xdr:col>
                    <xdr:colOff>28575</xdr:colOff>
                    <xdr:row>280</xdr:row>
                    <xdr:rowOff>123825</xdr:rowOff>
                  </from>
                  <to>
                    <xdr:col>4</xdr:col>
                    <xdr:colOff>66675</xdr:colOff>
                    <xdr:row>282</xdr:row>
                    <xdr:rowOff>0</xdr:rowOff>
                  </to>
                </anchor>
              </controlPr>
            </control>
          </mc:Choice>
        </mc:AlternateContent>
        <mc:AlternateContent xmlns:mc="http://schemas.openxmlformats.org/markup-compatibility/2006">
          <mc:Choice Requires="x14">
            <control shapeId="48154" r:id="rId18" name="Check Box 26">
              <controlPr defaultSize="0" autoFill="0" autoLine="0" autoPict="0">
                <anchor moveWithCells="1">
                  <from>
                    <xdr:col>3</xdr:col>
                    <xdr:colOff>28575</xdr:colOff>
                    <xdr:row>281</xdr:row>
                    <xdr:rowOff>152400</xdr:rowOff>
                  </from>
                  <to>
                    <xdr:col>4</xdr:col>
                    <xdr:colOff>66675</xdr:colOff>
                    <xdr:row>282</xdr:row>
                    <xdr:rowOff>180975</xdr:rowOff>
                  </to>
                </anchor>
              </controlPr>
            </control>
          </mc:Choice>
        </mc:AlternateContent>
        <mc:AlternateContent xmlns:mc="http://schemas.openxmlformats.org/markup-compatibility/2006">
          <mc:Choice Requires="x14">
            <control shapeId="48155" r:id="rId19" name="Check Box 27">
              <controlPr defaultSize="0" autoFill="0" autoLine="0" autoPict="0">
                <anchor moveWithCells="1">
                  <from>
                    <xdr:col>3</xdr:col>
                    <xdr:colOff>28575</xdr:colOff>
                    <xdr:row>282</xdr:row>
                    <xdr:rowOff>161925</xdr:rowOff>
                  </from>
                  <to>
                    <xdr:col>4</xdr:col>
                    <xdr:colOff>66675</xdr:colOff>
                    <xdr:row>284</xdr:row>
                    <xdr:rowOff>0</xdr:rowOff>
                  </to>
                </anchor>
              </controlPr>
            </control>
          </mc:Choice>
        </mc:AlternateContent>
        <mc:AlternateContent xmlns:mc="http://schemas.openxmlformats.org/markup-compatibility/2006">
          <mc:Choice Requires="x14">
            <control shapeId="48160" r:id="rId20" name="Check Box 32">
              <controlPr defaultSize="0" autoFill="0" autoLine="0" autoPict="0">
                <anchor moveWithCells="1">
                  <from>
                    <xdr:col>3</xdr:col>
                    <xdr:colOff>38100</xdr:colOff>
                    <xdr:row>356</xdr:row>
                    <xdr:rowOff>9525</xdr:rowOff>
                  </from>
                  <to>
                    <xdr:col>4</xdr:col>
                    <xdr:colOff>76200</xdr:colOff>
                    <xdr:row>357</xdr:row>
                    <xdr:rowOff>38100</xdr:rowOff>
                  </to>
                </anchor>
              </controlPr>
            </control>
          </mc:Choice>
        </mc:AlternateContent>
        <mc:AlternateContent xmlns:mc="http://schemas.openxmlformats.org/markup-compatibility/2006">
          <mc:Choice Requires="x14">
            <control shapeId="48161" r:id="rId21" name="Check Box 33">
              <controlPr defaultSize="0" autoFill="0" autoLine="0" autoPict="0">
                <anchor moveWithCells="1">
                  <from>
                    <xdr:col>3</xdr:col>
                    <xdr:colOff>38100</xdr:colOff>
                    <xdr:row>357</xdr:row>
                    <xdr:rowOff>0</xdr:rowOff>
                  </from>
                  <to>
                    <xdr:col>4</xdr:col>
                    <xdr:colOff>76200</xdr:colOff>
                    <xdr:row>358</xdr:row>
                    <xdr:rowOff>28575</xdr:rowOff>
                  </to>
                </anchor>
              </controlPr>
            </control>
          </mc:Choice>
        </mc:AlternateContent>
        <mc:AlternateContent xmlns:mc="http://schemas.openxmlformats.org/markup-compatibility/2006">
          <mc:Choice Requires="x14">
            <control shapeId="48162" r:id="rId22" name="Check Box 34">
              <controlPr defaultSize="0" autoFill="0" autoLine="0" autoPict="0">
                <anchor moveWithCells="1">
                  <from>
                    <xdr:col>3</xdr:col>
                    <xdr:colOff>38100</xdr:colOff>
                    <xdr:row>358</xdr:row>
                    <xdr:rowOff>9525</xdr:rowOff>
                  </from>
                  <to>
                    <xdr:col>4</xdr:col>
                    <xdr:colOff>76200</xdr:colOff>
                    <xdr:row>359</xdr:row>
                    <xdr:rowOff>38100</xdr:rowOff>
                  </to>
                </anchor>
              </controlPr>
            </control>
          </mc:Choice>
        </mc:AlternateContent>
        <mc:AlternateContent xmlns:mc="http://schemas.openxmlformats.org/markup-compatibility/2006">
          <mc:Choice Requires="x14">
            <control shapeId="48163" r:id="rId23" name="Check Box 35">
              <controlPr defaultSize="0" autoFill="0" autoLine="0" autoPict="0">
                <anchor moveWithCells="1">
                  <from>
                    <xdr:col>5</xdr:col>
                    <xdr:colOff>247650</xdr:colOff>
                    <xdr:row>385</xdr:row>
                    <xdr:rowOff>38100</xdr:rowOff>
                  </from>
                  <to>
                    <xdr:col>7</xdr:col>
                    <xdr:colOff>238125</xdr:colOff>
                    <xdr:row>386</xdr:row>
                    <xdr:rowOff>28575</xdr:rowOff>
                  </to>
                </anchor>
              </controlPr>
            </control>
          </mc:Choice>
        </mc:AlternateContent>
        <mc:AlternateContent xmlns:mc="http://schemas.openxmlformats.org/markup-compatibility/2006">
          <mc:Choice Requires="x14">
            <control shapeId="48164" r:id="rId24" name="Check Box 36">
              <controlPr defaultSize="0" autoFill="0" autoLine="0" autoPict="0">
                <anchor moveWithCells="1">
                  <from>
                    <xdr:col>5</xdr:col>
                    <xdr:colOff>247650</xdr:colOff>
                    <xdr:row>386</xdr:row>
                    <xdr:rowOff>38100</xdr:rowOff>
                  </from>
                  <to>
                    <xdr:col>7</xdr:col>
                    <xdr:colOff>238125</xdr:colOff>
                    <xdr:row>387</xdr:row>
                    <xdr:rowOff>28575</xdr:rowOff>
                  </to>
                </anchor>
              </controlPr>
            </control>
          </mc:Choice>
        </mc:AlternateContent>
        <mc:AlternateContent xmlns:mc="http://schemas.openxmlformats.org/markup-compatibility/2006">
          <mc:Choice Requires="x14">
            <control shapeId="48165" r:id="rId25" name="Check Box 37">
              <controlPr defaultSize="0" autoFill="0" autoLine="0" autoPict="0">
                <anchor moveWithCells="1">
                  <from>
                    <xdr:col>5</xdr:col>
                    <xdr:colOff>247650</xdr:colOff>
                    <xdr:row>387</xdr:row>
                    <xdr:rowOff>38100</xdr:rowOff>
                  </from>
                  <to>
                    <xdr:col>7</xdr:col>
                    <xdr:colOff>238125</xdr:colOff>
                    <xdr:row>388</xdr:row>
                    <xdr:rowOff>28575</xdr:rowOff>
                  </to>
                </anchor>
              </controlPr>
            </control>
          </mc:Choice>
        </mc:AlternateContent>
        <mc:AlternateContent xmlns:mc="http://schemas.openxmlformats.org/markup-compatibility/2006">
          <mc:Choice Requires="x14">
            <control shapeId="48166" r:id="rId26" name="Check Box 38">
              <controlPr defaultSize="0" autoFill="0" autoLine="0" autoPict="0">
                <anchor moveWithCells="1">
                  <from>
                    <xdr:col>5</xdr:col>
                    <xdr:colOff>247650</xdr:colOff>
                    <xdr:row>388</xdr:row>
                    <xdr:rowOff>38100</xdr:rowOff>
                  </from>
                  <to>
                    <xdr:col>7</xdr:col>
                    <xdr:colOff>238125</xdr:colOff>
                    <xdr:row>389</xdr:row>
                    <xdr:rowOff>28575</xdr:rowOff>
                  </to>
                </anchor>
              </controlPr>
            </control>
          </mc:Choice>
        </mc:AlternateContent>
        <mc:AlternateContent xmlns:mc="http://schemas.openxmlformats.org/markup-compatibility/2006">
          <mc:Choice Requires="x14">
            <control shapeId="48167" r:id="rId27" name="Check Box 39">
              <controlPr defaultSize="0" autoFill="0" autoLine="0" autoPict="0">
                <anchor moveWithCells="1">
                  <from>
                    <xdr:col>5</xdr:col>
                    <xdr:colOff>247650</xdr:colOff>
                    <xdr:row>389</xdr:row>
                    <xdr:rowOff>38100</xdr:rowOff>
                  </from>
                  <to>
                    <xdr:col>7</xdr:col>
                    <xdr:colOff>238125</xdr:colOff>
                    <xdr:row>390</xdr:row>
                    <xdr:rowOff>38100</xdr:rowOff>
                  </to>
                </anchor>
              </controlPr>
            </control>
          </mc:Choice>
        </mc:AlternateContent>
        <mc:AlternateContent xmlns:mc="http://schemas.openxmlformats.org/markup-compatibility/2006">
          <mc:Choice Requires="x14">
            <control shapeId="48193" r:id="rId28" name="Check Box 65">
              <controlPr defaultSize="0" autoFill="0" autoLine="0" autoPict="0">
                <anchor moveWithCells="1">
                  <from>
                    <xdr:col>6</xdr:col>
                    <xdr:colOff>133350</xdr:colOff>
                    <xdr:row>421</xdr:row>
                    <xdr:rowOff>19050</xdr:rowOff>
                  </from>
                  <to>
                    <xdr:col>7</xdr:col>
                    <xdr:colOff>219075</xdr:colOff>
                    <xdr:row>422</xdr:row>
                    <xdr:rowOff>9525</xdr:rowOff>
                  </to>
                </anchor>
              </controlPr>
            </control>
          </mc:Choice>
        </mc:AlternateContent>
        <mc:AlternateContent xmlns:mc="http://schemas.openxmlformats.org/markup-compatibility/2006">
          <mc:Choice Requires="x14">
            <control shapeId="48195" r:id="rId29" name="Check Box 67">
              <controlPr locked="0" defaultSize="0" autoFill="0" autoLine="0" autoPict="0">
                <anchor moveWithCells="1">
                  <from>
                    <xdr:col>4</xdr:col>
                    <xdr:colOff>9525</xdr:colOff>
                    <xdr:row>448</xdr:row>
                    <xdr:rowOff>180975</xdr:rowOff>
                  </from>
                  <to>
                    <xdr:col>5</xdr:col>
                    <xdr:colOff>104775</xdr:colOff>
                    <xdr:row>450</xdr:row>
                    <xdr:rowOff>19050</xdr:rowOff>
                  </to>
                </anchor>
              </controlPr>
            </control>
          </mc:Choice>
        </mc:AlternateContent>
        <mc:AlternateContent xmlns:mc="http://schemas.openxmlformats.org/markup-compatibility/2006">
          <mc:Choice Requires="x14">
            <control shapeId="48196" r:id="rId30" name="Check Box 68">
              <controlPr locked="0" defaultSize="0" autoFill="0" autoLine="0" autoPict="0">
                <anchor moveWithCells="1">
                  <from>
                    <xdr:col>4</xdr:col>
                    <xdr:colOff>9525</xdr:colOff>
                    <xdr:row>449</xdr:row>
                    <xdr:rowOff>171450</xdr:rowOff>
                  </from>
                  <to>
                    <xdr:col>5</xdr:col>
                    <xdr:colOff>104775</xdr:colOff>
                    <xdr:row>451</xdr:row>
                    <xdr:rowOff>9525</xdr:rowOff>
                  </to>
                </anchor>
              </controlPr>
            </control>
          </mc:Choice>
        </mc:AlternateContent>
        <mc:AlternateContent xmlns:mc="http://schemas.openxmlformats.org/markup-compatibility/2006">
          <mc:Choice Requires="x14">
            <control shapeId="48197" r:id="rId31" name="Check Box 69">
              <controlPr locked="0" defaultSize="0" autoFill="0" autoLine="0" autoPict="0">
                <anchor moveWithCells="1">
                  <from>
                    <xdr:col>4</xdr:col>
                    <xdr:colOff>9525</xdr:colOff>
                    <xdr:row>450</xdr:row>
                    <xdr:rowOff>161925</xdr:rowOff>
                  </from>
                  <to>
                    <xdr:col>5</xdr:col>
                    <xdr:colOff>104775</xdr:colOff>
                    <xdr:row>452</xdr:row>
                    <xdr:rowOff>0</xdr:rowOff>
                  </to>
                </anchor>
              </controlPr>
            </control>
          </mc:Choice>
        </mc:AlternateContent>
        <mc:AlternateContent xmlns:mc="http://schemas.openxmlformats.org/markup-compatibility/2006">
          <mc:Choice Requires="x14">
            <control shapeId="48198" r:id="rId32" name="Check Box 70">
              <controlPr locked="0" defaultSize="0" autoFill="0" autoLine="0" autoPict="0">
                <anchor moveWithCells="1">
                  <from>
                    <xdr:col>4</xdr:col>
                    <xdr:colOff>9525</xdr:colOff>
                    <xdr:row>451</xdr:row>
                    <xdr:rowOff>152400</xdr:rowOff>
                  </from>
                  <to>
                    <xdr:col>5</xdr:col>
                    <xdr:colOff>104775</xdr:colOff>
                    <xdr:row>452</xdr:row>
                    <xdr:rowOff>180975</xdr:rowOff>
                  </to>
                </anchor>
              </controlPr>
            </control>
          </mc:Choice>
        </mc:AlternateContent>
        <mc:AlternateContent xmlns:mc="http://schemas.openxmlformats.org/markup-compatibility/2006">
          <mc:Choice Requires="x14">
            <control shapeId="48199" r:id="rId33" name="Check Box 71">
              <controlPr locked="0" defaultSize="0" autoFill="0" autoLine="0" autoPict="0">
                <anchor moveWithCells="1">
                  <from>
                    <xdr:col>4</xdr:col>
                    <xdr:colOff>9525</xdr:colOff>
                    <xdr:row>452</xdr:row>
                    <xdr:rowOff>161925</xdr:rowOff>
                  </from>
                  <to>
                    <xdr:col>5</xdr:col>
                    <xdr:colOff>104775</xdr:colOff>
                    <xdr:row>454</xdr:row>
                    <xdr:rowOff>0</xdr:rowOff>
                  </to>
                </anchor>
              </controlPr>
            </control>
          </mc:Choice>
        </mc:AlternateContent>
        <mc:AlternateContent xmlns:mc="http://schemas.openxmlformats.org/markup-compatibility/2006">
          <mc:Choice Requires="x14">
            <control shapeId="48200" r:id="rId34" name="Check Box 72">
              <controlPr locked="0" defaultSize="0" autoFill="0" autoLine="0" autoPict="0">
                <anchor moveWithCells="1">
                  <from>
                    <xdr:col>4</xdr:col>
                    <xdr:colOff>9525</xdr:colOff>
                    <xdr:row>456</xdr:row>
                    <xdr:rowOff>190500</xdr:rowOff>
                  </from>
                  <to>
                    <xdr:col>5</xdr:col>
                    <xdr:colOff>104775</xdr:colOff>
                    <xdr:row>458</xdr:row>
                    <xdr:rowOff>0</xdr:rowOff>
                  </to>
                </anchor>
              </controlPr>
            </control>
          </mc:Choice>
        </mc:AlternateContent>
        <mc:AlternateContent xmlns:mc="http://schemas.openxmlformats.org/markup-compatibility/2006">
          <mc:Choice Requires="x14">
            <control shapeId="48201" r:id="rId35" name="Check Box 73">
              <controlPr locked="0" defaultSize="0" autoFill="0" autoLine="0" autoPict="0">
                <anchor moveWithCells="1">
                  <from>
                    <xdr:col>4</xdr:col>
                    <xdr:colOff>9525</xdr:colOff>
                    <xdr:row>457</xdr:row>
                    <xdr:rowOff>333375</xdr:rowOff>
                  </from>
                  <to>
                    <xdr:col>5</xdr:col>
                    <xdr:colOff>104775</xdr:colOff>
                    <xdr:row>459</xdr:row>
                    <xdr:rowOff>19050</xdr:rowOff>
                  </to>
                </anchor>
              </controlPr>
            </control>
          </mc:Choice>
        </mc:AlternateContent>
        <mc:AlternateContent xmlns:mc="http://schemas.openxmlformats.org/markup-compatibility/2006">
          <mc:Choice Requires="x14">
            <control shapeId="48202" r:id="rId36" name="Check Box 74">
              <controlPr locked="0" defaultSize="0" autoFill="0" autoLine="0" autoPict="0">
                <anchor moveWithCells="1">
                  <from>
                    <xdr:col>4</xdr:col>
                    <xdr:colOff>9525</xdr:colOff>
                    <xdr:row>458</xdr:row>
                    <xdr:rowOff>171450</xdr:rowOff>
                  </from>
                  <to>
                    <xdr:col>5</xdr:col>
                    <xdr:colOff>104775</xdr:colOff>
                    <xdr:row>460</xdr:row>
                    <xdr:rowOff>9525</xdr:rowOff>
                  </to>
                </anchor>
              </controlPr>
            </control>
          </mc:Choice>
        </mc:AlternateContent>
        <mc:AlternateContent xmlns:mc="http://schemas.openxmlformats.org/markup-compatibility/2006">
          <mc:Choice Requires="x14">
            <control shapeId="48203" r:id="rId37" name="Check Box 75">
              <controlPr locked="0" defaultSize="0" autoFill="0" autoLine="0" autoPict="0">
                <anchor moveWithCells="1">
                  <from>
                    <xdr:col>4</xdr:col>
                    <xdr:colOff>9525</xdr:colOff>
                    <xdr:row>459</xdr:row>
                    <xdr:rowOff>161925</xdr:rowOff>
                  </from>
                  <to>
                    <xdr:col>5</xdr:col>
                    <xdr:colOff>104775</xdr:colOff>
                    <xdr:row>461</xdr:row>
                    <xdr:rowOff>0</xdr:rowOff>
                  </to>
                </anchor>
              </controlPr>
            </control>
          </mc:Choice>
        </mc:AlternateContent>
        <mc:AlternateContent xmlns:mc="http://schemas.openxmlformats.org/markup-compatibility/2006">
          <mc:Choice Requires="x14">
            <control shapeId="48204" r:id="rId38" name="Check Box 76">
              <controlPr locked="0" defaultSize="0" autoFill="0" autoLine="0" autoPict="0">
                <anchor moveWithCells="1">
                  <from>
                    <xdr:col>4</xdr:col>
                    <xdr:colOff>9525</xdr:colOff>
                    <xdr:row>463</xdr:row>
                    <xdr:rowOff>28575</xdr:rowOff>
                  </from>
                  <to>
                    <xdr:col>5</xdr:col>
                    <xdr:colOff>104775</xdr:colOff>
                    <xdr:row>464</xdr:row>
                    <xdr:rowOff>19050</xdr:rowOff>
                  </to>
                </anchor>
              </controlPr>
            </control>
          </mc:Choice>
        </mc:AlternateContent>
        <mc:AlternateContent xmlns:mc="http://schemas.openxmlformats.org/markup-compatibility/2006">
          <mc:Choice Requires="x14">
            <control shapeId="48205" r:id="rId39" name="Check Box 77">
              <controlPr locked="0" defaultSize="0" autoFill="0" autoLine="0" autoPict="0">
                <anchor moveWithCells="1">
                  <from>
                    <xdr:col>4</xdr:col>
                    <xdr:colOff>9525</xdr:colOff>
                    <xdr:row>464</xdr:row>
                    <xdr:rowOff>19050</xdr:rowOff>
                  </from>
                  <to>
                    <xdr:col>5</xdr:col>
                    <xdr:colOff>104775</xdr:colOff>
                    <xdr:row>465</xdr:row>
                    <xdr:rowOff>9525</xdr:rowOff>
                  </to>
                </anchor>
              </controlPr>
            </control>
          </mc:Choice>
        </mc:AlternateContent>
        <mc:AlternateContent xmlns:mc="http://schemas.openxmlformats.org/markup-compatibility/2006">
          <mc:Choice Requires="x14">
            <control shapeId="48206" r:id="rId40" name="Check Box 78">
              <controlPr locked="0" defaultSize="0" autoFill="0" autoLine="0" autoPict="0">
                <anchor moveWithCells="1">
                  <from>
                    <xdr:col>4</xdr:col>
                    <xdr:colOff>9525</xdr:colOff>
                    <xdr:row>465</xdr:row>
                    <xdr:rowOff>19050</xdr:rowOff>
                  </from>
                  <to>
                    <xdr:col>5</xdr:col>
                    <xdr:colOff>104775</xdr:colOff>
                    <xdr:row>466</xdr:row>
                    <xdr:rowOff>9525</xdr:rowOff>
                  </to>
                </anchor>
              </controlPr>
            </control>
          </mc:Choice>
        </mc:AlternateContent>
        <mc:AlternateContent xmlns:mc="http://schemas.openxmlformats.org/markup-compatibility/2006">
          <mc:Choice Requires="x14">
            <control shapeId="48207" r:id="rId41" name="Check Box 79">
              <controlPr locked="0" defaultSize="0" autoFill="0" autoLine="0" autoPict="0">
                <anchor moveWithCells="1">
                  <from>
                    <xdr:col>4</xdr:col>
                    <xdr:colOff>9525</xdr:colOff>
                    <xdr:row>466</xdr:row>
                    <xdr:rowOff>19050</xdr:rowOff>
                  </from>
                  <to>
                    <xdr:col>5</xdr:col>
                    <xdr:colOff>104775</xdr:colOff>
                    <xdr:row>467</xdr:row>
                    <xdr:rowOff>9525</xdr:rowOff>
                  </to>
                </anchor>
              </controlPr>
            </control>
          </mc:Choice>
        </mc:AlternateContent>
        <mc:AlternateContent xmlns:mc="http://schemas.openxmlformats.org/markup-compatibility/2006">
          <mc:Choice Requires="x14">
            <control shapeId="48208" r:id="rId42" name="Check Box 80">
              <controlPr locked="0" defaultSize="0" autoFill="0" autoLine="0" autoPict="0">
                <anchor moveWithCells="1">
                  <from>
                    <xdr:col>4</xdr:col>
                    <xdr:colOff>9525</xdr:colOff>
                    <xdr:row>467</xdr:row>
                    <xdr:rowOff>19050</xdr:rowOff>
                  </from>
                  <to>
                    <xdr:col>5</xdr:col>
                    <xdr:colOff>104775</xdr:colOff>
                    <xdr:row>468</xdr:row>
                    <xdr:rowOff>9525</xdr:rowOff>
                  </to>
                </anchor>
              </controlPr>
            </control>
          </mc:Choice>
        </mc:AlternateContent>
        <mc:AlternateContent xmlns:mc="http://schemas.openxmlformats.org/markup-compatibility/2006">
          <mc:Choice Requires="x14">
            <control shapeId="48209" r:id="rId43" name="Check Box 81">
              <controlPr locked="0" defaultSize="0" autoFill="0" autoLine="0" autoPict="0">
                <anchor moveWithCells="1">
                  <from>
                    <xdr:col>4</xdr:col>
                    <xdr:colOff>9525</xdr:colOff>
                    <xdr:row>477</xdr:row>
                    <xdr:rowOff>190500</xdr:rowOff>
                  </from>
                  <to>
                    <xdr:col>5</xdr:col>
                    <xdr:colOff>104775</xdr:colOff>
                    <xdr:row>479</xdr:row>
                    <xdr:rowOff>28575</xdr:rowOff>
                  </to>
                </anchor>
              </controlPr>
            </control>
          </mc:Choice>
        </mc:AlternateContent>
        <mc:AlternateContent xmlns:mc="http://schemas.openxmlformats.org/markup-compatibility/2006">
          <mc:Choice Requires="x14">
            <control shapeId="48210" r:id="rId44" name="Check Box 82">
              <controlPr locked="0" defaultSize="0" autoFill="0" autoLine="0" autoPict="0">
                <anchor moveWithCells="1">
                  <from>
                    <xdr:col>4</xdr:col>
                    <xdr:colOff>9525</xdr:colOff>
                    <xdr:row>478</xdr:row>
                    <xdr:rowOff>180975</xdr:rowOff>
                  </from>
                  <to>
                    <xdr:col>5</xdr:col>
                    <xdr:colOff>104775</xdr:colOff>
                    <xdr:row>480</xdr:row>
                    <xdr:rowOff>19050</xdr:rowOff>
                  </to>
                </anchor>
              </controlPr>
            </control>
          </mc:Choice>
        </mc:AlternateContent>
        <mc:AlternateContent xmlns:mc="http://schemas.openxmlformats.org/markup-compatibility/2006">
          <mc:Choice Requires="x14">
            <control shapeId="48211" r:id="rId45" name="Check Box 83">
              <controlPr locked="0" defaultSize="0" autoFill="0" autoLine="0" autoPict="0">
                <anchor moveWithCells="1">
                  <from>
                    <xdr:col>4</xdr:col>
                    <xdr:colOff>9525</xdr:colOff>
                    <xdr:row>493</xdr:row>
                    <xdr:rowOff>190500</xdr:rowOff>
                  </from>
                  <to>
                    <xdr:col>5</xdr:col>
                    <xdr:colOff>104775</xdr:colOff>
                    <xdr:row>495</xdr:row>
                    <xdr:rowOff>28575</xdr:rowOff>
                  </to>
                </anchor>
              </controlPr>
            </control>
          </mc:Choice>
        </mc:AlternateContent>
        <mc:AlternateContent xmlns:mc="http://schemas.openxmlformats.org/markup-compatibility/2006">
          <mc:Choice Requires="x14">
            <control shapeId="48212" r:id="rId46" name="Check Box 84">
              <controlPr locked="0" defaultSize="0" autoFill="0" autoLine="0" autoPict="0">
                <anchor moveWithCells="1">
                  <from>
                    <xdr:col>4</xdr:col>
                    <xdr:colOff>9525</xdr:colOff>
                    <xdr:row>469</xdr:row>
                    <xdr:rowOff>152400</xdr:rowOff>
                  </from>
                  <to>
                    <xdr:col>5</xdr:col>
                    <xdr:colOff>104775</xdr:colOff>
                    <xdr:row>471</xdr:row>
                    <xdr:rowOff>28575</xdr:rowOff>
                  </to>
                </anchor>
              </controlPr>
            </control>
          </mc:Choice>
        </mc:AlternateContent>
        <mc:AlternateContent xmlns:mc="http://schemas.openxmlformats.org/markup-compatibility/2006">
          <mc:Choice Requires="x14">
            <control shapeId="48213" r:id="rId47" name="Check Box 85">
              <controlPr locked="0" defaultSize="0" autoFill="0" autoLine="0" autoPict="0">
                <anchor moveWithCells="1">
                  <from>
                    <xdr:col>4</xdr:col>
                    <xdr:colOff>9525</xdr:colOff>
                    <xdr:row>492</xdr:row>
                    <xdr:rowOff>171450</xdr:rowOff>
                  </from>
                  <to>
                    <xdr:col>5</xdr:col>
                    <xdr:colOff>104775</xdr:colOff>
                    <xdr:row>494</xdr:row>
                    <xdr:rowOff>9525</xdr:rowOff>
                  </to>
                </anchor>
              </controlPr>
            </control>
          </mc:Choice>
        </mc:AlternateContent>
        <mc:AlternateContent xmlns:mc="http://schemas.openxmlformats.org/markup-compatibility/2006">
          <mc:Choice Requires="x14">
            <control shapeId="48214" r:id="rId48" name="Check Box 86">
              <controlPr locked="0" defaultSize="0" autoFill="0" autoLine="0" autoPict="0">
                <anchor moveWithCells="1">
                  <from>
                    <xdr:col>4</xdr:col>
                    <xdr:colOff>9525</xdr:colOff>
                    <xdr:row>477</xdr:row>
                    <xdr:rowOff>28575</xdr:rowOff>
                  </from>
                  <to>
                    <xdr:col>5</xdr:col>
                    <xdr:colOff>104775</xdr:colOff>
                    <xdr:row>478</xdr:row>
                    <xdr:rowOff>57150</xdr:rowOff>
                  </to>
                </anchor>
              </controlPr>
            </control>
          </mc:Choice>
        </mc:AlternateContent>
        <mc:AlternateContent xmlns:mc="http://schemas.openxmlformats.org/markup-compatibility/2006">
          <mc:Choice Requires="x14">
            <control shapeId="48216" r:id="rId49" name="Group Box 88">
              <controlPr defaultSize="0" autoFill="0" autoPict="0">
                <anchor moveWithCells="1" sizeWithCells="1">
                  <from>
                    <xdr:col>1</xdr:col>
                    <xdr:colOff>9525</xdr:colOff>
                    <xdr:row>463</xdr:row>
                    <xdr:rowOff>38100</xdr:rowOff>
                  </from>
                  <to>
                    <xdr:col>3</xdr:col>
                    <xdr:colOff>257175</xdr:colOff>
                    <xdr:row>468</xdr:row>
                    <xdr:rowOff>38100</xdr:rowOff>
                  </to>
                </anchor>
              </controlPr>
            </control>
          </mc:Choice>
        </mc:AlternateContent>
        <mc:AlternateContent xmlns:mc="http://schemas.openxmlformats.org/markup-compatibility/2006">
          <mc:Choice Requires="x14">
            <control shapeId="48217" r:id="rId50" name="Option Button 89">
              <controlPr defaultSize="0" autoFill="0" autoLine="0" autoPict="0">
                <anchor moveWithCells="1" sizeWithCells="1">
                  <from>
                    <xdr:col>1</xdr:col>
                    <xdr:colOff>19050</xdr:colOff>
                    <xdr:row>464</xdr:row>
                    <xdr:rowOff>47625</xdr:rowOff>
                  </from>
                  <to>
                    <xdr:col>3</xdr:col>
                    <xdr:colOff>238125</xdr:colOff>
                    <xdr:row>465</xdr:row>
                    <xdr:rowOff>38100</xdr:rowOff>
                  </to>
                </anchor>
              </controlPr>
            </control>
          </mc:Choice>
        </mc:AlternateContent>
        <mc:AlternateContent xmlns:mc="http://schemas.openxmlformats.org/markup-compatibility/2006">
          <mc:Choice Requires="x14">
            <control shapeId="48218" r:id="rId51" name="Option Button 90">
              <controlPr defaultSize="0" autoFill="0" autoLine="0" autoPict="0">
                <anchor moveWithCells="1" sizeWithCells="1">
                  <from>
                    <xdr:col>1</xdr:col>
                    <xdr:colOff>19050</xdr:colOff>
                    <xdr:row>465</xdr:row>
                    <xdr:rowOff>38100</xdr:rowOff>
                  </from>
                  <to>
                    <xdr:col>3</xdr:col>
                    <xdr:colOff>238125</xdr:colOff>
                    <xdr:row>466</xdr:row>
                    <xdr:rowOff>28575</xdr:rowOff>
                  </to>
                </anchor>
              </controlPr>
            </control>
          </mc:Choice>
        </mc:AlternateContent>
        <mc:AlternateContent xmlns:mc="http://schemas.openxmlformats.org/markup-compatibility/2006">
          <mc:Choice Requires="x14">
            <control shapeId="48219" r:id="rId52" name="Option Button 91">
              <controlPr defaultSize="0" autoFill="0" autoLine="0" autoPict="0">
                <anchor moveWithCells="1" sizeWithCells="1">
                  <from>
                    <xdr:col>1</xdr:col>
                    <xdr:colOff>19050</xdr:colOff>
                    <xdr:row>466</xdr:row>
                    <xdr:rowOff>161925</xdr:rowOff>
                  </from>
                  <to>
                    <xdr:col>3</xdr:col>
                    <xdr:colOff>238125</xdr:colOff>
                    <xdr:row>467</xdr:row>
                    <xdr:rowOff>152400</xdr:rowOff>
                  </to>
                </anchor>
              </controlPr>
            </control>
          </mc:Choice>
        </mc:AlternateContent>
        <mc:AlternateContent xmlns:mc="http://schemas.openxmlformats.org/markup-compatibility/2006">
          <mc:Choice Requires="x14">
            <control shapeId="48221" r:id="rId53" name="Check Box 93">
              <controlPr locked="0" defaultSize="0" autoFill="0" autoLine="0" autoPict="0">
                <anchor moveWithCells="1">
                  <from>
                    <xdr:col>4</xdr:col>
                    <xdr:colOff>9525</xdr:colOff>
                    <xdr:row>471</xdr:row>
                    <xdr:rowOff>171450</xdr:rowOff>
                  </from>
                  <to>
                    <xdr:col>5</xdr:col>
                    <xdr:colOff>104775</xdr:colOff>
                    <xdr:row>473</xdr:row>
                    <xdr:rowOff>9525</xdr:rowOff>
                  </to>
                </anchor>
              </controlPr>
            </control>
          </mc:Choice>
        </mc:AlternateContent>
        <mc:AlternateContent xmlns:mc="http://schemas.openxmlformats.org/markup-compatibility/2006">
          <mc:Choice Requires="x14">
            <control shapeId="48222" r:id="rId54" name="Check Box 94">
              <controlPr locked="0" defaultSize="0" autoFill="0" autoLine="0" autoPict="0">
                <anchor moveWithCells="1">
                  <from>
                    <xdr:col>4</xdr:col>
                    <xdr:colOff>9525</xdr:colOff>
                    <xdr:row>472</xdr:row>
                    <xdr:rowOff>171450</xdr:rowOff>
                  </from>
                  <to>
                    <xdr:col>5</xdr:col>
                    <xdr:colOff>104775</xdr:colOff>
                    <xdr:row>474</xdr:row>
                    <xdr:rowOff>9525</xdr:rowOff>
                  </to>
                </anchor>
              </controlPr>
            </control>
          </mc:Choice>
        </mc:AlternateContent>
        <mc:AlternateContent xmlns:mc="http://schemas.openxmlformats.org/markup-compatibility/2006">
          <mc:Choice Requires="x14">
            <control shapeId="48223" r:id="rId55" name="Check Box 95">
              <controlPr locked="0" defaultSize="0" autoFill="0" autoLine="0" autoPict="0">
                <anchor moveWithCells="1">
                  <from>
                    <xdr:col>4</xdr:col>
                    <xdr:colOff>9525</xdr:colOff>
                    <xdr:row>473</xdr:row>
                    <xdr:rowOff>171450</xdr:rowOff>
                  </from>
                  <to>
                    <xdr:col>5</xdr:col>
                    <xdr:colOff>104775</xdr:colOff>
                    <xdr:row>475</xdr:row>
                    <xdr:rowOff>9525</xdr:rowOff>
                  </to>
                </anchor>
              </controlPr>
            </control>
          </mc:Choice>
        </mc:AlternateContent>
        <mc:AlternateContent xmlns:mc="http://schemas.openxmlformats.org/markup-compatibility/2006">
          <mc:Choice Requires="x14">
            <control shapeId="48224" r:id="rId56" name="Check Box 96">
              <controlPr locked="0" defaultSize="0" autoFill="0" autoLine="0" autoPict="0">
                <anchor moveWithCells="1">
                  <from>
                    <xdr:col>4</xdr:col>
                    <xdr:colOff>9525</xdr:colOff>
                    <xdr:row>474</xdr:row>
                    <xdr:rowOff>161925</xdr:rowOff>
                  </from>
                  <to>
                    <xdr:col>5</xdr:col>
                    <xdr:colOff>104775</xdr:colOff>
                    <xdr:row>476</xdr:row>
                    <xdr:rowOff>0</xdr:rowOff>
                  </to>
                </anchor>
              </controlPr>
            </control>
          </mc:Choice>
        </mc:AlternateContent>
        <mc:AlternateContent xmlns:mc="http://schemas.openxmlformats.org/markup-compatibility/2006">
          <mc:Choice Requires="x14">
            <control shapeId="48225" r:id="rId57" name="Check Box 97">
              <controlPr locked="0" defaultSize="0" autoFill="0" autoLine="0" autoPict="0">
                <anchor moveWithCells="1">
                  <from>
                    <xdr:col>4</xdr:col>
                    <xdr:colOff>9525</xdr:colOff>
                    <xdr:row>475</xdr:row>
                    <xdr:rowOff>171450</xdr:rowOff>
                  </from>
                  <to>
                    <xdr:col>5</xdr:col>
                    <xdr:colOff>104775</xdr:colOff>
                    <xdr:row>477</xdr:row>
                    <xdr:rowOff>9525</xdr:rowOff>
                  </to>
                </anchor>
              </controlPr>
            </control>
          </mc:Choice>
        </mc:AlternateContent>
        <mc:AlternateContent xmlns:mc="http://schemas.openxmlformats.org/markup-compatibility/2006">
          <mc:Choice Requires="x14">
            <control shapeId="48226" r:id="rId58" name="Check Box 98">
              <controlPr locked="0" defaultSize="0" autoFill="0" autoLine="0" autoPict="0">
                <anchor moveWithCells="1">
                  <from>
                    <xdr:col>4</xdr:col>
                    <xdr:colOff>9525</xdr:colOff>
                    <xdr:row>476</xdr:row>
                    <xdr:rowOff>171450</xdr:rowOff>
                  </from>
                  <to>
                    <xdr:col>5</xdr:col>
                    <xdr:colOff>104775</xdr:colOff>
                    <xdr:row>478</xdr:row>
                    <xdr:rowOff>9525</xdr:rowOff>
                  </to>
                </anchor>
              </controlPr>
            </control>
          </mc:Choice>
        </mc:AlternateContent>
        <mc:AlternateContent xmlns:mc="http://schemas.openxmlformats.org/markup-compatibility/2006">
          <mc:Choice Requires="x14">
            <control shapeId="48227" r:id="rId59" name="Check Box 99">
              <controlPr locked="0" defaultSize="0" autoFill="0" autoLine="0" autoPict="0">
                <anchor moveWithCells="1">
                  <from>
                    <xdr:col>4</xdr:col>
                    <xdr:colOff>9525</xdr:colOff>
                    <xdr:row>481</xdr:row>
                    <xdr:rowOff>152400</xdr:rowOff>
                  </from>
                  <to>
                    <xdr:col>5</xdr:col>
                    <xdr:colOff>104775</xdr:colOff>
                    <xdr:row>483</xdr:row>
                    <xdr:rowOff>28575</xdr:rowOff>
                  </to>
                </anchor>
              </controlPr>
            </control>
          </mc:Choice>
        </mc:AlternateContent>
        <mc:AlternateContent xmlns:mc="http://schemas.openxmlformats.org/markup-compatibility/2006">
          <mc:Choice Requires="x14">
            <control shapeId="48228" r:id="rId60" name="Check Box 100">
              <controlPr locked="0" defaultSize="0" autoFill="0" autoLine="0" autoPict="0">
                <anchor moveWithCells="1">
                  <from>
                    <xdr:col>4</xdr:col>
                    <xdr:colOff>9525</xdr:colOff>
                    <xdr:row>482</xdr:row>
                    <xdr:rowOff>190500</xdr:rowOff>
                  </from>
                  <to>
                    <xdr:col>5</xdr:col>
                    <xdr:colOff>104775</xdr:colOff>
                    <xdr:row>484</xdr:row>
                    <xdr:rowOff>28575</xdr:rowOff>
                  </to>
                </anchor>
              </controlPr>
            </control>
          </mc:Choice>
        </mc:AlternateContent>
        <mc:AlternateContent xmlns:mc="http://schemas.openxmlformats.org/markup-compatibility/2006">
          <mc:Choice Requires="x14">
            <control shapeId="48229" r:id="rId61" name="Check Box 101">
              <controlPr locked="0" defaultSize="0" autoFill="0" autoLine="0" autoPict="0">
                <anchor moveWithCells="1">
                  <from>
                    <xdr:col>4</xdr:col>
                    <xdr:colOff>9525</xdr:colOff>
                    <xdr:row>483</xdr:row>
                    <xdr:rowOff>171450</xdr:rowOff>
                  </from>
                  <to>
                    <xdr:col>5</xdr:col>
                    <xdr:colOff>104775</xdr:colOff>
                    <xdr:row>485</xdr:row>
                    <xdr:rowOff>9525</xdr:rowOff>
                  </to>
                </anchor>
              </controlPr>
            </control>
          </mc:Choice>
        </mc:AlternateContent>
        <mc:AlternateContent xmlns:mc="http://schemas.openxmlformats.org/markup-compatibility/2006">
          <mc:Choice Requires="x14">
            <control shapeId="48230" r:id="rId62" name="Check Box 102">
              <controlPr locked="0" defaultSize="0" autoFill="0" autoLine="0" autoPict="0">
                <anchor moveWithCells="1">
                  <from>
                    <xdr:col>4</xdr:col>
                    <xdr:colOff>9525</xdr:colOff>
                    <xdr:row>484</xdr:row>
                    <xdr:rowOff>161925</xdr:rowOff>
                  </from>
                  <to>
                    <xdr:col>5</xdr:col>
                    <xdr:colOff>104775</xdr:colOff>
                    <xdr:row>486</xdr:row>
                    <xdr:rowOff>0</xdr:rowOff>
                  </to>
                </anchor>
              </controlPr>
            </control>
          </mc:Choice>
        </mc:AlternateContent>
        <mc:AlternateContent xmlns:mc="http://schemas.openxmlformats.org/markup-compatibility/2006">
          <mc:Choice Requires="x14">
            <control shapeId="48231" r:id="rId63" name="Check Box 103">
              <controlPr locked="0" defaultSize="0" autoFill="0" autoLine="0" autoPict="0">
                <anchor moveWithCells="1">
                  <from>
                    <xdr:col>4</xdr:col>
                    <xdr:colOff>9525</xdr:colOff>
                    <xdr:row>485</xdr:row>
                    <xdr:rowOff>171450</xdr:rowOff>
                  </from>
                  <to>
                    <xdr:col>5</xdr:col>
                    <xdr:colOff>104775</xdr:colOff>
                    <xdr:row>487</xdr:row>
                    <xdr:rowOff>9525</xdr:rowOff>
                  </to>
                </anchor>
              </controlPr>
            </control>
          </mc:Choice>
        </mc:AlternateContent>
        <mc:AlternateContent xmlns:mc="http://schemas.openxmlformats.org/markup-compatibility/2006">
          <mc:Choice Requires="x14">
            <control shapeId="48232" r:id="rId64" name="Check Box 104">
              <controlPr locked="0" defaultSize="0" autoFill="0" autoLine="0" autoPict="0">
                <anchor moveWithCells="1">
                  <from>
                    <xdr:col>4</xdr:col>
                    <xdr:colOff>9525</xdr:colOff>
                    <xdr:row>486</xdr:row>
                    <xdr:rowOff>171450</xdr:rowOff>
                  </from>
                  <to>
                    <xdr:col>5</xdr:col>
                    <xdr:colOff>104775</xdr:colOff>
                    <xdr:row>488</xdr:row>
                    <xdr:rowOff>9525</xdr:rowOff>
                  </to>
                </anchor>
              </controlPr>
            </control>
          </mc:Choice>
        </mc:AlternateContent>
        <mc:AlternateContent xmlns:mc="http://schemas.openxmlformats.org/markup-compatibility/2006">
          <mc:Choice Requires="x14">
            <control shapeId="48233" r:id="rId65" name="Check Box 105">
              <controlPr locked="0" defaultSize="0" autoFill="0" autoLine="0" autoPict="0">
                <anchor moveWithCells="1">
                  <from>
                    <xdr:col>4</xdr:col>
                    <xdr:colOff>9525</xdr:colOff>
                    <xdr:row>487</xdr:row>
                    <xdr:rowOff>171450</xdr:rowOff>
                  </from>
                  <to>
                    <xdr:col>5</xdr:col>
                    <xdr:colOff>104775</xdr:colOff>
                    <xdr:row>489</xdr:row>
                    <xdr:rowOff>9525</xdr:rowOff>
                  </to>
                </anchor>
              </controlPr>
            </control>
          </mc:Choice>
        </mc:AlternateContent>
        <mc:AlternateContent xmlns:mc="http://schemas.openxmlformats.org/markup-compatibility/2006">
          <mc:Choice Requires="x14">
            <control shapeId="48234" r:id="rId66" name="Check Box 106">
              <controlPr locked="0" defaultSize="0" autoFill="0" autoLine="0" autoPict="0">
                <anchor moveWithCells="1">
                  <from>
                    <xdr:col>4</xdr:col>
                    <xdr:colOff>9525</xdr:colOff>
                    <xdr:row>488</xdr:row>
                    <xdr:rowOff>190500</xdr:rowOff>
                  </from>
                  <to>
                    <xdr:col>5</xdr:col>
                    <xdr:colOff>104775</xdr:colOff>
                    <xdr:row>490</xdr:row>
                    <xdr:rowOff>28575</xdr:rowOff>
                  </to>
                </anchor>
              </controlPr>
            </control>
          </mc:Choice>
        </mc:AlternateContent>
        <mc:AlternateContent xmlns:mc="http://schemas.openxmlformats.org/markup-compatibility/2006">
          <mc:Choice Requires="x14">
            <control shapeId="48235" r:id="rId67" name="Check Box 107">
              <controlPr locked="0" defaultSize="0" autoFill="0" autoLine="0" autoPict="0">
                <anchor moveWithCells="1">
                  <from>
                    <xdr:col>4</xdr:col>
                    <xdr:colOff>9525</xdr:colOff>
                    <xdr:row>489</xdr:row>
                    <xdr:rowOff>171450</xdr:rowOff>
                  </from>
                  <to>
                    <xdr:col>5</xdr:col>
                    <xdr:colOff>104775</xdr:colOff>
                    <xdr:row>491</xdr:row>
                    <xdr:rowOff>9525</xdr:rowOff>
                  </to>
                </anchor>
              </controlPr>
            </control>
          </mc:Choice>
        </mc:AlternateContent>
        <mc:AlternateContent xmlns:mc="http://schemas.openxmlformats.org/markup-compatibility/2006">
          <mc:Choice Requires="x14">
            <control shapeId="48236" r:id="rId68" name="Check Box 108">
              <controlPr locked="0" defaultSize="0" autoFill="0" autoLine="0" autoPict="0">
                <anchor moveWithCells="1">
                  <from>
                    <xdr:col>4</xdr:col>
                    <xdr:colOff>9525</xdr:colOff>
                    <xdr:row>490</xdr:row>
                    <xdr:rowOff>180975</xdr:rowOff>
                  </from>
                  <to>
                    <xdr:col>5</xdr:col>
                    <xdr:colOff>104775</xdr:colOff>
                    <xdr:row>492</xdr:row>
                    <xdr:rowOff>19050</xdr:rowOff>
                  </to>
                </anchor>
              </controlPr>
            </control>
          </mc:Choice>
        </mc:AlternateContent>
        <mc:AlternateContent xmlns:mc="http://schemas.openxmlformats.org/markup-compatibility/2006">
          <mc:Choice Requires="x14">
            <control shapeId="48237" r:id="rId69" name="Check Box 109">
              <controlPr locked="0" defaultSize="0" autoFill="0" autoLine="0" autoPict="0">
                <anchor moveWithCells="1">
                  <from>
                    <xdr:col>4</xdr:col>
                    <xdr:colOff>9525</xdr:colOff>
                    <xdr:row>491</xdr:row>
                    <xdr:rowOff>171450</xdr:rowOff>
                  </from>
                  <to>
                    <xdr:col>5</xdr:col>
                    <xdr:colOff>104775</xdr:colOff>
                    <xdr:row>493</xdr:row>
                    <xdr:rowOff>9525</xdr:rowOff>
                  </to>
                </anchor>
              </controlPr>
            </control>
          </mc:Choice>
        </mc:AlternateContent>
        <mc:AlternateContent xmlns:mc="http://schemas.openxmlformats.org/markup-compatibility/2006">
          <mc:Choice Requires="x14">
            <control shapeId="48248" r:id="rId70" name="Check Box 120">
              <controlPr defaultSize="0" autoFill="0" autoLine="0" autoPict="0">
                <anchor moveWithCells="1">
                  <from>
                    <xdr:col>4</xdr:col>
                    <xdr:colOff>9525</xdr:colOff>
                    <xdr:row>498</xdr:row>
                    <xdr:rowOff>9525</xdr:rowOff>
                  </from>
                  <to>
                    <xdr:col>5</xdr:col>
                    <xdr:colOff>104775</xdr:colOff>
                    <xdr:row>499</xdr:row>
                    <xdr:rowOff>38100</xdr:rowOff>
                  </to>
                </anchor>
              </controlPr>
            </control>
          </mc:Choice>
        </mc:AlternateContent>
        <mc:AlternateContent xmlns:mc="http://schemas.openxmlformats.org/markup-compatibility/2006">
          <mc:Choice Requires="x14">
            <control shapeId="48249" r:id="rId71" name="Check Box 121">
              <controlPr defaultSize="0" autoFill="0" autoLine="0" autoPict="0">
                <anchor moveWithCells="1">
                  <from>
                    <xdr:col>4</xdr:col>
                    <xdr:colOff>9525</xdr:colOff>
                    <xdr:row>499</xdr:row>
                    <xdr:rowOff>9525</xdr:rowOff>
                  </from>
                  <to>
                    <xdr:col>5</xdr:col>
                    <xdr:colOff>104775</xdr:colOff>
                    <xdr:row>500</xdr:row>
                    <xdr:rowOff>38100</xdr:rowOff>
                  </to>
                </anchor>
              </controlPr>
            </control>
          </mc:Choice>
        </mc:AlternateContent>
        <mc:AlternateContent xmlns:mc="http://schemas.openxmlformats.org/markup-compatibility/2006">
          <mc:Choice Requires="x14">
            <control shapeId="48250" r:id="rId72" name="Check Box 122">
              <controlPr defaultSize="0" autoFill="0" autoLine="0" autoPict="0">
                <anchor moveWithCells="1">
                  <from>
                    <xdr:col>4</xdr:col>
                    <xdr:colOff>9525</xdr:colOff>
                    <xdr:row>499</xdr:row>
                    <xdr:rowOff>142875</xdr:rowOff>
                  </from>
                  <to>
                    <xdr:col>5</xdr:col>
                    <xdr:colOff>104775</xdr:colOff>
                    <xdr:row>501</xdr:row>
                    <xdr:rowOff>9525</xdr:rowOff>
                  </to>
                </anchor>
              </controlPr>
            </control>
          </mc:Choice>
        </mc:AlternateContent>
        <mc:AlternateContent xmlns:mc="http://schemas.openxmlformats.org/markup-compatibility/2006">
          <mc:Choice Requires="x14">
            <control shapeId="48251" r:id="rId73" name="Check Box 123">
              <controlPr defaultSize="0" autoFill="0" autoLine="0" autoPict="0">
                <anchor moveWithCells="1">
                  <from>
                    <xdr:col>4</xdr:col>
                    <xdr:colOff>9525</xdr:colOff>
                    <xdr:row>501</xdr:row>
                    <xdr:rowOff>9525</xdr:rowOff>
                  </from>
                  <to>
                    <xdr:col>5</xdr:col>
                    <xdr:colOff>104775</xdr:colOff>
                    <xdr:row>502</xdr:row>
                    <xdr:rowOff>38100</xdr:rowOff>
                  </to>
                </anchor>
              </controlPr>
            </control>
          </mc:Choice>
        </mc:AlternateContent>
        <mc:AlternateContent xmlns:mc="http://schemas.openxmlformats.org/markup-compatibility/2006">
          <mc:Choice Requires="x14">
            <control shapeId="48252" r:id="rId74" name="Check Box 124">
              <controlPr defaultSize="0" autoFill="0" autoLine="0" autoPict="0">
                <anchor moveWithCells="1">
                  <from>
                    <xdr:col>4</xdr:col>
                    <xdr:colOff>9525</xdr:colOff>
                    <xdr:row>502</xdr:row>
                    <xdr:rowOff>9525</xdr:rowOff>
                  </from>
                  <to>
                    <xdr:col>5</xdr:col>
                    <xdr:colOff>104775</xdr:colOff>
                    <xdr:row>503</xdr:row>
                    <xdr:rowOff>38100</xdr:rowOff>
                  </to>
                </anchor>
              </controlPr>
            </control>
          </mc:Choice>
        </mc:AlternateContent>
        <mc:AlternateContent xmlns:mc="http://schemas.openxmlformats.org/markup-compatibility/2006">
          <mc:Choice Requires="x14">
            <control shapeId="48253" r:id="rId75" name="Check Box 125">
              <controlPr defaultSize="0" autoFill="0" autoLine="0" autoPict="0">
                <anchor moveWithCells="1">
                  <from>
                    <xdr:col>4</xdr:col>
                    <xdr:colOff>9525</xdr:colOff>
                    <xdr:row>503</xdr:row>
                    <xdr:rowOff>9525</xdr:rowOff>
                  </from>
                  <to>
                    <xdr:col>5</xdr:col>
                    <xdr:colOff>104775</xdr:colOff>
                    <xdr:row>504</xdr:row>
                    <xdr:rowOff>38100</xdr:rowOff>
                  </to>
                </anchor>
              </controlPr>
            </control>
          </mc:Choice>
        </mc:AlternateContent>
        <mc:AlternateContent xmlns:mc="http://schemas.openxmlformats.org/markup-compatibility/2006">
          <mc:Choice Requires="x14">
            <control shapeId="48254" r:id="rId76" name="Check Box 126">
              <controlPr defaultSize="0" autoFill="0" autoLine="0" autoPict="0">
                <anchor moveWithCells="1">
                  <from>
                    <xdr:col>4</xdr:col>
                    <xdr:colOff>9525</xdr:colOff>
                    <xdr:row>504</xdr:row>
                    <xdr:rowOff>9525</xdr:rowOff>
                  </from>
                  <to>
                    <xdr:col>5</xdr:col>
                    <xdr:colOff>104775</xdr:colOff>
                    <xdr:row>505</xdr:row>
                    <xdr:rowOff>38100</xdr:rowOff>
                  </to>
                </anchor>
              </controlPr>
            </control>
          </mc:Choice>
        </mc:AlternateContent>
        <mc:AlternateContent xmlns:mc="http://schemas.openxmlformats.org/markup-compatibility/2006">
          <mc:Choice Requires="x14">
            <control shapeId="48255" r:id="rId77" name="Check Box 127">
              <controlPr defaultSize="0" autoFill="0" autoLine="0" autoPict="0">
                <anchor moveWithCells="1">
                  <from>
                    <xdr:col>4</xdr:col>
                    <xdr:colOff>9525</xdr:colOff>
                    <xdr:row>505</xdr:row>
                    <xdr:rowOff>9525</xdr:rowOff>
                  </from>
                  <to>
                    <xdr:col>5</xdr:col>
                    <xdr:colOff>104775</xdr:colOff>
                    <xdr:row>506</xdr:row>
                    <xdr:rowOff>38100</xdr:rowOff>
                  </to>
                </anchor>
              </controlPr>
            </control>
          </mc:Choice>
        </mc:AlternateContent>
        <mc:AlternateContent xmlns:mc="http://schemas.openxmlformats.org/markup-compatibility/2006">
          <mc:Choice Requires="x14">
            <control shapeId="48256" r:id="rId78" name="Check Box 128">
              <controlPr defaultSize="0" autoFill="0" autoLine="0" autoPict="0">
                <anchor moveWithCells="1">
                  <from>
                    <xdr:col>4</xdr:col>
                    <xdr:colOff>9525</xdr:colOff>
                    <xdr:row>506</xdr:row>
                    <xdr:rowOff>9525</xdr:rowOff>
                  </from>
                  <to>
                    <xdr:col>5</xdr:col>
                    <xdr:colOff>104775</xdr:colOff>
                    <xdr:row>507</xdr:row>
                    <xdr:rowOff>38100</xdr:rowOff>
                  </to>
                </anchor>
              </controlPr>
            </control>
          </mc:Choice>
        </mc:AlternateContent>
        <mc:AlternateContent xmlns:mc="http://schemas.openxmlformats.org/markup-compatibility/2006">
          <mc:Choice Requires="x14">
            <control shapeId="48257" r:id="rId79" name="Check Box 129">
              <controlPr defaultSize="0" autoFill="0" autoLine="0" autoPict="0">
                <anchor moveWithCells="1">
                  <from>
                    <xdr:col>4</xdr:col>
                    <xdr:colOff>9525</xdr:colOff>
                    <xdr:row>507</xdr:row>
                    <xdr:rowOff>9525</xdr:rowOff>
                  </from>
                  <to>
                    <xdr:col>5</xdr:col>
                    <xdr:colOff>104775</xdr:colOff>
                    <xdr:row>508</xdr:row>
                    <xdr:rowOff>38100</xdr:rowOff>
                  </to>
                </anchor>
              </controlPr>
            </control>
          </mc:Choice>
        </mc:AlternateContent>
        <mc:AlternateContent xmlns:mc="http://schemas.openxmlformats.org/markup-compatibility/2006">
          <mc:Choice Requires="x14">
            <control shapeId="48258" r:id="rId80" name="Check Box 130">
              <controlPr defaultSize="0" autoFill="0" autoLine="0" autoPict="0">
                <anchor moveWithCells="1">
                  <from>
                    <xdr:col>4</xdr:col>
                    <xdr:colOff>9525</xdr:colOff>
                    <xdr:row>507</xdr:row>
                    <xdr:rowOff>142875</xdr:rowOff>
                  </from>
                  <to>
                    <xdr:col>5</xdr:col>
                    <xdr:colOff>104775</xdr:colOff>
                    <xdr:row>509</xdr:row>
                    <xdr:rowOff>0</xdr:rowOff>
                  </to>
                </anchor>
              </controlPr>
            </control>
          </mc:Choice>
        </mc:AlternateContent>
        <mc:AlternateContent xmlns:mc="http://schemas.openxmlformats.org/markup-compatibility/2006">
          <mc:Choice Requires="x14">
            <control shapeId="48259" r:id="rId81" name="Group Box 131">
              <controlPr defaultSize="0" autoFill="0" autoPict="0">
                <anchor moveWithCells="1">
                  <from>
                    <xdr:col>11</xdr:col>
                    <xdr:colOff>0</xdr:colOff>
                    <xdr:row>517</xdr:row>
                    <xdr:rowOff>9525</xdr:rowOff>
                  </from>
                  <to>
                    <xdr:col>15</xdr:col>
                    <xdr:colOff>9525</xdr:colOff>
                    <xdr:row>518</xdr:row>
                    <xdr:rowOff>0</xdr:rowOff>
                  </to>
                </anchor>
              </controlPr>
            </control>
          </mc:Choice>
        </mc:AlternateContent>
        <mc:AlternateContent xmlns:mc="http://schemas.openxmlformats.org/markup-compatibility/2006">
          <mc:Choice Requires="x14">
            <control shapeId="48260" r:id="rId82" name="Option Button 132">
              <controlPr defaultSize="0" autoFill="0" autoLine="0" autoPict="0">
                <anchor moveWithCells="1">
                  <from>
                    <xdr:col>11</xdr:col>
                    <xdr:colOff>190500</xdr:colOff>
                    <xdr:row>517</xdr:row>
                    <xdr:rowOff>38100</xdr:rowOff>
                  </from>
                  <to>
                    <xdr:col>13</xdr:col>
                    <xdr:colOff>66675</xdr:colOff>
                    <xdr:row>518</xdr:row>
                    <xdr:rowOff>9525</xdr:rowOff>
                  </to>
                </anchor>
              </controlPr>
            </control>
          </mc:Choice>
        </mc:AlternateContent>
        <mc:AlternateContent xmlns:mc="http://schemas.openxmlformats.org/markup-compatibility/2006">
          <mc:Choice Requires="x14">
            <control shapeId="48261" r:id="rId83" name="Option Button 133">
              <controlPr defaultSize="0" autoFill="0" autoLine="0" autoPict="0">
                <anchor moveWithCells="1">
                  <from>
                    <xdr:col>13</xdr:col>
                    <xdr:colOff>104775</xdr:colOff>
                    <xdr:row>517</xdr:row>
                    <xdr:rowOff>38100</xdr:rowOff>
                  </from>
                  <to>
                    <xdr:col>14</xdr:col>
                    <xdr:colOff>342900</xdr:colOff>
                    <xdr:row>518</xdr:row>
                    <xdr:rowOff>9525</xdr:rowOff>
                  </to>
                </anchor>
              </controlPr>
            </control>
          </mc:Choice>
        </mc:AlternateContent>
        <mc:AlternateContent xmlns:mc="http://schemas.openxmlformats.org/markup-compatibility/2006">
          <mc:Choice Requires="x14">
            <control shapeId="48262" r:id="rId84" name="Group Box 134">
              <controlPr defaultSize="0" autoFill="0" autoPict="0">
                <anchor moveWithCells="1">
                  <from>
                    <xdr:col>1</xdr:col>
                    <xdr:colOff>0</xdr:colOff>
                    <xdr:row>565</xdr:row>
                    <xdr:rowOff>19050</xdr:rowOff>
                  </from>
                  <to>
                    <xdr:col>15</xdr:col>
                    <xdr:colOff>19050</xdr:colOff>
                    <xdr:row>566</xdr:row>
                    <xdr:rowOff>19050</xdr:rowOff>
                  </to>
                </anchor>
              </controlPr>
            </control>
          </mc:Choice>
        </mc:AlternateContent>
        <mc:AlternateContent xmlns:mc="http://schemas.openxmlformats.org/markup-compatibility/2006">
          <mc:Choice Requires="x14">
            <control shapeId="48263" r:id="rId85" name="Option Button 135">
              <controlPr defaultSize="0" autoFill="0" autoLine="0" autoPict="0">
                <anchor moveWithCells="1">
                  <from>
                    <xdr:col>1</xdr:col>
                    <xdr:colOff>57150</xdr:colOff>
                    <xdr:row>565</xdr:row>
                    <xdr:rowOff>28575</xdr:rowOff>
                  </from>
                  <to>
                    <xdr:col>1</xdr:col>
                    <xdr:colOff>628650</xdr:colOff>
                    <xdr:row>566</xdr:row>
                    <xdr:rowOff>19050</xdr:rowOff>
                  </to>
                </anchor>
              </controlPr>
            </control>
          </mc:Choice>
        </mc:AlternateContent>
        <mc:AlternateContent xmlns:mc="http://schemas.openxmlformats.org/markup-compatibility/2006">
          <mc:Choice Requires="x14">
            <control shapeId="48264" r:id="rId86" name="Option Button 136">
              <controlPr defaultSize="0" autoFill="0" autoLine="0" autoPict="0">
                <anchor moveWithCells="1">
                  <from>
                    <xdr:col>1</xdr:col>
                    <xdr:colOff>742950</xdr:colOff>
                    <xdr:row>565</xdr:row>
                    <xdr:rowOff>28575</xdr:rowOff>
                  </from>
                  <to>
                    <xdr:col>14</xdr:col>
                    <xdr:colOff>590550</xdr:colOff>
                    <xdr:row>566</xdr:row>
                    <xdr:rowOff>19050</xdr:rowOff>
                  </to>
                </anchor>
              </controlPr>
            </control>
          </mc:Choice>
        </mc:AlternateContent>
        <mc:AlternateContent xmlns:mc="http://schemas.openxmlformats.org/markup-compatibility/2006">
          <mc:Choice Requires="x14">
            <control shapeId="48299" r:id="rId87" name="Check Box 171">
              <controlPr defaultSize="0" autoFill="0" autoLine="0" autoPict="0">
                <anchor moveWithCells="1">
                  <from>
                    <xdr:col>4</xdr:col>
                    <xdr:colOff>0</xdr:colOff>
                    <xdr:row>105</xdr:row>
                    <xdr:rowOff>152400</xdr:rowOff>
                  </from>
                  <to>
                    <xdr:col>5</xdr:col>
                    <xdr:colOff>95250</xdr:colOff>
                    <xdr:row>107</xdr:row>
                    <xdr:rowOff>28575</xdr:rowOff>
                  </to>
                </anchor>
              </controlPr>
            </control>
          </mc:Choice>
        </mc:AlternateContent>
        <mc:AlternateContent xmlns:mc="http://schemas.openxmlformats.org/markup-compatibility/2006">
          <mc:Choice Requires="x14">
            <control shapeId="48300" r:id="rId88" name="Check Box 172">
              <controlPr defaultSize="0" autoFill="0" autoLine="0" autoPict="0">
                <anchor moveWithCells="1">
                  <from>
                    <xdr:col>4</xdr:col>
                    <xdr:colOff>0</xdr:colOff>
                    <xdr:row>107</xdr:row>
                    <xdr:rowOff>133350</xdr:rowOff>
                  </from>
                  <to>
                    <xdr:col>5</xdr:col>
                    <xdr:colOff>95250</xdr:colOff>
                    <xdr:row>109</xdr:row>
                    <xdr:rowOff>19050</xdr:rowOff>
                  </to>
                </anchor>
              </controlPr>
            </control>
          </mc:Choice>
        </mc:AlternateContent>
        <mc:AlternateContent xmlns:mc="http://schemas.openxmlformats.org/markup-compatibility/2006">
          <mc:Choice Requires="x14">
            <control shapeId="48301" r:id="rId89" name="Check Box 173">
              <controlPr defaultSize="0" autoFill="0" autoLine="0" autoPict="0">
                <anchor moveWithCells="1">
                  <from>
                    <xdr:col>4</xdr:col>
                    <xdr:colOff>0</xdr:colOff>
                    <xdr:row>106</xdr:row>
                    <xdr:rowOff>133350</xdr:rowOff>
                  </from>
                  <to>
                    <xdr:col>5</xdr:col>
                    <xdr:colOff>95250</xdr:colOff>
                    <xdr:row>108</xdr:row>
                    <xdr:rowOff>19050</xdr:rowOff>
                  </to>
                </anchor>
              </controlPr>
            </control>
          </mc:Choice>
        </mc:AlternateContent>
        <mc:AlternateContent xmlns:mc="http://schemas.openxmlformats.org/markup-compatibility/2006">
          <mc:Choice Requires="x14">
            <control shapeId="48304" r:id="rId90" name="Check Box 176">
              <controlPr defaultSize="0" autoFill="0" autoLine="0" autoPict="0">
                <anchor moveWithCells="1">
                  <from>
                    <xdr:col>4</xdr:col>
                    <xdr:colOff>9525</xdr:colOff>
                    <xdr:row>180</xdr:row>
                    <xdr:rowOff>133350</xdr:rowOff>
                  </from>
                  <to>
                    <xdr:col>5</xdr:col>
                    <xdr:colOff>104775</xdr:colOff>
                    <xdr:row>182</xdr:row>
                    <xdr:rowOff>19050</xdr:rowOff>
                  </to>
                </anchor>
              </controlPr>
            </control>
          </mc:Choice>
        </mc:AlternateContent>
        <mc:AlternateContent xmlns:mc="http://schemas.openxmlformats.org/markup-compatibility/2006">
          <mc:Choice Requires="x14">
            <control shapeId="48305" r:id="rId91" name="Check Box 177">
              <controlPr defaultSize="0" autoFill="0" autoLine="0" autoPict="0">
                <anchor moveWithCells="1">
                  <from>
                    <xdr:col>4</xdr:col>
                    <xdr:colOff>0</xdr:colOff>
                    <xdr:row>181</xdr:row>
                    <xdr:rowOff>152400</xdr:rowOff>
                  </from>
                  <to>
                    <xdr:col>5</xdr:col>
                    <xdr:colOff>95250</xdr:colOff>
                    <xdr:row>183</xdr:row>
                    <xdr:rowOff>28575</xdr:rowOff>
                  </to>
                </anchor>
              </controlPr>
            </control>
          </mc:Choice>
        </mc:AlternateContent>
        <mc:AlternateContent xmlns:mc="http://schemas.openxmlformats.org/markup-compatibility/2006">
          <mc:Choice Requires="x14">
            <control shapeId="48306" r:id="rId92" name="Check Box 178">
              <controlPr defaultSize="0" autoFill="0" autoLine="0" autoPict="0">
                <anchor moveWithCells="1">
                  <from>
                    <xdr:col>4</xdr:col>
                    <xdr:colOff>0</xdr:colOff>
                    <xdr:row>183</xdr:row>
                    <xdr:rowOff>133350</xdr:rowOff>
                  </from>
                  <to>
                    <xdr:col>5</xdr:col>
                    <xdr:colOff>95250</xdr:colOff>
                    <xdr:row>185</xdr:row>
                    <xdr:rowOff>19050</xdr:rowOff>
                  </to>
                </anchor>
              </controlPr>
            </control>
          </mc:Choice>
        </mc:AlternateContent>
        <mc:AlternateContent xmlns:mc="http://schemas.openxmlformats.org/markup-compatibility/2006">
          <mc:Choice Requires="x14">
            <control shapeId="48307" r:id="rId93" name="Check Box 179">
              <controlPr defaultSize="0" autoFill="0" autoLine="0" autoPict="0">
                <anchor moveWithCells="1">
                  <from>
                    <xdr:col>4</xdr:col>
                    <xdr:colOff>0</xdr:colOff>
                    <xdr:row>182</xdr:row>
                    <xdr:rowOff>133350</xdr:rowOff>
                  </from>
                  <to>
                    <xdr:col>5</xdr:col>
                    <xdr:colOff>95250</xdr:colOff>
                    <xdr:row>184</xdr:row>
                    <xdr:rowOff>28575</xdr:rowOff>
                  </to>
                </anchor>
              </controlPr>
            </control>
          </mc:Choice>
        </mc:AlternateContent>
        <mc:AlternateContent xmlns:mc="http://schemas.openxmlformats.org/markup-compatibility/2006">
          <mc:Choice Requires="x14">
            <control shapeId="48308" r:id="rId94" name="Check Box 180">
              <controlPr defaultSize="0" autoFill="0" autoLine="0" autoPict="0">
                <anchor moveWithCells="1">
                  <from>
                    <xdr:col>4</xdr:col>
                    <xdr:colOff>9525</xdr:colOff>
                    <xdr:row>256</xdr:row>
                    <xdr:rowOff>114300</xdr:rowOff>
                  </from>
                  <to>
                    <xdr:col>5</xdr:col>
                    <xdr:colOff>104775</xdr:colOff>
                    <xdr:row>258</xdr:row>
                    <xdr:rowOff>28575</xdr:rowOff>
                  </to>
                </anchor>
              </controlPr>
            </control>
          </mc:Choice>
        </mc:AlternateContent>
        <mc:AlternateContent xmlns:mc="http://schemas.openxmlformats.org/markup-compatibility/2006">
          <mc:Choice Requires="x14">
            <control shapeId="48309" r:id="rId95" name="Check Box 181">
              <controlPr defaultSize="0" autoFill="0" autoLine="0" autoPict="0">
                <anchor moveWithCells="1">
                  <from>
                    <xdr:col>4</xdr:col>
                    <xdr:colOff>0</xdr:colOff>
                    <xdr:row>257</xdr:row>
                    <xdr:rowOff>152400</xdr:rowOff>
                  </from>
                  <to>
                    <xdr:col>5</xdr:col>
                    <xdr:colOff>95250</xdr:colOff>
                    <xdr:row>259</xdr:row>
                    <xdr:rowOff>28575</xdr:rowOff>
                  </to>
                </anchor>
              </controlPr>
            </control>
          </mc:Choice>
        </mc:AlternateContent>
        <mc:AlternateContent xmlns:mc="http://schemas.openxmlformats.org/markup-compatibility/2006">
          <mc:Choice Requires="x14">
            <control shapeId="48310" r:id="rId96" name="Check Box 182">
              <controlPr defaultSize="0" autoFill="0" autoLine="0" autoPict="0">
                <anchor moveWithCells="1">
                  <from>
                    <xdr:col>4</xdr:col>
                    <xdr:colOff>0</xdr:colOff>
                    <xdr:row>259</xdr:row>
                    <xdr:rowOff>133350</xdr:rowOff>
                  </from>
                  <to>
                    <xdr:col>5</xdr:col>
                    <xdr:colOff>95250</xdr:colOff>
                    <xdr:row>261</xdr:row>
                    <xdr:rowOff>19050</xdr:rowOff>
                  </to>
                </anchor>
              </controlPr>
            </control>
          </mc:Choice>
        </mc:AlternateContent>
        <mc:AlternateContent xmlns:mc="http://schemas.openxmlformats.org/markup-compatibility/2006">
          <mc:Choice Requires="x14">
            <control shapeId="48311" r:id="rId97" name="Check Box 183">
              <controlPr defaultSize="0" autoFill="0" autoLine="0" autoPict="0">
                <anchor moveWithCells="1">
                  <from>
                    <xdr:col>4</xdr:col>
                    <xdr:colOff>0</xdr:colOff>
                    <xdr:row>258</xdr:row>
                    <xdr:rowOff>123825</xdr:rowOff>
                  </from>
                  <to>
                    <xdr:col>5</xdr:col>
                    <xdr:colOff>95250</xdr:colOff>
                    <xdr:row>260</xdr:row>
                    <xdr:rowOff>19050</xdr:rowOff>
                  </to>
                </anchor>
              </controlPr>
            </control>
          </mc:Choice>
        </mc:AlternateContent>
        <mc:AlternateContent xmlns:mc="http://schemas.openxmlformats.org/markup-compatibility/2006">
          <mc:Choice Requires="x14">
            <control shapeId="48312" r:id="rId98" name="Check Box 184">
              <controlPr defaultSize="0" autoFill="0" autoLine="0" autoPict="0">
                <anchor moveWithCells="1">
                  <from>
                    <xdr:col>4</xdr:col>
                    <xdr:colOff>9525</xdr:colOff>
                    <xdr:row>331</xdr:row>
                    <xdr:rowOff>133350</xdr:rowOff>
                  </from>
                  <to>
                    <xdr:col>5</xdr:col>
                    <xdr:colOff>104775</xdr:colOff>
                    <xdr:row>333</xdr:row>
                    <xdr:rowOff>19050</xdr:rowOff>
                  </to>
                </anchor>
              </controlPr>
            </control>
          </mc:Choice>
        </mc:AlternateContent>
        <mc:AlternateContent xmlns:mc="http://schemas.openxmlformats.org/markup-compatibility/2006">
          <mc:Choice Requires="x14">
            <control shapeId="48313" r:id="rId99" name="Check Box 185">
              <controlPr defaultSize="0" autoFill="0" autoLine="0" autoPict="0">
                <anchor moveWithCells="1">
                  <from>
                    <xdr:col>4</xdr:col>
                    <xdr:colOff>0</xdr:colOff>
                    <xdr:row>332</xdr:row>
                    <xdr:rowOff>142875</xdr:rowOff>
                  </from>
                  <to>
                    <xdr:col>5</xdr:col>
                    <xdr:colOff>95250</xdr:colOff>
                    <xdr:row>334</xdr:row>
                    <xdr:rowOff>19050</xdr:rowOff>
                  </to>
                </anchor>
              </controlPr>
            </control>
          </mc:Choice>
        </mc:AlternateContent>
        <mc:AlternateContent xmlns:mc="http://schemas.openxmlformats.org/markup-compatibility/2006">
          <mc:Choice Requires="x14">
            <control shapeId="48314" r:id="rId100" name="Check Box 186">
              <controlPr defaultSize="0" autoFill="0" autoLine="0" autoPict="0">
                <anchor moveWithCells="1">
                  <from>
                    <xdr:col>4</xdr:col>
                    <xdr:colOff>0</xdr:colOff>
                    <xdr:row>334</xdr:row>
                    <xdr:rowOff>123825</xdr:rowOff>
                  </from>
                  <to>
                    <xdr:col>5</xdr:col>
                    <xdr:colOff>95250</xdr:colOff>
                    <xdr:row>336</xdr:row>
                    <xdr:rowOff>9525</xdr:rowOff>
                  </to>
                </anchor>
              </controlPr>
            </control>
          </mc:Choice>
        </mc:AlternateContent>
        <mc:AlternateContent xmlns:mc="http://schemas.openxmlformats.org/markup-compatibility/2006">
          <mc:Choice Requires="x14">
            <control shapeId="48315" r:id="rId101" name="Check Box 187">
              <controlPr defaultSize="0" autoFill="0" autoLine="0" autoPict="0">
                <anchor moveWithCells="1">
                  <from>
                    <xdr:col>4</xdr:col>
                    <xdr:colOff>0</xdr:colOff>
                    <xdr:row>333</xdr:row>
                    <xdr:rowOff>114300</xdr:rowOff>
                  </from>
                  <to>
                    <xdr:col>5</xdr:col>
                    <xdr:colOff>95250</xdr:colOff>
                    <xdr:row>335</xdr:row>
                    <xdr:rowOff>9525</xdr:rowOff>
                  </to>
                </anchor>
              </controlPr>
            </control>
          </mc:Choice>
        </mc:AlternateContent>
        <mc:AlternateContent xmlns:mc="http://schemas.openxmlformats.org/markup-compatibility/2006">
          <mc:Choice Requires="x14">
            <control shapeId="48606" r:id="rId102" name="Check Box 478">
              <controlPr defaultSize="0" autoFill="0" autoLine="0" autoPict="0">
                <anchor moveWithCells="1">
                  <from>
                    <xdr:col>7</xdr:col>
                    <xdr:colOff>47625</xdr:colOff>
                    <xdr:row>584</xdr:row>
                    <xdr:rowOff>19050</xdr:rowOff>
                  </from>
                  <to>
                    <xdr:col>8</xdr:col>
                    <xdr:colOff>66675</xdr:colOff>
                    <xdr:row>585</xdr:row>
                    <xdr:rowOff>9525</xdr:rowOff>
                  </to>
                </anchor>
              </controlPr>
            </control>
          </mc:Choice>
        </mc:AlternateContent>
        <mc:AlternateContent xmlns:mc="http://schemas.openxmlformats.org/markup-compatibility/2006">
          <mc:Choice Requires="x14">
            <control shapeId="48617" r:id="rId103" name="Check Box 489">
              <controlPr defaultSize="0" autoFill="0" autoLine="0" autoPict="0">
                <anchor moveWithCells="1">
                  <from>
                    <xdr:col>6</xdr:col>
                    <xdr:colOff>133350</xdr:colOff>
                    <xdr:row>422</xdr:row>
                    <xdr:rowOff>28575</xdr:rowOff>
                  </from>
                  <to>
                    <xdr:col>7</xdr:col>
                    <xdr:colOff>219075</xdr:colOff>
                    <xdr:row>423</xdr:row>
                    <xdr:rowOff>19050</xdr:rowOff>
                  </to>
                </anchor>
              </controlPr>
            </control>
          </mc:Choice>
        </mc:AlternateContent>
        <mc:AlternateContent xmlns:mc="http://schemas.openxmlformats.org/markup-compatibility/2006">
          <mc:Choice Requires="x14">
            <control shapeId="48647" r:id="rId104" name="Label 519">
              <controlPr defaultSize="0" autoFill="0" autoLine="0" autoPict="0">
                <anchor moveWithCells="1" sizeWithCells="1">
                  <from>
                    <xdr:col>1</xdr:col>
                    <xdr:colOff>200025</xdr:colOff>
                    <xdr:row>466</xdr:row>
                    <xdr:rowOff>9525</xdr:rowOff>
                  </from>
                  <to>
                    <xdr:col>1</xdr:col>
                    <xdr:colOff>819150</xdr:colOff>
                    <xdr:row>466</xdr:row>
                    <xdr:rowOff>152400</xdr:rowOff>
                  </to>
                </anchor>
              </controlPr>
            </control>
          </mc:Choice>
        </mc:AlternateContent>
        <mc:AlternateContent xmlns:mc="http://schemas.openxmlformats.org/markup-compatibility/2006">
          <mc:Choice Requires="x14">
            <control shapeId="48649" r:id="rId105" name="Check Box 521">
              <controlPr locked="0" defaultSize="0" autoFill="0" autoLine="0" autoPict="0">
                <anchor moveWithCells="1">
                  <from>
                    <xdr:col>4</xdr:col>
                    <xdr:colOff>9525</xdr:colOff>
                    <xdr:row>470</xdr:row>
                    <xdr:rowOff>180975</xdr:rowOff>
                  </from>
                  <to>
                    <xdr:col>5</xdr:col>
                    <xdr:colOff>104775</xdr:colOff>
                    <xdr:row>472</xdr:row>
                    <xdr:rowOff>19050</xdr:rowOff>
                  </to>
                </anchor>
              </controlPr>
            </control>
          </mc:Choice>
        </mc:AlternateContent>
        <mc:AlternateContent xmlns:mc="http://schemas.openxmlformats.org/markup-compatibility/2006">
          <mc:Choice Requires="x14">
            <control shapeId="48174" r:id="rId106" name="Group Box 46">
              <controlPr defaultSize="0" autoFill="0" autoPict="0">
                <anchor moveWithCells="1" sizeWithCells="1">
                  <from>
                    <xdr:col>2</xdr:col>
                    <xdr:colOff>0</xdr:colOff>
                    <xdr:row>411</xdr:row>
                    <xdr:rowOff>0</xdr:rowOff>
                  </from>
                  <to>
                    <xdr:col>15</xdr:col>
                    <xdr:colOff>0</xdr:colOff>
                    <xdr:row>412</xdr:row>
                    <xdr:rowOff>0</xdr:rowOff>
                  </to>
                </anchor>
              </controlPr>
            </control>
          </mc:Choice>
        </mc:AlternateContent>
        <mc:AlternateContent xmlns:mc="http://schemas.openxmlformats.org/markup-compatibility/2006">
          <mc:Choice Requires="x14">
            <control shapeId="48175" r:id="rId107" name="Option Button 47">
              <controlPr defaultSize="0" autoFill="0" autoLine="0" autoPict="0">
                <anchor moveWithCells="1" sizeWithCells="1">
                  <from>
                    <xdr:col>2</xdr:col>
                    <xdr:colOff>0</xdr:colOff>
                    <xdr:row>411</xdr:row>
                    <xdr:rowOff>19050</xdr:rowOff>
                  </from>
                  <to>
                    <xdr:col>5</xdr:col>
                    <xdr:colOff>9525</xdr:colOff>
                    <xdr:row>411</xdr:row>
                    <xdr:rowOff>238125</xdr:rowOff>
                  </to>
                </anchor>
              </controlPr>
            </control>
          </mc:Choice>
        </mc:AlternateContent>
        <mc:AlternateContent xmlns:mc="http://schemas.openxmlformats.org/markup-compatibility/2006">
          <mc:Choice Requires="x14">
            <control shapeId="48176" r:id="rId108" name="Option Button 48">
              <controlPr defaultSize="0" autoFill="0" autoLine="0" autoPict="0">
                <anchor moveWithCells="1" sizeWithCells="1">
                  <from>
                    <xdr:col>5</xdr:col>
                    <xdr:colOff>76200</xdr:colOff>
                    <xdr:row>411</xdr:row>
                    <xdr:rowOff>19050</xdr:rowOff>
                  </from>
                  <to>
                    <xdr:col>10</xdr:col>
                    <xdr:colOff>57150</xdr:colOff>
                    <xdr:row>411</xdr:row>
                    <xdr:rowOff>238125</xdr:rowOff>
                  </to>
                </anchor>
              </controlPr>
            </control>
          </mc:Choice>
        </mc:AlternateContent>
        <mc:AlternateContent xmlns:mc="http://schemas.openxmlformats.org/markup-compatibility/2006">
          <mc:Choice Requires="x14">
            <control shapeId="48177" r:id="rId109" name="Option Button 49">
              <controlPr defaultSize="0" autoFill="0" autoLine="0" autoPict="0">
                <anchor moveWithCells="1" sizeWithCells="1">
                  <from>
                    <xdr:col>11</xdr:col>
                    <xdr:colOff>104775</xdr:colOff>
                    <xdr:row>411</xdr:row>
                    <xdr:rowOff>19050</xdr:rowOff>
                  </from>
                  <to>
                    <xdr:col>14</xdr:col>
                    <xdr:colOff>495300</xdr:colOff>
                    <xdr:row>411</xdr:row>
                    <xdr:rowOff>238125</xdr:rowOff>
                  </to>
                </anchor>
              </controlPr>
            </control>
          </mc:Choice>
        </mc:AlternateContent>
        <mc:AlternateContent xmlns:mc="http://schemas.openxmlformats.org/markup-compatibility/2006">
          <mc:Choice Requires="x14">
            <control shapeId="48179" r:id="rId110" name="Group Box 51">
              <controlPr defaultSize="0" autoFill="0" autoPict="0">
                <anchor moveWithCells="1" sizeWithCells="1">
                  <from>
                    <xdr:col>2</xdr:col>
                    <xdr:colOff>0</xdr:colOff>
                    <xdr:row>412</xdr:row>
                    <xdr:rowOff>0</xdr:rowOff>
                  </from>
                  <to>
                    <xdr:col>15</xdr:col>
                    <xdr:colOff>0</xdr:colOff>
                    <xdr:row>413</xdr:row>
                    <xdr:rowOff>0</xdr:rowOff>
                  </to>
                </anchor>
              </controlPr>
            </control>
          </mc:Choice>
        </mc:AlternateContent>
        <mc:AlternateContent xmlns:mc="http://schemas.openxmlformats.org/markup-compatibility/2006">
          <mc:Choice Requires="x14">
            <control shapeId="48180" r:id="rId111" name="Option Button 52">
              <controlPr defaultSize="0" autoFill="0" autoLine="0" autoPict="0">
                <anchor moveWithCells="1" sizeWithCells="1">
                  <from>
                    <xdr:col>2</xdr:col>
                    <xdr:colOff>0</xdr:colOff>
                    <xdr:row>412</xdr:row>
                    <xdr:rowOff>19050</xdr:rowOff>
                  </from>
                  <to>
                    <xdr:col>5</xdr:col>
                    <xdr:colOff>9525</xdr:colOff>
                    <xdr:row>412</xdr:row>
                    <xdr:rowOff>238125</xdr:rowOff>
                  </to>
                </anchor>
              </controlPr>
            </control>
          </mc:Choice>
        </mc:AlternateContent>
        <mc:AlternateContent xmlns:mc="http://schemas.openxmlformats.org/markup-compatibility/2006">
          <mc:Choice Requires="x14">
            <control shapeId="48181" r:id="rId112" name="Option Button 53">
              <controlPr defaultSize="0" autoFill="0" autoLine="0" autoPict="0">
                <anchor moveWithCells="1" sizeWithCells="1">
                  <from>
                    <xdr:col>5</xdr:col>
                    <xdr:colOff>76200</xdr:colOff>
                    <xdr:row>412</xdr:row>
                    <xdr:rowOff>19050</xdr:rowOff>
                  </from>
                  <to>
                    <xdr:col>10</xdr:col>
                    <xdr:colOff>19050</xdr:colOff>
                    <xdr:row>412</xdr:row>
                    <xdr:rowOff>238125</xdr:rowOff>
                  </to>
                </anchor>
              </controlPr>
            </control>
          </mc:Choice>
        </mc:AlternateContent>
        <mc:AlternateContent xmlns:mc="http://schemas.openxmlformats.org/markup-compatibility/2006">
          <mc:Choice Requires="x14">
            <control shapeId="48182" r:id="rId113" name="Option Button 54">
              <controlPr defaultSize="0" autoFill="0" autoLine="0" autoPict="0">
                <anchor moveWithCells="1" sizeWithCells="1">
                  <from>
                    <xdr:col>11</xdr:col>
                    <xdr:colOff>104775</xdr:colOff>
                    <xdr:row>412</xdr:row>
                    <xdr:rowOff>19050</xdr:rowOff>
                  </from>
                  <to>
                    <xdr:col>14</xdr:col>
                    <xdr:colOff>495300</xdr:colOff>
                    <xdr:row>412</xdr:row>
                    <xdr:rowOff>238125</xdr:rowOff>
                  </to>
                </anchor>
              </controlPr>
            </control>
          </mc:Choice>
        </mc:AlternateContent>
        <mc:AlternateContent xmlns:mc="http://schemas.openxmlformats.org/markup-compatibility/2006">
          <mc:Choice Requires="x14">
            <control shapeId="48184" r:id="rId114" name="Group Box 56">
              <controlPr defaultSize="0" autoFill="0" autoPict="0">
                <anchor moveWithCells="1" sizeWithCells="1">
                  <from>
                    <xdr:col>2</xdr:col>
                    <xdr:colOff>0</xdr:colOff>
                    <xdr:row>414</xdr:row>
                    <xdr:rowOff>0</xdr:rowOff>
                  </from>
                  <to>
                    <xdr:col>15</xdr:col>
                    <xdr:colOff>0</xdr:colOff>
                    <xdr:row>415</xdr:row>
                    <xdr:rowOff>0</xdr:rowOff>
                  </to>
                </anchor>
              </controlPr>
            </control>
          </mc:Choice>
        </mc:AlternateContent>
        <mc:AlternateContent xmlns:mc="http://schemas.openxmlformats.org/markup-compatibility/2006">
          <mc:Choice Requires="x14">
            <control shapeId="48185" r:id="rId115" name="Option Button 57">
              <controlPr defaultSize="0" autoFill="0" autoLine="0" autoPict="0">
                <anchor moveWithCells="1" sizeWithCells="1">
                  <from>
                    <xdr:col>2</xdr:col>
                    <xdr:colOff>0</xdr:colOff>
                    <xdr:row>414</xdr:row>
                    <xdr:rowOff>19050</xdr:rowOff>
                  </from>
                  <to>
                    <xdr:col>4</xdr:col>
                    <xdr:colOff>190500</xdr:colOff>
                    <xdr:row>414</xdr:row>
                    <xdr:rowOff>238125</xdr:rowOff>
                  </to>
                </anchor>
              </controlPr>
            </control>
          </mc:Choice>
        </mc:AlternateContent>
        <mc:AlternateContent xmlns:mc="http://schemas.openxmlformats.org/markup-compatibility/2006">
          <mc:Choice Requires="x14">
            <control shapeId="48186" r:id="rId116" name="Option Button 58">
              <controlPr defaultSize="0" autoFill="0" autoLine="0" autoPict="0">
                <anchor moveWithCells="1" sizeWithCells="1">
                  <from>
                    <xdr:col>5</xdr:col>
                    <xdr:colOff>76200</xdr:colOff>
                    <xdr:row>414</xdr:row>
                    <xdr:rowOff>19050</xdr:rowOff>
                  </from>
                  <to>
                    <xdr:col>10</xdr:col>
                    <xdr:colOff>190500</xdr:colOff>
                    <xdr:row>414</xdr:row>
                    <xdr:rowOff>238125</xdr:rowOff>
                  </to>
                </anchor>
              </controlPr>
            </control>
          </mc:Choice>
        </mc:AlternateContent>
        <mc:AlternateContent xmlns:mc="http://schemas.openxmlformats.org/markup-compatibility/2006">
          <mc:Choice Requires="x14">
            <control shapeId="48187" r:id="rId117" name="Option Button 59">
              <controlPr defaultSize="0" autoFill="0" autoLine="0" autoPict="0">
                <anchor moveWithCells="1" sizeWithCells="1">
                  <from>
                    <xdr:col>11</xdr:col>
                    <xdr:colOff>95250</xdr:colOff>
                    <xdr:row>414</xdr:row>
                    <xdr:rowOff>19050</xdr:rowOff>
                  </from>
                  <to>
                    <xdr:col>14</xdr:col>
                    <xdr:colOff>571500</xdr:colOff>
                    <xdr:row>414</xdr:row>
                    <xdr:rowOff>238125</xdr:rowOff>
                  </to>
                </anchor>
              </controlPr>
            </control>
          </mc:Choice>
        </mc:AlternateContent>
        <mc:AlternateContent xmlns:mc="http://schemas.openxmlformats.org/markup-compatibility/2006">
          <mc:Choice Requires="x14">
            <control shapeId="48189" r:id="rId118" name="Group Box 61">
              <controlPr defaultSize="0" autoFill="0" autoPict="0">
                <anchor moveWithCells="1" sizeWithCells="1">
                  <from>
                    <xdr:col>2</xdr:col>
                    <xdr:colOff>0</xdr:colOff>
                    <xdr:row>415</xdr:row>
                    <xdr:rowOff>0</xdr:rowOff>
                  </from>
                  <to>
                    <xdr:col>15</xdr:col>
                    <xdr:colOff>0</xdr:colOff>
                    <xdr:row>416</xdr:row>
                    <xdr:rowOff>0</xdr:rowOff>
                  </to>
                </anchor>
              </controlPr>
            </control>
          </mc:Choice>
        </mc:AlternateContent>
        <mc:AlternateContent xmlns:mc="http://schemas.openxmlformats.org/markup-compatibility/2006">
          <mc:Choice Requires="x14">
            <control shapeId="48190" r:id="rId119" name="Option Button 62">
              <controlPr defaultSize="0" autoFill="0" autoLine="0" autoPict="0">
                <anchor moveWithCells="1" sizeWithCells="1">
                  <from>
                    <xdr:col>2</xdr:col>
                    <xdr:colOff>0</xdr:colOff>
                    <xdr:row>415</xdr:row>
                    <xdr:rowOff>19050</xdr:rowOff>
                  </from>
                  <to>
                    <xdr:col>4</xdr:col>
                    <xdr:colOff>190500</xdr:colOff>
                    <xdr:row>415</xdr:row>
                    <xdr:rowOff>238125</xdr:rowOff>
                  </to>
                </anchor>
              </controlPr>
            </control>
          </mc:Choice>
        </mc:AlternateContent>
        <mc:AlternateContent xmlns:mc="http://schemas.openxmlformats.org/markup-compatibility/2006">
          <mc:Choice Requires="x14">
            <control shapeId="48191" r:id="rId120" name="Option Button 63">
              <controlPr defaultSize="0" autoFill="0" autoLine="0" autoPict="0">
                <anchor moveWithCells="1" sizeWithCells="1">
                  <from>
                    <xdr:col>5</xdr:col>
                    <xdr:colOff>76200</xdr:colOff>
                    <xdr:row>415</xdr:row>
                    <xdr:rowOff>19050</xdr:rowOff>
                  </from>
                  <to>
                    <xdr:col>10</xdr:col>
                    <xdr:colOff>219075</xdr:colOff>
                    <xdr:row>415</xdr:row>
                    <xdr:rowOff>238125</xdr:rowOff>
                  </to>
                </anchor>
              </controlPr>
            </control>
          </mc:Choice>
        </mc:AlternateContent>
        <mc:AlternateContent xmlns:mc="http://schemas.openxmlformats.org/markup-compatibility/2006">
          <mc:Choice Requires="x14">
            <control shapeId="48192" r:id="rId121" name="Option Button 64">
              <controlPr defaultSize="0" autoFill="0" autoLine="0" autoPict="0">
                <anchor moveWithCells="1" sizeWithCells="1">
                  <from>
                    <xdr:col>11</xdr:col>
                    <xdr:colOff>95250</xdr:colOff>
                    <xdr:row>415</xdr:row>
                    <xdr:rowOff>19050</xdr:rowOff>
                  </from>
                  <to>
                    <xdr:col>14</xdr:col>
                    <xdr:colOff>571500</xdr:colOff>
                    <xdr:row>415</xdr:row>
                    <xdr:rowOff>238125</xdr:rowOff>
                  </to>
                </anchor>
              </controlPr>
            </control>
          </mc:Choice>
        </mc:AlternateContent>
        <mc:AlternateContent xmlns:mc="http://schemas.openxmlformats.org/markup-compatibility/2006">
          <mc:Choice Requires="x14">
            <control shapeId="48239" r:id="rId122" name="Group Box 111">
              <controlPr defaultSize="0" autoFill="0" autoPict="0">
                <anchor moveWithCells="1" sizeWithCells="1">
                  <from>
                    <xdr:col>1</xdr:col>
                    <xdr:colOff>0</xdr:colOff>
                    <xdr:row>482</xdr:row>
                    <xdr:rowOff>0</xdr:rowOff>
                  </from>
                  <to>
                    <xdr:col>4</xdr:col>
                    <xdr:colOff>0</xdr:colOff>
                    <xdr:row>495</xdr:row>
                    <xdr:rowOff>0</xdr:rowOff>
                  </to>
                </anchor>
              </controlPr>
            </control>
          </mc:Choice>
        </mc:AlternateContent>
        <mc:AlternateContent xmlns:mc="http://schemas.openxmlformats.org/markup-compatibility/2006">
          <mc:Choice Requires="x14">
            <control shapeId="48240" r:id="rId123" name="Option Button 112">
              <controlPr defaultSize="0" autoFill="0" autoLine="0" autoPict="0">
                <anchor moveWithCells="1" sizeWithCells="1">
                  <from>
                    <xdr:col>1</xdr:col>
                    <xdr:colOff>28575</xdr:colOff>
                    <xdr:row>483</xdr:row>
                    <xdr:rowOff>38100</xdr:rowOff>
                  </from>
                  <to>
                    <xdr:col>3</xdr:col>
                    <xdr:colOff>180975</xdr:colOff>
                    <xdr:row>484</xdr:row>
                    <xdr:rowOff>104775</xdr:rowOff>
                  </to>
                </anchor>
              </controlPr>
            </control>
          </mc:Choice>
        </mc:AlternateContent>
        <mc:AlternateContent xmlns:mc="http://schemas.openxmlformats.org/markup-compatibility/2006">
          <mc:Choice Requires="x14">
            <control shapeId="48241" r:id="rId124" name="Option Button 113">
              <controlPr defaultSize="0" autoFill="0" autoLine="0" autoPict="0">
                <anchor moveWithCells="1" sizeWithCells="1">
                  <from>
                    <xdr:col>1</xdr:col>
                    <xdr:colOff>28575</xdr:colOff>
                    <xdr:row>484</xdr:row>
                    <xdr:rowOff>133350</xdr:rowOff>
                  </from>
                  <to>
                    <xdr:col>3</xdr:col>
                    <xdr:colOff>171450</xdr:colOff>
                    <xdr:row>486</xdr:row>
                    <xdr:rowOff>19050</xdr:rowOff>
                  </to>
                </anchor>
              </controlPr>
            </control>
          </mc:Choice>
        </mc:AlternateContent>
        <mc:AlternateContent xmlns:mc="http://schemas.openxmlformats.org/markup-compatibility/2006">
          <mc:Choice Requires="x14">
            <control shapeId="48242" r:id="rId125" name="Option Button 114">
              <controlPr defaultSize="0" autoFill="0" autoLine="0" autoPict="0">
                <anchor moveWithCells="1" sizeWithCells="1">
                  <from>
                    <xdr:col>1</xdr:col>
                    <xdr:colOff>28575</xdr:colOff>
                    <xdr:row>486</xdr:row>
                    <xdr:rowOff>38100</xdr:rowOff>
                  </from>
                  <to>
                    <xdr:col>3</xdr:col>
                    <xdr:colOff>133350</xdr:colOff>
                    <xdr:row>487</xdr:row>
                    <xdr:rowOff>104775</xdr:rowOff>
                  </to>
                </anchor>
              </controlPr>
            </control>
          </mc:Choice>
        </mc:AlternateContent>
        <mc:AlternateContent xmlns:mc="http://schemas.openxmlformats.org/markup-compatibility/2006">
          <mc:Choice Requires="x14">
            <control shapeId="48244" r:id="rId126" name="Group Box 116">
              <controlPr defaultSize="0" autoFill="0" autoPict="0">
                <anchor moveWithCells="1" sizeWithCells="1">
                  <from>
                    <xdr:col>0</xdr:col>
                    <xdr:colOff>95250</xdr:colOff>
                    <xdr:row>498</xdr:row>
                    <xdr:rowOff>0</xdr:rowOff>
                  </from>
                  <to>
                    <xdr:col>4</xdr:col>
                    <xdr:colOff>0</xdr:colOff>
                    <xdr:row>509</xdr:row>
                    <xdr:rowOff>0</xdr:rowOff>
                  </to>
                </anchor>
              </controlPr>
            </control>
          </mc:Choice>
        </mc:AlternateContent>
        <mc:AlternateContent xmlns:mc="http://schemas.openxmlformats.org/markup-compatibility/2006">
          <mc:Choice Requires="x14">
            <control shapeId="48245" r:id="rId127" name="Option Button 117">
              <controlPr defaultSize="0" autoFill="0" autoLine="0" autoPict="0">
                <anchor moveWithCells="1" sizeWithCells="1">
                  <from>
                    <xdr:col>1</xdr:col>
                    <xdr:colOff>19050</xdr:colOff>
                    <xdr:row>499</xdr:row>
                    <xdr:rowOff>9525</xdr:rowOff>
                  </from>
                  <to>
                    <xdr:col>3</xdr:col>
                    <xdr:colOff>209550</xdr:colOff>
                    <xdr:row>500</xdr:row>
                    <xdr:rowOff>66675</xdr:rowOff>
                  </to>
                </anchor>
              </controlPr>
            </control>
          </mc:Choice>
        </mc:AlternateContent>
        <mc:AlternateContent xmlns:mc="http://schemas.openxmlformats.org/markup-compatibility/2006">
          <mc:Choice Requires="x14">
            <control shapeId="48246" r:id="rId128" name="Option Button 118">
              <controlPr defaultSize="0" autoFill="0" autoLine="0" autoPict="0">
                <anchor moveWithCells="1" sizeWithCells="1">
                  <from>
                    <xdr:col>1</xdr:col>
                    <xdr:colOff>19050</xdr:colOff>
                    <xdr:row>500</xdr:row>
                    <xdr:rowOff>104775</xdr:rowOff>
                  </from>
                  <to>
                    <xdr:col>3</xdr:col>
                    <xdr:colOff>209550</xdr:colOff>
                    <xdr:row>501</xdr:row>
                    <xdr:rowOff>9525</xdr:rowOff>
                  </to>
                </anchor>
              </controlPr>
            </control>
          </mc:Choice>
        </mc:AlternateContent>
        <mc:AlternateContent xmlns:mc="http://schemas.openxmlformats.org/markup-compatibility/2006">
          <mc:Choice Requires="x14">
            <control shapeId="48247" r:id="rId129" name="Option Button 119">
              <controlPr defaultSize="0" autoFill="0" autoLine="0" autoPict="0">
                <anchor moveWithCells="1" sizeWithCells="1">
                  <from>
                    <xdr:col>1</xdr:col>
                    <xdr:colOff>28575</xdr:colOff>
                    <xdr:row>501</xdr:row>
                    <xdr:rowOff>66675</xdr:rowOff>
                  </from>
                  <to>
                    <xdr:col>3</xdr:col>
                    <xdr:colOff>219075</xdr:colOff>
                    <xdr:row>502</xdr:row>
                    <xdr:rowOff>123825</xdr:rowOff>
                  </to>
                </anchor>
              </controlPr>
            </control>
          </mc:Choice>
        </mc:AlternateContent>
        <mc:AlternateContent xmlns:mc="http://schemas.openxmlformats.org/markup-compatibility/2006">
          <mc:Choice Requires="x14">
            <control shapeId="48266" r:id="rId130" name="Group Box 138">
              <controlPr defaultSize="0" autoFill="0" autoPict="0">
                <anchor moveWithCells="1" sizeWithCells="1">
                  <from>
                    <xdr:col>2</xdr:col>
                    <xdr:colOff>0</xdr:colOff>
                    <xdr:row>586</xdr:row>
                    <xdr:rowOff>0</xdr:rowOff>
                  </from>
                  <to>
                    <xdr:col>15</xdr:col>
                    <xdr:colOff>0</xdr:colOff>
                    <xdr:row>587</xdr:row>
                    <xdr:rowOff>0</xdr:rowOff>
                  </to>
                </anchor>
              </controlPr>
            </control>
          </mc:Choice>
        </mc:AlternateContent>
        <mc:AlternateContent xmlns:mc="http://schemas.openxmlformats.org/markup-compatibility/2006">
          <mc:Choice Requires="x14">
            <control shapeId="48267" r:id="rId131" name="Option Button 139">
              <controlPr defaultSize="0" autoFill="0" autoLine="0" autoPict="0">
                <anchor moveWithCells="1" sizeWithCells="1">
                  <from>
                    <xdr:col>2</xdr:col>
                    <xdr:colOff>19050</xdr:colOff>
                    <xdr:row>586</xdr:row>
                    <xdr:rowOff>123825</xdr:rowOff>
                  </from>
                  <to>
                    <xdr:col>3</xdr:col>
                    <xdr:colOff>190500</xdr:colOff>
                    <xdr:row>586</xdr:row>
                    <xdr:rowOff>342900</xdr:rowOff>
                  </to>
                </anchor>
              </controlPr>
            </control>
          </mc:Choice>
        </mc:AlternateContent>
        <mc:AlternateContent xmlns:mc="http://schemas.openxmlformats.org/markup-compatibility/2006">
          <mc:Choice Requires="x14">
            <control shapeId="48268" r:id="rId132" name="Option Button 140">
              <controlPr defaultSize="0" autoFill="0" autoLine="0" autoPict="0">
                <anchor moveWithCells="1" sizeWithCells="1">
                  <from>
                    <xdr:col>4</xdr:col>
                    <xdr:colOff>180975</xdr:colOff>
                    <xdr:row>586</xdr:row>
                    <xdr:rowOff>0</xdr:rowOff>
                  </from>
                  <to>
                    <xdr:col>14</xdr:col>
                    <xdr:colOff>47625</xdr:colOff>
                    <xdr:row>586</xdr:row>
                    <xdr:rowOff>219075</xdr:rowOff>
                  </to>
                </anchor>
              </controlPr>
            </control>
          </mc:Choice>
        </mc:AlternateContent>
        <mc:AlternateContent xmlns:mc="http://schemas.openxmlformats.org/markup-compatibility/2006">
          <mc:Choice Requires="x14">
            <control shapeId="48269" r:id="rId133" name="Option Button 141">
              <controlPr defaultSize="0" autoFill="0" autoLine="0" autoPict="0">
                <anchor moveWithCells="1" sizeWithCells="1">
                  <from>
                    <xdr:col>4</xdr:col>
                    <xdr:colOff>180975</xdr:colOff>
                    <xdr:row>586</xdr:row>
                    <xdr:rowOff>228600</xdr:rowOff>
                  </from>
                  <to>
                    <xdr:col>14</xdr:col>
                    <xdr:colOff>409575</xdr:colOff>
                    <xdr:row>586</xdr:row>
                    <xdr:rowOff>447675</xdr:rowOff>
                  </to>
                </anchor>
              </controlPr>
            </control>
          </mc:Choice>
        </mc:AlternateContent>
        <mc:AlternateContent xmlns:mc="http://schemas.openxmlformats.org/markup-compatibility/2006">
          <mc:Choice Requires="x14">
            <control shapeId="48271" r:id="rId134" name="Group Box 143">
              <controlPr defaultSize="0" autoFill="0" autoPict="0">
                <anchor moveWithCells="1" sizeWithCells="1">
                  <from>
                    <xdr:col>2</xdr:col>
                    <xdr:colOff>0</xdr:colOff>
                    <xdr:row>587</xdr:row>
                    <xdr:rowOff>0</xdr:rowOff>
                  </from>
                  <to>
                    <xdr:col>15</xdr:col>
                    <xdr:colOff>0</xdr:colOff>
                    <xdr:row>588</xdr:row>
                    <xdr:rowOff>0</xdr:rowOff>
                  </to>
                </anchor>
              </controlPr>
            </control>
          </mc:Choice>
        </mc:AlternateContent>
        <mc:AlternateContent xmlns:mc="http://schemas.openxmlformats.org/markup-compatibility/2006">
          <mc:Choice Requires="x14">
            <control shapeId="48272" r:id="rId135" name="Option Button 144">
              <controlPr defaultSize="0" autoFill="0" autoLine="0" autoPict="0">
                <anchor moveWithCells="1" sizeWithCells="1">
                  <from>
                    <xdr:col>2</xdr:col>
                    <xdr:colOff>19050</xdr:colOff>
                    <xdr:row>587</xdr:row>
                    <xdr:rowOff>9525</xdr:rowOff>
                  </from>
                  <to>
                    <xdr:col>3</xdr:col>
                    <xdr:colOff>238125</xdr:colOff>
                    <xdr:row>587</xdr:row>
                    <xdr:rowOff>228600</xdr:rowOff>
                  </to>
                </anchor>
              </controlPr>
            </control>
          </mc:Choice>
        </mc:AlternateContent>
        <mc:AlternateContent xmlns:mc="http://schemas.openxmlformats.org/markup-compatibility/2006">
          <mc:Choice Requires="x14">
            <control shapeId="48273" r:id="rId136" name="Option Button 145">
              <controlPr defaultSize="0" autoFill="0" autoLine="0" autoPict="0">
                <anchor moveWithCells="1" sizeWithCells="1">
                  <from>
                    <xdr:col>4</xdr:col>
                    <xdr:colOff>180975</xdr:colOff>
                    <xdr:row>587</xdr:row>
                    <xdr:rowOff>19050</xdr:rowOff>
                  </from>
                  <to>
                    <xdr:col>14</xdr:col>
                    <xdr:colOff>266700</xdr:colOff>
                    <xdr:row>587</xdr:row>
                    <xdr:rowOff>238125</xdr:rowOff>
                  </to>
                </anchor>
              </controlPr>
            </control>
          </mc:Choice>
        </mc:AlternateContent>
        <mc:AlternateContent xmlns:mc="http://schemas.openxmlformats.org/markup-compatibility/2006">
          <mc:Choice Requires="x14">
            <control shapeId="48275" r:id="rId137" name="Group Box 147">
              <controlPr defaultSize="0" autoFill="0" autoPict="0">
                <anchor moveWithCells="1" sizeWithCells="1">
                  <from>
                    <xdr:col>2</xdr:col>
                    <xdr:colOff>0</xdr:colOff>
                    <xdr:row>588</xdr:row>
                    <xdr:rowOff>0</xdr:rowOff>
                  </from>
                  <to>
                    <xdr:col>15</xdr:col>
                    <xdr:colOff>0</xdr:colOff>
                    <xdr:row>589</xdr:row>
                    <xdr:rowOff>0</xdr:rowOff>
                  </to>
                </anchor>
              </controlPr>
            </control>
          </mc:Choice>
        </mc:AlternateContent>
        <mc:AlternateContent xmlns:mc="http://schemas.openxmlformats.org/markup-compatibility/2006">
          <mc:Choice Requires="x14">
            <control shapeId="48276" r:id="rId138" name="Option Button 148">
              <controlPr defaultSize="0" autoFill="0" autoLine="0" autoPict="0">
                <anchor moveWithCells="1" sizeWithCells="1">
                  <from>
                    <xdr:col>2</xdr:col>
                    <xdr:colOff>19050</xdr:colOff>
                    <xdr:row>588</xdr:row>
                    <xdr:rowOff>9525</xdr:rowOff>
                  </from>
                  <to>
                    <xdr:col>4</xdr:col>
                    <xdr:colOff>95250</xdr:colOff>
                    <xdr:row>588</xdr:row>
                    <xdr:rowOff>228600</xdr:rowOff>
                  </to>
                </anchor>
              </controlPr>
            </control>
          </mc:Choice>
        </mc:AlternateContent>
        <mc:AlternateContent xmlns:mc="http://schemas.openxmlformats.org/markup-compatibility/2006">
          <mc:Choice Requires="x14">
            <control shapeId="48277" r:id="rId139" name="Option Button 149">
              <controlPr defaultSize="0" autoFill="0" autoLine="0" autoPict="0">
                <anchor moveWithCells="1" sizeWithCells="1">
                  <from>
                    <xdr:col>4</xdr:col>
                    <xdr:colOff>180975</xdr:colOff>
                    <xdr:row>588</xdr:row>
                    <xdr:rowOff>19050</xdr:rowOff>
                  </from>
                  <to>
                    <xdr:col>13</xdr:col>
                    <xdr:colOff>228600</xdr:colOff>
                    <xdr:row>588</xdr:row>
                    <xdr:rowOff>238125</xdr:rowOff>
                  </to>
                </anchor>
              </controlPr>
            </control>
          </mc:Choice>
        </mc:AlternateContent>
        <mc:AlternateContent xmlns:mc="http://schemas.openxmlformats.org/markup-compatibility/2006">
          <mc:Choice Requires="x14">
            <control shapeId="48279" r:id="rId140" name="Group Box 151">
              <controlPr defaultSize="0" autoFill="0" autoPict="0">
                <anchor moveWithCells="1" sizeWithCells="1">
                  <from>
                    <xdr:col>11</xdr:col>
                    <xdr:colOff>0</xdr:colOff>
                    <xdr:row>595</xdr:row>
                    <xdr:rowOff>0</xdr:rowOff>
                  </from>
                  <to>
                    <xdr:col>15</xdr:col>
                    <xdr:colOff>0</xdr:colOff>
                    <xdr:row>596</xdr:row>
                    <xdr:rowOff>0</xdr:rowOff>
                  </to>
                </anchor>
              </controlPr>
            </control>
          </mc:Choice>
        </mc:AlternateContent>
        <mc:AlternateContent xmlns:mc="http://schemas.openxmlformats.org/markup-compatibility/2006">
          <mc:Choice Requires="x14">
            <control shapeId="48280" r:id="rId141" name="Option Button 152">
              <controlPr defaultSize="0" autoFill="0" autoLine="0" autoPict="0">
                <anchor moveWithCells="1" sizeWithCells="1">
                  <from>
                    <xdr:col>11</xdr:col>
                    <xdr:colOff>180975</xdr:colOff>
                    <xdr:row>595</xdr:row>
                    <xdr:rowOff>19050</xdr:rowOff>
                  </from>
                  <to>
                    <xdr:col>13</xdr:col>
                    <xdr:colOff>47625</xdr:colOff>
                    <xdr:row>595</xdr:row>
                    <xdr:rowOff>238125</xdr:rowOff>
                  </to>
                </anchor>
              </controlPr>
            </control>
          </mc:Choice>
        </mc:AlternateContent>
        <mc:AlternateContent xmlns:mc="http://schemas.openxmlformats.org/markup-compatibility/2006">
          <mc:Choice Requires="x14">
            <control shapeId="48281" r:id="rId142" name="Option Button 153">
              <controlPr defaultSize="0" autoFill="0" autoLine="0" autoPict="0">
                <anchor moveWithCells="1" sizeWithCells="1">
                  <from>
                    <xdr:col>13</xdr:col>
                    <xdr:colOff>85725</xdr:colOff>
                    <xdr:row>595</xdr:row>
                    <xdr:rowOff>19050</xdr:rowOff>
                  </from>
                  <to>
                    <xdr:col>14</xdr:col>
                    <xdr:colOff>323850</xdr:colOff>
                    <xdr:row>595</xdr:row>
                    <xdr:rowOff>238125</xdr:rowOff>
                  </to>
                </anchor>
              </controlPr>
            </control>
          </mc:Choice>
        </mc:AlternateContent>
        <mc:AlternateContent xmlns:mc="http://schemas.openxmlformats.org/markup-compatibility/2006">
          <mc:Choice Requires="x14">
            <control shapeId="48169" r:id="rId143" name="Group Box 41">
              <controlPr defaultSize="0" autoFill="0" autoPict="0">
                <anchor moveWithCells="1" sizeWithCells="1">
                  <from>
                    <xdr:col>1</xdr:col>
                    <xdr:colOff>0</xdr:colOff>
                    <xdr:row>384</xdr:row>
                    <xdr:rowOff>0</xdr:rowOff>
                  </from>
                  <to>
                    <xdr:col>15</xdr:col>
                    <xdr:colOff>0</xdr:colOff>
                    <xdr:row>385</xdr:row>
                    <xdr:rowOff>0</xdr:rowOff>
                  </to>
                </anchor>
              </controlPr>
            </control>
          </mc:Choice>
        </mc:AlternateContent>
        <mc:AlternateContent xmlns:mc="http://schemas.openxmlformats.org/markup-compatibility/2006">
          <mc:Choice Requires="x14">
            <control shapeId="48170" r:id="rId144" name="Option Button 42">
              <controlPr defaultSize="0" autoFill="0" autoLine="0" autoPict="0">
                <anchor moveWithCells="1" sizeWithCells="1">
                  <from>
                    <xdr:col>1</xdr:col>
                    <xdr:colOff>9525</xdr:colOff>
                    <xdr:row>384</xdr:row>
                    <xdr:rowOff>9525</xdr:rowOff>
                  </from>
                  <to>
                    <xdr:col>1</xdr:col>
                    <xdr:colOff>390525</xdr:colOff>
                    <xdr:row>384</xdr:row>
                    <xdr:rowOff>247650</xdr:rowOff>
                  </to>
                </anchor>
              </controlPr>
            </control>
          </mc:Choice>
        </mc:AlternateContent>
        <mc:AlternateContent xmlns:mc="http://schemas.openxmlformats.org/markup-compatibility/2006">
          <mc:Choice Requires="x14">
            <control shapeId="48171" r:id="rId145" name="Option Button 43">
              <controlPr defaultSize="0" autoFill="0" autoLine="0" autoPict="0">
                <anchor moveWithCells="1" sizeWithCells="1">
                  <from>
                    <xdr:col>1</xdr:col>
                    <xdr:colOff>581025</xdr:colOff>
                    <xdr:row>384</xdr:row>
                    <xdr:rowOff>9525</xdr:rowOff>
                  </from>
                  <to>
                    <xdr:col>5</xdr:col>
                    <xdr:colOff>285750</xdr:colOff>
                    <xdr:row>384</xdr:row>
                    <xdr:rowOff>247650</xdr:rowOff>
                  </to>
                </anchor>
              </controlPr>
            </control>
          </mc:Choice>
        </mc:AlternateContent>
        <mc:AlternateContent xmlns:mc="http://schemas.openxmlformats.org/markup-compatibility/2006">
          <mc:Choice Requires="x14">
            <control shapeId="48172" r:id="rId146" name="Option Button 44">
              <controlPr defaultSize="0" autoFill="0" autoLine="0" autoPict="0">
                <anchor moveWithCells="1" sizeWithCells="1">
                  <from>
                    <xdr:col>6</xdr:col>
                    <xdr:colOff>85725</xdr:colOff>
                    <xdr:row>384</xdr:row>
                    <xdr:rowOff>0</xdr:rowOff>
                  </from>
                  <to>
                    <xdr:col>14</xdr:col>
                    <xdr:colOff>561975</xdr:colOff>
                    <xdr:row>384</xdr:row>
                    <xdr:rowOff>238125</xdr:rowOff>
                  </to>
                </anchor>
              </controlPr>
            </control>
          </mc:Choice>
        </mc:AlternateContent>
        <mc:AlternateContent xmlns:mc="http://schemas.openxmlformats.org/markup-compatibility/2006">
          <mc:Choice Requires="x14">
            <control shapeId="129475" r:id="rId147" name="Group Box 5571">
              <controlPr defaultSize="0" autoFill="0" autoPict="0">
                <anchor moveWithCells="1">
                  <from>
                    <xdr:col>6</xdr:col>
                    <xdr:colOff>0</xdr:colOff>
                    <xdr:row>426</xdr:row>
                    <xdr:rowOff>9525</xdr:rowOff>
                  </from>
                  <to>
                    <xdr:col>14</xdr:col>
                    <xdr:colOff>600075</xdr:colOff>
                    <xdr:row>427</xdr:row>
                    <xdr:rowOff>9525</xdr:rowOff>
                  </to>
                </anchor>
              </controlPr>
            </control>
          </mc:Choice>
        </mc:AlternateContent>
        <mc:AlternateContent xmlns:mc="http://schemas.openxmlformats.org/markup-compatibility/2006">
          <mc:Choice Requires="x14">
            <control shapeId="129476" r:id="rId148" name="Option Button 5572">
              <controlPr defaultSize="0" autoFill="0" autoLine="0" autoPict="0">
                <anchor moveWithCells="1">
                  <from>
                    <xdr:col>6</xdr:col>
                    <xdr:colOff>38100</xdr:colOff>
                    <xdr:row>426</xdr:row>
                    <xdr:rowOff>38100</xdr:rowOff>
                  </from>
                  <to>
                    <xdr:col>9</xdr:col>
                    <xdr:colOff>247650</xdr:colOff>
                    <xdr:row>426</xdr:row>
                    <xdr:rowOff>257175</xdr:rowOff>
                  </to>
                </anchor>
              </controlPr>
            </control>
          </mc:Choice>
        </mc:AlternateContent>
        <mc:AlternateContent xmlns:mc="http://schemas.openxmlformats.org/markup-compatibility/2006">
          <mc:Choice Requires="x14">
            <control shapeId="129477" r:id="rId149" name="Option Button 5573">
              <controlPr defaultSize="0" autoFill="0" autoLine="0" autoPict="0">
                <anchor moveWithCells="1">
                  <from>
                    <xdr:col>10</xdr:col>
                    <xdr:colOff>133350</xdr:colOff>
                    <xdr:row>426</xdr:row>
                    <xdr:rowOff>38100</xdr:rowOff>
                  </from>
                  <to>
                    <xdr:col>12</xdr:col>
                    <xdr:colOff>200025</xdr:colOff>
                    <xdr:row>426</xdr:row>
                    <xdr:rowOff>257175</xdr:rowOff>
                  </to>
                </anchor>
              </controlPr>
            </control>
          </mc:Choice>
        </mc:AlternateContent>
        <mc:AlternateContent xmlns:mc="http://schemas.openxmlformats.org/markup-compatibility/2006">
          <mc:Choice Requires="x14">
            <control shapeId="129478" r:id="rId150" name="Group Box 5574">
              <controlPr defaultSize="0" autoFill="0" autoPict="0">
                <anchor moveWithCells="1">
                  <from>
                    <xdr:col>6</xdr:col>
                    <xdr:colOff>0</xdr:colOff>
                    <xdr:row>427</xdr:row>
                    <xdr:rowOff>9525</xdr:rowOff>
                  </from>
                  <to>
                    <xdr:col>14</xdr:col>
                    <xdr:colOff>600075</xdr:colOff>
                    <xdr:row>427</xdr:row>
                    <xdr:rowOff>257175</xdr:rowOff>
                  </to>
                </anchor>
              </controlPr>
            </control>
          </mc:Choice>
        </mc:AlternateContent>
        <mc:AlternateContent xmlns:mc="http://schemas.openxmlformats.org/markup-compatibility/2006">
          <mc:Choice Requires="x14">
            <control shapeId="129481" r:id="rId151" name="Group Box 5577">
              <controlPr defaultSize="0" autoFill="0" autoPict="0">
                <anchor moveWithCells="1">
                  <from>
                    <xdr:col>6</xdr:col>
                    <xdr:colOff>0</xdr:colOff>
                    <xdr:row>428</xdr:row>
                    <xdr:rowOff>9525</xdr:rowOff>
                  </from>
                  <to>
                    <xdr:col>14</xdr:col>
                    <xdr:colOff>600075</xdr:colOff>
                    <xdr:row>428</xdr:row>
                    <xdr:rowOff>257175</xdr:rowOff>
                  </to>
                </anchor>
              </controlPr>
            </control>
          </mc:Choice>
        </mc:AlternateContent>
        <mc:AlternateContent xmlns:mc="http://schemas.openxmlformats.org/markup-compatibility/2006">
          <mc:Choice Requires="x14">
            <control shapeId="129484" r:id="rId152" name="Group Box 5580">
              <controlPr defaultSize="0" autoFill="0" autoPict="0">
                <anchor moveWithCells="1">
                  <from>
                    <xdr:col>6</xdr:col>
                    <xdr:colOff>0</xdr:colOff>
                    <xdr:row>429</xdr:row>
                    <xdr:rowOff>9525</xdr:rowOff>
                  </from>
                  <to>
                    <xdr:col>14</xdr:col>
                    <xdr:colOff>600075</xdr:colOff>
                    <xdr:row>429</xdr:row>
                    <xdr:rowOff>257175</xdr:rowOff>
                  </to>
                </anchor>
              </controlPr>
            </control>
          </mc:Choice>
        </mc:AlternateContent>
        <mc:AlternateContent xmlns:mc="http://schemas.openxmlformats.org/markup-compatibility/2006">
          <mc:Choice Requires="x14">
            <control shapeId="129487" r:id="rId153" name="Option Button 5583">
              <controlPr defaultSize="0" autoFill="0" autoLine="0" autoPict="0">
                <anchor moveWithCells="1">
                  <from>
                    <xdr:col>13</xdr:col>
                    <xdr:colOff>57150</xdr:colOff>
                    <xdr:row>426</xdr:row>
                    <xdr:rowOff>38100</xdr:rowOff>
                  </from>
                  <to>
                    <xdr:col>14</xdr:col>
                    <xdr:colOff>247650</xdr:colOff>
                    <xdr:row>426</xdr:row>
                    <xdr:rowOff>257175</xdr:rowOff>
                  </to>
                </anchor>
              </controlPr>
            </control>
          </mc:Choice>
        </mc:AlternateContent>
        <mc:AlternateContent xmlns:mc="http://schemas.openxmlformats.org/markup-compatibility/2006">
          <mc:Choice Requires="x14">
            <control shapeId="129488" r:id="rId154" name="Group Box 5584">
              <controlPr defaultSize="0" autoFill="0" autoPict="0">
                <anchor moveWithCells="1">
                  <from>
                    <xdr:col>6</xdr:col>
                    <xdr:colOff>0</xdr:colOff>
                    <xdr:row>427</xdr:row>
                    <xdr:rowOff>9525</xdr:rowOff>
                  </from>
                  <to>
                    <xdr:col>14</xdr:col>
                    <xdr:colOff>600075</xdr:colOff>
                    <xdr:row>428</xdr:row>
                    <xdr:rowOff>9525</xdr:rowOff>
                  </to>
                </anchor>
              </controlPr>
            </control>
          </mc:Choice>
        </mc:AlternateContent>
        <mc:AlternateContent xmlns:mc="http://schemas.openxmlformats.org/markup-compatibility/2006">
          <mc:Choice Requires="x14">
            <control shapeId="129489" r:id="rId155" name="Option Button 5585">
              <controlPr defaultSize="0" autoFill="0" autoLine="0" autoPict="0">
                <anchor moveWithCells="1">
                  <from>
                    <xdr:col>6</xdr:col>
                    <xdr:colOff>38100</xdr:colOff>
                    <xdr:row>427</xdr:row>
                    <xdr:rowOff>38100</xdr:rowOff>
                  </from>
                  <to>
                    <xdr:col>9</xdr:col>
                    <xdr:colOff>247650</xdr:colOff>
                    <xdr:row>427</xdr:row>
                    <xdr:rowOff>257175</xdr:rowOff>
                  </to>
                </anchor>
              </controlPr>
            </control>
          </mc:Choice>
        </mc:AlternateContent>
        <mc:AlternateContent xmlns:mc="http://schemas.openxmlformats.org/markup-compatibility/2006">
          <mc:Choice Requires="x14">
            <control shapeId="129490" r:id="rId156" name="Option Button 5586">
              <controlPr defaultSize="0" autoFill="0" autoLine="0" autoPict="0">
                <anchor moveWithCells="1">
                  <from>
                    <xdr:col>10</xdr:col>
                    <xdr:colOff>133350</xdr:colOff>
                    <xdr:row>427</xdr:row>
                    <xdr:rowOff>38100</xdr:rowOff>
                  </from>
                  <to>
                    <xdr:col>12</xdr:col>
                    <xdr:colOff>200025</xdr:colOff>
                    <xdr:row>427</xdr:row>
                    <xdr:rowOff>257175</xdr:rowOff>
                  </to>
                </anchor>
              </controlPr>
            </control>
          </mc:Choice>
        </mc:AlternateContent>
        <mc:AlternateContent xmlns:mc="http://schemas.openxmlformats.org/markup-compatibility/2006">
          <mc:Choice Requires="x14">
            <control shapeId="129491" r:id="rId157" name="Option Button 5587">
              <controlPr defaultSize="0" autoFill="0" autoLine="0" autoPict="0">
                <anchor moveWithCells="1">
                  <from>
                    <xdr:col>13</xdr:col>
                    <xdr:colOff>57150</xdr:colOff>
                    <xdr:row>427</xdr:row>
                    <xdr:rowOff>38100</xdr:rowOff>
                  </from>
                  <to>
                    <xdr:col>14</xdr:col>
                    <xdr:colOff>247650</xdr:colOff>
                    <xdr:row>427</xdr:row>
                    <xdr:rowOff>257175</xdr:rowOff>
                  </to>
                </anchor>
              </controlPr>
            </control>
          </mc:Choice>
        </mc:AlternateContent>
        <mc:AlternateContent xmlns:mc="http://schemas.openxmlformats.org/markup-compatibility/2006">
          <mc:Choice Requires="x14">
            <control shapeId="129492" r:id="rId158" name="Group Box 5588">
              <controlPr defaultSize="0" autoFill="0" autoPict="0">
                <anchor moveWithCells="1">
                  <from>
                    <xdr:col>6</xdr:col>
                    <xdr:colOff>0</xdr:colOff>
                    <xdr:row>427</xdr:row>
                    <xdr:rowOff>266700</xdr:rowOff>
                  </from>
                  <to>
                    <xdr:col>14</xdr:col>
                    <xdr:colOff>600075</xdr:colOff>
                    <xdr:row>429</xdr:row>
                    <xdr:rowOff>9525</xdr:rowOff>
                  </to>
                </anchor>
              </controlPr>
            </control>
          </mc:Choice>
        </mc:AlternateContent>
        <mc:AlternateContent xmlns:mc="http://schemas.openxmlformats.org/markup-compatibility/2006">
          <mc:Choice Requires="x14">
            <control shapeId="129493" r:id="rId159" name="Option Button 5589">
              <controlPr defaultSize="0" autoFill="0" autoLine="0" autoPict="0">
                <anchor moveWithCells="1">
                  <from>
                    <xdr:col>6</xdr:col>
                    <xdr:colOff>38100</xdr:colOff>
                    <xdr:row>428</xdr:row>
                    <xdr:rowOff>38100</xdr:rowOff>
                  </from>
                  <to>
                    <xdr:col>9</xdr:col>
                    <xdr:colOff>247650</xdr:colOff>
                    <xdr:row>428</xdr:row>
                    <xdr:rowOff>257175</xdr:rowOff>
                  </to>
                </anchor>
              </controlPr>
            </control>
          </mc:Choice>
        </mc:AlternateContent>
        <mc:AlternateContent xmlns:mc="http://schemas.openxmlformats.org/markup-compatibility/2006">
          <mc:Choice Requires="x14">
            <control shapeId="129494" r:id="rId160" name="Option Button 5590">
              <controlPr defaultSize="0" autoFill="0" autoLine="0" autoPict="0">
                <anchor moveWithCells="1">
                  <from>
                    <xdr:col>10</xdr:col>
                    <xdr:colOff>133350</xdr:colOff>
                    <xdr:row>428</xdr:row>
                    <xdr:rowOff>38100</xdr:rowOff>
                  </from>
                  <to>
                    <xdr:col>12</xdr:col>
                    <xdr:colOff>200025</xdr:colOff>
                    <xdr:row>428</xdr:row>
                    <xdr:rowOff>257175</xdr:rowOff>
                  </to>
                </anchor>
              </controlPr>
            </control>
          </mc:Choice>
        </mc:AlternateContent>
        <mc:AlternateContent xmlns:mc="http://schemas.openxmlformats.org/markup-compatibility/2006">
          <mc:Choice Requires="x14">
            <control shapeId="129495" r:id="rId161" name="Option Button 5591">
              <controlPr defaultSize="0" autoFill="0" autoLine="0" autoPict="0">
                <anchor moveWithCells="1">
                  <from>
                    <xdr:col>13</xdr:col>
                    <xdr:colOff>57150</xdr:colOff>
                    <xdr:row>428</xdr:row>
                    <xdr:rowOff>38100</xdr:rowOff>
                  </from>
                  <to>
                    <xdr:col>14</xdr:col>
                    <xdr:colOff>247650</xdr:colOff>
                    <xdr:row>428</xdr:row>
                    <xdr:rowOff>257175</xdr:rowOff>
                  </to>
                </anchor>
              </controlPr>
            </control>
          </mc:Choice>
        </mc:AlternateContent>
        <mc:AlternateContent xmlns:mc="http://schemas.openxmlformats.org/markup-compatibility/2006">
          <mc:Choice Requires="x14">
            <control shapeId="129496" r:id="rId162" name="Group Box 5592">
              <controlPr defaultSize="0" autoFill="0" autoPict="0">
                <anchor moveWithCells="1">
                  <from>
                    <xdr:col>6</xdr:col>
                    <xdr:colOff>0</xdr:colOff>
                    <xdr:row>429</xdr:row>
                    <xdr:rowOff>9525</xdr:rowOff>
                  </from>
                  <to>
                    <xdr:col>14</xdr:col>
                    <xdr:colOff>600075</xdr:colOff>
                    <xdr:row>430</xdr:row>
                    <xdr:rowOff>19050</xdr:rowOff>
                  </to>
                </anchor>
              </controlPr>
            </control>
          </mc:Choice>
        </mc:AlternateContent>
        <mc:AlternateContent xmlns:mc="http://schemas.openxmlformats.org/markup-compatibility/2006">
          <mc:Choice Requires="x14">
            <control shapeId="129497" r:id="rId163" name="Option Button 5593">
              <controlPr defaultSize="0" autoFill="0" autoLine="0" autoPict="0">
                <anchor moveWithCells="1">
                  <from>
                    <xdr:col>6</xdr:col>
                    <xdr:colOff>38100</xdr:colOff>
                    <xdr:row>429</xdr:row>
                    <xdr:rowOff>38100</xdr:rowOff>
                  </from>
                  <to>
                    <xdr:col>9</xdr:col>
                    <xdr:colOff>247650</xdr:colOff>
                    <xdr:row>429</xdr:row>
                    <xdr:rowOff>257175</xdr:rowOff>
                  </to>
                </anchor>
              </controlPr>
            </control>
          </mc:Choice>
        </mc:AlternateContent>
        <mc:AlternateContent xmlns:mc="http://schemas.openxmlformats.org/markup-compatibility/2006">
          <mc:Choice Requires="x14">
            <control shapeId="129498" r:id="rId164" name="Option Button 5594">
              <controlPr defaultSize="0" autoFill="0" autoLine="0" autoPict="0">
                <anchor moveWithCells="1">
                  <from>
                    <xdr:col>10</xdr:col>
                    <xdr:colOff>133350</xdr:colOff>
                    <xdr:row>429</xdr:row>
                    <xdr:rowOff>38100</xdr:rowOff>
                  </from>
                  <to>
                    <xdr:col>12</xdr:col>
                    <xdr:colOff>200025</xdr:colOff>
                    <xdr:row>429</xdr:row>
                    <xdr:rowOff>257175</xdr:rowOff>
                  </to>
                </anchor>
              </controlPr>
            </control>
          </mc:Choice>
        </mc:AlternateContent>
        <mc:AlternateContent xmlns:mc="http://schemas.openxmlformats.org/markup-compatibility/2006">
          <mc:Choice Requires="x14">
            <control shapeId="129499" r:id="rId165" name="Option Button 5595">
              <controlPr defaultSize="0" autoFill="0" autoLine="0" autoPict="0">
                <anchor moveWithCells="1">
                  <from>
                    <xdr:col>13</xdr:col>
                    <xdr:colOff>57150</xdr:colOff>
                    <xdr:row>429</xdr:row>
                    <xdr:rowOff>38100</xdr:rowOff>
                  </from>
                  <to>
                    <xdr:col>14</xdr:col>
                    <xdr:colOff>247650</xdr:colOff>
                    <xdr:row>429</xdr:row>
                    <xdr:rowOff>257175</xdr:rowOff>
                  </to>
                </anchor>
              </controlPr>
            </control>
          </mc:Choice>
        </mc:AlternateContent>
        <mc:AlternateContent xmlns:mc="http://schemas.openxmlformats.org/markup-compatibility/2006">
          <mc:Choice Requires="x14">
            <control shapeId="129500" r:id="rId166" name="Group Box 5596">
              <controlPr defaultSize="0" autoFill="0" autoPict="0">
                <anchor moveWithCells="1">
                  <from>
                    <xdr:col>6</xdr:col>
                    <xdr:colOff>0</xdr:colOff>
                    <xdr:row>430</xdr:row>
                    <xdr:rowOff>9525</xdr:rowOff>
                  </from>
                  <to>
                    <xdr:col>14</xdr:col>
                    <xdr:colOff>600075</xdr:colOff>
                    <xdr:row>430</xdr:row>
                    <xdr:rowOff>257175</xdr:rowOff>
                  </to>
                </anchor>
              </controlPr>
            </control>
          </mc:Choice>
        </mc:AlternateContent>
        <mc:AlternateContent xmlns:mc="http://schemas.openxmlformats.org/markup-compatibility/2006">
          <mc:Choice Requires="x14">
            <control shapeId="129501" r:id="rId167" name="Group Box 5597">
              <controlPr defaultSize="0" autoFill="0" autoPict="0">
                <anchor moveWithCells="1">
                  <from>
                    <xdr:col>6</xdr:col>
                    <xdr:colOff>0</xdr:colOff>
                    <xdr:row>430</xdr:row>
                    <xdr:rowOff>19050</xdr:rowOff>
                  </from>
                  <to>
                    <xdr:col>14</xdr:col>
                    <xdr:colOff>600075</xdr:colOff>
                    <xdr:row>430</xdr:row>
                    <xdr:rowOff>257175</xdr:rowOff>
                  </to>
                </anchor>
              </controlPr>
            </control>
          </mc:Choice>
        </mc:AlternateContent>
        <mc:AlternateContent xmlns:mc="http://schemas.openxmlformats.org/markup-compatibility/2006">
          <mc:Choice Requires="x14">
            <control shapeId="129502" r:id="rId168" name="Option Button 5598">
              <controlPr defaultSize="0" autoFill="0" autoLine="0" autoPict="0">
                <anchor moveWithCells="1">
                  <from>
                    <xdr:col>6</xdr:col>
                    <xdr:colOff>38100</xdr:colOff>
                    <xdr:row>430</xdr:row>
                    <xdr:rowOff>38100</xdr:rowOff>
                  </from>
                  <to>
                    <xdr:col>9</xdr:col>
                    <xdr:colOff>247650</xdr:colOff>
                    <xdr:row>430</xdr:row>
                    <xdr:rowOff>257175</xdr:rowOff>
                  </to>
                </anchor>
              </controlPr>
            </control>
          </mc:Choice>
        </mc:AlternateContent>
        <mc:AlternateContent xmlns:mc="http://schemas.openxmlformats.org/markup-compatibility/2006">
          <mc:Choice Requires="x14">
            <control shapeId="129503" r:id="rId169" name="Option Button 5599">
              <controlPr defaultSize="0" autoFill="0" autoLine="0" autoPict="0">
                <anchor moveWithCells="1">
                  <from>
                    <xdr:col>10</xdr:col>
                    <xdr:colOff>133350</xdr:colOff>
                    <xdr:row>430</xdr:row>
                    <xdr:rowOff>38100</xdr:rowOff>
                  </from>
                  <to>
                    <xdr:col>12</xdr:col>
                    <xdr:colOff>200025</xdr:colOff>
                    <xdr:row>430</xdr:row>
                    <xdr:rowOff>257175</xdr:rowOff>
                  </to>
                </anchor>
              </controlPr>
            </control>
          </mc:Choice>
        </mc:AlternateContent>
        <mc:AlternateContent xmlns:mc="http://schemas.openxmlformats.org/markup-compatibility/2006">
          <mc:Choice Requires="x14">
            <control shapeId="129504" r:id="rId170" name="Option Button 5600">
              <controlPr defaultSize="0" autoFill="0" autoLine="0" autoPict="0">
                <anchor moveWithCells="1">
                  <from>
                    <xdr:col>13</xdr:col>
                    <xdr:colOff>57150</xdr:colOff>
                    <xdr:row>430</xdr:row>
                    <xdr:rowOff>38100</xdr:rowOff>
                  </from>
                  <to>
                    <xdr:col>14</xdr:col>
                    <xdr:colOff>247650</xdr:colOff>
                    <xdr:row>430</xdr:row>
                    <xdr:rowOff>257175</xdr:rowOff>
                  </to>
                </anchor>
              </controlPr>
            </control>
          </mc:Choice>
        </mc:AlternateContent>
        <mc:AlternateContent xmlns:mc="http://schemas.openxmlformats.org/markup-compatibility/2006">
          <mc:Choice Requires="x14">
            <control shapeId="129505" r:id="rId171" name="Group Box 5601">
              <controlPr defaultSize="0" autoFill="0" autoPict="0">
                <anchor moveWithCells="1">
                  <from>
                    <xdr:col>6</xdr:col>
                    <xdr:colOff>0</xdr:colOff>
                    <xdr:row>431</xdr:row>
                    <xdr:rowOff>9525</xdr:rowOff>
                  </from>
                  <to>
                    <xdr:col>14</xdr:col>
                    <xdr:colOff>600075</xdr:colOff>
                    <xdr:row>431</xdr:row>
                    <xdr:rowOff>257175</xdr:rowOff>
                  </to>
                </anchor>
              </controlPr>
            </control>
          </mc:Choice>
        </mc:AlternateContent>
        <mc:AlternateContent xmlns:mc="http://schemas.openxmlformats.org/markup-compatibility/2006">
          <mc:Choice Requires="x14">
            <control shapeId="129506" r:id="rId172" name="Group Box 5602">
              <controlPr defaultSize="0" autoFill="0" autoPict="0">
                <anchor moveWithCells="1">
                  <from>
                    <xdr:col>6</xdr:col>
                    <xdr:colOff>0</xdr:colOff>
                    <xdr:row>431</xdr:row>
                    <xdr:rowOff>9525</xdr:rowOff>
                  </from>
                  <to>
                    <xdr:col>14</xdr:col>
                    <xdr:colOff>600075</xdr:colOff>
                    <xdr:row>431</xdr:row>
                    <xdr:rowOff>257175</xdr:rowOff>
                  </to>
                </anchor>
              </controlPr>
            </control>
          </mc:Choice>
        </mc:AlternateContent>
        <mc:AlternateContent xmlns:mc="http://schemas.openxmlformats.org/markup-compatibility/2006">
          <mc:Choice Requires="x14">
            <control shapeId="129507" r:id="rId173" name="Option Button 5603">
              <controlPr defaultSize="0" autoFill="0" autoLine="0" autoPict="0">
                <anchor moveWithCells="1">
                  <from>
                    <xdr:col>6</xdr:col>
                    <xdr:colOff>38100</xdr:colOff>
                    <xdr:row>431</xdr:row>
                    <xdr:rowOff>38100</xdr:rowOff>
                  </from>
                  <to>
                    <xdr:col>9</xdr:col>
                    <xdr:colOff>247650</xdr:colOff>
                    <xdr:row>431</xdr:row>
                    <xdr:rowOff>257175</xdr:rowOff>
                  </to>
                </anchor>
              </controlPr>
            </control>
          </mc:Choice>
        </mc:AlternateContent>
        <mc:AlternateContent xmlns:mc="http://schemas.openxmlformats.org/markup-compatibility/2006">
          <mc:Choice Requires="x14">
            <control shapeId="129508" r:id="rId174" name="Option Button 5604">
              <controlPr defaultSize="0" autoFill="0" autoLine="0" autoPict="0">
                <anchor moveWithCells="1">
                  <from>
                    <xdr:col>10</xdr:col>
                    <xdr:colOff>133350</xdr:colOff>
                    <xdr:row>431</xdr:row>
                    <xdr:rowOff>38100</xdr:rowOff>
                  </from>
                  <to>
                    <xdr:col>12</xdr:col>
                    <xdr:colOff>200025</xdr:colOff>
                    <xdr:row>431</xdr:row>
                    <xdr:rowOff>257175</xdr:rowOff>
                  </to>
                </anchor>
              </controlPr>
            </control>
          </mc:Choice>
        </mc:AlternateContent>
        <mc:AlternateContent xmlns:mc="http://schemas.openxmlformats.org/markup-compatibility/2006">
          <mc:Choice Requires="x14">
            <control shapeId="129509" r:id="rId175" name="Option Button 5605">
              <controlPr defaultSize="0" autoFill="0" autoLine="0" autoPict="0">
                <anchor moveWithCells="1">
                  <from>
                    <xdr:col>13</xdr:col>
                    <xdr:colOff>57150</xdr:colOff>
                    <xdr:row>431</xdr:row>
                    <xdr:rowOff>38100</xdr:rowOff>
                  </from>
                  <to>
                    <xdr:col>14</xdr:col>
                    <xdr:colOff>247650</xdr:colOff>
                    <xdr:row>431</xdr:row>
                    <xdr:rowOff>257175</xdr:rowOff>
                  </to>
                </anchor>
              </controlPr>
            </control>
          </mc:Choice>
        </mc:AlternateContent>
        <mc:AlternateContent xmlns:mc="http://schemas.openxmlformats.org/markup-compatibility/2006">
          <mc:Choice Requires="x14">
            <control shapeId="129510" r:id="rId176" name="Group Box 5606">
              <controlPr defaultSize="0" autoFill="0" autoPict="0">
                <anchor moveWithCells="1">
                  <from>
                    <xdr:col>6</xdr:col>
                    <xdr:colOff>0</xdr:colOff>
                    <xdr:row>432</xdr:row>
                    <xdr:rowOff>9525</xdr:rowOff>
                  </from>
                  <to>
                    <xdr:col>14</xdr:col>
                    <xdr:colOff>600075</xdr:colOff>
                    <xdr:row>432</xdr:row>
                    <xdr:rowOff>257175</xdr:rowOff>
                  </to>
                </anchor>
              </controlPr>
            </control>
          </mc:Choice>
        </mc:AlternateContent>
        <mc:AlternateContent xmlns:mc="http://schemas.openxmlformats.org/markup-compatibility/2006">
          <mc:Choice Requires="x14">
            <control shapeId="129511" r:id="rId177" name="Group Box 5607">
              <controlPr defaultSize="0" autoFill="0" autoPict="0">
                <anchor moveWithCells="1">
                  <from>
                    <xdr:col>6</xdr:col>
                    <xdr:colOff>0</xdr:colOff>
                    <xdr:row>432</xdr:row>
                    <xdr:rowOff>9525</xdr:rowOff>
                  </from>
                  <to>
                    <xdr:col>14</xdr:col>
                    <xdr:colOff>600075</xdr:colOff>
                    <xdr:row>432</xdr:row>
                    <xdr:rowOff>257175</xdr:rowOff>
                  </to>
                </anchor>
              </controlPr>
            </control>
          </mc:Choice>
        </mc:AlternateContent>
        <mc:AlternateContent xmlns:mc="http://schemas.openxmlformats.org/markup-compatibility/2006">
          <mc:Choice Requires="x14">
            <control shapeId="129512" r:id="rId178" name="Option Button 5608">
              <controlPr defaultSize="0" autoFill="0" autoLine="0" autoPict="0">
                <anchor moveWithCells="1">
                  <from>
                    <xdr:col>6</xdr:col>
                    <xdr:colOff>38100</xdr:colOff>
                    <xdr:row>432</xdr:row>
                    <xdr:rowOff>38100</xdr:rowOff>
                  </from>
                  <to>
                    <xdr:col>9</xdr:col>
                    <xdr:colOff>247650</xdr:colOff>
                    <xdr:row>432</xdr:row>
                    <xdr:rowOff>257175</xdr:rowOff>
                  </to>
                </anchor>
              </controlPr>
            </control>
          </mc:Choice>
        </mc:AlternateContent>
        <mc:AlternateContent xmlns:mc="http://schemas.openxmlformats.org/markup-compatibility/2006">
          <mc:Choice Requires="x14">
            <control shapeId="129513" r:id="rId179" name="Option Button 5609">
              <controlPr defaultSize="0" autoFill="0" autoLine="0" autoPict="0">
                <anchor moveWithCells="1">
                  <from>
                    <xdr:col>10</xdr:col>
                    <xdr:colOff>133350</xdr:colOff>
                    <xdr:row>432</xdr:row>
                    <xdr:rowOff>38100</xdr:rowOff>
                  </from>
                  <to>
                    <xdr:col>12</xdr:col>
                    <xdr:colOff>200025</xdr:colOff>
                    <xdr:row>432</xdr:row>
                    <xdr:rowOff>257175</xdr:rowOff>
                  </to>
                </anchor>
              </controlPr>
            </control>
          </mc:Choice>
        </mc:AlternateContent>
        <mc:AlternateContent xmlns:mc="http://schemas.openxmlformats.org/markup-compatibility/2006">
          <mc:Choice Requires="x14">
            <control shapeId="129514" r:id="rId180" name="Option Button 5610">
              <controlPr defaultSize="0" autoFill="0" autoLine="0" autoPict="0">
                <anchor moveWithCells="1">
                  <from>
                    <xdr:col>13</xdr:col>
                    <xdr:colOff>57150</xdr:colOff>
                    <xdr:row>432</xdr:row>
                    <xdr:rowOff>38100</xdr:rowOff>
                  </from>
                  <to>
                    <xdr:col>14</xdr:col>
                    <xdr:colOff>247650</xdr:colOff>
                    <xdr:row>432</xdr:row>
                    <xdr:rowOff>257175</xdr:rowOff>
                  </to>
                </anchor>
              </controlPr>
            </control>
          </mc:Choice>
        </mc:AlternateContent>
        <mc:AlternateContent xmlns:mc="http://schemas.openxmlformats.org/markup-compatibility/2006">
          <mc:Choice Requires="x14">
            <control shapeId="129515" r:id="rId181" name="Group Box 5611">
              <controlPr defaultSize="0" autoFill="0" autoPict="0">
                <anchor moveWithCells="1">
                  <from>
                    <xdr:col>6</xdr:col>
                    <xdr:colOff>0</xdr:colOff>
                    <xdr:row>433</xdr:row>
                    <xdr:rowOff>9525</xdr:rowOff>
                  </from>
                  <to>
                    <xdr:col>14</xdr:col>
                    <xdr:colOff>600075</xdr:colOff>
                    <xdr:row>433</xdr:row>
                    <xdr:rowOff>257175</xdr:rowOff>
                  </to>
                </anchor>
              </controlPr>
            </control>
          </mc:Choice>
        </mc:AlternateContent>
        <mc:AlternateContent xmlns:mc="http://schemas.openxmlformats.org/markup-compatibility/2006">
          <mc:Choice Requires="x14">
            <control shapeId="129516" r:id="rId182" name="Group Box 5612">
              <controlPr defaultSize="0" autoFill="0" autoPict="0">
                <anchor moveWithCells="1">
                  <from>
                    <xdr:col>6</xdr:col>
                    <xdr:colOff>0</xdr:colOff>
                    <xdr:row>433</xdr:row>
                    <xdr:rowOff>9525</xdr:rowOff>
                  </from>
                  <to>
                    <xdr:col>14</xdr:col>
                    <xdr:colOff>600075</xdr:colOff>
                    <xdr:row>433</xdr:row>
                    <xdr:rowOff>257175</xdr:rowOff>
                  </to>
                </anchor>
              </controlPr>
            </control>
          </mc:Choice>
        </mc:AlternateContent>
        <mc:AlternateContent xmlns:mc="http://schemas.openxmlformats.org/markup-compatibility/2006">
          <mc:Choice Requires="x14">
            <control shapeId="129517" r:id="rId183" name="Option Button 5613">
              <controlPr defaultSize="0" autoFill="0" autoLine="0" autoPict="0">
                <anchor moveWithCells="1">
                  <from>
                    <xdr:col>6</xdr:col>
                    <xdr:colOff>38100</xdr:colOff>
                    <xdr:row>433</xdr:row>
                    <xdr:rowOff>38100</xdr:rowOff>
                  </from>
                  <to>
                    <xdr:col>9</xdr:col>
                    <xdr:colOff>247650</xdr:colOff>
                    <xdr:row>433</xdr:row>
                    <xdr:rowOff>257175</xdr:rowOff>
                  </to>
                </anchor>
              </controlPr>
            </control>
          </mc:Choice>
        </mc:AlternateContent>
        <mc:AlternateContent xmlns:mc="http://schemas.openxmlformats.org/markup-compatibility/2006">
          <mc:Choice Requires="x14">
            <control shapeId="129518" r:id="rId184" name="Option Button 5614">
              <controlPr defaultSize="0" autoFill="0" autoLine="0" autoPict="0">
                <anchor moveWithCells="1">
                  <from>
                    <xdr:col>10</xdr:col>
                    <xdr:colOff>133350</xdr:colOff>
                    <xdr:row>433</xdr:row>
                    <xdr:rowOff>38100</xdr:rowOff>
                  </from>
                  <to>
                    <xdr:col>12</xdr:col>
                    <xdr:colOff>200025</xdr:colOff>
                    <xdr:row>433</xdr:row>
                    <xdr:rowOff>257175</xdr:rowOff>
                  </to>
                </anchor>
              </controlPr>
            </control>
          </mc:Choice>
        </mc:AlternateContent>
        <mc:AlternateContent xmlns:mc="http://schemas.openxmlformats.org/markup-compatibility/2006">
          <mc:Choice Requires="x14">
            <control shapeId="129519" r:id="rId185" name="Option Button 5615">
              <controlPr defaultSize="0" autoFill="0" autoLine="0" autoPict="0">
                <anchor moveWithCells="1">
                  <from>
                    <xdr:col>13</xdr:col>
                    <xdr:colOff>57150</xdr:colOff>
                    <xdr:row>433</xdr:row>
                    <xdr:rowOff>38100</xdr:rowOff>
                  </from>
                  <to>
                    <xdr:col>14</xdr:col>
                    <xdr:colOff>247650</xdr:colOff>
                    <xdr:row>433</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G817"/>
  <sheetViews>
    <sheetView showGridLines="0" zoomScale="120" zoomScaleNormal="120" zoomScaleSheetLayoutView="40" workbookViewId="0"/>
  </sheetViews>
  <sheetFormatPr defaultColWidth="2.5703125" defaultRowHeight="12.75" x14ac:dyDescent="0.2"/>
  <cols>
    <col min="1" max="1" width="1.5703125" style="2" customWidth="1"/>
    <col min="2" max="2" width="22.42578125" style="2" bestFit="1" customWidth="1"/>
    <col min="3" max="3" width="3.28515625" style="1" customWidth="1"/>
    <col min="4" max="4" width="4" style="151" customWidth="1"/>
    <col min="5" max="5" width="3.28515625" style="2" customWidth="1"/>
    <col min="6" max="6" width="4.28515625" style="151" bestFit="1" customWidth="1"/>
    <col min="7" max="7" width="3.28515625" style="2" customWidth="1"/>
    <col min="8" max="8" width="4.28515625" style="151" bestFit="1" customWidth="1"/>
    <col min="9" max="9" width="3.28515625" style="2" customWidth="1"/>
    <col min="10" max="10" width="4.28515625" style="151" bestFit="1" customWidth="1"/>
    <col min="11" max="11" width="3.42578125" style="2" customWidth="1"/>
    <col min="12" max="12" width="5.5703125" style="151" customWidth="1"/>
    <col min="13" max="13" width="4.28515625" style="2" customWidth="1"/>
    <col min="14" max="14" width="4.28515625" style="151" bestFit="1" customWidth="1"/>
    <col min="15" max="15" width="9.28515625" style="2" customWidth="1"/>
    <col min="16" max="16" width="9.5703125" style="2" customWidth="1"/>
    <col min="17" max="17" width="1.42578125" style="2" customWidth="1"/>
    <col min="18" max="18" width="14.140625" style="2" hidden="1" customWidth="1"/>
    <col min="19" max="19" width="21" style="2" hidden="1" customWidth="1"/>
    <col min="20" max="20" width="16.28515625" style="2" hidden="1" customWidth="1"/>
    <col min="21" max="21" width="15.28515625" style="2" hidden="1" customWidth="1"/>
    <col min="22" max="22" width="14.140625" style="2" hidden="1" customWidth="1"/>
    <col min="23" max="23" width="10.42578125" style="2" hidden="1" customWidth="1"/>
    <col min="24" max="24" width="8" style="2" hidden="1" customWidth="1"/>
    <col min="25" max="25" width="12.140625" style="2" hidden="1" customWidth="1"/>
    <col min="26" max="26" width="15.42578125" style="2" hidden="1" customWidth="1"/>
    <col min="27" max="27" width="7.5703125" style="2" hidden="1" customWidth="1"/>
    <col min="28" max="28" width="8.140625" style="2" hidden="1" customWidth="1"/>
    <col min="29" max="29" width="7.42578125" style="2" hidden="1" customWidth="1"/>
    <col min="30" max="30" width="8.7109375" style="2" hidden="1" customWidth="1"/>
    <col min="31" max="31" width="11.42578125" style="2" hidden="1" customWidth="1"/>
    <col min="32" max="32" width="9.7109375" style="2" hidden="1" customWidth="1"/>
    <col min="33" max="33" width="7.140625" style="2" hidden="1" customWidth="1"/>
    <col min="34" max="34" width="8.28515625" style="2" hidden="1" customWidth="1"/>
    <col min="35" max="35" width="9.85546875" style="2" hidden="1" customWidth="1"/>
    <col min="36" max="36" width="9.28515625" style="2" hidden="1" customWidth="1"/>
    <col min="37" max="37" width="12.7109375" style="2" hidden="1" customWidth="1"/>
    <col min="38" max="38" width="9.42578125" style="2" hidden="1" customWidth="1"/>
    <col min="39" max="39" width="9.140625" style="2" hidden="1" customWidth="1"/>
    <col min="40" max="103" width="8.28515625" style="2" hidden="1" customWidth="1"/>
    <col min="104" max="130" width="5.7109375" style="2" hidden="1" customWidth="1"/>
    <col min="131" max="255" width="5.7109375" style="2" customWidth="1"/>
    <col min="256" max="16384" width="2.5703125" style="2"/>
  </cols>
  <sheetData>
    <row r="1" spans="2:170" ht="15" customHeight="1" x14ac:dyDescent="0.2">
      <c r="B1" s="724" t="s">
        <v>1697</v>
      </c>
      <c r="C1" s="771"/>
      <c r="D1" s="732" t="str">
        <f>IF('Start here'!A6="","",'Start here'!A6)</f>
        <v/>
      </c>
      <c r="E1" s="736"/>
      <c r="F1" s="736"/>
      <c r="G1" s="736"/>
      <c r="H1" s="736"/>
      <c r="I1" s="736"/>
      <c r="J1" s="736"/>
      <c r="K1" s="737"/>
      <c r="L1" s="2"/>
      <c r="M1" s="732" t="str">
        <f>IF('Start here'!A7="","",'Start here'!A7)</f>
        <v/>
      </c>
      <c r="N1" s="736"/>
      <c r="O1" s="736"/>
      <c r="P1" s="737"/>
      <c r="R1" s="242">
        <v>38353</v>
      </c>
      <c r="S1" s="146" t="str">
        <f>IF(R2&lt;R1,"Go to PPD Worksheet","")</f>
        <v>Go to PPD Worksheet</v>
      </c>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3.5" customHeight="1" x14ac:dyDescent="0.2">
      <c r="B2" s="777"/>
      <c r="C2" s="777"/>
      <c r="D2" s="777"/>
      <c r="E2" s="777"/>
      <c r="F2" s="777"/>
      <c r="G2" s="777"/>
      <c r="H2" s="777"/>
      <c r="I2" s="777"/>
      <c r="J2" s="777"/>
      <c r="K2" s="777"/>
      <c r="L2" s="777"/>
      <c r="M2" s="777"/>
      <c r="N2" s="777"/>
      <c r="O2" s="777"/>
      <c r="P2" s="777"/>
      <c r="R2" s="329">
        <f>'Start here'!A8</f>
        <v>0</v>
      </c>
      <c r="S2" s="50" t="str">
        <f>IF(R2&gt;=R1,"Go to PPD Worksheet","")</f>
        <v/>
      </c>
    </row>
    <row r="3" spans="2:170" ht="24" customHeight="1" x14ac:dyDescent="0.3">
      <c r="B3" s="778" t="s">
        <v>1978</v>
      </c>
      <c r="C3" s="779"/>
      <c r="D3" s="779"/>
      <c r="E3" s="779"/>
      <c r="F3" s="779"/>
      <c r="G3" s="779"/>
      <c r="H3" s="779"/>
      <c r="I3" s="779"/>
      <c r="J3" s="779"/>
      <c r="K3" s="779"/>
      <c r="L3" s="779"/>
      <c r="M3" s="779"/>
      <c r="N3" s="779"/>
      <c r="O3" s="779"/>
      <c r="P3" s="1090"/>
      <c r="R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row>
    <row r="4" spans="2:170" ht="30.75" customHeight="1" x14ac:dyDescent="0.2">
      <c r="B4" s="179" t="s">
        <v>396</v>
      </c>
      <c r="C4" s="1062" t="s">
        <v>1542</v>
      </c>
      <c r="D4" s="1062"/>
      <c r="E4" s="1062" t="s">
        <v>143</v>
      </c>
      <c r="F4" s="1062"/>
      <c r="G4" s="1062" t="s">
        <v>1536</v>
      </c>
      <c r="H4" s="1062"/>
      <c r="I4" s="1062" t="s">
        <v>1538</v>
      </c>
      <c r="J4" s="1062"/>
      <c r="K4" s="1062" t="s">
        <v>1540</v>
      </c>
      <c r="L4" s="1062"/>
      <c r="M4" s="1062" t="s">
        <v>1386</v>
      </c>
      <c r="N4" s="1062"/>
      <c r="O4" s="364" t="s">
        <v>400</v>
      </c>
      <c r="P4" s="364" t="s">
        <v>1859</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row>
    <row r="5" spans="2:170" ht="18" customHeight="1" x14ac:dyDescent="0.2">
      <c r="B5" s="895" t="s">
        <v>926</v>
      </c>
      <c r="C5" s="896"/>
      <c r="D5" s="896"/>
      <c r="E5" s="896"/>
      <c r="F5" s="896"/>
      <c r="G5" s="896"/>
      <c r="H5" s="896"/>
      <c r="I5" s="896"/>
      <c r="J5" s="896"/>
      <c r="K5" s="896"/>
      <c r="L5" s="896"/>
      <c r="M5" s="896"/>
      <c r="N5" s="896"/>
      <c r="O5" s="896"/>
      <c r="P5" s="897"/>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row>
    <row r="6" spans="2:170" ht="18" customHeight="1" x14ac:dyDescent="0.2">
      <c r="B6" s="776" t="s">
        <v>927</v>
      </c>
      <c r="C6" s="776"/>
      <c r="D6" s="776"/>
      <c r="E6" s="776"/>
      <c r="F6" s="776"/>
      <c r="G6" s="776"/>
      <c r="H6" s="776"/>
      <c r="I6" s="776"/>
      <c r="J6" s="776"/>
      <c r="K6" s="776"/>
      <c r="L6" s="776"/>
      <c r="M6" s="776"/>
      <c r="N6" s="776"/>
      <c r="O6" s="776"/>
      <c r="P6" s="929">
        <f>SUMIF(U6:Z6,B7,U7:Z7)</f>
        <v>0</v>
      </c>
      <c r="R6" s="10"/>
      <c r="S6" s="10"/>
      <c r="T6" s="761" t="s">
        <v>509</v>
      </c>
      <c r="U6" s="50" t="s">
        <v>510</v>
      </c>
      <c r="V6" s="50" t="s">
        <v>511</v>
      </c>
      <c r="W6" s="552" t="s">
        <v>512</v>
      </c>
      <c r="X6" s="50" t="s">
        <v>513</v>
      </c>
      <c r="Y6" s="50" t="s">
        <v>514</v>
      </c>
      <c r="Z6" s="50" t="s">
        <v>649</v>
      </c>
      <c r="AA6" s="14"/>
      <c r="AB6" s="14"/>
      <c r="AC6" s="14"/>
      <c r="AD6" s="10"/>
      <c r="AE6" s="10"/>
      <c r="AF6" s="10"/>
      <c r="AG6" s="10"/>
      <c r="AH6" s="10"/>
      <c r="AI6" s="10"/>
      <c r="AJ6" s="10"/>
      <c r="AK6" s="10"/>
      <c r="AL6" s="10"/>
      <c r="AM6" s="10"/>
      <c r="AN6" s="10"/>
      <c r="AO6" s="10"/>
      <c r="AP6" s="10"/>
      <c r="AQ6" s="10"/>
      <c r="AR6" s="10"/>
      <c r="AS6" s="10"/>
      <c r="AT6" s="10"/>
    </row>
    <row r="7" spans="2:170" ht="15" customHeight="1" x14ac:dyDescent="0.2">
      <c r="B7" s="1012"/>
      <c r="C7" s="1012"/>
      <c r="D7" s="1012"/>
      <c r="E7" s="1012"/>
      <c r="F7" s="1012"/>
      <c r="G7" s="1012"/>
      <c r="H7" s="1012"/>
      <c r="I7" s="1012"/>
      <c r="J7" s="1012"/>
      <c r="K7" s="1012"/>
      <c r="L7" s="1012"/>
      <c r="M7" s="1012"/>
      <c r="N7" s="1012"/>
      <c r="O7" s="1012"/>
      <c r="P7" s="1072"/>
      <c r="R7" s="10"/>
      <c r="S7" s="10"/>
      <c r="T7" s="761"/>
      <c r="U7" s="548">
        <v>0</v>
      </c>
      <c r="V7" s="147">
        <v>0</v>
      </c>
      <c r="W7" s="147">
        <v>0.1</v>
      </c>
      <c r="X7" s="147">
        <v>0.3</v>
      </c>
      <c r="Y7" s="147">
        <v>0.5</v>
      </c>
      <c r="Z7" s="147">
        <v>1</v>
      </c>
      <c r="AA7" s="10"/>
      <c r="AB7" s="10"/>
      <c r="AC7" s="10"/>
      <c r="AD7" s="10"/>
      <c r="AE7" s="10"/>
      <c r="AF7" s="10"/>
      <c r="AG7" s="10"/>
      <c r="AH7" s="10"/>
      <c r="AI7" s="10"/>
      <c r="AJ7" s="10"/>
      <c r="AK7" s="10"/>
      <c r="AL7" s="10"/>
      <c r="AM7" s="10"/>
      <c r="AN7" s="10"/>
      <c r="AO7" s="10"/>
      <c r="AP7" s="10"/>
      <c r="AQ7" s="10"/>
      <c r="AR7" s="10"/>
      <c r="AS7" s="10"/>
      <c r="AT7" s="10"/>
    </row>
    <row r="8" spans="2:170" ht="11.25" customHeight="1" x14ac:dyDescent="0.2">
      <c r="B8" s="958" t="str">
        <f>IF(AND(P6&gt;0.1,B10=""),"Enter specific level of amputation or shortening below.","")</f>
        <v/>
      </c>
      <c r="C8" s="958"/>
      <c r="D8" s="958"/>
      <c r="E8" s="958"/>
      <c r="F8" s="958"/>
      <c r="G8" s="958"/>
      <c r="H8" s="958"/>
      <c r="I8" s="958"/>
      <c r="J8" s="958"/>
      <c r="K8" s="958"/>
      <c r="L8" s="958"/>
      <c r="M8" s="958"/>
      <c r="N8" s="958"/>
      <c r="O8" s="958"/>
      <c r="P8" s="958"/>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row>
    <row r="9" spans="2:170" ht="27" customHeight="1" x14ac:dyDescent="0.2">
      <c r="B9" s="1068" t="s">
        <v>650</v>
      </c>
      <c r="C9" s="1068"/>
      <c r="D9" s="1068"/>
      <c r="E9" s="1068"/>
      <c r="F9" s="1068"/>
      <c r="G9" s="1068"/>
      <c r="H9" s="1068"/>
      <c r="I9" s="1068"/>
      <c r="J9" s="1068"/>
      <c r="K9" s="1068"/>
      <c r="L9" s="1068"/>
      <c r="M9" s="1068"/>
      <c r="N9" s="1068"/>
      <c r="O9" s="1068"/>
      <c r="P9" s="106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row>
    <row r="10" spans="2:170" ht="15" customHeight="1" x14ac:dyDescent="0.2">
      <c r="B10" s="1012"/>
      <c r="C10" s="1012"/>
      <c r="D10" s="1012"/>
      <c r="E10" s="1012"/>
      <c r="F10" s="1012"/>
      <c r="G10" s="1012"/>
      <c r="H10" s="1012"/>
      <c r="I10" s="1012"/>
      <c r="J10" s="1012"/>
      <c r="K10" s="1012"/>
      <c r="L10" s="1012"/>
      <c r="M10" s="1012"/>
      <c r="N10" s="1012"/>
      <c r="O10" s="1012"/>
      <c r="P10" s="1061"/>
      <c r="R10" s="10"/>
      <c r="S10" s="10"/>
      <c r="T10" s="910" t="s">
        <v>784</v>
      </c>
      <c r="U10" s="910"/>
      <c r="V10" s="910"/>
      <c r="W10" s="910"/>
      <c r="X10" s="910"/>
      <c r="Y10" s="910"/>
      <c r="Z10" s="10"/>
      <c r="AA10" s="10"/>
      <c r="AB10" s="10"/>
      <c r="AC10" s="10"/>
      <c r="AD10" s="10"/>
      <c r="AE10" s="10"/>
      <c r="AF10" s="10"/>
      <c r="AG10" s="10"/>
      <c r="AH10" s="10"/>
      <c r="AI10" s="10"/>
      <c r="AJ10" s="10"/>
      <c r="AK10" s="10"/>
      <c r="AL10" s="10"/>
      <c r="AM10" s="10"/>
      <c r="AN10" s="10"/>
      <c r="AO10" s="10"/>
      <c r="AP10" s="10"/>
      <c r="AQ10" s="10"/>
      <c r="AR10" s="10"/>
      <c r="AS10" s="10"/>
      <c r="AT10" s="10"/>
    </row>
    <row r="11" spans="2:170" ht="15" customHeight="1" x14ac:dyDescent="0.2">
      <c r="B11" s="749" t="s">
        <v>950</v>
      </c>
      <c r="C11" s="750"/>
      <c r="D11" s="750"/>
      <c r="E11" s="750"/>
      <c r="F11" s="750"/>
      <c r="G11" s="750"/>
      <c r="H11" s="750"/>
      <c r="I11" s="750"/>
      <c r="J11" s="750"/>
      <c r="K11" s="750"/>
      <c r="L11" s="750"/>
      <c r="M11" s="751"/>
      <c r="N11" s="791" t="s">
        <v>142</v>
      </c>
      <c r="O11" s="791"/>
      <c r="P11" s="245">
        <f>IF(P6=1,0,R84)</f>
        <v>0</v>
      </c>
      <c r="R11" s="10"/>
      <c r="S11" s="10"/>
      <c r="T11" s="50" t="s">
        <v>143</v>
      </c>
      <c r="U11" s="514">
        <f>SUMIF(V11:AD11,B10,V12:AD12)</f>
        <v>0</v>
      </c>
      <c r="V11" s="50" t="s">
        <v>510</v>
      </c>
      <c r="W11" s="50" t="s">
        <v>144</v>
      </c>
      <c r="X11" s="50" t="s">
        <v>1869</v>
      </c>
      <c r="Y11" s="50" t="s">
        <v>1529</v>
      </c>
      <c r="Z11" s="50" t="s">
        <v>1530</v>
      </c>
      <c r="AA11" s="50" t="s">
        <v>1531</v>
      </c>
      <c r="AB11" s="50" t="s">
        <v>1532</v>
      </c>
      <c r="AC11" s="50" t="s">
        <v>1533</v>
      </c>
      <c r="AD11" s="50" t="s">
        <v>1534</v>
      </c>
      <c r="AE11" s="10"/>
      <c r="AF11" s="10"/>
      <c r="AG11" s="10"/>
      <c r="AH11" s="10"/>
      <c r="AI11" s="10"/>
      <c r="AJ11" s="10"/>
      <c r="AK11" s="10"/>
      <c r="AL11" s="10"/>
      <c r="AM11" s="10"/>
      <c r="AN11" s="10"/>
      <c r="AO11" s="10"/>
      <c r="AP11" s="10"/>
      <c r="AQ11" s="10"/>
      <c r="AR11" s="10"/>
      <c r="AS11" s="10"/>
      <c r="AT11" s="10"/>
    </row>
    <row r="12" spans="2:170" ht="15" customHeight="1" x14ac:dyDescent="0.2">
      <c r="B12" s="818"/>
      <c r="C12" s="698"/>
      <c r="D12" s="698"/>
      <c r="E12" s="698"/>
      <c r="F12" s="698"/>
      <c r="G12" s="698"/>
      <c r="H12" s="698"/>
      <c r="I12" s="698"/>
      <c r="J12" s="698"/>
      <c r="K12" s="698"/>
      <c r="L12" s="698"/>
      <c r="M12" s="819"/>
      <c r="N12" s="791" t="s">
        <v>1535</v>
      </c>
      <c r="O12" s="791"/>
      <c r="P12" s="21">
        <f>IF(P6=1,0,R160)</f>
        <v>0</v>
      </c>
      <c r="R12" s="10"/>
      <c r="S12" s="10"/>
      <c r="T12" s="50" t="s">
        <v>1536</v>
      </c>
      <c r="U12" s="514">
        <f>U11</f>
        <v>0</v>
      </c>
      <c r="V12" s="548">
        <v>0</v>
      </c>
      <c r="W12" s="548">
        <v>0.05</v>
      </c>
      <c r="X12" s="548">
        <v>0.1</v>
      </c>
      <c r="Y12" s="548">
        <v>0.15</v>
      </c>
      <c r="Z12" s="548">
        <v>0.2</v>
      </c>
      <c r="AA12" s="548">
        <v>0.25</v>
      </c>
      <c r="AB12" s="548">
        <v>0.3</v>
      </c>
      <c r="AC12" s="548">
        <v>0.35</v>
      </c>
      <c r="AD12" s="548">
        <v>0.4</v>
      </c>
      <c r="AE12" s="10"/>
      <c r="AF12" s="10"/>
      <c r="AG12" s="10"/>
      <c r="AH12" s="10"/>
      <c r="AI12" s="10"/>
      <c r="AJ12" s="10"/>
      <c r="AK12" s="10"/>
      <c r="AL12" s="10"/>
      <c r="AM12" s="10"/>
      <c r="AN12" s="10"/>
      <c r="AO12" s="10"/>
      <c r="AP12" s="10"/>
      <c r="AQ12" s="10"/>
      <c r="AR12" s="10"/>
      <c r="AS12" s="10"/>
      <c r="AT12" s="10"/>
    </row>
    <row r="13" spans="2:170" ht="15" customHeight="1" x14ac:dyDescent="0.2">
      <c r="B13" s="818"/>
      <c r="C13" s="698"/>
      <c r="D13" s="698"/>
      <c r="E13" s="698"/>
      <c r="F13" s="698"/>
      <c r="G13" s="698"/>
      <c r="H13" s="698"/>
      <c r="I13" s="698"/>
      <c r="J13" s="698"/>
      <c r="K13" s="698"/>
      <c r="L13" s="698"/>
      <c r="M13" s="819"/>
      <c r="N13" s="791" t="s">
        <v>1537</v>
      </c>
      <c r="O13" s="791"/>
      <c r="P13" s="21">
        <f>IF(P6=1,0,R237)</f>
        <v>0</v>
      </c>
      <c r="R13" s="10"/>
      <c r="S13" s="10"/>
      <c r="T13" s="50" t="s">
        <v>1538</v>
      </c>
      <c r="U13" s="514">
        <f>SUMIF(V11:AD11,B10,V13:AD13)</f>
        <v>0</v>
      </c>
      <c r="V13" s="548">
        <v>0</v>
      </c>
      <c r="W13" s="548">
        <v>0</v>
      </c>
      <c r="X13" s="548">
        <v>0.05</v>
      </c>
      <c r="Y13" s="548">
        <v>0.05</v>
      </c>
      <c r="Z13" s="548">
        <v>0.1</v>
      </c>
      <c r="AA13" s="548">
        <v>0.1</v>
      </c>
      <c r="AB13" s="548">
        <v>0.15</v>
      </c>
      <c r="AC13" s="548">
        <v>0.15</v>
      </c>
      <c r="AD13" s="548">
        <v>0.2</v>
      </c>
      <c r="AE13" s="10"/>
      <c r="AF13" s="10"/>
      <c r="AG13" s="10"/>
      <c r="AH13" s="10"/>
      <c r="AI13" s="10"/>
      <c r="AJ13" s="10"/>
      <c r="AK13" s="10"/>
      <c r="AL13" s="10"/>
      <c r="AM13" s="10"/>
      <c r="AN13" s="10"/>
      <c r="AO13" s="10"/>
      <c r="AP13" s="10"/>
      <c r="AQ13" s="10"/>
      <c r="AR13" s="10"/>
      <c r="AS13" s="10"/>
      <c r="AT13" s="10"/>
    </row>
    <row r="14" spans="2:170" ht="15" customHeight="1" x14ac:dyDescent="0.2">
      <c r="B14" s="752"/>
      <c r="C14" s="753"/>
      <c r="D14" s="753"/>
      <c r="E14" s="753"/>
      <c r="F14" s="753"/>
      <c r="G14" s="753"/>
      <c r="H14" s="753"/>
      <c r="I14" s="753"/>
      <c r="J14" s="753"/>
      <c r="K14" s="753"/>
      <c r="L14" s="753"/>
      <c r="M14" s="754"/>
      <c r="N14" s="791" t="s">
        <v>1539</v>
      </c>
      <c r="O14" s="791"/>
      <c r="P14" s="21">
        <f>IF(P6=1,0,R312)</f>
        <v>0</v>
      </c>
      <c r="R14" s="10"/>
      <c r="S14" s="10"/>
      <c r="T14" s="50" t="s">
        <v>1540</v>
      </c>
      <c r="U14" s="514">
        <f>SUMIF(V11:AD11,B10,V14:AD14)</f>
        <v>0</v>
      </c>
      <c r="V14" s="548">
        <v>0</v>
      </c>
      <c r="W14" s="548">
        <v>0</v>
      </c>
      <c r="X14" s="548">
        <v>0</v>
      </c>
      <c r="Y14" s="548">
        <v>0</v>
      </c>
      <c r="Z14" s="548">
        <v>0.05</v>
      </c>
      <c r="AA14" s="548">
        <v>0.05</v>
      </c>
      <c r="AB14" s="548">
        <v>0.05</v>
      </c>
      <c r="AC14" s="548">
        <v>0.05</v>
      </c>
      <c r="AD14" s="548">
        <v>0.1</v>
      </c>
      <c r="AE14" s="10"/>
      <c r="AF14" s="10"/>
      <c r="AG14" s="10"/>
      <c r="AH14" s="10"/>
      <c r="AI14" s="10"/>
      <c r="AJ14" s="10"/>
      <c r="AK14" s="10"/>
      <c r="AL14" s="10"/>
      <c r="AM14" s="10"/>
      <c r="AN14" s="10"/>
      <c r="AO14" s="10"/>
      <c r="AP14" s="10"/>
      <c r="AQ14" s="10"/>
      <c r="AR14" s="10"/>
      <c r="AS14" s="10"/>
      <c r="AT14" s="10"/>
    </row>
    <row r="15" spans="2:170" ht="12" customHeight="1" x14ac:dyDescent="0.2">
      <c r="B15" s="777"/>
      <c r="C15" s="777"/>
      <c r="D15" s="777"/>
      <c r="E15" s="777"/>
      <c r="F15" s="777"/>
      <c r="G15" s="777"/>
      <c r="H15" s="777"/>
      <c r="I15" s="777"/>
      <c r="J15" s="777"/>
      <c r="K15" s="777"/>
      <c r="L15" s="777"/>
      <c r="M15" s="777"/>
      <c r="N15" s="777"/>
      <c r="O15" s="777"/>
      <c r="P15" s="777"/>
      <c r="R15" s="128"/>
      <c r="S15" s="128"/>
      <c r="T15" s="128"/>
      <c r="U15" s="128"/>
      <c r="V15" s="128"/>
      <c r="W15" s="128"/>
      <c r="X15" s="128"/>
      <c r="Y15" s="128"/>
      <c r="Z15" s="10"/>
      <c r="AA15" s="10"/>
      <c r="AB15" s="10"/>
      <c r="AC15" s="10"/>
      <c r="AD15" s="10"/>
      <c r="AE15" s="10"/>
      <c r="AF15" s="10"/>
      <c r="AG15" s="10"/>
      <c r="AH15" s="10"/>
      <c r="AI15" s="10"/>
      <c r="AJ15" s="10"/>
      <c r="AK15" s="10"/>
      <c r="AL15" s="10"/>
      <c r="AM15" s="10"/>
      <c r="AN15" s="10"/>
      <c r="AO15" s="10"/>
      <c r="AP15" s="10"/>
      <c r="AQ15" s="10"/>
      <c r="AR15" s="10"/>
      <c r="AS15" s="10"/>
      <c r="AT15" s="10"/>
    </row>
    <row r="16" spans="2:170" ht="18" customHeight="1" x14ac:dyDescent="0.2">
      <c r="B16" s="910" t="s">
        <v>1563</v>
      </c>
      <c r="C16" s="910"/>
      <c r="D16" s="910"/>
      <c r="E16" s="910"/>
      <c r="F16" s="910"/>
      <c r="G16" s="910"/>
      <c r="H16" s="910"/>
      <c r="I16" s="910"/>
      <c r="J16" s="910"/>
      <c r="K16" s="910"/>
      <c r="L16" s="910"/>
      <c r="M16" s="910"/>
      <c r="N16" s="910"/>
      <c r="O16" s="910"/>
      <c r="P16" s="857">
        <f>IF(R27=1,"ERROR",AD25)</f>
        <v>0</v>
      </c>
      <c r="R16" s="10"/>
      <c r="S16" s="10"/>
      <c r="T16" s="1123" t="s">
        <v>2163</v>
      </c>
      <c r="U16" s="1123"/>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row>
    <row r="17" spans="2:48" ht="27" customHeight="1" x14ac:dyDescent="0.2">
      <c r="B17" s="18"/>
      <c r="C17" s="910" t="s">
        <v>1564</v>
      </c>
      <c r="D17" s="910"/>
      <c r="E17" s="910"/>
      <c r="F17" s="910"/>
      <c r="G17" s="912" t="s">
        <v>1064</v>
      </c>
      <c r="H17" s="912"/>
      <c r="I17" s="912"/>
      <c r="J17" s="912"/>
      <c r="K17" s="910"/>
      <c r="L17" s="910"/>
      <c r="M17" s="910"/>
      <c r="N17" s="910"/>
      <c r="O17" s="910"/>
      <c r="P17" s="961"/>
      <c r="R17" s="10"/>
      <c r="S17" s="50" t="s">
        <v>1541</v>
      </c>
      <c r="T17" s="256" t="s">
        <v>1564</v>
      </c>
      <c r="U17" s="256" t="s">
        <v>1565</v>
      </c>
      <c r="V17" s="791" t="s">
        <v>1066</v>
      </c>
      <c r="W17" s="791"/>
      <c r="X17" s="791"/>
      <c r="Y17" s="791"/>
      <c r="Z17" s="10"/>
      <c r="AA17" s="10"/>
      <c r="AB17" s="10"/>
      <c r="AC17" s="10"/>
      <c r="AD17" s="10"/>
      <c r="AE17" s="10"/>
      <c r="AF17" s="10"/>
      <c r="AG17" s="10"/>
      <c r="AH17" s="10"/>
      <c r="AI17" s="10"/>
      <c r="AJ17" s="10"/>
      <c r="AK17" s="10"/>
      <c r="AL17" s="10"/>
      <c r="AM17" s="10"/>
      <c r="AN17" s="10"/>
      <c r="AO17" s="10"/>
      <c r="AP17" s="10"/>
      <c r="AQ17" s="10"/>
      <c r="AR17" s="10"/>
      <c r="AS17" s="10"/>
      <c r="AT17" s="10"/>
    </row>
    <row r="18" spans="2:48" ht="15" customHeight="1" x14ac:dyDescent="0.2">
      <c r="B18" s="18" t="s">
        <v>1542</v>
      </c>
      <c r="C18" s="910" t="s">
        <v>355</v>
      </c>
      <c r="D18" s="910"/>
      <c r="E18" s="910" t="s">
        <v>1759</v>
      </c>
      <c r="F18" s="910"/>
      <c r="G18" s="910" t="s">
        <v>355</v>
      </c>
      <c r="H18" s="910"/>
      <c r="I18" s="910" t="s">
        <v>1759</v>
      </c>
      <c r="J18" s="910"/>
      <c r="K18" s="910"/>
      <c r="L18" s="910"/>
      <c r="M18" s="910"/>
      <c r="N18" s="910"/>
      <c r="O18" s="910"/>
      <c r="P18" s="961"/>
      <c r="R18" s="10"/>
      <c r="S18" s="50">
        <v>80</v>
      </c>
      <c r="T18" s="50" t="str">
        <f>IF(OR(C19="",C19="NA"),"",IF(C19&gt;S18,S18,IF(C19&lt;0,0,C19)))</f>
        <v/>
      </c>
      <c r="U18" s="566" t="str">
        <f>IF(OR(G19="",G19="NA"),"",IF(G19&gt;S18,S18,IF(G19&lt;0,0,G19)))</f>
        <v/>
      </c>
      <c r="V18" s="553" t="str">
        <f>IF(Y18="","",ROUND(Y18,0))</f>
        <v/>
      </c>
      <c r="W18" s="724" t="s">
        <v>1184</v>
      </c>
      <c r="X18" s="724"/>
      <c r="Y18" s="554" t="str">
        <f>IF(T18="","",IF(OR(U18="",U18=0,U18&lt;T18),T18,(T18*80)/U18))</f>
        <v/>
      </c>
      <c r="Z18" s="10"/>
      <c r="AA18" s="10"/>
      <c r="AB18" s="10"/>
      <c r="AC18" s="10"/>
      <c r="AD18" s="10"/>
      <c r="AE18" s="10"/>
      <c r="AF18" s="10"/>
      <c r="AG18" s="10"/>
      <c r="AH18" s="10"/>
      <c r="AI18" s="10"/>
      <c r="AJ18" s="10"/>
      <c r="AK18" s="10"/>
      <c r="AL18" s="10"/>
      <c r="AM18" s="10"/>
      <c r="AN18" s="10"/>
      <c r="AO18" s="10"/>
      <c r="AP18" s="10"/>
      <c r="AQ18" s="10"/>
      <c r="AR18" s="10"/>
      <c r="AS18" s="10"/>
      <c r="AT18" s="10"/>
    </row>
    <row r="19" spans="2:48" ht="15" customHeight="1" x14ac:dyDescent="0.2">
      <c r="B19" s="146" t="s">
        <v>1543</v>
      </c>
      <c r="C19" s="694"/>
      <c r="D19" s="694"/>
      <c r="E19" s="921">
        <f>UETable!BF3</f>
        <v>0</v>
      </c>
      <c r="F19" s="921"/>
      <c r="G19" s="694"/>
      <c r="H19" s="694"/>
      <c r="I19" s="936">
        <f>IF(C19="",0,IF(OR(C19&lt;=0,G19&lt;=0),E19,IF(G19&lt;C19,0,UETable!BK3)))</f>
        <v>0</v>
      </c>
      <c r="J19" s="936"/>
      <c r="K19" s="930" t="str">
        <f>IF(OR(C19="NA",G19="NA"),"",IF(AND(C19&lt;&gt;"",G19=""),"Enter contralateral or NA.",IF(AND(C19="",G19&lt;&gt;""),"Need data","")))</f>
        <v/>
      </c>
      <c r="L19" s="930"/>
      <c r="M19" s="930"/>
      <c r="N19" s="930"/>
      <c r="O19" s="930"/>
      <c r="P19" s="961"/>
      <c r="R19" s="10"/>
      <c r="S19" s="50">
        <v>80</v>
      </c>
      <c r="T19" s="50" t="str">
        <f>IF(OR(C20="",C20="NA"),"",IF(C20&gt;S18,S18,IF(C20&lt;0,0,C20)))</f>
        <v/>
      </c>
      <c r="U19" s="566" t="str">
        <f>IF(OR(G20="",G20="NA"),"",IF(G20&gt;S18,S18,IF(G20&lt;0,0,G20)))</f>
        <v/>
      </c>
      <c r="V19" s="553" t="str">
        <f>IF(Y19="","",ROUND(Y19,0))</f>
        <v/>
      </c>
      <c r="W19" s="566">
        <f>IF(T19="",0,80-T19)</f>
        <v>0</v>
      </c>
      <c r="X19" s="50">
        <f>IF(U19="",0,80-U19)</f>
        <v>0</v>
      </c>
      <c r="Y19" s="554" t="str">
        <f>IF(T19="","",IF(OR(U19="",U19=0,U19&gt;T19),T19,80-(W19*80)/X19))</f>
        <v/>
      </c>
      <c r="Z19" s="10"/>
      <c r="AA19" s="10"/>
      <c r="AB19" s="10"/>
      <c r="AC19" s="10"/>
      <c r="AD19" s="10"/>
      <c r="AE19" s="10"/>
      <c r="AF19" s="10"/>
      <c r="AG19" s="10"/>
      <c r="AH19" s="10"/>
      <c r="AI19" s="10"/>
      <c r="AJ19" s="10"/>
      <c r="AK19" s="10"/>
      <c r="AL19" s="10"/>
      <c r="AM19" s="10"/>
      <c r="AN19" s="10"/>
      <c r="AO19" s="10"/>
      <c r="AP19" s="10"/>
      <c r="AQ19" s="10"/>
      <c r="AR19" s="10"/>
      <c r="AS19" s="10"/>
      <c r="AT19" s="10"/>
    </row>
    <row r="20" spans="2:48" ht="15" customHeight="1" x14ac:dyDescent="0.2">
      <c r="B20" s="146" t="s">
        <v>1544</v>
      </c>
      <c r="C20" s="694"/>
      <c r="D20" s="694"/>
      <c r="E20" s="921">
        <f>UETable!BF4</f>
        <v>0</v>
      </c>
      <c r="F20" s="921"/>
      <c r="G20" s="694"/>
      <c r="H20" s="694"/>
      <c r="I20" s="936">
        <f>IF(C20="",0,IF(OR(C20&gt;=80,G20&gt;=80),E20,IF(G20&gt;C20,0,UETable!BK4)))</f>
        <v>0</v>
      </c>
      <c r="J20" s="936"/>
      <c r="K20" s="930" t="str">
        <f>IF(OR(C20="NA",G20="NA"),"",IF(AND(C20&lt;&gt;"",G20=""),"Enter contralateral or NA.",IF(AND(C20="",G20&lt;&gt;""),"Need data","")))</f>
        <v/>
      </c>
      <c r="L20" s="930"/>
      <c r="M20" s="930"/>
      <c r="N20" s="930"/>
      <c r="O20" s="930"/>
      <c r="P20" s="961"/>
      <c r="R20" s="10"/>
      <c r="S20" s="50">
        <v>80</v>
      </c>
      <c r="T20" s="50" t="str">
        <f>IF(OR(C21="",C21="NA"),"",IF(C21&gt;S18,S18,IF(C21&lt;0,0,C21)))</f>
        <v/>
      </c>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row>
    <row r="21" spans="2:48" ht="15" customHeight="1" x14ac:dyDescent="0.2">
      <c r="B21" s="146" t="s">
        <v>1545</v>
      </c>
      <c r="C21" s="694"/>
      <c r="D21" s="694"/>
      <c r="E21" s="921">
        <f>IF(AND(C21&lt;&gt;"",C21&lt;&gt;"NA",C20&lt;&gt;"NA",C20&lt;&gt;""),"ERROR",IF(AND(C21&lt;&gt;"",C21&lt;&gt;"NA",C19&lt;&gt;"",C19&lt;&gt;"NA"),"ERROR",UETable!BF5))</f>
        <v>0</v>
      </c>
      <c r="F21" s="921"/>
      <c r="G21" s="930" t="str">
        <f>IF(AND(C21&lt;&gt;"",C21&lt;&gt;"NA",C20&lt;&gt;"NA",C20&lt;&gt;""),"ERROR: Cannot rate ROM and ankylosis.",IF(AND(C21&lt;&gt;"",C21&lt;&gt;"NA",C19&lt;&gt;"",C19&lt;&gt;"NA"),"ERROR: Cannot rate ROM and ankylosis.",""))</f>
        <v/>
      </c>
      <c r="H21" s="930"/>
      <c r="I21" s="930"/>
      <c r="J21" s="930"/>
      <c r="K21" s="930"/>
      <c r="L21" s="930"/>
      <c r="M21" s="930"/>
      <c r="N21" s="930"/>
      <c r="O21" s="930"/>
      <c r="P21" s="961"/>
      <c r="R21" s="131"/>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row>
    <row r="22" spans="2:48" ht="15" customHeight="1" x14ac:dyDescent="0.2">
      <c r="B22" s="979"/>
      <c r="C22" s="980"/>
      <c r="D22" s="980"/>
      <c r="E22" s="980"/>
      <c r="F22" s="980"/>
      <c r="G22" s="980"/>
      <c r="H22" s="980"/>
      <c r="I22" s="980"/>
      <c r="J22" s="981"/>
      <c r="K22" s="956" t="s">
        <v>1803</v>
      </c>
      <c r="L22" s="956"/>
      <c r="M22" s="956"/>
      <c r="N22" s="956"/>
      <c r="O22" s="65">
        <f>IF(E21="ERROR","ERROR",IF(R22&gt;1,1,R22))</f>
        <v>0</v>
      </c>
      <c r="P22" s="961"/>
      <c r="R22" s="193">
        <f>SUM(I19,I20,E21)</f>
        <v>0</v>
      </c>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row>
    <row r="23" spans="2:48" ht="15" customHeight="1" x14ac:dyDescent="0.2">
      <c r="B23" s="146" t="s">
        <v>1546</v>
      </c>
      <c r="C23" s="694"/>
      <c r="D23" s="694"/>
      <c r="E23" s="921">
        <f>UETable!BF7</f>
        <v>0</v>
      </c>
      <c r="F23" s="921"/>
      <c r="G23" s="694"/>
      <c r="H23" s="694"/>
      <c r="I23" s="936">
        <f>IF(C23="",0,IF(OR(C23&lt;=0,G23&lt;=0),E23,IF(G23&lt;C23,0,UETable!BK7)))</f>
        <v>0</v>
      </c>
      <c r="J23" s="936"/>
      <c r="K23" s="930" t="str">
        <f>IF(OR(C23="NA",G23="NA"),"",IF(AND(C23&lt;&gt;"",G23=""),"Enter contralateral or NA.",IF(AND(C23="",G23&lt;&gt;""),"Need data","")))</f>
        <v/>
      </c>
      <c r="L23" s="930"/>
      <c r="M23" s="930"/>
      <c r="N23" s="930"/>
      <c r="O23" s="930"/>
      <c r="P23" s="961"/>
      <c r="R23" s="131"/>
      <c r="S23" s="50">
        <v>60</v>
      </c>
      <c r="T23" s="50" t="str">
        <f>IF(OR(C23="",C23="NA"),"",IF(C23&gt;S23,S23,IF(C23&lt;0,0,C23)))</f>
        <v/>
      </c>
      <c r="U23" s="50" t="str">
        <f>IF(OR(G23="",G23="NA"),"",IF(G23&gt;S23,S23,IF(G23&lt;0,0,G23)))</f>
        <v/>
      </c>
      <c r="V23" s="553" t="str">
        <f>IF(Y23="","",ROUND(Y23,0))</f>
        <v/>
      </c>
      <c r="W23" s="791" t="s">
        <v>1184</v>
      </c>
      <c r="X23" s="791"/>
      <c r="Y23" s="554" t="str">
        <f>IF(T23="","",IF(OR(U23="",U23=0,U23&lt;T23),T23,(T23*60)/U23))</f>
        <v/>
      </c>
      <c r="Z23" s="10"/>
      <c r="AA23" s="10"/>
      <c r="AB23" s="10"/>
      <c r="AC23" s="10"/>
      <c r="AD23" s="10"/>
      <c r="AE23" s="10"/>
      <c r="AF23" s="10"/>
      <c r="AG23" s="10"/>
      <c r="AH23" s="10"/>
      <c r="AI23" s="10"/>
      <c r="AJ23" s="10"/>
      <c r="AK23" s="10"/>
      <c r="AL23" s="10"/>
      <c r="AM23" s="10"/>
      <c r="AN23" s="10"/>
      <c r="AO23" s="10"/>
      <c r="AP23" s="10"/>
      <c r="AQ23" s="10"/>
      <c r="AR23" s="10"/>
      <c r="AS23" s="10"/>
      <c r="AT23" s="10"/>
    </row>
    <row r="24" spans="2:48" ht="15" customHeight="1" x14ac:dyDescent="0.2">
      <c r="B24" s="146" t="s">
        <v>1547</v>
      </c>
      <c r="C24" s="694"/>
      <c r="D24" s="694"/>
      <c r="E24" s="921">
        <f>UETable!BF8</f>
        <v>0</v>
      </c>
      <c r="F24" s="921"/>
      <c r="G24" s="694"/>
      <c r="H24" s="694"/>
      <c r="I24" s="936">
        <f>IF(C24="",0,IF(OR(C24&gt;=60,G24&gt;=60),E24,IF(G24&gt;C24,0,UETable!BK8)))</f>
        <v>0</v>
      </c>
      <c r="J24" s="936"/>
      <c r="K24" s="930" t="str">
        <f>IF(OR(C24="NA",G24="NA"),"",IF(AND(C24&lt;&gt;"",G24=""),"Enter contralateral or NA.",IF(AND(C24="",G24&lt;&gt;""),"Need data","")))</f>
        <v/>
      </c>
      <c r="L24" s="930"/>
      <c r="M24" s="930"/>
      <c r="N24" s="930"/>
      <c r="O24" s="930"/>
      <c r="P24" s="961"/>
      <c r="S24" s="50">
        <v>60</v>
      </c>
      <c r="T24" s="50" t="str">
        <f>IF(OR(C24="",C24="NA"),"",IF(C24&gt;S24,S24,IF(C24&lt;0,0,C24)))</f>
        <v/>
      </c>
      <c r="U24" s="50" t="str">
        <f>IF(OR(G24="",G24="NA"),"",IF(G24&gt;S24,S24,IF(G24&lt;0,0,G24)))</f>
        <v/>
      </c>
      <c r="V24" s="553" t="str">
        <f>IF(Y24="","",ROUND(Y24,0))</f>
        <v/>
      </c>
      <c r="W24" s="50">
        <f>IF(T24="",0,60-T24)</f>
        <v>0</v>
      </c>
      <c r="X24" s="50">
        <f>IF(U24="",0,60-U24)</f>
        <v>0</v>
      </c>
      <c r="Y24" s="554" t="str">
        <f>IF(T24="","",IF(OR(U24="",U24=0,U24&gt;T24),T24,60-(W24*60)/X24))</f>
        <v/>
      </c>
      <c r="Z24" s="10"/>
      <c r="AA24" s="146" t="s">
        <v>1287</v>
      </c>
      <c r="AB24" s="146" t="s">
        <v>1285</v>
      </c>
      <c r="AC24" s="50" t="s">
        <v>1286</v>
      </c>
      <c r="AD24" s="50" t="s">
        <v>1287</v>
      </c>
      <c r="AE24" s="10"/>
      <c r="AF24" s="10"/>
      <c r="AG24" s="10"/>
      <c r="AH24" s="10"/>
      <c r="AI24" s="10"/>
      <c r="AJ24" s="10"/>
      <c r="AK24" s="10"/>
      <c r="AL24" s="10"/>
      <c r="AM24" s="10"/>
      <c r="AN24" s="10"/>
      <c r="AO24" s="10"/>
      <c r="AP24" s="10"/>
      <c r="AQ24" s="10"/>
      <c r="AR24" s="10"/>
      <c r="AS24" s="10"/>
      <c r="AT24" s="10"/>
    </row>
    <row r="25" spans="2:48" ht="15" customHeight="1" x14ac:dyDescent="0.2">
      <c r="B25" s="146" t="s">
        <v>629</v>
      </c>
      <c r="C25" s="694"/>
      <c r="D25" s="694"/>
      <c r="E25" s="921">
        <f>IF(AND(C25&lt;&gt;"",C25&lt;&gt;"NA",C24&lt;&gt;"NA",C24&lt;&gt;""),"ERROR",IF(AND(C25&lt;&gt;"",C25&lt;&gt;"NA",C23&lt;&gt;"",C23&lt;&gt;"NA"),"ERROR",UETable!BF9))</f>
        <v>0</v>
      </c>
      <c r="F25" s="921"/>
      <c r="G25" s="930" t="str">
        <f>IF(AND(C25&lt;&gt;"",C25&lt;&gt;"NA",C24&lt;&gt;"NA",C24&lt;&gt;""),"ERROR: Cannot rate ROM and ankylosis.",IF(AND(C25&lt;&gt;"",C25&lt;&gt;"NA",C23&lt;&gt;"",C23&lt;&gt;"NA"),"ERROR: Cannot rate ROM and ankylosis.",""))</f>
        <v/>
      </c>
      <c r="H25" s="930"/>
      <c r="I25" s="930"/>
      <c r="J25" s="930"/>
      <c r="K25" s="930"/>
      <c r="L25" s="930"/>
      <c r="M25" s="930"/>
      <c r="N25" s="930"/>
      <c r="O25" s="930"/>
      <c r="P25" s="961"/>
      <c r="R25" s="10"/>
      <c r="S25" s="50">
        <v>60</v>
      </c>
      <c r="T25" s="50" t="str">
        <f>IF(OR(C25="",C25="NA"),"",IF(C25&gt;S25,S25,IF(C25&lt;0,0,C25)))</f>
        <v/>
      </c>
      <c r="U25" s="10"/>
      <c r="V25" s="10"/>
      <c r="W25" s="10"/>
      <c r="X25" s="10"/>
      <c r="Y25" s="10"/>
      <c r="Z25" s="10"/>
      <c r="AA25" s="548">
        <f>IF(AND(O22&gt;0,O22&lt;0.01),0.01,ROUND(O22,2))</f>
        <v>0</v>
      </c>
      <c r="AB25" s="147">
        <f>LARGE(AA25:AA26,1)</f>
        <v>0</v>
      </c>
      <c r="AC25" s="548">
        <f>AB25+AB26*(1-AB25)</f>
        <v>0</v>
      </c>
      <c r="AD25" s="548">
        <f>ROUND(AC25,2)</f>
        <v>0</v>
      </c>
      <c r="AE25" s="10"/>
      <c r="AF25" s="10"/>
      <c r="AG25" s="10"/>
      <c r="AH25" s="10"/>
      <c r="AI25" s="10"/>
      <c r="AJ25" s="10"/>
      <c r="AK25" s="10"/>
      <c r="AL25" s="10"/>
      <c r="AM25" s="10"/>
      <c r="AN25" s="10"/>
      <c r="AO25" s="10"/>
      <c r="AP25" s="10"/>
      <c r="AQ25" s="10"/>
      <c r="AR25" s="10"/>
      <c r="AS25" s="10"/>
      <c r="AT25" s="10"/>
    </row>
    <row r="26" spans="2:48" ht="15" customHeight="1" x14ac:dyDescent="0.2">
      <c r="B26" s="1124"/>
      <c r="C26" s="1124"/>
      <c r="D26" s="1124"/>
      <c r="E26" s="1124"/>
      <c r="F26" s="1124"/>
      <c r="G26" s="1124"/>
      <c r="H26" s="1124"/>
      <c r="I26" s="1124"/>
      <c r="J26" s="1124"/>
      <c r="K26" s="956" t="s">
        <v>1803</v>
      </c>
      <c r="L26" s="956"/>
      <c r="M26" s="956"/>
      <c r="N26" s="956"/>
      <c r="O26" s="65">
        <f>IF(E25="ERROR","ERROR",IF(R26&gt;1,1,R26))</f>
        <v>0</v>
      </c>
      <c r="P26" s="961"/>
      <c r="R26" s="193">
        <f>SUM(I23,I24,E25)</f>
        <v>0</v>
      </c>
      <c r="S26" s="10"/>
      <c r="T26" s="10"/>
      <c r="U26" s="10"/>
      <c r="V26" s="10"/>
      <c r="W26" s="10"/>
      <c r="X26" s="10"/>
      <c r="Y26" s="10"/>
      <c r="Z26" s="10"/>
      <c r="AA26" s="548">
        <f>IF(AND(O26&gt;0,O26&lt;0.01),0.01,ROUND(O26,2))</f>
        <v>0</v>
      </c>
      <c r="AB26" s="147">
        <f>LARGE(AA25:AA26,2)</f>
        <v>0</v>
      </c>
      <c r="AD26" s="10"/>
      <c r="AE26" s="10"/>
      <c r="AF26" s="10"/>
      <c r="AG26" s="10"/>
      <c r="AH26" s="10"/>
      <c r="AI26" s="10"/>
      <c r="AJ26" s="10"/>
      <c r="AK26" s="10"/>
      <c r="AL26" s="10"/>
      <c r="AM26" s="10"/>
      <c r="AN26" s="10"/>
      <c r="AO26" s="10"/>
      <c r="AP26" s="10"/>
      <c r="AQ26" s="10"/>
      <c r="AR26" s="10"/>
      <c r="AS26" s="10"/>
      <c r="AT26" s="10"/>
    </row>
    <row r="27" spans="2:48" ht="15" customHeight="1" x14ac:dyDescent="0.2">
      <c r="B27" s="1124"/>
      <c r="C27" s="1124"/>
      <c r="D27" s="1124"/>
      <c r="E27" s="1124"/>
      <c r="F27" s="1124"/>
      <c r="G27" s="1124"/>
      <c r="H27" s="1124"/>
      <c r="I27" s="1124"/>
      <c r="J27" s="1124"/>
      <c r="K27" s="956" t="s">
        <v>1117</v>
      </c>
      <c r="L27" s="956"/>
      <c r="M27" s="956"/>
      <c r="N27" s="956"/>
      <c r="O27" s="956"/>
      <c r="P27" s="962"/>
      <c r="R27" s="50">
        <f>IF(OR(O22="ERROR",O26="ERROR"),1,0)</f>
        <v>0</v>
      </c>
      <c r="S27" s="10"/>
      <c r="T27" s="10"/>
      <c r="U27" s="10"/>
      <c r="V27" s="10"/>
      <c r="W27" s="10"/>
      <c r="X27" s="10"/>
      <c r="Y27" s="10"/>
      <c r="Z27" s="10"/>
      <c r="AC27" s="10"/>
      <c r="AD27" s="10"/>
      <c r="AE27" s="10"/>
      <c r="AF27" s="10"/>
      <c r="AG27" s="10"/>
      <c r="AH27" s="10"/>
      <c r="AI27" s="10"/>
      <c r="AJ27" s="10"/>
      <c r="AK27" s="10"/>
      <c r="AL27" s="10"/>
      <c r="AM27" s="10"/>
      <c r="AN27" s="10"/>
      <c r="AO27" s="10"/>
      <c r="AP27" s="10"/>
      <c r="AQ27" s="10"/>
      <c r="AR27" s="10"/>
      <c r="AS27" s="10"/>
      <c r="AT27" s="10"/>
    </row>
    <row r="28" spans="2:48" ht="12" customHeight="1" x14ac:dyDescent="0.2">
      <c r="B28" s="777"/>
      <c r="C28" s="777"/>
      <c r="D28" s="777"/>
      <c r="E28" s="777"/>
      <c r="F28" s="777"/>
      <c r="G28" s="777"/>
      <c r="H28" s="777"/>
      <c r="I28" s="777"/>
      <c r="J28" s="777"/>
      <c r="K28" s="777"/>
      <c r="L28" s="777"/>
      <c r="M28" s="777"/>
      <c r="N28" s="777"/>
      <c r="O28" s="777"/>
      <c r="R28" s="10"/>
      <c r="S28" s="10"/>
      <c r="T28" s="10"/>
      <c r="U28" s="10"/>
      <c r="V28" s="10"/>
      <c r="W28" s="10"/>
      <c r="X28" s="10"/>
      <c r="Y28" s="10"/>
      <c r="Z28" s="10"/>
      <c r="AB28" s="10"/>
      <c r="AC28" s="10"/>
      <c r="AD28" s="10"/>
      <c r="AE28" s="10"/>
      <c r="AF28" s="10"/>
      <c r="AG28" s="10"/>
      <c r="AH28" s="10"/>
      <c r="AI28" s="10"/>
      <c r="AJ28" s="10"/>
      <c r="AK28" s="10"/>
      <c r="AL28" s="10"/>
      <c r="AM28" s="10"/>
      <c r="AN28" s="10"/>
      <c r="AO28" s="10"/>
      <c r="AP28" s="10"/>
      <c r="AQ28" s="10"/>
      <c r="AR28" s="10"/>
      <c r="AS28" s="10"/>
      <c r="AT28" s="10"/>
    </row>
    <row r="29" spans="2:48" ht="12" customHeight="1" x14ac:dyDescent="0.2">
      <c r="B29" s="480"/>
      <c r="C29" s="978" t="s">
        <v>239</v>
      </c>
      <c r="D29" s="1058"/>
      <c r="E29" s="976" t="s">
        <v>240</v>
      </c>
      <c r="F29" s="1057"/>
      <c r="G29" s="350"/>
      <c r="H29" s="352"/>
      <c r="I29" s="974" t="s">
        <v>241</v>
      </c>
      <c r="J29" s="1056"/>
      <c r="K29" s="472"/>
      <c r="L29" s="352"/>
      <c r="M29" s="976" t="s">
        <v>240</v>
      </c>
      <c r="N29" s="1057"/>
      <c r="O29" s="351"/>
      <c r="P29" s="352"/>
      <c r="Z29" s="477"/>
      <c r="AE29" s="476"/>
      <c r="AF29" s="476"/>
      <c r="AG29" s="476"/>
      <c r="AH29" s="476"/>
      <c r="AI29" s="476"/>
      <c r="AJ29" s="476"/>
      <c r="AK29" s="476"/>
      <c r="AL29" s="476"/>
      <c r="AM29" s="476"/>
      <c r="AN29" s="476"/>
    </row>
    <row r="30" spans="2:48" ht="12" customHeight="1" x14ac:dyDescent="0.2">
      <c r="B30" s="481"/>
      <c r="C30" s="959" t="s">
        <v>242</v>
      </c>
      <c r="D30" s="1059"/>
      <c r="E30" s="959" t="s">
        <v>243</v>
      </c>
      <c r="F30" s="1059"/>
      <c r="G30" s="959" t="s">
        <v>244</v>
      </c>
      <c r="H30" s="1059"/>
      <c r="I30" s="973" t="s">
        <v>245</v>
      </c>
      <c r="J30" s="1087"/>
      <c r="K30" s="959" t="s">
        <v>246</v>
      </c>
      <c r="L30" s="1059"/>
      <c r="M30" s="959" t="s">
        <v>247</v>
      </c>
      <c r="N30" s="1059"/>
      <c r="P30" s="316"/>
      <c r="Z30" s="327"/>
      <c r="AE30" s="476"/>
      <c r="AF30" s="476"/>
      <c r="AG30" s="476"/>
      <c r="AH30" s="476"/>
      <c r="AI30" s="476"/>
      <c r="AJ30" s="476"/>
      <c r="AK30" s="476"/>
      <c r="AL30" s="476"/>
      <c r="AM30" s="476"/>
      <c r="AN30" s="476"/>
    </row>
    <row r="31" spans="2:48" ht="12" customHeight="1" x14ac:dyDescent="0.2">
      <c r="B31" s="481"/>
      <c r="C31" s="934" t="s">
        <v>248</v>
      </c>
      <c r="D31" s="1055"/>
      <c r="E31" s="934" t="s">
        <v>249</v>
      </c>
      <c r="F31" s="1055"/>
      <c r="G31" s="934" t="s">
        <v>250</v>
      </c>
      <c r="H31" s="1055"/>
      <c r="I31" s="963" t="s">
        <v>251</v>
      </c>
      <c r="J31" s="1088"/>
      <c r="K31" s="934" t="s">
        <v>250</v>
      </c>
      <c r="L31" s="1055"/>
      <c r="M31" s="934" t="s">
        <v>249</v>
      </c>
      <c r="N31" s="1055"/>
      <c r="P31" s="316"/>
      <c r="AH31" s="50">
        <v>1</v>
      </c>
      <c r="AI31" s="50">
        <v>2</v>
      </c>
      <c r="AJ31" s="50">
        <v>3</v>
      </c>
      <c r="AK31" s="50">
        <v>4</v>
      </c>
      <c r="AM31" s="476"/>
      <c r="AN31" s="476"/>
      <c r="AO31" s="476"/>
      <c r="AP31" s="476"/>
      <c r="AQ31" s="476"/>
      <c r="AR31" s="476"/>
      <c r="AS31" s="476"/>
      <c r="AT31" s="476"/>
      <c r="AU31" s="476"/>
      <c r="AV31" s="476"/>
    </row>
    <row r="32" spans="2:48" ht="12" customHeight="1" x14ac:dyDescent="0.2">
      <c r="B32" s="539" t="s">
        <v>1945</v>
      </c>
      <c r="C32" s="934" t="s">
        <v>252</v>
      </c>
      <c r="D32" s="1055"/>
      <c r="E32" s="934" t="s">
        <v>252</v>
      </c>
      <c r="F32" s="1055"/>
      <c r="G32" s="934" t="s">
        <v>252</v>
      </c>
      <c r="H32" s="1055"/>
      <c r="I32" s="934" t="s">
        <v>252</v>
      </c>
      <c r="J32" s="1055"/>
      <c r="K32" s="934" t="s">
        <v>252</v>
      </c>
      <c r="L32" s="1055"/>
      <c r="M32" s="934" t="s">
        <v>252</v>
      </c>
      <c r="N32" s="1055"/>
      <c r="P32" s="316"/>
      <c r="S32" s="895" t="s">
        <v>2180</v>
      </c>
      <c r="T32" s="896"/>
      <c r="U32" s="896"/>
      <c r="V32" s="897"/>
      <c r="W32" s="475"/>
      <c r="X32" s="895" t="s">
        <v>2147</v>
      </c>
      <c r="Y32" s="896"/>
      <c r="Z32" s="896"/>
      <c r="AA32" s="897"/>
      <c r="AB32" s="475"/>
      <c r="AC32" s="950" t="s">
        <v>2147</v>
      </c>
      <c r="AD32" s="951"/>
      <c r="AE32" s="951"/>
      <c r="AF32" s="952"/>
      <c r="AG32" s="475"/>
      <c r="AH32" s="1130" t="s">
        <v>2147</v>
      </c>
      <c r="AI32" s="1131"/>
      <c r="AJ32" s="1132"/>
      <c r="AL32" s="892" t="s">
        <v>2147</v>
      </c>
      <c r="AM32" s="893"/>
      <c r="AN32" s="893"/>
      <c r="AO32" s="894"/>
      <c r="AQ32" s="892" t="s">
        <v>2147</v>
      </c>
      <c r="AR32" s="893"/>
      <c r="AS32" s="893"/>
      <c r="AT32" s="894"/>
    </row>
    <row r="33" spans="1:109" ht="15" customHeight="1" x14ac:dyDescent="0.2">
      <c r="B33" s="146" t="s">
        <v>1568</v>
      </c>
      <c r="C33" s="925"/>
      <c r="D33" s="925"/>
      <c r="E33" s="925"/>
      <c r="F33" s="925"/>
      <c r="G33" s="910" t="s">
        <v>1901</v>
      </c>
      <c r="H33" s="910"/>
      <c r="I33" s="925"/>
      <c r="J33" s="925"/>
      <c r="K33" s="910" t="s">
        <v>1901</v>
      </c>
      <c r="L33" s="910"/>
      <c r="M33" s="925"/>
      <c r="N33" s="925"/>
      <c r="P33" s="316"/>
      <c r="S33" s="301">
        <f>IF(C33="",0,C33)</f>
        <v>0</v>
      </c>
      <c r="T33" s="301">
        <f>IF(AND(E33&lt;&gt;C33,E33&lt;&gt;""),E33,IF(OR(E34&lt;&gt;"",E35&lt;&gt;""),0,S33))</f>
        <v>0</v>
      </c>
      <c r="U33" s="301">
        <f>IF(AND(I33&lt;&gt;E33,I33&lt;&gt;""),I33,IF(OR(I34&lt;&gt;"",I35&lt;&gt;""),0,T33))</f>
        <v>0</v>
      </c>
      <c r="V33" s="301">
        <f>IF(AND(M33&lt;&gt;I33,M33&lt;&gt;""),M33,IF(OR(M34&lt;&gt;"",M35&lt;&gt;""),0,U33))</f>
        <v>0</v>
      </c>
      <c r="W33" s="475"/>
      <c r="X33" s="146">
        <f>IF(C33&gt;1,1,0)</f>
        <v>0</v>
      </c>
      <c r="Y33" s="301">
        <f t="shared" ref="Y33:AA35" si="0">IF(AND(S33&lt;&gt;T33,T33&gt;0),1,0)</f>
        <v>0</v>
      </c>
      <c r="Z33" s="301">
        <f t="shared" si="0"/>
        <v>0</v>
      </c>
      <c r="AA33" s="301">
        <f t="shared" si="0"/>
        <v>0</v>
      </c>
      <c r="AC33" s="478">
        <f>IF(S33=1,0,IF(S33=2,0.25,IF(S33=3,0.38,IF(S33=4,0.5,0))))</f>
        <v>0</v>
      </c>
      <c r="AD33" s="478">
        <f>IF(T33=1,0,IF(T33=2,0.19,IF(T33=3,0.28,IF(T33=4,0.37,0))))</f>
        <v>0</v>
      </c>
      <c r="AE33" s="478">
        <f>IF(U33=1,0,IF(U33=2,0.12,IF(U33=3,0.17,IF(U33=4,0.23,0))))</f>
        <v>0</v>
      </c>
      <c r="AF33" s="478">
        <f>IF(V33=1,0,IF(V33=2,0.08,IF(V33=3,0.12,IF(V33=4,0.15,0))))</f>
        <v>0</v>
      </c>
      <c r="AH33" s="478">
        <f>IF(S33=1,0,IF(S33=2,0.19,IF(S33=3,0.28,IF(S33=4,0.37,0))))</f>
        <v>0</v>
      </c>
      <c r="AI33" s="478">
        <f>IF(T33=1,0,IF(T33=2,0.12,IF(T33=3,0.17,IF(T33=4,0.23,0))))</f>
        <v>0</v>
      </c>
      <c r="AJ33" s="478">
        <f>IF(U33=1,0,IF(U33=2,0.08,IF(U33=3,0.12,IF(U33=4,0.15,0))))</f>
        <v>0</v>
      </c>
      <c r="AL33" s="478">
        <f>IF(S33=1,0,IF(S33=2,0.12,IF(S33=3,0.17,IF(S33=4,0.23,0))))</f>
        <v>0</v>
      </c>
      <c r="AM33" s="478">
        <f>IF(T33=1,0,IF(T33=2,0.08,IF(T33=3,0.12,IF(T33=4,0.15,0))))</f>
        <v>0</v>
      </c>
      <c r="AO33" s="478">
        <f>IF(S33=1,0,IF(S33=2,0.08,IF(S33=3,0.12,IF(S33=4,0.15,0))))</f>
        <v>0</v>
      </c>
      <c r="AP33" s="479"/>
      <c r="AQ33" s="478">
        <f>IF(X33=0,0,IF(OR(Y33=1,Y34=1,Y35=1),AC33-AH33,IF(OR(Z33=1,Z34=1,Z35=1),AC33-AL33,IF(OR(AA33=1,AA34=1,AA35=1),AC33-AO33,AC33))))</f>
        <v>0</v>
      </c>
      <c r="AR33" s="478">
        <f>IF(Y33=0,0,IF(OR(Z33=1,Z34=1,Z35=1),AD33-AI33,IF(OR(AA33=1,AA34=1,AA35=1),AD33-AM33,AD33)))</f>
        <v>0</v>
      </c>
      <c r="AS33" s="478">
        <f>IF(Z33=0,0,IF(OR(AA33=1,AA34=1,AA35=1),AE33-AJ33,AE33))</f>
        <v>0</v>
      </c>
      <c r="AT33" s="478">
        <f>IF(AA33=0,0,AF33)</f>
        <v>0</v>
      </c>
      <c r="AU33" s="479"/>
      <c r="AV33" s="2" t="s">
        <v>253</v>
      </c>
      <c r="AX33" s="863" t="s">
        <v>2147</v>
      </c>
      <c r="AY33" s="863"/>
      <c r="AZ33" s="863"/>
      <c r="BA33" s="863"/>
      <c r="BB33" s="863"/>
      <c r="BC33" s="863"/>
    </row>
    <row r="34" spans="1:109" ht="15" customHeight="1" x14ac:dyDescent="0.2">
      <c r="B34" s="301" t="s">
        <v>1569</v>
      </c>
      <c r="C34" s="925"/>
      <c r="D34" s="925"/>
      <c r="E34" s="925"/>
      <c r="F34" s="925"/>
      <c r="G34" s="910" t="s">
        <v>1901</v>
      </c>
      <c r="H34" s="910"/>
      <c r="I34" s="925"/>
      <c r="J34" s="925"/>
      <c r="K34" s="910" t="s">
        <v>1901</v>
      </c>
      <c r="L34" s="910"/>
      <c r="M34" s="925"/>
      <c r="N34" s="925"/>
      <c r="P34" s="316"/>
      <c r="S34" s="301">
        <f>IF(C34="",0,C34)</f>
        <v>0</v>
      </c>
      <c r="T34" s="301">
        <f>IF(E34&lt;&gt;C34,E34,IF(AND(E35&lt;&gt;C35,S33&gt;1),S33,0))</f>
        <v>0</v>
      </c>
      <c r="U34" s="301">
        <f>IF(I34&lt;&gt;E34,I34,IF(AND(I35&lt;&gt;E35,T33&gt;1),T33,0))</f>
        <v>0</v>
      </c>
      <c r="V34" s="301">
        <f>IF(M34&lt;&gt;I34,M34,IF(AND(M35&lt;&gt;I35,U33&gt;1),U33,0))</f>
        <v>0</v>
      </c>
      <c r="W34" s="475"/>
      <c r="X34" s="146">
        <f>IF(C34&gt;1,1,0)</f>
        <v>0</v>
      </c>
      <c r="Y34" s="301">
        <f t="shared" si="0"/>
        <v>0</v>
      </c>
      <c r="Z34" s="301">
        <f t="shared" si="0"/>
        <v>0</v>
      </c>
      <c r="AA34" s="301">
        <f t="shared" si="0"/>
        <v>0</v>
      </c>
      <c r="AC34" s="478">
        <f>IF(S34=1,0,IF(S34=2,0.1,IF(S34=3,0.17,IF(S34=4,0.23,0))))</f>
        <v>0</v>
      </c>
      <c r="AD34" s="478">
        <f>IF(T34=1,0,IF(T34=2,0.08,IF(T34=3,0.12,IF(T34=4,0.16,0))))</f>
        <v>0</v>
      </c>
      <c r="AE34" s="478">
        <f>IF(U34=1,0,IF(U34=2,0.05,IF(U34=3,0.07,IF(U34=4,0.09,0))))</f>
        <v>0</v>
      </c>
      <c r="AF34" s="478">
        <f>IF(V34=1,0,IF(V34=2,0.03,IF(V34=3,0.05,IF(V34=4,0.06,0))))</f>
        <v>0</v>
      </c>
      <c r="AH34" s="478">
        <f>IF(S34=1,0,IF(S34=2,0.08,IF(S34=3,0.12,IF(S34=4,0.16,0))))</f>
        <v>0</v>
      </c>
      <c r="AI34" s="478">
        <f>IF(T34=1,0,IF(T34=2,0.05,IF(T34=3,0.07,IF(T34=4,0.09,0))))</f>
        <v>0</v>
      </c>
      <c r="AJ34" s="478">
        <f>IF(U34=1,0,IF(U34=2,0.03,IF(U34=3,0.05,IF(U34=4,0.06,0))))</f>
        <v>0</v>
      </c>
      <c r="AL34" s="478">
        <f>IF(S34=1,0,IF(S34=2,0.05,IF(S34=3,0.07,IF(S34=4,0.09,0))))</f>
        <v>0</v>
      </c>
      <c r="AM34" s="478">
        <f>IF(T34=1,0,IF(T34=2,0.03,IF(T34=3,0.05,IF(T34=4,0.06,0))))</f>
        <v>0</v>
      </c>
      <c r="AO34" s="478">
        <f>IF(S34=1,0,IF(S34=2,0.03,IF(S34=3,0.05,IF(S34=4,0.06,0))))</f>
        <v>0</v>
      </c>
      <c r="AP34" s="479"/>
      <c r="AQ34" s="478">
        <f>IF(X34=0,0,IF(OR(Y33=1,Y34=1),AC34-AH34,IF(OR(Z33=1,Z34=1),AC34-AL34,IF(OR(AA33=1,AA34=1),AC34-AO34,AC34))))</f>
        <v>0</v>
      </c>
      <c r="AR34" s="478">
        <f>IF(Y34=0,0,IF(OR(Z33=1,Z34=1),AD34-AI34,IF(OR(AA33=1,AA34=1),AD34-AM34,AD34)))</f>
        <v>0</v>
      </c>
      <c r="AS34" s="478">
        <f>IF(Z34=0,0,IF(OR(AA33=1,AA34=1),AE34-AJ34,AE34))</f>
        <v>0</v>
      </c>
      <c r="AT34" s="478">
        <f>IF(AA34=0,0,AF34)</f>
        <v>0</v>
      </c>
      <c r="AU34" s="479"/>
      <c r="AV34" s="365">
        <f>LARGE((AQ33,AR33,AS33,AT33,AQ34,AR34,AS34,AT34,AQ35,AR35,AS35,AT35),1)</f>
        <v>0</v>
      </c>
      <c r="AW34" s="365">
        <f>LARGE((AQ33,AR33,AS33,AT33,AQ34,AR34,AS34,AT34,AQ35,AR35,AS35,AT35),2)</f>
        <v>0</v>
      </c>
      <c r="AX34" s="365">
        <f>LARGE((AQ33,AR33,AS33,AT33,AQ34,AR34,AS34,AT34,AQ35,AR35,AS35,AT35),3)</f>
        <v>0</v>
      </c>
      <c r="AY34" s="365">
        <f>LARGE((AQ33,AR33,AS33,AT33,AQ34,AR34,AS34,AT34,AQ35,AR35,AS35,AT35),4)</f>
        <v>0</v>
      </c>
      <c r="AZ34" s="365">
        <f>LARGE((AQ33,AR33,AS33,AT33,AQ34,AR34,AS34,AT34,AQ35,AR35,AS35,AT35),5)</f>
        <v>0</v>
      </c>
      <c r="BA34" s="365">
        <f>LARGE((AQ33,AR33,AS33,AT33,AQ34,AR34,AS34,AT34,AQ35,AR35,AS35,AT35),6)</f>
        <v>0</v>
      </c>
      <c r="BB34" s="365">
        <f>LARGE((AQ33,AR33,AS33,AT33,AQ34,AR34,AS34,AT34,AQ35,AR35,AS35,AT35),7)</f>
        <v>0</v>
      </c>
      <c r="BC34" s="365">
        <f>LARGE((AQ33,AR33,AS33,AT33,AQ34,AR34,AS34,AT34,AQ35,AR35,AS35,AT35),8)</f>
        <v>0</v>
      </c>
    </row>
    <row r="35" spans="1:109" ht="15" customHeight="1" x14ac:dyDescent="0.2">
      <c r="B35" s="482" t="s">
        <v>1570</v>
      </c>
      <c r="C35" s="925"/>
      <c r="D35" s="925"/>
      <c r="E35" s="925"/>
      <c r="F35" s="925"/>
      <c r="G35" s="830" t="s">
        <v>1901</v>
      </c>
      <c r="H35" s="830"/>
      <c r="I35" s="925"/>
      <c r="J35" s="925"/>
      <c r="K35" s="830" t="s">
        <v>1901</v>
      </c>
      <c r="L35" s="830"/>
      <c r="M35" s="925"/>
      <c r="N35" s="925"/>
      <c r="P35" s="316"/>
      <c r="S35" s="301">
        <f>IF(C35="",0,C35)</f>
        <v>0</v>
      </c>
      <c r="T35" s="301">
        <f>IF(E35&lt;&gt;C35,E35,IF(AND(E34&lt;&gt;C34,S33&gt;1),S33,0))</f>
        <v>0</v>
      </c>
      <c r="U35" s="301">
        <f>IF(I35&lt;&gt;E35,I35,IF(AND(I34&lt;&gt;E34,T33&gt;1),T33,0))</f>
        <v>0</v>
      </c>
      <c r="V35" s="301">
        <f>IF(M35&lt;&gt;I35,M35,IF(AND(M34&lt;&gt;I34,U33&gt;1),U33,0))</f>
        <v>0</v>
      </c>
      <c r="W35" s="475"/>
      <c r="X35" s="146">
        <f>IF(C35&gt;1,1,0)</f>
        <v>0</v>
      </c>
      <c r="Y35" s="301">
        <f t="shared" si="0"/>
        <v>0</v>
      </c>
      <c r="Z35" s="301">
        <f t="shared" si="0"/>
        <v>0</v>
      </c>
      <c r="AA35" s="301">
        <f t="shared" si="0"/>
        <v>0</v>
      </c>
      <c r="AC35" s="478">
        <f>IF(S35=1,0,IF(S35=2,0.17,IF(S35=3,0.25,IF(S35=4,0.35,0))))</f>
        <v>0</v>
      </c>
      <c r="AD35" s="478">
        <f>IF(T35=1,0,IF(T35=2,0.12,IF(T35=3,0.18,IF(T35=4,0.25,0))))</f>
        <v>0</v>
      </c>
      <c r="AE35" s="478">
        <f>IF(U35=1,0,IF(U35=2,0.07,IF(U35=3,0.11,IF(U35=4,0.15,0))))</f>
        <v>0</v>
      </c>
      <c r="AF35" s="478">
        <f>IF(V35=1,0,IF(V35=2,0.05,IF(V35=3,0.07,IF(V35=4,0.1,0))))</f>
        <v>0</v>
      </c>
      <c r="AH35" s="478">
        <f>IF(S35=1,0,IF(S35=2,0.12,IF(S35=3,0.18,IF(S35=4,0.25,0))))</f>
        <v>0</v>
      </c>
      <c r="AI35" s="478">
        <f>IF(T35=1,0,IF(T35=2,0.07,IF(T35=3,0.11,IF(T35=4,0.15,0))))</f>
        <v>0</v>
      </c>
      <c r="AJ35" s="478">
        <f>IF(U35=1,0,IF(U35=2,0.05,IF(U35=3,0.07,IF(U35=4,0.1,0))))</f>
        <v>0</v>
      </c>
      <c r="AL35" s="478">
        <f>IF(S35=1,0,IF(S35=2,0.07,IF(S35=3,0.11,IF(S35=4,0.15,0))))</f>
        <v>0</v>
      </c>
      <c r="AM35" s="478">
        <f>IF(T35=1,0,IF(T35=2,0.05,IF(T35=3,0.07,IF(T35=4,0.1,0))))</f>
        <v>0</v>
      </c>
      <c r="AO35" s="478">
        <f>IF(S35=1,0,IF(S35=2,0.05,IF(S35=3,0.07,IF(S35=4,0.1,0))))</f>
        <v>0</v>
      </c>
      <c r="AP35" s="479"/>
      <c r="AQ35" s="478">
        <f>IF(X35=0,0,IF(OR(Y33=1,Y35=1),AC35-AH35,IF(OR(Z33=1,Z35=1),AC35-AL35,IF(OR(AA33=1,AA35=1),AC35-AO35,AC35))))</f>
        <v>0</v>
      </c>
      <c r="AR35" s="478">
        <f>IF(Y35=0,0,IF(OR(Z33=1,Z35=1),AD35-AI35,IF(OR(AA33=1,AA35=1),AD35-AM35,AD35)))</f>
        <v>0</v>
      </c>
      <c r="AS35" s="478">
        <f>IF(Z35=0,0,IF(OR(AA33=1,AA35=1),AE35-AJ35,AE35))</f>
        <v>0</v>
      </c>
      <c r="AT35" s="478">
        <f>IF(AA35=0,0,AF35)</f>
        <v>0</v>
      </c>
      <c r="AU35" s="479"/>
      <c r="AV35" s="389">
        <f>ROUND(AV34+AW34*(1-AV34),2)</f>
        <v>0</v>
      </c>
      <c r="AW35" s="389">
        <f t="shared" ref="AW35:BB35" si="1">ROUND(AV35+AX34*(1-AV35),2)</f>
        <v>0</v>
      </c>
      <c r="AX35" s="389">
        <f t="shared" si="1"/>
        <v>0</v>
      </c>
      <c r="AY35" s="389">
        <f t="shared" si="1"/>
        <v>0</v>
      </c>
      <c r="AZ35" s="389">
        <f t="shared" si="1"/>
        <v>0</v>
      </c>
      <c r="BA35" s="389">
        <f t="shared" si="1"/>
        <v>0</v>
      </c>
      <c r="BB35" s="389">
        <f t="shared" si="1"/>
        <v>0</v>
      </c>
      <c r="BC35" s="146"/>
    </row>
    <row r="36" spans="1:109" x14ac:dyDescent="0.2">
      <c r="B36" s="926" t="str">
        <f>IF(AA36=1,"ERROR: If radial or ulnar impairment is recorded, do not enter losses for 'both sides.'","")</f>
        <v/>
      </c>
      <c r="C36" s="927"/>
      <c r="D36" s="927"/>
      <c r="E36" s="927"/>
      <c r="F36" s="927"/>
      <c r="G36" s="927"/>
      <c r="H36" s="927"/>
      <c r="I36" s="927"/>
      <c r="J36" s="927"/>
      <c r="K36" s="927"/>
      <c r="L36" s="927"/>
      <c r="M36" s="927"/>
      <c r="N36" s="927"/>
      <c r="O36" s="928"/>
      <c r="P36" s="245">
        <f>IF(B36&lt;&gt;"","ERROR",BB35)</f>
        <v>0</v>
      </c>
      <c r="S36" s="475"/>
      <c r="T36" s="475"/>
      <c r="U36" s="475"/>
      <c r="X36" s="301">
        <f>SUM(X33:AA33)</f>
        <v>0</v>
      </c>
      <c r="Y36" s="301">
        <f>SUM(X34:AA34)</f>
        <v>0</v>
      </c>
      <c r="Z36" s="301">
        <f>SUM(X35:AA35)</f>
        <v>0</v>
      </c>
      <c r="AA36" s="301">
        <f>IF(AND(X36&gt;0,Y36&gt;0),1,IF(AND(X36&gt;0,Z36&gt;0),1,0))</f>
        <v>0</v>
      </c>
    </row>
    <row r="37" spans="1:109" ht="15" customHeight="1" x14ac:dyDescent="0.2">
      <c r="B37" s="350" t="s">
        <v>1208</v>
      </c>
      <c r="C37" s="351"/>
      <c r="D37" s="351"/>
      <c r="E37" s="351"/>
      <c r="F37" s="351"/>
      <c r="G37" s="351"/>
      <c r="H37" s="351"/>
      <c r="I37" s="351"/>
      <c r="J37" s="351"/>
      <c r="K37" s="351"/>
      <c r="L37" s="351"/>
      <c r="M37" s="351"/>
      <c r="N37" s="351"/>
      <c r="O37" s="351"/>
      <c r="P37" s="352"/>
    </row>
    <row r="38" spans="1:109" ht="15" customHeight="1" x14ac:dyDescent="0.2">
      <c r="B38" s="146" t="s">
        <v>1568</v>
      </c>
      <c r="C38" s="925"/>
      <c r="D38" s="925"/>
      <c r="E38" s="925"/>
      <c r="F38" s="925"/>
      <c r="G38" s="910" t="s">
        <v>1901</v>
      </c>
      <c r="H38" s="910"/>
      <c r="I38" s="925"/>
      <c r="J38" s="925"/>
      <c r="K38" s="910" t="s">
        <v>1901</v>
      </c>
      <c r="L38" s="910"/>
      <c r="M38" s="925"/>
      <c r="N38" s="925"/>
      <c r="P38" s="316"/>
      <c r="S38" s="301">
        <f>IF(C38="",0,C38)</f>
        <v>0</v>
      </c>
      <c r="T38" s="301">
        <f>IF(AND(E38&lt;&gt;C38,E38&lt;&gt;""),E38,IF(OR(E39&lt;&gt;"",E40&lt;&gt;""),0,S38))</f>
        <v>0</v>
      </c>
      <c r="U38" s="301">
        <f>IF(AND(I38&lt;&gt;E38,I38&lt;&gt;""),I38,IF(OR(I39&lt;&gt;"",I40&lt;&gt;""),0,T38))</f>
        <v>0</v>
      </c>
      <c r="V38" s="301">
        <f>IF(AND(M38&lt;&gt;I38,M38&lt;&gt;""),M38,IF(OR(M39&lt;&gt;"",M40&lt;&gt;""),0,U38))</f>
        <v>0</v>
      </c>
      <c r="W38" s="475"/>
      <c r="X38" s="146">
        <f>IF(C38&gt;1,1,0)</f>
        <v>0</v>
      </c>
      <c r="Y38" s="301">
        <f t="shared" ref="Y38:AA40" si="2">IF(AND(S38&lt;&gt;T38,T38&gt;0),1,0)</f>
        <v>0</v>
      </c>
      <c r="Z38" s="301">
        <f t="shared" si="2"/>
        <v>0</v>
      </c>
      <c r="AA38" s="301">
        <f t="shared" si="2"/>
        <v>0</v>
      </c>
      <c r="AC38" s="478">
        <f>IF(S38=1,0,IF(S38=2,0.25,IF(S38=3,0.38,IF(S38=4,0.5,0))))</f>
        <v>0</v>
      </c>
      <c r="AD38" s="478">
        <f>IF(T38=1,0,IF(T38=2,0.19,IF(T38=3,0.28,IF(T38=4,0.37,0))))</f>
        <v>0</v>
      </c>
      <c r="AE38" s="478">
        <f>IF(U38=1,0,IF(U38=2,0.12,IF(U38=3,0.17,IF(U38=4,0.23,0))))</f>
        <v>0</v>
      </c>
      <c r="AF38" s="478">
        <f>IF(V38=1,0,IF(V38=2,0.08,IF(V38=3,0.12,IF(V38=4,0.15,0))))</f>
        <v>0</v>
      </c>
      <c r="AH38" s="478">
        <f>IF(S38=1,0,IF(S38=2,0.19,IF(S38=3,0.28,IF(S38=4,0.37,0))))</f>
        <v>0</v>
      </c>
      <c r="AI38" s="478">
        <f>IF(T38=1,0,IF(T38=2,0.12,IF(T38=3,0.17,IF(T38=4,0.23,0))))</f>
        <v>0</v>
      </c>
      <c r="AJ38" s="478">
        <f>IF(U38=1,0,IF(U38=2,0.08,IF(U38=3,0.12,IF(U38=4,0.15,0))))</f>
        <v>0</v>
      </c>
      <c r="AL38" s="478">
        <f>IF(S38=1,0,IF(S38=2,0.12,IF(S38=3,0.17,IF(S38=4,0.23,0))))</f>
        <v>0</v>
      </c>
      <c r="AM38" s="478">
        <f>IF(T38=1,0,IF(T38=2,0.08,IF(T38=3,0.12,IF(T38=4,0.15,0))))</f>
        <v>0</v>
      </c>
      <c r="AO38" s="478">
        <f>IF(S38=1,0,IF(S38=2,0.08,IF(S38=3,0.12,IF(S38=4,0.15,0))))</f>
        <v>0</v>
      </c>
      <c r="AP38" s="479"/>
      <c r="AQ38" s="478">
        <f>IF(X38=0,0,IF(OR(Y38=1,Y39=1,Y40=1),AC38-AH38,IF(OR(Z38=1,Z39=1,Z40=1),AC38-AL38,IF(OR(AA38=1,AA39=1,AA40=1),AC38-AO38,AC38))))</f>
        <v>0</v>
      </c>
      <c r="AR38" s="478">
        <f>IF(Y38=0,0,IF(OR(Z38=1,Z39=1,Z40=1),AD38-AI38,IF(OR(AA38=1,AA39=1,AA40=1),AD38-AM38,AD38)))</f>
        <v>0</v>
      </c>
      <c r="AS38" s="478">
        <f>IF(Z38=0,0,IF(OR(AA38=1,AA39=1,AA40=1),AE38-AJ38,AE38))</f>
        <v>0</v>
      </c>
      <c r="AT38" s="478">
        <f>IF(AA38=0,0,AF38)</f>
        <v>0</v>
      </c>
      <c r="AU38" s="479"/>
      <c r="AV38" s="2" t="s">
        <v>253</v>
      </c>
    </row>
    <row r="39" spans="1:109" ht="15" customHeight="1" x14ac:dyDescent="0.2">
      <c r="B39" s="301" t="s">
        <v>1569</v>
      </c>
      <c r="C39" s="925"/>
      <c r="D39" s="925"/>
      <c r="E39" s="925"/>
      <c r="F39" s="925"/>
      <c r="G39" s="910" t="s">
        <v>1901</v>
      </c>
      <c r="H39" s="910"/>
      <c r="I39" s="925"/>
      <c r="J39" s="925"/>
      <c r="K39" s="910" t="s">
        <v>1901</v>
      </c>
      <c r="L39" s="910"/>
      <c r="M39" s="925"/>
      <c r="N39" s="925"/>
      <c r="P39" s="316"/>
      <c r="S39" s="301">
        <f>IF(C39="",0,C39)</f>
        <v>0</v>
      </c>
      <c r="T39" s="301">
        <f>IF(E39&lt;&gt;C39,E39,IF(AND(E40&lt;&gt;C40,S38&gt;1),S38,0))</f>
        <v>0</v>
      </c>
      <c r="U39" s="301">
        <f>IF(I39&lt;&gt;E39,I39,IF(AND(I40&lt;&gt;E40,T38&gt;1),T38,0))</f>
        <v>0</v>
      </c>
      <c r="V39" s="301">
        <f>IF(M39&lt;&gt;I39,M39,IF(AND(M40&lt;&gt;I40,U38&gt;1),U38,0))</f>
        <v>0</v>
      </c>
      <c r="W39" s="475"/>
      <c r="X39" s="146">
        <f>IF(C39&gt;1,1,0)</f>
        <v>0</v>
      </c>
      <c r="Y39" s="301">
        <f t="shared" si="2"/>
        <v>0</v>
      </c>
      <c r="Z39" s="301">
        <f t="shared" si="2"/>
        <v>0</v>
      </c>
      <c r="AA39" s="301">
        <f t="shared" si="2"/>
        <v>0</v>
      </c>
      <c r="AC39" s="478">
        <f>IF(S39=1,0,IF(S39=2,0.1,IF(S39=3,0.17,IF(S39=4,0.23,0))))</f>
        <v>0</v>
      </c>
      <c r="AD39" s="478">
        <f>IF(T39=1,0,IF(T39=2,0.08,IF(T39=3,0.12,IF(T39=4,0.16,0))))</f>
        <v>0</v>
      </c>
      <c r="AE39" s="478">
        <f>IF(U39=1,0,IF(U39=2,0.05,IF(U39=3,0.07,IF(U39=4,0.09,0))))</f>
        <v>0</v>
      </c>
      <c r="AF39" s="478">
        <f>IF(V39=1,0,IF(V39=2,0.03,IF(V39=3,0.05,IF(V39=4,0.06,0))))</f>
        <v>0</v>
      </c>
      <c r="AH39" s="478">
        <f>IF(S39=1,0,IF(S39=2,0.08,IF(S39=3,0.12,IF(S39=4,0.16,0))))</f>
        <v>0</v>
      </c>
      <c r="AI39" s="478">
        <f>IF(T39=1,0,IF(T39=2,0.05,IF(T39=3,0.07,IF(T39=4,0.09,0))))</f>
        <v>0</v>
      </c>
      <c r="AJ39" s="478">
        <f>IF(U39=1,0,IF(U39=2,0.03,IF(U39=3,0.05,IF(U39=4,0.06,0))))</f>
        <v>0</v>
      </c>
      <c r="AL39" s="478">
        <f>IF(S39=1,0,IF(S39=2,0.05,IF(S39=3,0.07,IF(S39=4,0.09,0))))</f>
        <v>0</v>
      </c>
      <c r="AM39" s="478">
        <f>IF(T39=1,0,IF(T39=2,0.03,IF(T39=3,0.05,IF(T39=4,0.06,0))))</f>
        <v>0</v>
      </c>
      <c r="AO39" s="478">
        <f>IF(S39=1,0,IF(S39=2,0.03,IF(S39=3,0.05,IF(S39=4,0.06,0))))</f>
        <v>0</v>
      </c>
      <c r="AP39" s="479"/>
      <c r="AQ39" s="478">
        <f>IF(X39=0,0,IF(OR(Y38=1,Y39=1),AC39-AH39,IF(OR(Z38=1,Z39=1),AC39-AL39,IF(OR(AA38=1,AA39=1),AC39-AO39,AC39))))</f>
        <v>0</v>
      </c>
      <c r="AR39" s="478">
        <f>IF(Y39=0,0,IF(OR(Z38=1,Z39=1),AD39-AI39,IF(OR(AA38=1,AA39=1),AD39-AM39,AD39)))</f>
        <v>0</v>
      </c>
      <c r="AS39" s="478">
        <f>IF(Z39=0,0,IF(OR(AA38=1,AA39=1),AE39-AJ39,AE39))</f>
        <v>0</v>
      </c>
      <c r="AT39" s="478">
        <f>IF(AA39=0,0,AF39)</f>
        <v>0</v>
      </c>
      <c r="AU39" s="479"/>
      <c r="AV39" s="365">
        <f>LARGE((AQ38,AR38,AS38,AT38,AQ39,AR39,AS39,AT39,AQ40,AR40,AS40,AT40),1)</f>
        <v>0</v>
      </c>
      <c r="AW39" s="365">
        <f>LARGE((AQ38,AR38,AS38,AT38,AQ39,AR39,AS39,AT39,AQ40,AR40,AS40,AT40),2)</f>
        <v>0</v>
      </c>
      <c r="AX39" s="365">
        <f>LARGE((AQ38,AR38,AS38,AT38,AQ39,AR39,AS39,AT39,AQ40,AR40,AS40,AT40),3)</f>
        <v>0</v>
      </c>
      <c r="AY39" s="365">
        <f>LARGE((AQ38,AR38,AS38,AT38,AQ39,AR39,AS39,AT39,AQ40,AR40,AS40,AT40),4)</f>
        <v>0</v>
      </c>
      <c r="AZ39" s="365">
        <f>LARGE((AQ38,AR38,AS38,AT38,AQ39,AR39,AS39,AT39,AQ40,AR40,AS40,AT40),5)</f>
        <v>0</v>
      </c>
      <c r="BA39" s="365">
        <f>LARGE((AQ38,AR38,AS38,AT38,AQ39,AR39,AS39,AT39,AQ40,AR40,AS40,AT40),6)</f>
        <v>0</v>
      </c>
      <c r="BB39" s="365">
        <f>LARGE((AQ38,AR38,AS38,AT38,AQ39,AR39,AS39,AT39,AQ40,AR40,AS40,AT40),7)</f>
        <v>0</v>
      </c>
      <c r="BC39" s="365">
        <f>LARGE((AQ38,AR38,AS38,AT38,AQ39,AR39,AS39,AT39,AQ40,AR40,AS40,AT40),8)</f>
        <v>0</v>
      </c>
    </row>
    <row r="40" spans="1:109" ht="15" customHeight="1" x14ac:dyDescent="0.2">
      <c r="B40" s="482" t="s">
        <v>1570</v>
      </c>
      <c r="C40" s="925"/>
      <c r="D40" s="925"/>
      <c r="E40" s="925"/>
      <c r="F40" s="925"/>
      <c r="G40" s="830" t="s">
        <v>1901</v>
      </c>
      <c r="H40" s="830"/>
      <c r="I40" s="925"/>
      <c r="J40" s="925"/>
      <c r="K40" s="830" t="s">
        <v>1901</v>
      </c>
      <c r="L40" s="830"/>
      <c r="M40" s="925"/>
      <c r="N40" s="925"/>
      <c r="P40" s="316"/>
      <c r="S40" s="301">
        <f>IF(C40="",0,C40)</f>
        <v>0</v>
      </c>
      <c r="T40" s="301">
        <f>IF(E40&lt;&gt;C40,E40,IF(AND(E39&lt;&gt;C39,S38&gt;1),S38,0))</f>
        <v>0</v>
      </c>
      <c r="U40" s="301">
        <f>IF(I40&lt;&gt;E40,I40,IF(AND(I39&lt;&gt;E39,T38&gt;1),T38,0))</f>
        <v>0</v>
      </c>
      <c r="V40" s="301">
        <f>IF(M40&lt;&gt;I40,M40,IF(AND(M39&lt;&gt;I39,U38&gt;1),U38,0))</f>
        <v>0</v>
      </c>
      <c r="W40" s="475"/>
      <c r="X40" s="146">
        <f>IF(C40&gt;1,1,0)</f>
        <v>0</v>
      </c>
      <c r="Y40" s="301">
        <f t="shared" si="2"/>
        <v>0</v>
      </c>
      <c r="Z40" s="301">
        <f t="shared" si="2"/>
        <v>0</v>
      </c>
      <c r="AA40" s="301">
        <f t="shared" si="2"/>
        <v>0</v>
      </c>
      <c r="AC40" s="478">
        <f>IF(S40=1,0,IF(S40=2,0.17,IF(S40=3,0.25,IF(S40=4,0.35,0))))</f>
        <v>0</v>
      </c>
      <c r="AD40" s="478">
        <f>IF(T40=1,0,IF(T40=2,0.12,IF(T40=3,0.18,IF(T40=4,0.25,0))))</f>
        <v>0</v>
      </c>
      <c r="AE40" s="478">
        <f>IF(U40=1,0,IF(U40=2,0.07,IF(U40=3,0.11,IF(U40=4,0.15,0))))</f>
        <v>0</v>
      </c>
      <c r="AF40" s="478">
        <f>IF(V40=1,0,IF(V40=2,0.05,IF(V40=3,0.07,IF(V40=4,0.1,0))))</f>
        <v>0</v>
      </c>
      <c r="AH40" s="478">
        <f>IF(S40=1,0,IF(S40=2,0.12,IF(S40=3,0.18,IF(S40=4,0.25,0))))</f>
        <v>0</v>
      </c>
      <c r="AI40" s="478">
        <f>IF(T40=1,0,IF(T40=2,0.07,IF(T40=3,0.11,IF(T40=4,0.15,0))))</f>
        <v>0</v>
      </c>
      <c r="AJ40" s="478">
        <f>IF(U40=1,0,IF(U40=2,0.05,IF(U40=3,0.07,IF(U40=4,0.1,0))))</f>
        <v>0</v>
      </c>
      <c r="AL40" s="478">
        <f>IF(S40=1,0,IF(S40=2,0.07,IF(S40=3,0.11,IF(S40=4,0.15,0))))</f>
        <v>0</v>
      </c>
      <c r="AM40" s="478">
        <f>IF(T40=1,0,IF(T40=2,0.05,IF(T40=3,0.07,IF(T40=4,0.1,0))))</f>
        <v>0</v>
      </c>
      <c r="AO40" s="478">
        <f>IF(S40=1,0,IF(S40=2,0.05,IF(S40=3,0.07,IF(S40=4,0.1,0))))</f>
        <v>0</v>
      </c>
      <c r="AP40" s="479"/>
      <c r="AQ40" s="478">
        <f>IF(X40=0,0,IF(OR(Y38=1,Y40=1),AC40-AH40,IF(OR(Z38=1,Z40=1),AC40-AL40,IF(OR(AA38=1,AA40=1),AC40-AO40,AC40))))</f>
        <v>0</v>
      </c>
      <c r="AR40" s="478">
        <f>IF(Y40=0,0,IF(OR(Z38=1,Z40=1),AD40-AI40,IF(OR(AA38=1,AA40=1),AD40-AM40,AD40)))</f>
        <v>0</v>
      </c>
      <c r="AS40" s="478">
        <f>IF(Z40=0,0,IF(OR(AA38=1,AA40=1),AE40-AJ40,AE40))</f>
        <v>0</v>
      </c>
      <c r="AT40" s="478">
        <f>IF(AA40=0,0,AF40)</f>
        <v>0</v>
      </c>
      <c r="AU40" s="479"/>
      <c r="AV40" s="389">
        <f>ROUND(AV39+AW39*(1-AV39),2)</f>
        <v>0</v>
      </c>
      <c r="AW40" s="389">
        <f t="shared" ref="AW40:BB40" si="3">ROUND(AV40+AX39*(1-AV40),2)</f>
        <v>0</v>
      </c>
      <c r="AX40" s="389">
        <f t="shared" si="3"/>
        <v>0</v>
      </c>
      <c r="AY40" s="389">
        <f t="shared" si="3"/>
        <v>0</v>
      </c>
      <c r="AZ40" s="389">
        <f t="shared" si="3"/>
        <v>0</v>
      </c>
      <c r="BA40" s="389">
        <f t="shared" si="3"/>
        <v>0</v>
      </c>
      <c r="BB40" s="389">
        <f t="shared" si="3"/>
        <v>0</v>
      </c>
      <c r="BC40" s="146"/>
    </row>
    <row r="41" spans="1:109" x14ac:dyDescent="0.2">
      <c r="B41" s="926" t="str">
        <f>IF(AA41=1,"ERROR: If radial or ulnar impairment is recorded, do not enter losses for 'both sides.'","")</f>
        <v/>
      </c>
      <c r="C41" s="927"/>
      <c r="D41" s="927"/>
      <c r="E41" s="927"/>
      <c r="F41" s="927"/>
      <c r="G41" s="927"/>
      <c r="H41" s="927"/>
      <c r="I41" s="927"/>
      <c r="J41" s="927"/>
      <c r="K41" s="927"/>
      <c r="L41" s="927"/>
      <c r="M41" s="927"/>
      <c r="N41" s="927"/>
      <c r="O41" s="928"/>
      <c r="P41" s="245">
        <f>IF(B41&lt;&gt;"","ERROR",BB40)</f>
        <v>0</v>
      </c>
      <c r="S41" s="475"/>
      <c r="T41" s="475"/>
      <c r="U41" s="475"/>
      <c r="X41" s="301">
        <f>SUM(X38:AA38)</f>
        <v>0</v>
      </c>
      <c r="Y41" s="301">
        <f>SUM(X39:AA39)</f>
        <v>0</v>
      </c>
      <c r="Z41" s="301">
        <f>SUM(X40:AA40)</f>
        <v>0</v>
      </c>
      <c r="AA41" s="301">
        <f>IF(AND(X41&gt;0,Y41&gt;0),1,IF(AND(X41&gt;0,Z41&gt;0),1,0))</f>
        <v>0</v>
      </c>
    </row>
    <row r="42" spans="1:109" ht="12" customHeight="1" x14ac:dyDescent="0.2">
      <c r="B42" s="1041"/>
      <c r="C42" s="1041"/>
      <c r="D42" s="1041"/>
      <c r="E42" s="1041"/>
      <c r="F42" s="1041"/>
      <c r="G42" s="1041"/>
      <c r="H42" s="1041"/>
      <c r="I42" s="1041"/>
      <c r="J42" s="1041"/>
      <c r="K42" s="1041"/>
      <c r="L42" s="1041"/>
      <c r="M42" s="1041"/>
      <c r="N42" s="1041"/>
      <c r="O42" s="1041"/>
      <c r="P42" s="73"/>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row>
    <row r="43" spans="1:109" ht="12" customHeight="1" x14ac:dyDescent="0.2">
      <c r="B43" s="41"/>
      <c r="C43" s="41"/>
      <c r="D43" s="41"/>
      <c r="E43" s="41"/>
      <c r="F43" s="41"/>
      <c r="G43" s="41"/>
      <c r="H43" s="41"/>
      <c r="I43" s="41"/>
      <c r="J43" s="41"/>
      <c r="K43" s="41"/>
      <c r="L43" s="41"/>
      <c r="M43" s="41"/>
      <c r="N43" s="41"/>
      <c r="O43" s="41"/>
      <c r="P43" s="73"/>
      <c r="R43" s="10"/>
      <c r="S43" s="863" t="s">
        <v>2147</v>
      </c>
      <c r="T43" s="863"/>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row>
    <row r="44" spans="1:109" ht="14.25" customHeight="1" x14ac:dyDescent="0.2">
      <c r="A44" s="15"/>
      <c r="B44" s="982" t="s">
        <v>957</v>
      </c>
      <c r="C44" s="983"/>
      <c r="D44" s="940"/>
      <c r="E44" s="940"/>
      <c r="F44" s="924" t="s">
        <v>1210</v>
      </c>
      <c r="G44" s="924"/>
      <c r="H44" s="924"/>
      <c r="I44" s="924"/>
      <c r="J44" s="924"/>
      <c r="K44" s="924"/>
      <c r="L44" s="924"/>
      <c r="M44" s="924"/>
      <c r="N44" s="924"/>
      <c r="O44" s="924"/>
      <c r="P44" s="82">
        <f>IF(T44=1,0.1,0)</f>
        <v>0</v>
      </c>
      <c r="R44" s="10"/>
      <c r="S44" s="546" t="b">
        <v>0</v>
      </c>
      <c r="T44" s="50">
        <f>IF(S44=TRUE,1,0)</f>
        <v>0</v>
      </c>
      <c r="W44" s="10"/>
      <c r="X44" s="10"/>
      <c r="Y44" s="10"/>
      <c r="Z44" s="10"/>
      <c r="AA44" s="10"/>
      <c r="AB44" s="10"/>
      <c r="AC44" s="10"/>
      <c r="AD44" s="10"/>
      <c r="AE44" s="10"/>
      <c r="AF44" s="10"/>
      <c r="AG44" s="10">
        <v>1E-4</v>
      </c>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row>
    <row r="45" spans="1:109" x14ac:dyDescent="0.2">
      <c r="B45" s="984"/>
      <c r="C45" s="985"/>
      <c r="D45" s="940"/>
      <c r="E45" s="940"/>
      <c r="F45" s="924" t="s">
        <v>1212</v>
      </c>
      <c r="G45" s="924"/>
      <c r="H45" s="924"/>
      <c r="I45" s="924"/>
      <c r="J45" s="924"/>
      <c r="K45" s="924"/>
      <c r="L45" s="924"/>
      <c r="M45" s="924"/>
      <c r="N45" s="924"/>
      <c r="O45" s="924"/>
      <c r="P45" s="82">
        <f>IF(T45=1,0.1,0)</f>
        <v>0</v>
      </c>
      <c r="R45" s="10"/>
      <c r="S45" s="546" t="b">
        <v>0</v>
      </c>
      <c r="T45" s="50">
        <f>IF(S45=TRUE,1,0)</f>
        <v>0</v>
      </c>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row>
    <row r="46" spans="1:109" x14ac:dyDescent="0.2">
      <c r="B46" s="984"/>
      <c r="C46" s="985"/>
      <c r="D46" s="940"/>
      <c r="E46" s="940"/>
      <c r="F46" s="924" t="s">
        <v>1211</v>
      </c>
      <c r="G46" s="924"/>
      <c r="H46" s="924"/>
      <c r="I46" s="924"/>
      <c r="J46" s="924"/>
      <c r="K46" s="924"/>
      <c r="L46" s="924"/>
      <c r="M46" s="924"/>
      <c r="N46" s="924"/>
      <c r="O46" s="924"/>
      <c r="P46" s="82">
        <f>IF(T46=1,0.1,0)</f>
        <v>0</v>
      </c>
      <c r="R46" s="10"/>
      <c r="S46" s="546" t="b">
        <v>0</v>
      </c>
      <c r="T46" s="50">
        <f>IF(S46=TRUE,1,0)</f>
        <v>0</v>
      </c>
      <c r="U46" s="134"/>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row>
    <row r="47" spans="1:109" x14ac:dyDescent="0.2">
      <c r="B47" s="986"/>
      <c r="C47" s="987"/>
      <c r="D47" s="940"/>
      <c r="E47" s="940"/>
      <c r="F47" s="924" t="s">
        <v>1213</v>
      </c>
      <c r="G47" s="924"/>
      <c r="H47" s="924"/>
      <c r="I47" s="924"/>
      <c r="J47" s="924"/>
      <c r="K47" s="924"/>
      <c r="L47" s="924"/>
      <c r="M47" s="924"/>
      <c r="N47" s="924"/>
      <c r="O47" s="924"/>
      <c r="P47" s="82">
        <f>IF(T47=1,0.1,0)</f>
        <v>0</v>
      </c>
      <c r="R47" s="10"/>
      <c r="S47" s="546" t="b">
        <v>0</v>
      </c>
      <c r="T47" s="50">
        <f>IF(S47=TRUE,1,0)</f>
        <v>0</v>
      </c>
      <c r="U47" s="134"/>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row>
    <row r="48" spans="1:109" ht="12" customHeight="1" x14ac:dyDescent="0.2">
      <c r="B48" s="777"/>
      <c r="C48" s="777"/>
      <c r="D48" s="777"/>
      <c r="E48" s="777"/>
      <c r="F48" s="777"/>
      <c r="G48" s="777"/>
      <c r="H48" s="777"/>
      <c r="I48" s="777"/>
      <c r="J48" s="777"/>
      <c r="K48" s="777"/>
      <c r="L48" s="777"/>
      <c r="M48" s="777"/>
      <c r="N48" s="777"/>
      <c r="O48" s="777"/>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row>
    <row r="49" spans="1:109" ht="12" customHeight="1" x14ac:dyDescent="0.2">
      <c r="B49" s="1"/>
      <c r="D49" s="1"/>
      <c r="E49" s="1"/>
      <c r="F49" s="1"/>
      <c r="G49" s="1"/>
      <c r="H49" s="1"/>
      <c r="I49" s="1"/>
      <c r="J49" s="1"/>
      <c r="K49" s="1"/>
      <c r="L49" s="1"/>
      <c r="M49" s="1"/>
      <c r="N49" s="1"/>
      <c r="O49" s="1"/>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row>
    <row r="50" spans="1:109" ht="15" customHeight="1" x14ac:dyDescent="0.2">
      <c r="B50" s="50" t="s">
        <v>1214</v>
      </c>
      <c r="C50" s="910" t="s">
        <v>1348</v>
      </c>
      <c r="D50" s="910"/>
      <c r="E50" s="910"/>
      <c r="F50" s="910"/>
      <c r="G50" s="910"/>
      <c r="H50" s="910" t="s">
        <v>1759</v>
      </c>
      <c r="I50" s="910"/>
      <c r="J50" s="910"/>
      <c r="K50" s="18"/>
      <c r="L50" s="910" t="s">
        <v>1215</v>
      </c>
      <c r="M50" s="910"/>
      <c r="N50" s="910"/>
      <c r="O50" s="910"/>
      <c r="P50" s="857">
        <f>U52</f>
        <v>0</v>
      </c>
      <c r="R50" s="10"/>
      <c r="S50" s="559" t="s">
        <v>1565</v>
      </c>
      <c r="T50" s="559" t="s">
        <v>1285</v>
      </c>
      <c r="U50" s="559" t="s">
        <v>2140</v>
      </c>
      <c r="V50" s="10"/>
      <c r="W50" s="863" t="s">
        <v>2147</v>
      </c>
      <c r="X50" s="863"/>
      <c r="Y50" s="863"/>
      <c r="Z50" s="863"/>
      <c r="AA50" s="10"/>
      <c r="AB50" s="10"/>
      <c r="AC50" s="10"/>
      <c r="AD50" s="10"/>
      <c r="AE50" s="10"/>
      <c r="AF50" s="10"/>
      <c r="AG50" s="10"/>
      <c r="AH50" s="10"/>
      <c r="AI50" s="10"/>
      <c r="AJ50" s="10"/>
      <c r="AK50" s="10"/>
      <c r="AL50" s="10"/>
      <c r="AM50" s="10"/>
      <c r="AN50" s="10"/>
      <c r="AO50" s="10"/>
      <c r="AP50" s="10"/>
      <c r="AQ50" s="10"/>
      <c r="AR50" s="10"/>
      <c r="AS50" s="10"/>
      <c r="AT50" s="10"/>
    </row>
    <row r="51" spans="1:109" ht="15" customHeight="1" x14ac:dyDescent="0.2">
      <c r="B51" s="50" t="s">
        <v>1216</v>
      </c>
      <c r="C51" s="922"/>
      <c r="D51" s="922"/>
      <c r="E51" s="922"/>
      <c r="F51" s="922"/>
      <c r="G51" s="922"/>
      <c r="H51" s="914">
        <f>IF(C51=$X$52,0.03,IF(C51=$Y$52,0.06,IF(C51=$Z$52,0.09,0)))</f>
        <v>0</v>
      </c>
      <c r="I51" s="914"/>
      <c r="J51" s="914"/>
      <c r="K51" s="146"/>
      <c r="L51" s="694"/>
      <c r="M51" s="694"/>
      <c r="N51" s="694"/>
      <c r="O51" s="21">
        <f>IF(H51&gt;=S51,H51-S51,0)</f>
        <v>0</v>
      </c>
      <c r="P51" s="961"/>
      <c r="R51" s="10"/>
      <c r="S51" s="147">
        <f>IF(L51=$X$51,0.03,IF(L51=$Y$51,0.06,IF(L51=$Z$51,0.09,0)))</f>
        <v>0</v>
      </c>
      <c r="T51" s="147">
        <f>LARGE(O51:O52,1)</f>
        <v>0</v>
      </c>
      <c r="U51" s="544">
        <f>T51+T52*(1-T51)</f>
        <v>0</v>
      </c>
      <c r="V51" s="10"/>
      <c r="W51" s="50" t="s">
        <v>510</v>
      </c>
      <c r="X51" s="50" t="s">
        <v>899</v>
      </c>
      <c r="Y51" s="147" t="s">
        <v>1764</v>
      </c>
      <c r="Z51" s="50" t="s">
        <v>1639</v>
      </c>
      <c r="AA51" s="10"/>
      <c r="AB51" s="10"/>
      <c r="AC51" s="10"/>
      <c r="AD51" s="10"/>
      <c r="AE51" s="10"/>
      <c r="AF51" s="10"/>
      <c r="AG51" s="10"/>
      <c r="AH51" s="10"/>
      <c r="AI51" s="10"/>
      <c r="AJ51" s="10"/>
      <c r="AK51" s="10"/>
      <c r="AL51" s="10"/>
      <c r="AM51" s="10"/>
      <c r="AN51" s="10"/>
      <c r="AO51" s="10"/>
      <c r="AP51" s="10"/>
      <c r="AQ51" s="10"/>
      <c r="AR51" s="10"/>
      <c r="AS51" s="10"/>
      <c r="AT51" s="10"/>
    </row>
    <row r="52" spans="1:109" ht="15" customHeight="1" x14ac:dyDescent="0.2">
      <c r="B52" s="146" t="s">
        <v>1217</v>
      </c>
      <c r="C52" s="922"/>
      <c r="D52" s="922"/>
      <c r="E52" s="922"/>
      <c r="F52" s="922"/>
      <c r="G52" s="922"/>
      <c r="H52" s="914">
        <f>IF(C52=$X$52,0.02,IF(C52=$Y$52,0.04,IF(C52=$Z$52,0.06,0)))</f>
        <v>0</v>
      </c>
      <c r="I52" s="914"/>
      <c r="J52" s="914"/>
      <c r="K52" s="146"/>
      <c r="L52" s="694"/>
      <c r="M52" s="694"/>
      <c r="N52" s="694"/>
      <c r="O52" s="21">
        <f>IF(H52&gt;=S52,H52-S52,0)</f>
        <v>0</v>
      </c>
      <c r="P52" s="962"/>
      <c r="R52" s="10"/>
      <c r="S52" s="147">
        <f>IF(L52=$X$51,0.02,IF(L52=$Y$51,0.04,IF(L52=$Z$51,0.06,0)))</f>
        <v>0</v>
      </c>
      <c r="T52" s="147">
        <f>LARGE(O51:O52,2)</f>
        <v>0</v>
      </c>
      <c r="U52" s="544">
        <f>ROUND(U51,2)</f>
        <v>0</v>
      </c>
      <c r="V52" s="10"/>
      <c r="W52" s="50"/>
      <c r="X52" s="50" t="s">
        <v>1218</v>
      </c>
      <c r="Y52" s="50" t="s">
        <v>1219</v>
      </c>
      <c r="Z52" s="50" t="s">
        <v>1220</v>
      </c>
      <c r="AA52" s="10"/>
      <c r="AB52" s="10"/>
      <c r="AC52" s="10"/>
      <c r="AD52" s="10"/>
      <c r="AE52" s="10"/>
      <c r="AF52" s="10"/>
      <c r="AG52" s="10"/>
      <c r="AH52" s="10"/>
      <c r="AI52" s="10"/>
      <c r="AJ52" s="10"/>
      <c r="AK52" s="10"/>
      <c r="AL52" s="10"/>
      <c r="AM52" s="10"/>
      <c r="AN52" s="10"/>
      <c r="AO52" s="10"/>
      <c r="AP52" s="10"/>
      <c r="AQ52" s="10"/>
      <c r="AR52" s="10"/>
      <c r="AS52" s="10"/>
      <c r="AT52" s="10"/>
    </row>
    <row r="53" spans="1:109" ht="12" customHeight="1" x14ac:dyDescent="0.2">
      <c r="B53" s="777"/>
      <c r="C53" s="777"/>
      <c r="D53" s="777"/>
      <c r="E53" s="777"/>
      <c r="F53" s="777"/>
      <c r="G53" s="777"/>
      <c r="H53" s="777"/>
      <c r="I53" s="777"/>
      <c r="J53" s="777"/>
      <c r="K53" s="777"/>
      <c r="L53" s="777"/>
      <c r="M53" s="777"/>
      <c r="N53" s="777"/>
      <c r="O53" s="777"/>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row>
    <row r="54" spans="1:109" ht="15" customHeight="1" x14ac:dyDescent="0.2">
      <c r="A54" s="15"/>
      <c r="B54" s="749" t="s">
        <v>1221</v>
      </c>
      <c r="C54" s="751"/>
      <c r="D54" s="995"/>
      <c r="E54" s="997"/>
      <c r="F54" s="742" t="s">
        <v>772</v>
      </c>
      <c r="G54" s="743"/>
      <c r="H54" s="743"/>
      <c r="I54" s="743"/>
      <c r="J54" s="743"/>
      <c r="K54" s="743"/>
      <c r="L54" s="743"/>
      <c r="M54" s="743"/>
      <c r="N54" s="743"/>
      <c r="O54" s="744"/>
      <c r="P54" s="245">
        <f>IF(T54=1,0.18,0)</f>
        <v>0</v>
      </c>
      <c r="R54" s="953" t="s">
        <v>2147</v>
      </c>
      <c r="S54" s="561" t="b">
        <v>0</v>
      </c>
      <c r="T54" s="50">
        <f>IF(S54=TRUE,1,0)</f>
        <v>0</v>
      </c>
      <c r="U54" s="10"/>
      <c r="V54" s="10"/>
      <c r="W54" s="10"/>
      <c r="X54" s="10"/>
      <c r="Y54" s="10"/>
      <c r="Z54" s="10"/>
      <c r="AA54" s="10"/>
      <c r="AB54" s="10"/>
      <c r="AC54" s="10"/>
      <c r="AD54" s="10"/>
      <c r="AE54" s="10"/>
      <c r="AF54" s="10"/>
      <c r="AG54" s="10">
        <v>1E-4</v>
      </c>
      <c r="AH54" s="10"/>
      <c r="AI54" s="10"/>
      <c r="AJ54" s="10"/>
      <c r="AK54" s="10"/>
      <c r="AL54" s="10"/>
      <c r="AM54" s="10"/>
      <c r="AN54" s="10"/>
      <c r="AO54" s="10"/>
      <c r="AP54" s="10"/>
      <c r="AQ54" s="10"/>
      <c r="AR54" s="10"/>
      <c r="AS54" s="10"/>
      <c r="AT54" s="10"/>
    </row>
    <row r="55" spans="1:109" ht="15" customHeight="1" x14ac:dyDescent="0.2">
      <c r="B55" s="752"/>
      <c r="C55" s="754"/>
      <c r="D55" s="995"/>
      <c r="E55" s="997"/>
      <c r="F55" s="742" t="s">
        <v>773</v>
      </c>
      <c r="G55" s="743"/>
      <c r="H55" s="743"/>
      <c r="I55" s="743"/>
      <c r="J55" s="743"/>
      <c r="K55" s="743"/>
      <c r="L55" s="743"/>
      <c r="M55" s="743"/>
      <c r="N55" s="743"/>
      <c r="O55" s="744"/>
      <c r="P55" s="245">
        <f>IF(T55=1,0.22,0)</f>
        <v>0</v>
      </c>
      <c r="R55" s="912"/>
      <c r="S55" s="561" t="b">
        <v>0</v>
      </c>
      <c r="T55" s="50">
        <f>IF(S55=TRUE,1,0)</f>
        <v>0</v>
      </c>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row>
    <row r="56" spans="1:109" ht="12" customHeight="1" x14ac:dyDescent="0.2">
      <c r="B56" s="697"/>
      <c r="C56" s="697"/>
      <c r="D56" s="697"/>
      <c r="E56" s="697"/>
      <c r="F56" s="697"/>
      <c r="G56" s="697"/>
      <c r="H56" s="697"/>
      <c r="I56" s="697"/>
      <c r="J56" s="697"/>
      <c r="K56" s="697"/>
      <c r="L56" s="697"/>
      <c r="M56" s="697"/>
      <c r="N56" s="697"/>
      <c r="O56" s="697"/>
      <c r="P56" s="697"/>
      <c r="R56" s="10"/>
      <c r="S56" s="144"/>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row>
    <row r="57" spans="1:109" ht="15" customHeight="1" x14ac:dyDescent="0.2">
      <c r="B57" s="939" t="s">
        <v>774</v>
      </c>
      <c r="C57" s="939"/>
      <c r="D57" s="939"/>
      <c r="E57" s="939"/>
      <c r="F57" s="939"/>
      <c r="G57" s="939"/>
      <c r="H57" s="939"/>
      <c r="I57" s="939"/>
      <c r="J57" s="939"/>
      <c r="K57" s="939"/>
      <c r="L57" s="939"/>
      <c r="M57" s="939"/>
      <c r="N57" s="939"/>
      <c r="O57" s="312"/>
      <c r="P57" s="21">
        <f>SUMIF(T57:X57,O57,T58:X58)</f>
        <v>0</v>
      </c>
      <c r="R57" s="949" t="s">
        <v>2147</v>
      </c>
      <c r="S57" s="949"/>
      <c r="T57" s="50" t="s">
        <v>1928</v>
      </c>
      <c r="U57" s="50" t="s">
        <v>1929</v>
      </c>
      <c r="V57" s="147" t="s">
        <v>1931</v>
      </c>
      <c r="W57" s="50" t="s">
        <v>929</v>
      </c>
      <c r="X57" s="147" t="s">
        <v>545</v>
      </c>
      <c r="Y57" s="10"/>
      <c r="Z57" s="50" t="s">
        <v>1928</v>
      </c>
      <c r="AA57" s="50" t="s">
        <v>1929</v>
      </c>
      <c r="AB57" s="147" t="s">
        <v>1931</v>
      </c>
      <c r="AC57" s="50" t="s">
        <v>929</v>
      </c>
      <c r="AD57" s="147" t="s">
        <v>545</v>
      </c>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row>
    <row r="58" spans="1:109" ht="15" customHeight="1" x14ac:dyDescent="0.2">
      <c r="B58" s="939" t="s">
        <v>1469</v>
      </c>
      <c r="C58" s="939"/>
      <c r="D58" s="939"/>
      <c r="E58" s="939"/>
      <c r="F58" s="939"/>
      <c r="G58" s="939"/>
      <c r="H58" s="939"/>
      <c r="I58" s="939"/>
      <c r="J58" s="939"/>
      <c r="K58" s="939"/>
      <c r="L58" s="939"/>
      <c r="M58" s="939"/>
      <c r="N58" s="939"/>
      <c r="O58" s="312"/>
      <c r="P58" s="21">
        <f>SUMIF(Z57:AD57,O58,Z58:AD58)</f>
        <v>0</v>
      </c>
      <c r="R58" s="949"/>
      <c r="S58" s="949"/>
      <c r="T58" s="147">
        <v>0.03</v>
      </c>
      <c r="U58" s="147">
        <v>0.15</v>
      </c>
      <c r="V58" s="147">
        <v>0.38</v>
      </c>
      <c r="W58" s="147">
        <v>0.68</v>
      </c>
      <c r="X58" s="147">
        <v>0.9</v>
      </c>
      <c r="Y58" s="10"/>
      <c r="Z58" s="147">
        <v>0.03</v>
      </c>
      <c r="AA58" s="147">
        <v>0.15</v>
      </c>
      <c r="AB58" s="147">
        <v>0.35</v>
      </c>
      <c r="AC58" s="147">
        <v>0.63</v>
      </c>
      <c r="AD58" s="147">
        <v>0.88</v>
      </c>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row>
    <row r="59" spans="1:109" x14ac:dyDescent="0.2">
      <c r="B59" s="777"/>
      <c r="C59" s="777"/>
      <c r="D59" s="777"/>
      <c r="E59" s="777"/>
      <c r="F59" s="777"/>
      <c r="G59" s="777"/>
      <c r="H59" s="777"/>
      <c r="I59" s="777"/>
      <c r="J59" s="777"/>
      <c r="K59" s="777"/>
      <c r="L59" s="777"/>
      <c r="M59" s="777"/>
      <c r="N59" s="777"/>
      <c r="O59" s="777"/>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row>
    <row r="60" spans="1:109" ht="27" customHeight="1" x14ac:dyDescent="0.2">
      <c r="B60" s="864" t="s">
        <v>785</v>
      </c>
      <c r="C60" s="865"/>
      <c r="D60" s="865"/>
      <c r="E60" s="865"/>
      <c r="F60" s="866"/>
      <c r="G60" s="907" t="s">
        <v>1495</v>
      </c>
      <c r="H60" s="945"/>
      <c r="I60" s="945"/>
      <c r="J60" s="946"/>
      <c r="K60" s="967"/>
      <c r="L60" s="968"/>
      <c r="M60" s="968"/>
      <c r="N60" s="968"/>
      <c r="O60" s="969"/>
      <c r="P60" s="857">
        <f>U76</f>
        <v>0</v>
      </c>
      <c r="R60" s="146" t="s">
        <v>1826</v>
      </c>
      <c r="S60" s="50" t="s">
        <v>1285</v>
      </c>
      <c r="T60" s="50" t="s">
        <v>1286</v>
      </c>
      <c r="U60" s="50" t="s">
        <v>1287</v>
      </c>
      <c r="V60" s="944" t="s">
        <v>786</v>
      </c>
      <c r="W60" s="945"/>
      <c r="X60" s="946"/>
      <c r="Y60" s="50" t="s">
        <v>498</v>
      </c>
      <c r="Z60" s="10"/>
      <c r="AB60" s="10"/>
      <c r="AC60" s="10"/>
      <c r="AD60" s="10"/>
      <c r="AE60" s="10"/>
      <c r="AF60" s="10"/>
      <c r="AG60" s="10"/>
      <c r="AH60" s="10"/>
      <c r="AI60" s="10"/>
      <c r="AJ60" s="10"/>
      <c r="AK60" s="10"/>
      <c r="AL60" s="10"/>
      <c r="AM60" s="10"/>
      <c r="AN60" s="10"/>
      <c r="AO60" s="10"/>
      <c r="AP60" s="10"/>
      <c r="AQ60" s="10"/>
      <c r="AR60" s="10"/>
      <c r="AS60" s="10"/>
      <c r="AT60" s="10"/>
    </row>
    <row r="61" spans="1:109" ht="15" customHeight="1" x14ac:dyDescent="0.2">
      <c r="B61" s="776" t="s">
        <v>615</v>
      </c>
      <c r="C61" s="776"/>
      <c r="D61" s="776"/>
      <c r="E61" s="962">
        <f>P6</f>
        <v>0</v>
      </c>
      <c r="F61" s="1054"/>
      <c r="G61" s="977"/>
      <c r="H61" s="977"/>
      <c r="I61" s="914">
        <f t="shared" ref="I61:I66" si="4">IF(AND(Y61&lt;0.01,Y61&gt;0),0.01,ROUND(Y61,2))</f>
        <v>0</v>
      </c>
      <c r="J61" s="914"/>
      <c r="K61" s="970"/>
      <c r="L61" s="971"/>
      <c r="M61" s="971"/>
      <c r="N61" s="971"/>
      <c r="O61" s="972"/>
      <c r="P61" s="961"/>
      <c r="R61" s="548">
        <f t="shared" ref="R61:R76" si="5">IF(I61&gt;0,I61,E61)</f>
        <v>0</v>
      </c>
      <c r="S61" s="147">
        <f>LARGE($R$61:$R$77,1)</f>
        <v>0</v>
      </c>
      <c r="T61" s="544">
        <f>S61+S62*(1-S61)</f>
        <v>0</v>
      </c>
      <c r="U61" s="548">
        <f t="shared" ref="U61:U76" si="6">ROUND(T61,2)</f>
        <v>0</v>
      </c>
      <c r="V61" s="50">
        <f>IF(E61&gt;0,1,0)</f>
        <v>0</v>
      </c>
      <c r="W61" s="50">
        <f>COUNTIF(V61:V77,1)</f>
        <v>0</v>
      </c>
      <c r="X61" s="50">
        <f>IF(AND(W61=0,W62&gt;0),1,IF(W61&gt;0,2,0))</f>
        <v>0</v>
      </c>
      <c r="Y61" s="291">
        <f t="shared" ref="Y61:Y66" si="7">E61*G61</f>
        <v>0</v>
      </c>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row>
    <row r="62" spans="1:109" ht="15" customHeight="1" x14ac:dyDescent="0.2">
      <c r="B62" s="791" t="s">
        <v>787</v>
      </c>
      <c r="C62" s="791"/>
      <c r="D62" s="791"/>
      <c r="E62" s="755">
        <f>P11</f>
        <v>0</v>
      </c>
      <c r="F62" s="731"/>
      <c r="G62" s="977"/>
      <c r="H62" s="977"/>
      <c r="I62" s="914">
        <f t="shared" si="4"/>
        <v>0</v>
      </c>
      <c r="J62" s="914"/>
      <c r="K62" s="970"/>
      <c r="L62" s="971"/>
      <c r="M62" s="971"/>
      <c r="N62" s="971"/>
      <c r="O62" s="972"/>
      <c r="P62" s="961"/>
      <c r="R62" s="548">
        <f t="shared" si="5"/>
        <v>0</v>
      </c>
      <c r="S62" s="147">
        <f>LARGE($R$61:$R$77,2)</f>
        <v>0</v>
      </c>
      <c r="T62" s="544">
        <f>U61+S63*(1-U61)</f>
        <v>0</v>
      </c>
      <c r="U62" s="548">
        <f t="shared" si="6"/>
        <v>0</v>
      </c>
      <c r="V62" s="50">
        <f>IF(E62&gt;0,2,0)</f>
        <v>0</v>
      </c>
      <c r="W62" s="566">
        <f>COUNTIF(V61:V77,2)</f>
        <v>0</v>
      </c>
      <c r="X62" s="10"/>
      <c r="Y62" s="291">
        <f t="shared" si="7"/>
        <v>0</v>
      </c>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row>
    <row r="63" spans="1:109" ht="15" customHeight="1" x14ac:dyDescent="0.2">
      <c r="B63" s="791" t="s">
        <v>788</v>
      </c>
      <c r="C63" s="791"/>
      <c r="D63" s="791"/>
      <c r="E63" s="755">
        <f>P12</f>
        <v>0</v>
      </c>
      <c r="F63" s="731"/>
      <c r="G63" s="977"/>
      <c r="H63" s="977"/>
      <c r="I63" s="914">
        <f t="shared" si="4"/>
        <v>0</v>
      </c>
      <c r="J63" s="914"/>
      <c r="K63" s="970"/>
      <c r="L63" s="971"/>
      <c r="M63" s="971"/>
      <c r="N63" s="971"/>
      <c r="O63" s="972"/>
      <c r="P63" s="961"/>
      <c r="R63" s="548">
        <f t="shared" si="5"/>
        <v>0</v>
      </c>
      <c r="S63" s="147">
        <f>LARGE($R$61:$R$77,3)</f>
        <v>0</v>
      </c>
      <c r="T63" s="544">
        <f>U62+S64*(1-U62)</f>
        <v>0</v>
      </c>
      <c r="U63" s="548">
        <f t="shared" si="6"/>
        <v>0</v>
      </c>
      <c r="V63" s="50">
        <f>IF(E63&gt;0,2,0)</f>
        <v>0</v>
      </c>
      <c r="W63" s="10"/>
      <c r="X63" s="10"/>
      <c r="Y63" s="291">
        <f t="shared" si="7"/>
        <v>0</v>
      </c>
      <c r="AA63" s="10"/>
      <c r="AB63" s="10"/>
      <c r="AC63" s="14"/>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row>
    <row r="64" spans="1:109" ht="15" customHeight="1" x14ac:dyDescent="0.2">
      <c r="B64" s="791" t="s">
        <v>789</v>
      </c>
      <c r="C64" s="791"/>
      <c r="D64" s="791"/>
      <c r="E64" s="755">
        <f>P13</f>
        <v>0</v>
      </c>
      <c r="F64" s="731"/>
      <c r="G64" s="977"/>
      <c r="H64" s="977"/>
      <c r="I64" s="914">
        <f t="shared" si="4"/>
        <v>0</v>
      </c>
      <c r="J64" s="914"/>
      <c r="K64" s="970"/>
      <c r="L64" s="971"/>
      <c r="M64" s="971"/>
      <c r="N64" s="971"/>
      <c r="O64" s="972"/>
      <c r="P64" s="961"/>
      <c r="R64" s="548">
        <f t="shared" si="5"/>
        <v>0</v>
      </c>
      <c r="S64" s="147">
        <f>LARGE($R$61:$R$77,4)</f>
        <v>0</v>
      </c>
      <c r="T64" s="544">
        <f t="shared" ref="T64:T76" si="8">U63+S65*(1-U63)</f>
        <v>0</v>
      </c>
      <c r="U64" s="548">
        <f t="shared" si="6"/>
        <v>0</v>
      </c>
      <c r="V64" s="50">
        <f>IF(E64&gt;0,2,0)</f>
        <v>0</v>
      </c>
      <c r="W64" s="10"/>
      <c r="X64" s="10"/>
      <c r="Y64" s="291">
        <f t="shared" si="7"/>
        <v>0</v>
      </c>
      <c r="AA64" s="14"/>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row>
    <row r="65" spans="2:69" ht="15" customHeight="1" x14ac:dyDescent="0.2">
      <c r="B65" s="791" t="s">
        <v>790</v>
      </c>
      <c r="C65" s="791"/>
      <c r="D65" s="791"/>
      <c r="E65" s="755">
        <f>P14</f>
        <v>0</v>
      </c>
      <c r="F65" s="731"/>
      <c r="G65" s="977"/>
      <c r="H65" s="977"/>
      <c r="I65" s="914">
        <f t="shared" ref="I65" si="9">IF(AND(Y65&lt;0.01,Y65&gt;0),0.01,ROUND(Y65,2))</f>
        <v>0</v>
      </c>
      <c r="J65" s="914"/>
      <c r="K65" s="970"/>
      <c r="L65" s="971"/>
      <c r="M65" s="971"/>
      <c r="N65" s="971"/>
      <c r="O65" s="972"/>
      <c r="P65" s="961"/>
      <c r="R65" s="548">
        <f t="shared" si="5"/>
        <v>0</v>
      </c>
      <c r="S65" s="147">
        <f>LARGE($R$61:$R$77,5)</f>
        <v>0</v>
      </c>
      <c r="T65" s="544">
        <f t="shared" si="8"/>
        <v>0</v>
      </c>
      <c r="U65" s="548">
        <f t="shared" si="6"/>
        <v>0</v>
      </c>
      <c r="V65" s="50">
        <f>IF(E65&gt;0,2,0)</f>
        <v>0</v>
      </c>
      <c r="W65" s="10"/>
      <c r="X65" s="10"/>
      <c r="Y65" s="291">
        <f t="shared" si="7"/>
        <v>0</v>
      </c>
      <c r="Z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row>
    <row r="66" spans="2:69" ht="15" customHeight="1" x14ac:dyDescent="0.2">
      <c r="B66" s="791" t="s">
        <v>1918</v>
      </c>
      <c r="C66" s="791"/>
      <c r="D66" s="791"/>
      <c r="E66" s="755">
        <f>IF(E615&gt;0,0,P16)</f>
        <v>0</v>
      </c>
      <c r="F66" s="731"/>
      <c r="G66" s="977"/>
      <c r="H66" s="977"/>
      <c r="I66" s="914">
        <f t="shared" si="4"/>
        <v>0</v>
      </c>
      <c r="J66" s="914"/>
      <c r="K66" s="970"/>
      <c r="L66" s="971"/>
      <c r="M66" s="971"/>
      <c r="N66" s="971"/>
      <c r="O66" s="972"/>
      <c r="P66" s="961"/>
      <c r="R66" s="548">
        <f t="shared" si="5"/>
        <v>0</v>
      </c>
      <c r="S66" s="147">
        <f>LARGE($R$61:$R$77,6)</f>
        <v>0</v>
      </c>
      <c r="T66" s="544">
        <f t="shared" si="8"/>
        <v>0</v>
      </c>
      <c r="U66" s="548">
        <f t="shared" si="6"/>
        <v>0</v>
      </c>
      <c r="V66" s="50">
        <f t="shared" ref="V66:V77" si="10">IF(E66&gt;0,1,0)</f>
        <v>0</v>
      </c>
      <c r="W66" s="10"/>
      <c r="X66" s="10"/>
      <c r="Y66" s="291">
        <f t="shared" si="7"/>
        <v>0</v>
      </c>
      <c r="Z66" s="97"/>
      <c r="AA66" s="1"/>
      <c r="AB66" s="1"/>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row>
    <row r="67" spans="2:69" ht="15" customHeight="1" x14ac:dyDescent="0.2">
      <c r="B67" s="791" t="s">
        <v>1945</v>
      </c>
      <c r="C67" s="791"/>
      <c r="D67" s="791"/>
      <c r="E67" s="755">
        <f>P36</f>
        <v>0</v>
      </c>
      <c r="F67" s="731"/>
      <c r="G67" s="977"/>
      <c r="H67" s="977"/>
      <c r="I67" s="914">
        <f t="shared" ref="I67:I73" si="11">IF(AND(Y67&lt;0.01,Y67&gt;0),0.01,ROUND(Y67,2))</f>
        <v>0</v>
      </c>
      <c r="J67" s="914"/>
      <c r="K67" s="970"/>
      <c r="L67" s="971"/>
      <c r="M67" s="971"/>
      <c r="N67" s="971"/>
      <c r="O67" s="972"/>
      <c r="P67" s="961"/>
      <c r="R67" s="548">
        <f t="shared" si="5"/>
        <v>0</v>
      </c>
      <c r="S67" s="147">
        <f>LARGE($R$61:$R$77,7)</f>
        <v>0</v>
      </c>
      <c r="T67" s="544">
        <f t="shared" si="8"/>
        <v>0</v>
      </c>
      <c r="U67" s="548">
        <f t="shared" si="6"/>
        <v>0</v>
      </c>
      <c r="V67" s="50">
        <f t="shared" si="10"/>
        <v>0</v>
      </c>
      <c r="W67" s="10"/>
      <c r="X67" s="10"/>
      <c r="Y67" s="291">
        <f>E67*G67</f>
        <v>0</v>
      </c>
      <c r="Z67" s="97"/>
      <c r="AA67" s="1"/>
      <c r="AB67" s="1"/>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row>
    <row r="68" spans="2:69" ht="15" customHeight="1" x14ac:dyDescent="0.2">
      <c r="B68" s="791" t="s">
        <v>1208</v>
      </c>
      <c r="C68" s="791"/>
      <c r="D68" s="791"/>
      <c r="E68" s="755">
        <f>P41</f>
        <v>0</v>
      </c>
      <c r="F68" s="731"/>
      <c r="G68" s="977"/>
      <c r="H68" s="977"/>
      <c r="I68" s="914">
        <f t="shared" si="11"/>
        <v>0</v>
      </c>
      <c r="J68" s="914"/>
      <c r="K68" s="970"/>
      <c r="L68" s="971"/>
      <c r="M68" s="971"/>
      <c r="N68" s="971"/>
      <c r="O68" s="972"/>
      <c r="P68" s="961"/>
      <c r="R68" s="548">
        <f t="shared" si="5"/>
        <v>0</v>
      </c>
      <c r="S68" s="147">
        <f>LARGE($R$61:$R$77,8)</f>
        <v>0</v>
      </c>
      <c r="T68" s="544">
        <f t="shared" si="8"/>
        <v>0</v>
      </c>
      <c r="U68" s="548">
        <f t="shared" si="6"/>
        <v>0</v>
      </c>
      <c r="V68" s="50">
        <f t="shared" si="10"/>
        <v>0</v>
      </c>
      <c r="W68" s="10"/>
      <c r="X68" s="10"/>
      <c r="Y68" s="291">
        <f t="shared" ref="Y68:Y75" si="12">E68*G68</f>
        <v>0</v>
      </c>
      <c r="Z68" s="73"/>
      <c r="AA68" s="1"/>
      <c r="AB68" s="1"/>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row>
    <row r="69" spans="2:69" ht="15" customHeight="1" x14ac:dyDescent="0.2">
      <c r="B69" s="791" t="s">
        <v>1389</v>
      </c>
      <c r="C69" s="791"/>
      <c r="D69" s="791"/>
      <c r="E69" s="755">
        <f>P44</f>
        <v>0</v>
      </c>
      <c r="F69" s="755"/>
      <c r="G69" s="977"/>
      <c r="H69" s="977"/>
      <c r="I69" s="914">
        <f t="shared" si="11"/>
        <v>0</v>
      </c>
      <c r="J69" s="914"/>
      <c r="K69" s="970"/>
      <c r="L69" s="971"/>
      <c r="M69" s="971"/>
      <c r="N69" s="971"/>
      <c r="O69" s="972"/>
      <c r="P69" s="961"/>
      <c r="R69" s="548">
        <f t="shared" si="5"/>
        <v>0</v>
      </c>
      <c r="S69" s="147">
        <f>LARGE($R$61:$R$77,9)</f>
        <v>0</v>
      </c>
      <c r="T69" s="544">
        <f t="shared" si="8"/>
        <v>0</v>
      </c>
      <c r="U69" s="548">
        <f t="shared" si="6"/>
        <v>0</v>
      </c>
      <c r="V69" s="50">
        <f t="shared" si="10"/>
        <v>0</v>
      </c>
      <c r="W69" s="10"/>
      <c r="X69" s="10"/>
      <c r="Y69" s="291">
        <f t="shared" si="12"/>
        <v>0</v>
      </c>
      <c r="Z69" s="73"/>
      <c r="AA69" s="1"/>
      <c r="AB69" s="1"/>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row>
    <row r="70" spans="2:69" ht="15" customHeight="1" x14ac:dyDescent="0.2">
      <c r="B70" s="742" t="s">
        <v>1390</v>
      </c>
      <c r="C70" s="743"/>
      <c r="D70" s="744"/>
      <c r="E70" s="755">
        <f>P45</f>
        <v>0</v>
      </c>
      <c r="F70" s="755"/>
      <c r="G70" s="977"/>
      <c r="H70" s="977"/>
      <c r="I70" s="914">
        <f t="shared" si="11"/>
        <v>0</v>
      </c>
      <c r="J70" s="914"/>
      <c r="K70" s="623"/>
      <c r="L70" s="624"/>
      <c r="M70" s="624"/>
      <c r="N70" s="624"/>
      <c r="O70" s="625"/>
      <c r="P70" s="961"/>
      <c r="R70" s="548">
        <f t="shared" si="5"/>
        <v>0</v>
      </c>
      <c r="S70" s="147">
        <f>LARGE($R$61:$R$77,10)</f>
        <v>0</v>
      </c>
      <c r="T70" s="544">
        <f t="shared" si="8"/>
        <v>0</v>
      </c>
      <c r="U70" s="548">
        <f t="shared" si="6"/>
        <v>0</v>
      </c>
      <c r="V70" s="50">
        <f t="shared" si="10"/>
        <v>0</v>
      </c>
      <c r="W70" s="10"/>
      <c r="X70" s="10"/>
      <c r="Y70" s="291">
        <f t="shared" si="12"/>
        <v>0</v>
      </c>
      <c r="Z70" s="73"/>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row>
    <row r="71" spans="2:69" ht="15" customHeight="1" x14ac:dyDescent="0.2">
      <c r="B71" s="742" t="s">
        <v>1391</v>
      </c>
      <c r="C71" s="743"/>
      <c r="D71" s="744"/>
      <c r="E71" s="755">
        <f>P46</f>
        <v>0</v>
      </c>
      <c r="F71" s="755"/>
      <c r="G71" s="977"/>
      <c r="H71" s="977"/>
      <c r="I71" s="914">
        <f t="shared" si="11"/>
        <v>0</v>
      </c>
      <c r="J71" s="914"/>
      <c r="K71" s="623"/>
      <c r="L71" s="624"/>
      <c r="M71" s="624"/>
      <c r="N71" s="624"/>
      <c r="O71" s="625"/>
      <c r="P71" s="961"/>
      <c r="R71" s="548">
        <f t="shared" si="5"/>
        <v>0</v>
      </c>
      <c r="S71" s="147">
        <f>LARGE($R$61:$R$77,11)</f>
        <v>0</v>
      </c>
      <c r="T71" s="544">
        <f t="shared" si="8"/>
        <v>0</v>
      </c>
      <c r="U71" s="548">
        <f t="shared" si="6"/>
        <v>0</v>
      </c>
      <c r="V71" s="50">
        <f t="shared" si="10"/>
        <v>0</v>
      </c>
      <c r="W71" s="10"/>
      <c r="X71" s="10"/>
      <c r="Y71" s="291">
        <f t="shared" si="12"/>
        <v>0</v>
      </c>
      <c r="Z71" s="73"/>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row>
    <row r="72" spans="2:69" ht="15" customHeight="1" x14ac:dyDescent="0.2">
      <c r="B72" s="742" t="s">
        <v>1392</v>
      </c>
      <c r="C72" s="743"/>
      <c r="D72" s="744"/>
      <c r="E72" s="755">
        <f>P47</f>
        <v>0</v>
      </c>
      <c r="F72" s="755"/>
      <c r="G72" s="977"/>
      <c r="H72" s="977"/>
      <c r="I72" s="914">
        <f t="shared" si="11"/>
        <v>0</v>
      </c>
      <c r="J72" s="914"/>
      <c r="K72" s="623"/>
      <c r="L72" s="624"/>
      <c r="M72" s="624"/>
      <c r="N72" s="624"/>
      <c r="O72" s="625"/>
      <c r="P72" s="961"/>
      <c r="R72" s="548">
        <f t="shared" si="5"/>
        <v>0</v>
      </c>
      <c r="S72" s="147">
        <f>LARGE($R$61:$R$77,12)</f>
        <v>0</v>
      </c>
      <c r="T72" s="544">
        <f t="shared" si="8"/>
        <v>0</v>
      </c>
      <c r="U72" s="548">
        <f t="shared" si="6"/>
        <v>0</v>
      </c>
      <c r="V72" s="50">
        <f t="shared" si="10"/>
        <v>0</v>
      </c>
      <c r="W72" s="10"/>
      <c r="X72" s="10"/>
      <c r="Y72" s="291">
        <f t="shared" si="12"/>
        <v>0</v>
      </c>
      <c r="Z72" s="73"/>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row>
    <row r="73" spans="2:69" ht="15" customHeight="1" x14ac:dyDescent="0.2">
      <c r="B73" s="791" t="s">
        <v>1214</v>
      </c>
      <c r="C73" s="791"/>
      <c r="D73" s="791"/>
      <c r="E73" s="755">
        <f>P50</f>
        <v>0</v>
      </c>
      <c r="F73" s="731"/>
      <c r="G73" s="977"/>
      <c r="H73" s="977"/>
      <c r="I73" s="914">
        <f t="shared" si="11"/>
        <v>0</v>
      </c>
      <c r="J73" s="914"/>
      <c r="K73" s="915" t="str">
        <f>IF(AND(P16&gt;0,E615&gt;0),"A value has been granted for motor loss. Additional impairment value is not allowed for reduced range of motion in the same extremity.","")</f>
        <v/>
      </c>
      <c r="L73" s="916"/>
      <c r="M73" s="916"/>
      <c r="N73" s="916"/>
      <c r="O73" s="917"/>
      <c r="P73" s="961"/>
      <c r="R73" s="548">
        <f t="shared" si="5"/>
        <v>0</v>
      </c>
      <c r="S73" s="147">
        <f>LARGE($R$61:$R$77,13)</f>
        <v>0</v>
      </c>
      <c r="T73" s="544">
        <f t="shared" si="8"/>
        <v>0</v>
      </c>
      <c r="U73" s="548">
        <f t="shared" si="6"/>
        <v>0</v>
      </c>
      <c r="V73" s="50">
        <f t="shared" si="10"/>
        <v>0</v>
      </c>
      <c r="W73" s="10"/>
      <c r="X73" s="10"/>
      <c r="Y73" s="291">
        <f t="shared" si="12"/>
        <v>0</v>
      </c>
      <c r="Z73" s="73"/>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row>
    <row r="74" spans="2:69" ht="15" customHeight="1" x14ac:dyDescent="0.2">
      <c r="B74" s="791" t="s">
        <v>791</v>
      </c>
      <c r="C74" s="791"/>
      <c r="D74" s="791"/>
      <c r="E74" s="755">
        <f>P54</f>
        <v>0</v>
      </c>
      <c r="F74" s="731"/>
      <c r="G74" s="977"/>
      <c r="H74" s="977"/>
      <c r="I74" s="914">
        <f t="shared" ref="I74:I75" si="13">IF(AND(Y74&lt;0.01,Y74&gt;0),0.01,ROUND(Y74,2))</f>
        <v>0</v>
      </c>
      <c r="J74" s="914"/>
      <c r="K74" s="915"/>
      <c r="L74" s="916"/>
      <c r="M74" s="916"/>
      <c r="N74" s="916"/>
      <c r="O74" s="917"/>
      <c r="P74" s="961"/>
      <c r="R74" s="548">
        <f t="shared" si="5"/>
        <v>0</v>
      </c>
      <c r="S74" s="147">
        <f>LARGE($R$61:$R$77,14)</f>
        <v>0</v>
      </c>
      <c r="T74" s="544">
        <f t="shared" si="8"/>
        <v>0</v>
      </c>
      <c r="U74" s="548">
        <f t="shared" si="6"/>
        <v>0</v>
      </c>
      <c r="V74" s="50">
        <f t="shared" si="10"/>
        <v>0</v>
      </c>
      <c r="W74" s="10"/>
      <c r="X74" s="10"/>
      <c r="Y74" s="291">
        <f t="shared" si="12"/>
        <v>0</v>
      </c>
      <c r="Z74" s="57"/>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row>
    <row r="75" spans="2:69" ht="15" customHeight="1" x14ac:dyDescent="0.2">
      <c r="B75" s="791" t="s">
        <v>792</v>
      </c>
      <c r="C75" s="791"/>
      <c r="D75" s="791"/>
      <c r="E75" s="755">
        <f>P55</f>
        <v>0</v>
      </c>
      <c r="F75" s="731"/>
      <c r="G75" s="977"/>
      <c r="H75" s="977"/>
      <c r="I75" s="914">
        <f t="shared" si="13"/>
        <v>0</v>
      </c>
      <c r="J75" s="914"/>
      <c r="K75" s="915"/>
      <c r="L75" s="916"/>
      <c r="M75" s="916"/>
      <c r="N75" s="916"/>
      <c r="O75" s="917"/>
      <c r="P75" s="961"/>
      <c r="R75" s="548">
        <f t="shared" si="5"/>
        <v>0</v>
      </c>
      <c r="S75" s="147">
        <f>LARGE($R$61:$R$77,15)</f>
        <v>0</v>
      </c>
      <c r="T75" s="544">
        <f t="shared" si="8"/>
        <v>0</v>
      </c>
      <c r="U75" s="548">
        <f t="shared" si="6"/>
        <v>0</v>
      </c>
      <c r="V75" s="50">
        <f t="shared" si="10"/>
        <v>0</v>
      </c>
      <c r="W75" s="10"/>
      <c r="X75" s="10"/>
      <c r="Y75" s="291">
        <f t="shared" si="12"/>
        <v>0</v>
      </c>
      <c r="Z75" s="57"/>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row>
    <row r="76" spans="2:69" ht="15" customHeight="1" x14ac:dyDescent="0.2">
      <c r="B76" s="791" t="s">
        <v>1419</v>
      </c>
      <c r="C76" s="791"/>
      <c r="D76" s="791"/>
      <c r="E76" s="755">
        <f>P57</f>
        <v>0</v>
      </c>
      <c r="F76" s="731"/>
      <c r="G76" s="977"/>
      <c r="H76" s="977"/>
      <c r="I76" s="914">
        <f>IF(AND(Y76&lt;0.01,Y76&gt;0),0.01,ROUND(Y76,2))</f>
        <v>0</v>
      </c>
      <c r="J76" s="914"/>
      <c r="K76" s="915"/>
      <c r="L76" s="916"/>
      <c r="M76" s="916"/>
      <c r="N76" s="916"/>
      <c r="O76" s="917"/>
      <c r="P76" s="961"/>
      <c r="R76" s="548">
        <f t="shared" si="5"/>
        <v>0</v>
      </c>
      <c r="S76" s="147">
        <f>LARGE($R$61:$R$77,16)</f>
        <v>0</v>
      </c>
      <c r="T76" s="544">
        <f t="shared" si="8"/>
        <v>0</v>
      </c>
      <c r="U76" s="548">
        <f t="shared" si="6"/>
        <v>0</v>
      </c>
      <c r="V76" s="50">
        <f t="shared" si="10"/>
        <v>0</v>
      </c>
      <c r="W76" s="10"/>
      <c r="X76" s="10"/>
      <c r="Y76" s="291">
        <f t="shared" ref="Y76:Y77" si="14">E76*G76</f>
        <v>0</v>
      </c>
      <c r="Z76" s="73"/>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row>
    <row r="77" spans="2:69" ht="15" customHeight="1" x14ac:dyDescent="0.2">
      <c r="B77" s="789" t="s">
        <v>1235</v>
      </c>
      <c r="C77" s="789"/>
      <c r="D77" s="789"/>
      <c r="E77" s="1022">
        <f>P58</f>
        <v>0</v>
      </c>
      <c r="F77" s="858"/>
      <c r="G77" s="923"/>
      <c r="H77" s="923"/>
      <c r="I77" s="929">
        <f>IF(AND(Y77&lt;0.01,Y77&gt;0),0.01,ROUND(Y77,2))</f>
        <v>0</v>
      </c>
      <c r="J77" s="929"/>
      <c r="K77" s="918"/>
      <c r="L77" s="919"/>
      <c r="M77" s="919"/>
      <c r="N77" s="919"/>
      <c r="O77" s="920"/>
      <c r="P77" s="961"/>
      <c r="R77" s="548">
        <f>IF(I77&gt;0,I77,E77)</f>
        <v>0</v>
      </c>
      <c r="S77" s="147">
        <f>LARGE($R$61:$R$77,17)</f>
        <v>0</v>
      </c>
      <c r="T77" s="562"/>
      <c r="U77" s="544"/>
      <c r="V77" s="50">
        <f t="shared" si="10"/>
        <v>0</v>
      </c>
      <c r="W77" s="10"/>
      <c r="X77" s="10"/>
      <c r="Y77" s="291">
        <f t="shared" si="14"/>
        <v>0</v>
      </c>
      <c r="Z77" s="73"/>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row>
    <row r="78" spans="2:69" x14ac:dyDescent="0.2">
      <c r="B78" s="956" t="s">
        <v>1387</v>
      </c>
      <c r="C78" s="956"/>
      <c r="D78" s="956"/>
      <c r="E78" s="956"/>
      <c r="F78" s="956"/>
      <c r="G78" s="956"/>
      <c r="H78" s="956"/>
      <c r="I78" s="956"/>
      <c r="J78" s="956"/>
      <c r="K78" s="956"/>
      <c r="L78" s="956"/>
      <c r="M78" s="956"/>
      <c r="N78" s="956"/>
      <c r="O78" s="956"/>
      <c r="P78" s="962"/>
      <c r="S78" s="14"/>
      <c r="T78" s="142"/>
      <c r="U78" s="96"/>
      <c r="V78" s="10"/>
      <c r="W78" s="10"/>
      <c r="X78" s="10"/>
      <c r="Y78" s="10"/>
      <c r="Z78" s="73"/>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row>
    <row r="79" spans="2:69" x14ac:dyDescent="0.2">
      <c r="B79" s="1"/>
      <c r="D79" s="1"/>
      <c r="E79" s="1"/>
      <c r="F79" s="1"/>
      <c r="G79" s="1"/>
      <c r="H79" s="1"/>
      <c r="I79" s="1"/>
      <c r="J79" s="1"/>
      <c r="K79" s="1"/>
      <c r="L79" s="1"/>
      <c r="M79" s="1"/>
      <c r="N79" s="1"/>
      <c r="O79" s="1"/>
      <c r="P79" s="1"/>
      <c r="R79" s="10"/>
      <c r="S79" s="10"/>
      <c r="T79" s="10"/>
      <c r="U79" s="10"/>
      <c r="V79" s="10"/>
      <c r="W79" s="10"/>
      <c r="X79" s="10"/>
      <c r="Y79" s="10"/>
      <c r="Z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row>
    <row r="80" spans="2:69" ht="18" customHeight="1" x14ac:dyDescent="0.2">
      <c r="B80" s="863" t="s">
        <v>1388</v>
      </c>
      <c r="C80" s="863"/>
      <c r="D80" s="863"/>
      <c r="E80" s="863"/>
      <c r="F80" s="863"/>
      <c r="G80" s="863"/>
      <c r="H80" s="863"/>
      <c r="I80" s="863"/>
      <c r="J80" s="863"/>
      <c r="K80" s="863"/>
      <c r="L80" s="863"/>
      <c r="M80" s="863"/>
      <c r="N80" s="863"/>
      <c r="O80" s="863"/>
      <c r="P80" s="863"/>
      <c r="R80" s="10"/>
      <c r="S80" s="10"/>
      <c r="T80" s="10"/>
      <c r="U80" s="10"/>
      <c r="V80" s="10"/>
      <c r="W80" s="1133"/>
      <c r="X80" s="1133"/>
      <c r="Y80" s="10"/>
      <c r="Z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row>
    <row r="81" spans="2:46" ht="18" customHeight="1" x14ac:dyDescent="0.2">
      <c r="B81" s="791" t="s">
        <v>1304</v>
      </c>
      <c r="C81" s="791"/>
      <c r="D81" s="791"/>
      <c r="E81" s="791"/>
      <c r="F81" s="791"/>
      <c r="G81" s="791"/>
      <c r="H81" s="791"/>
      <c r="I81" s="791"/>
      <c r="J81" s="791"/>
      <c r="K81" s="791"/>
      <c r="L81" s="791"/>
      <c r="M81" s="791"/>
      <c r="N81" s="791"/>
      <c r="O81" s="791"/>
      <c r="P81" s="914">
        <f>SUMIF(S81:Y81,B82,S82:Y82)</f>
        <v>0</v>
      </c>
      <c r="R81" s="761" t="s">
        <v>1305</v>
      </c>
      <c r="S81" s="50" t="s">
        <v>511</v>
      </c>
      <c r="T81" s="552" t="s">
        <v>1306</v>
      </c>
      <c r="U81" s="50" t="s">
        <v>513</v>
      </c>
      <c r="V81" s="50" t="s">
        <v>1060</v>
      </c>
      <c r="W81" s="50" t="s">
        <v>1063</v>
      </c>
      <c r="X81" s="50" t="s">
        <v>702</v>
      </c>
      <c r="Y81" s="50" t="s">
        <v>577</v>
      </c>
      <c r="Z81" s="10"/>
      <c r="AA81" s="10"/>
      <c r="AB81" s="10"/>
      <c r="AC81" s="10"/>
      <c r="AD81" s="10"/>
      <c r="AE81" s="10"/>
      <c r="AF81" s="10"/>
      <c r="AG81" s="10"/>
      <c r="AH81" s="10"/>
      <c r="AI81" s="10"/>
      <c r="AJ81" s="10"/>
      <c r="AK81" s="14"/>
      <c r="AL81" s="14"/>
      <c r="AM81" s="14"/>
      <c r="AN81" s="14"/>
      <c r="AO81" s="14"/>
      <c r="AP81" s="10"/>
      <c r="AQ81" s="10"/>
      <c r="AR81" s="10"/>
      <c r="AS81" s="10"/>
      <c r="AT81" s="10"/>
    </row>
    <row r="82" spans="2:46" ht="15" customHeight="1" x14ac:dyDescent="0.2">
      <c r="B82" s="1012"/>
      <c r="C82" s="1012"/>
      <c r="D82" s="1012"/>
      <c r="E82" s="1012"/>
      <c r="F82" s="1012"/>
      <c r="G82" s="1012"/>
      <c r="H82" s="1012"/>
      <c r="I82" s="1012"/>
      <c r="J82" s="1012"/>
      <c r="K82" s="1012"/>
      <c r="L82" s="1012"/>
      <c r="M82" s="1012"/>
      <c r="N82" s="1012"/>
      <c r="O82" s="1012"/>
      <c r="P82" s="914"/>
      <c r="R82" s="791"/>
      <c r="S82" s="548">
        <v>0</v>
      </c>
      <c r="T82" s="147">
        <v>0.1</v>
      </c>
      <c r="U82" s="147">
        <v>0.3</v>
      </c>
      <c r="V82" s="147">
        <v>0.5</v>
      </c>
      <c r="W82" s="147">
        <v>0.63</v>
      </c>
      <c r="X82" s="147">
        <v>0.75</v>
      </c>
      <c r="Y82" s="147">
        <v>1</v>
      </c>
      <c r="Z82" s="10"/>
      <c r="AA82" s="10"/>
      <c r="AB82" s="10"/>
      <c r="AC82" s="10"/>
      <c r="AD82" s="10"/>
      <c r="AE82" s="10"/>
      <c r="AF82" s="10"/>
      <c r="AG82" s="10"/>
      <c r="AH82" s="10"/>
      <c r="AI82" s="10"/>
      <c r="AJ82" s="10"/>
      <c r="AK82" s="10"/>
      <c r="AL82" s="10"/>
      <c r="AM82" s="10"/>
      <c r="AN82" s="10"/>
      <c r="AO82" s="10"/>
      <c r="AP82" s="10"/>
      <c r="AQ82" s="10"/>
      <c r="AR82" s="10"/>
      <c r="AS82" s="10"/>
      <c r="AT82" s="10"/>
    </row>
    <row r="83" spans="2:46" ht="12" customHeight="1" x14ac:dyDescent="0.2">
      <c r="B83" s="958" t="str">
        <f>IF(AND(P81&gt;0.1,B85=""),"Enter specific level of amputation or shortening below.","")</f>
        <v/>
      </c>
      <c r="C83" s="958"/>
      <c r="D83" s="958"/>
      <c r="E83" s="958"/>
      <c r="F83" s="958"/>
      <c r="G83" s="958"/>
      <c r="H83" s="958"/>
      <c r="I83" s="958"/>
      <c r="J83" s="958"/>
      <c r="K83" s="958"/>
      <c r="L83" s="958"/>
      <c r="M83" s="958"/>
      <c r="N83" s="958"/>
      <c r="O83" s="958"/>
      <c r="P83" s="958"/>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row>
    <row r="84" spans="2:46" ht="30" customHeight="1" x14ac:dyDescent="0.2">
      <c r="B84" s="761" t="s">
        <v>1165</v>
      </c>
      <c r="C84" s="761"/>
      <c r="D84" s="761"/>
      <c r="E84" s="761"/>
      <c r="F84" s="761"/>
      <c r="G84" s="761"/>
      <c r="H84" s="761"/>
      <c r="I84" s="761"/>
      <c r="J84" s="761"/>
      <c r="K84" s="761"/>
      <c r="L84" s="761"/>
      <c r="M84" s="761"/>
      <c r="N84" s="761"/>
      <c r="O84" s="761"/>
      <c r="P84" s="914">
        <f>IF(P81=1,0,U11)</f>
        <v>0</v>
      </c>
      <c r="R84" s="514">
        <f>SUMIF(S84:AD84,B85,S85:AD85)</f>
        <v>0</v>
      </c>
      <c r="S84" s="50" t="s">
        <v>1166</v>
      </c>
      <c r="T84" s="50" t="s">
        <v>1167</v>
      </c>
      <c r="U84" s="50" t="s">
        <v>1168</v>
      </c>
      <c r="V84" s="50" t="s">
        <v>1169</v>
      </c>
      <c r="W84" s="50" t="s">
        <v>1883</v>
      </c>
      <c r="X84" s="50" t="s">
        <v>1884</v>
      </c>
      <c r="Y84" s="50" t="s">
        <v>659</v>
      </c>
      <c r="Z84" s="50" t="s">
        <v>660</v>
      </c>
      <c r="AA84" s="50" t="s">
        <v>661</v>
      </c>
      <c r="AB84" s="50" t="s">
        <v>662</v>
      </c>
      <c r="AC84" s="50" t="s">
        <v>663</v>
      </c>
      <c r="AD84" s="50" t="s">
        <v>664</v>
      </c>
      <c r="AE84" s="10"/>
      <c r="AF84" s="10"/>
      <c r="AG84" s="10"/>
      <c r="AH84" s="10"/>
      <c r="AI84" s="10"/>
      <c r="AJ84" s="10"/>
      <c r="AK84" s="10"/>
      <c r="AL84" s="10"/>
      <c r="AM84" s="10"/>
      <c r="AN84" s="10"/>
      <c r="AO84" s="10"/>
      <c r="AP84" s="10"/>
      <c r="AQ84" s="10"/>
      <c r="AR84" s="10"/>
      <c r="AS84" s="10"/>
      <c r="AT84" s="10"/>
    </row>
    <row r="85" spans="2:46" ht="15" customHeight="1" x14ac:dyDescent="0.2">
      <c r="B85" s="1012"/>
      <c r="C85" s="1012"/>
      <c r="D85" s="1012"/>
      <c r="E85" s="1012"/>
      <c r="F85" s="1012"/>
      <c r="G85" s="1012"/>
      <c r="H85" s="1012"/>
      <c r="I85" s="1012"/>
      <c r="J85" s="1012"/>
      <c r="K85" s="1012"/>
      <c r="L85" s="1012"/>
      <c r="M85" s="1012"/>
      <c r="N85" s="1012"/>
      <c r="O85" s="1012"/>
      <c r="P85" s="914"/>
      <c r="R85" s="761" t="s">
        <v>665</v>
      </c>
      <c r="S85" s="147">
        <v>0</v>
      </c>
      <c r="T85" s="147">
        <v>0.05</v>
      </c>
      <c r="U85" s="147">
        <v>0.05</v>
      </c>
      <c r="V85" s="147">
        <v>0.1</v>
      </c>
      <c r="W85" s="147">
        <v>0.15</v>
      </c>
      <c r="X85" s="147">
        <v>0.2</v>
      </c>
      <c r="Y85" s="147">
        <v>0.2</v>
      </c>
      <c r="Z85" s="147">
        <v>0.25</v>
      </c>
      <c r="AA85" s="147">
        <v>0.25</v>
      </c>
      <c r="AB85" s="147">
        <v>0.25</v>
      </c>
      <c r="AC85" s="147">
        <v>0.25</v>
      </c>
      <c r="AD85" s="147">
        <v>0.3</v>
      </c>
      <c r="AE85" s="10"/>
      <c r="AF85" s="10"/>
      <c r="AG85" s="10"/>
      <c r="AH85" s="10"/>
      <c r="AI85" s="10"/>
      <c r="AJ85" s="10"/>
      <c r="AK85" s="10"/>
      <c r="AL85" s="10"/>
      <c r="AM85" s="10"/>
      <c r="AN85" s="10"/>
      <c r="AO85" s="10"/>
      <c r="AP85" s="10"/>
      <c r="AQ85" s="10"/>
      <c r="AR85" s="10"/>
      <c r="AS85" s="10"/>
      <c r="AT85" s="10"/>
    </row>
    <row r="86" spans="2:46" ht="18" customHeight="1" x14ac:dyDescent="0.2">
      <c r="B86" s="1013" t="s">
        <v>666</v>
      </c>
      <c r="C86" s="1014"/>
      <c r="D86" s="1014"/>
      <c r="E86" s="1014"/>
      <c r="F86" s="1014"/>
      <c r="G86" s="1014"/>
      <c r="H86" s="1014"/>
      <c r="I86" s="1014"/>
      <c r="J86" s="1014"/>
      <c r="K86" s="1014"/>
      <c r="L86" s="1014"/>
      <c r="M86" s="1014"/>
      <c r="N86" s="1014"/>
      <c r="O86" s="1015"/>
      <c r="P86" s="914"/>
      <c r="R86" s="761"/>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row>
    <row r="87" spans="2:46" ht="12" customHeight="1" x14ac:dyDescent="0.2">
      <c r="B87" s="777"/>
      <c r="C87" s="777"/>
      <c r="D87" s="777"/>
      <c r="E87" s="777"/>
      <c r="F87" s="777"/>
      <c r="G87" s="777"/>
      <c r="H87" s="777"/>
      <c r="I87" s="777"/>
      <c r="J87" s="777"/>
      <c r="K87" s="777"/>
      <c r="L87" s="777"/>
      <c r="M87" s="777"/>
      <c r="N87" s="777"/>
      <c r="O87" s="777"/>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row>
    <row r="88" spans="2:46" ht="15" customHeight="1" x14ac:dyDescent="0.2">
      <c r="B88" s="910" t="s">
        <v>1563</v>
      </c>
      <c r="C88" s="910"/>
      <c r="D88" s="910"/>
      <c r="E88" s="910"/>
      <c r="F88" s="910"/>
      <c r="G88" s="910"/>
      <c r="H88" s="910"/>
      <c r="I88" s="910"/>
      <c r="J88" s="910"/>
      <c r="K88" s="910"/>
      <c r="L88" s="910"/>
      <c r="M88" s="910"/>
      <c r="N88" s="910"/>
      <c r="O88" s="910"/>
      <c r="P88" s="755">
        <f>IF(R101=1,"ERROR",AD100)</f>
        <v>0</v>
      </c>
      <c r="R88" s="10"/>
      <c r="S88" s="10"/>
      <c r="T88" s="761" t="s">
        <v>1238</v>
      </c>
      <c r="U88" s="761" t="s">
        <v>1238</v>
      </c>
      <c r="V88" s="10"/>
      <c r="W88" s="10"/>
      <c r="X88" s="10"/>
      <c r="Y88" s="10"/>
      <c r="Z88" s="10"/>
      <c r="AA88" s="10"/>
      <c r="AB88" s="10"/>
      <c r="AE88" s="10"/>
      <c r="AF88" s="10"/>
      <c r="AG88" s="10"/>
      <c r="AH88" s="10"/>
      <c r="AI88" s="10"/>
      <c r="AJ88" s="10"/>
      <c r="AK88" s="10"/>
      <c r="AL88" s="10"/>
      <c r="AM88" s="10"/>
      <c r="AN88" s="10"/>
      <c r="AO88" s="10"/>
      <c r="AP88" s="10"/>
      <c r="AQ88" s="10"/>
      <c r="AR88" s="10"/>
      <c r="AS88" s="10"/>
      <c r="AT88" s="10"/>
    </row>
    <row r="89" spans="2:46" ht="27" customHeight="1" x14ac:dyDescent="0.2">
      <c r="B89" s="18" t="s">
        <v>1388</v>
      </c>
      <c r="C89" s="910" t="s">
        <v>1564</v>
      </c>
      <c r="D89" s="910"/>
      <c r="E89" s="910"/>
      <c r="F89" s="910"/>
      <c r="G89" s="912" t="s">
        <v>1064</v>
      </c>
      <c r="H89" s="912"/>
      <c r="I89" s="912"/>
      <c r="J89" s="912"/>
      <c r="K89" s="910"/>
      <c r="L89" s="910"/>
      <c r="M89" s="910"/>
      <c r="N89" s="910"/>
      <c r="O89" s="910"/>
      <c r="P89" s="755"/>
      <c r="R89" s="10"/>
      <c r="S89" s="10"/>
      <c r="T89" s="758"/>
      <c r="U89" s="948"/>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row>
    <row r="90" spans="2:46" ht="18" customHeight="1" x14ac:dyDescent="0.2">
      <c r="B90" s="18"/>
      <c r="C90" s="910" t="s">
        <v>355</v>
      </c>
      <c r="D90" s="910"/>
      <c r="E90" s="910" t="s">
        <v>1759</v>
      </c>
      <c r="F90" s="910"/>
      <c r="G90" s="910" t="s">
        <v>355</v>
      </c>
      <c r="H90" s="910"/>
      <c r="I90" s="910" t="s">
        <v>1759</v>
      </c>
      <c r="J90" s="910"/>
      <c r="K90" s="910"/>
      <c r="L90" s="910"/>
      <c r="M90" s="910"/>
      <c r="N90" s="910"/>
      <c r="O90" s="910"/>
      <c r="P90" s="755"/>
      <c r="R90" s="10"/>
      <c r="S90" s="50" t="s">
        <v>1622</v>
      </c>
      <c r="T90" s="256" t="s">
        <v>1564</v>
      </c>
      <c r="U90" s="256" t="s">
        <v>1565</v>
      </c>
      <c r="V90" s="910" t="s">
        <v>1066</v>
      </c>
      <c r="W90" s="910"/>
      <c r="X90" s="910"/>
      <c r="Y90" s="910"/>
      <c r="AA90" s="10"/>
      <c r="AB90" s="10"/>
      <c r="AC90" s="10"/>
      <c r="AD90" s="10"/>
      <c r="AE90" s="10"/>
      <c r="AF90" s="10"/>
      <c r="AG90" s="10"/>
      <c r="AH90" s="10"/>
      <c r="AI90" s="10"/>
      <c r="AJ90" s="10"/>
      <c r="AK90" s="10"/>
      <c r="AL90" s="10"/>
      <c r="AM90" s="10"/>
      <c r="AN90" s="10"/>
      <c r="AO90" s="10"/>
      <c r="AP90" s="10"/>
      <c r="AQ90" s="10"/>
      <c r="AR90" s="10"/>
      <c r="AS90" s="10"/>
      <c r="AT90" s="10"/>
    </row>
    <row r="91" spans="2:46" ht="13.5" customHeight="1" x14ac:dyDescent="0.2">
      <c r="B91" s="146" t="s">
        <v>667</v>
      </c>
      <c r="C91" s="694"/>
      <c r="D91" s="694"/>
      <c r="E91" s="921">
        <f>UETable!BF12</f>
        <v>0</v>
      </c>
      <c r="F91" s="921"/>
      <c r="G91" s="694"/>
      <c r="H91" s="694"/>
      <c r="I91" s="936">
        <f>IF(C91="",0,IF(OR(C91&lt;=0,G91&lt;=0),E91,IF(G91&lt;C91,0,UETable!BK12)))</f>
        <v>0</v>
      </c>
      <c r="J91" s="936"/>
      <c r="K91" s="930" t="str">
        <f>IF(OR(C91="NA",G91="NA"),"",IF(AND(C91&lt;&gt;"",G91=""),"Enter contralateral or NA.",IF(AND(C91="",G91&lt;&gt;""),"Need data","")))</f>
        <v/>
      </c>
      <c r="L91" s="930"/>
      <c r="M91" s="930"/>
      <c r="N91" s="930"/>
      <c r="O91" s="930"/>
      <c r="P91" s="755"/>
      <c r="R91" s="131"/>
      <c r="S91" s="50">
        <v>70</v>
      </c>
      <c r="T91" s="50" t="str">
        <f>IF(OR(C91="",C91="NA"),"",IF(C91&gt;S91,S91,IF(C91&lt;0,0,C91)))</f>
        <v/>
      </c>
      <c r="U91" s="50" t="str">
        <f>IF(OR(G91="",G91="NA"),"",IF(G91&gt;S91,S91,IF(G91&lt;0,0,G91)))</f>
        <v/>
      </c>
      <c r="V91" s="553" t="str">
        <f>IF(Y91="","",ROUND(Y91,0))</f>
        <v/>
      </c>
      <c r="W91" s="791" t="s">
        <v>1184</v>
      </c>
      <c r="X91" s="791"/>
      <c r="Y91" s="554" t="str">
        <f>IF(T91="","",IF(OR(U91="",U91=0,U91&lt;T91),T91,(T91*70)/U91))</f>
        <v/>
      </c>
      <c r="Z91" s="10"/>
      <c r="AA91" s="10"/>
      <c r="AB91" s="10"/>
      <c r="AC91" s="10"/>
      <c r="AD91" s="10"/>
      <c r="AE91" s="10"/>
      <c r="AF91" s="10"/>
      <c r="AG91" s="10"/>
      <c r="AH91" s="10"/>
      <c r="AI91" s="10"/>
      <c r="AJ91" s="10"/>
      <c r="AK91" s="10"/>
      <c r="AL91" s="10"/>
      <c r="AM91" s="10"/>
      <c r="AN91" s="10"/>
      <c r="AO91" s="10"/>
      <c r="AP91" s="10"/>
      <c r="AQ91" s="10"/>
      <c r="AR91" s="10"/>
      <c r="AS91" s="10"/>
      <c r="AT91" s="10"/>
    </row>
    <row r="92" spans="2:46" ht="13.5" customHeight="1" x14ac:dyDescent="0.2">
      <c r="B92" s="146" t="s">
        <v>668</v>
      </c>
      <c r="C92" s="694"/>
      <c r="D92" s="694"/>
      <c r="E92" s="921">
        <f>UETable!BF13</f>
        <v>0</v>
      </c>
      <c r="F92" s="921"/>
      <c r="G92" s="694"/>
      <c r="H92" s="694"/>
      <c r="I92" s="936">
        <f>IF(C92="",0,IF(OR(C92&gt;=70,G92&gt;=70),E92,IF(G92&gt;C92,0,UETable!BK13)))</f>
        <v>0</v>
      </c>
      <c r="J92" s="936"/>
      <c r="K92" s="930" t="str">
        <f>IF(OR(C92="NA",G92="NA"),"",IF(AND(C92&lt;&gt;"",G92=""),"Enter contralateral or NA.",IF(AND(C92="",G92&lt;&gt;""),"Need data","")))</f>
        <v/>
      </c>
      <c r="L92" s="930"/>
      <c r="M92" s="930"/>
      <c r="N92" s="930"/>
      <c r="O92" s="930"/>
      <c r="P92" s="755"/>
      <c r="S92" s="50">
        <v>70</v>
      </c>
      <c r="T92" s="50" t="str">
        <f>IF(OR(C92="",C92="NA"),"",IF(C92&gt;S92,S92,IF(C92&lt;0,0,C92)))</f>
        <v/>
      </c>
      <c r="U92" s="50" t="str">
        <f>IF(OR(G92="",G92="NA"),"",IF(G92&gt;S92,S92,IF(G92&lt;0,0,G92)))</f>
        <v/>
      </c>
      <c r="V92" s="553" t="str">
        <f>IF(Y92="","",ROUND(Y92,0))</f>
        <v/>
      </c>
      <c r="W92" s="50">
        <f>IF(T92="",0,70-T92)</f>
        <v>0</v>
      </c>
      <c r="X92" s="50">
        <f>IF(U92="",0,70-U92)</f>
        <v>0</v>
      </c>
      <c r="Y92" s="554" t="str">
        <f>IF(T92="","",IF(OR(U92="",U92=0,U92&gt;T92),T92,70-(W92*70)/X92))</f>
        <v/>
      </c>
      <c r="Z92" s="10"/>
      <c r="AA92" s="10"/>
      <c r="AB92" s="10"/>
      <c r="AC92" s="10"/>
      <c r="AD92" s="10"/>
      <c r="AE92" s="10"/>
      <c r="AF92" s="10"/>
      <c r="AG92" s="10"/>
      <c r="AH92" s="10"/>
      <c r="AI92" s="10"/>
      <c r="AJ92" s="10"/>
      <c r="AK92" s="10"/>
      <c r="AL92" s="10"/>
      <c r="AM92" s="10"/>
      <c r="AN92" s="10"/>
      <c r="AO92" s="10"/>
      <c r="AP92" s="10"/>
      <c r="AQ92" s="10"/>
      <c r="AR92" s="10"/>
      <c r="AS92" s="10"/>
      <c r="AT92" s="10"/>
    </row>
    <row r="93" spans="2:46" ht="15" customHeight="1" x14ac:dyDescent="0.2">
      <c r="B93" s="146" t="s">
        <v>669</v>
      </c>
      <c r="C93" s="694"/>
      <c r="D93" s="694"/>
      <c r="E93" s="921">
        <f>IF(AND(C93&lt;&gt;"",C93&lt;&gt;"NA",C92&lt;&gt;"NA",C92&lt;&gt;""),"ERROR",IF(AND(C93&lt;&gt;"",C93&lt;&gt;"NA",C91&lt;&gt;"",C91&lt;&gt;"NA"),"ERROR",UETable!BF14))</f>
        <v>0</v>
      </c>
      <c r="F93" s="921"/>
      <c r="G93" s="930" t="str">
        <f>IF(AND(C93&lt;&gt;"",C93&lt;&gt;"NA",C92&lt;&gt;"NA",C92&lt;&gt;""),"ERROR: Cannot rate ROM and ankylosis.",IF(AND(C93&lt;&gt;"",C93&lt;&gt;"NA",C91&lt;&gt;"",C91&lt;&gt;"NA"),"ERROR: Cannot rate ROM and ankylosis.",""))</f>
        <v/>
      </c>
      <c r="H93" s="930"/>
      <c r="I93" s="930"/>
      <c r="J93" s="930"/>
      <c r="K93" s="930"/>
      <c r="L93" s="930"/>
      <c r="M93" s="930"/>
      <c r="N93" s="930"/>
      <c r="O93" s="930"/>
      <c r="P93" s="755"/>
      <c r="R93" s="131"/>
      <c r="S93" s="50">
        <v>70</v>
      </c>
      <c r="T93" s="50" t="str">
        <f>IF(OR(C93="",C93="NA"),"",IF(C93&gt;S93,S93,IF(C93&lt;0,0,C93)))</f>
        <v/>
      </c>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row>
    <row r="94" spans="2:46" x14ac:dyDescent="0.2">
      <c r="B94" s="979"/>
      <c r="C94" s="980"/>
      <c r="D94" s="980"/>
      <c r="E94" s="980"/>
      <c r="F94" s="980"/>
      <c r="G94" s="980"/>
      <c r="H94" s="980"/>
      <c r="I94" s="980"/>
      <c r="J94" s="981"/>
      <c r="K94" s="956" t="s">
        <v>1803</v>
      </c>
      <c r="L94" s="956"/>
      <c r="M94" s="956"/>
      <c r="N94" s="956"/>
      <c r="O94" s="65">
        <f>IF(E93="ERROR","ERROR",IF(R94&gt;1,1,R94))</f>
        <v>0</v>
      </c>
      <c r="P94" s="755"/>
      <c r="R94" s="193">
        <f>SUM(I91,I92,E93)</f>
        <v>0</v>
      </c>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row>
    <row r="95" spans="2:46" ht="13.5" customHeight="1" x14ac:dyDescent="0.2">
      <c r="B95" s="146" t="s">
        <v>670</v>
      </c>
      <c r="C95" s="694"/>
      <c r="D95" s="694"/>
      <c r="E95" s="921">
        <f>UETable!BF16</f>
        <v>0</v>
      </c>
      <c r="F95" s="921"/>
      <c r="G95" s="694"/>
      <c r="H95" s="694"/>
      <c r="I95" s="936">
        <f>IF(C95="",0,IF(OR(C95&lt;=0,G95&lt;=0),E95,IF(G95&lt;C95,0,UETable!BK16)))</f>
        <v>0</v>
      </c>
      <c r="J95" s="936"/>
      <c r="K95" s="930" t="str">
        <f>IF(OR(C95="NA",G95="NA"),"",IF(AND(C95&lt;&gt;"",G95=""),"Enter contralateral or NA.",IF(AND(C95="",G95&lt;&gt;""),"Need data","")))</f>
        <v/>
      </c>
      <c r="L95" s="930"/>
      <c r="M95" s="930"/>
      <c r="N95" s="930"/>
      <c r="O95" s="930"/>
      <c r="P95" s="755"/>
      <c r="R95" s="10"/>
      <c r="S95" s="50">
        <v>100</v>
      </c>
      <c r="T95" s="50" t="str">
        <f>IF(OR(C95="",C95="NA"),"",IF(C95&gt;S95,S95,IF(C95&lt;0,0,C95)))</f>
        <v/>
      </c>
      <c r="U95" s="50" t="str">
        <f>IF(OR(G95="",G95="NA"),"",IF(G95&gt;S95,S95,IF(G95&lt;0,0,G95)))</f>
        <v/>
      </c>
      <c r="V95" s="553" t="str">
        <f>IF(Y95="","",ROUND(Y95,0))</f>
        <v/>
      </c>
      <c r="W95" s="791" t="s">
        <v>1184</v>
      </c>
      <c r="X95" s="791"/>
      <c r="Y95" s="554" t="str">
        <f>IF(T95="","",IF(OR(U95="",U95=0,U95&lt;T95),T95,(T95*100)/U95))</f>
        <v/>
      </c>
      <c r="Z95" s="10"/>
      <c r="AA95" s="10"/>
      <c r="AB95" s="10"/>
      <c r="AC95" s="10"/>
      <c r="AD95" s="10"/>
      <c r="AE95" s="10"/>
      <c r="AF95" s="10"/>
      <c r="AG95" s="10"/>
      <c r="AH95" s="10"/>
      <c r="AI95" s="10"/>
      <c r="AJ95" s="10"/>
      <c r="AK95" s="10"/>
      <c r="AL95" s="10"/>
      <c r="AM95" s="10"/>
      <c r="AN95" s="10"/>
      <c r="AO95" s="10"/>
      <c r="AP95" s="10"/>
      <c r="AQ95" s="10"/>
      <c r="AR95" s="10"/>
      <c r="AS95" s="10"/>
      <c r="AT95" s="10"/>
    </row>
    <row r="96" spans="2:46" ht="13.5" customHeight="1" x14ac:dyDescent="0.2">
      <c r="B96" s="146" t="s">
        <v>671</v>
      </c>
      <c r="C96" s="694"/>
      <c r="D96" s="694"/>
      <c r="E96" s="921">
        <f>UETable!BF17</f>
        <v>0</v>
      </c>
      <c r="F96" s="921"/>
      <c r="G96" s="694"/>
      <c r="H96" s="694"/>
      <c r="I96" s="936">
        <f>IF(C96="",0,IF(OR(C96&gt;=100,G96&gt;=100),E96,IF(G96&gt;C96,0,UETable!BK17)))</f>
        <v>0</v>
      </c>
      <c r="J96" s="936"/>
      <c r="K96" s="930" t="str">
        <f>IF(OR(C96="NA",G96="NA"),"",IF(AND(C96&lt;&gt;"",G96=""),"Enter contralateral or NA.",IF(AND(C96="",G96&lt;&gt;""),"Need data","")))</f>
        <v/>
      </c>
      <c r="L96" s="930"/>
      <c r="M96" s="930"/>
      <c r="N96" s="930"/>
      <c r="O96" s="930"/>
      <c r="P96" s="755"/>
      <c r="S96" s="50">
        <v>100</v>
      </c>
      <c r="T96" s="50" t="str">
        <f>IF(OR(C96="",C96="NA"),"",IF(C96&gt;S96,S96,IF(C96&lt;0,0,C96)))</f>
        <v/>
      </c>
      <c r="U96" s="50" t="str">
        <f>IF(OR(G96="",G96="NA"),"",IF(G96&gt;S96,S96,IF(G96&lt;0,0,G96)))</f>
        <v/>
      </c>
      <c r="V96" s="553" t="str">
        <f>IF(Y96="","",ROUND(Y96,0))</f>
        <v/>
      </c>
      <c r="W96" s="50">
        <f>IF(T96="",0,100-T96)</f>
        <v>0</v>
      </c>
      <c r="X96" s="50">
        <f>IF(U96="",0,100-U96)</f>
        <v>0</v>
      </c>
      <c r="Y96" s="554" t="str">
        <f>IF(T96="","",IF(OR(U96="",U96=0,U96&gt;T96),T96,100-(W96*100)/X96))</f>
        <v/>
      </c>
      <c r="Z96" s="10"/>
      <c r="AA96" s="10"/>
      <c r="AB96" s="10"/>
      <c r="AC96" s="10"/>
      <c r="AD96" s="10"/>
      <c r="AE96" s="10"/>
      <c r="AF96" s="10"/>
      <c r="AG96" s="10"/>
      <c r="AH96" s="10"/>
      <c r="AI96" s="10"/>
      <c r="AJ96" s="10"/>
      <c r="AK96" s="10"/>
      <c r="AL96" s="10"/>
      <c r="AM96" s="10"/>
      <c r="AN96" s="10"/>
      <c r="AO96" s="10"/>
      <c r="AP96" s="10"/>
      <c r="AQ96" s="10"/>
      <c r="AR96" s="10"/>
      <c r="AS96" s="10"/>
      <c r="AT96" s="10"/>
    </row>
    <row r="97" spans="1:109" ht="15" customHeight="1" x14ac:dyDescent="0.2">
      <c r="B97" s="146" t="s">
        <v>672</v>
      </c>
      <c r="C97" s="694"/>
      <c r="D97" s="694"/>
      <c r="E97" s="921">
        <f>IF(AND(C97&lt;&gt;"",C97&lt;&gt;"NA",C96&lt;&gt;"NA",C96&lt;&gt;""),"ERROR",IF(AND(C97&lt;&gt;"",C97&lt;&gt;"NA",C95&lt;&gt;"",C95&lt;&gt;"NA"),"ERROR",UETable!BF18))</f>
        <v>0</v>
      </c>
      <c r="F97" s="921"/>
      <c r="G97" s="930" t="str">
        <f>IF(AND(C97&lt;&gt;"",C97&lt;&gt;"NA",C96&lt;&gt;"NA",C96&lt;&gt;""),"ERROR: Cannot rate ROM and ankylosis.",IF(AND(C97&lt;&gt;"",C97&lt;&gt;"NA",C95&lt;&gt;"",C95&lt;&gt;"NA"),"ERROR: Cannot rate ROM and ankylosis.",""))</f>
        <v/>
      </c>
      <c r="H97" s="930"/>
      <c r="I97" s="930"/>
      <c r="J97" s="930"/>
      <c r="K97" s="930"/>
      <c r="L97" s="930"/>
      <c r="M97" s="930"/>
      <c r="N97" s="930"/>
      <c r="O97" s="930"/>
      <c r="P97" s="755"/>
      <c r="R97" s="10"/>
      <c r="S97" s="50">
        <v>100</v>
      </c>
      <c r="T97" s="50" t="str">
        <f>IF(OR(C97="",C97="NA"),"",IF(C97&gt;S97,S97,IF(C97&lt;0,0,C97)))</f>
        <v/>
      </c>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row>
    <row r="98" spans="1:109" x14ac:dyDescent="0.2">
      <c r="B98" s="979"/>
      <c r="C98" s="980"/>
      <c r="D98" s="980"/>
      <c r="E98" s="980"/>
      <c r="F98" s="980"/>
      <c r="G98" s="980"/>
      <c r="H98" s="980"/>
      <c r="I98" s="980"/>
      <c r="J98" s="981"/>
      <c r="K98" s="956" t="s">
        <v>1803</v>
      </c>
      <c r="L98" s="956"/>
      <c r="M98" s="956"/>
      <c r="N98" s="956"/>
      <c r="O98" s="65">
        <f>IF(E97="ERROR","ERROR",IF(R98&gt;1,1,R98))</f>
        <v>0</v>
      </c>
      <c r="P98" s="755"/>
      <c r="R98" s="193">
        <f>SUM(I95,I96,E97)</f>
        <v>0</v>
      </c>
      <c r="S98" s="10"/>
      <c r="T98" s="10"/>
      <c r="U98" s="10"/>
      <c r="V98" s="10"/>
      <c r="W98" s="10"/>
      <c r="X98" s="10"/>
      <c r="Y98" s="10"/>
      <c r="Z98" s="10"/>
      <c r="AA98" s="146" t="s">
        <v>1287</v>
      </c>
      <c r="AB98" s="146" t="s">
        <v>1285</v>
      </c>
      <c r="AC98" s="50" t="s">
        <v>1286</v>
      </c>
      <c r="AD98" s="50" t="s">
        <v>1287</v>
      </c>
      <c r="AE98" s="10"/>
      <c r="AF98" s="10"/>
      <c r="AG98" s="10"/>
      <c r="AH98" s="10"/>
      <c r="AI98" s="10"/>
      <c r="AJ98" s="10"/>
      <c r="AK98" s="10"/>
      <c r="AL98" s="10"/>
      <c r="AM98" s="10"/>
      <c r="AN98" s="10"/>
      <c r="AO98" s="10"/>
      <c r="AP98" s="10"/>
      <c r="AQ98" s="10"/>
      <c r="AR98" s="10"/>
      <c r="AS98" s="10"/>
      <c r="AT98" s="10"/>
    </row>
    <row r="99" spans="1:109" ht="13.5" customHeight="1" x14ac:dyDescent="0.2">
      <c r="B99" s="146" t="s">
        <v>1546</v>
      </c>
      <c r="C99" s="694"/>
      <c r="D99" s="694"/>
      <c r="E99" s="921">
        <f>UETable!BF20</f>
        <v>0</v>
      </c>
      <c r="F99" s="921"/>
      <c r="G99" s="694"/>
      <c r="H99" s="694"/>
      <c r="I99" s="936">
        <f>IF(C99="",0,IF(OR(C99&lt;=0,G99&lt;=0),E99,IF(G99&lt;C99,0,UETable!BK20)))</f>
        <v>0</v>
      </c>
      <c r="J99" s="936"/>
      <c r="K99" s="930" t="str">
        <f>IF(OR(C99="NA",G99="NA"),"",IF(AND(C99&lt;&gt;"",G99=""),"Enter contralateral or NA.",IF(AND(C99="",G99&lt;&gt;""),"Need data","")))</f>
        <v/>
      </c>
      <c r="L99" s="930"/>
      <c r="M99" s="930"/>
      <c r="N99" s="930"/>
      <c r="O99" s="930"/>
      <c r="P99" s="755"/>
      <c r="R99" s="10"/>
      <c r="S99" s="50">
        <v>90</v>
      </c>
      <c r="T99" s="50" t="str">
        <f>IF(OR(C99="",C99="NA"),"",IF(C99&gt;S99,S99,IF(C99&lt;0,0,C99)))</f>
        <v/>
      </c>
      <c r="U99" s="50" t="str">
        <f>IF(OR(G99="",G99="NA"),"",IF(G99&gt;S99,S99,IF(G99&lt;0,0,G99)))</f>
        <v/>
      </c>
      <c r="V99" s="553" t="str">
        <f>IF(Y99="","",ROUND(Y99,0))</f>
        <v/>
      </c>
      <c r="W99" s="791" t="s">
        <v>1184</v>
      </c>
      <c r="X99" s="791"/>
      <c r="Y99" s="554" t="str">
        <f>IF(T99="","",IF(OR(U99="",U99=0,U99&lt;T99),T99,(T99*90)/U99))</f>
        <v/>
      </c>
      <c r="Z99" s="10"/>
      <c r="AA99" s="548">
        <f>IF(AND(O94&gt;0,O94&lt;0.01),0.01,ROUND(O94,2))</f>
        <v>0</v>
      </c>
      <c r="AB99" s="147">
        <f>LARGE(AA99:AA101,1)</f>
        <v>0</v>
      </c>
      <c r="AC99" s="548">
        <f>AB99+AB100*(1-AB99)</f>
        <v>0</v>
      </c>
      <c r="AD99" s="548">
        <f>ROUND(AC99,2)</f>
        <v>0</v>
      </c>
      <c r="AE99" s="10"/>
      <c r="AF99" s="10"/>
      <c r="AG99" s="10"/>
      <c r="AH99" s="10"/>
      <c r="AI99" s="10"/>
      <c r="AJ99" s="10"/>
      <c r="AK99" s="10"/>
      <c r="AL99" s="10"/>
      <c r="AM99" s="10"/>
      <c r="AN99" s="10"/>
      <c r="AO99" s="10"/>
      <c r="AP99" s="10"/>
      <c r="AQ99" s="10"/>
      <c r="AR99" s="10"/>
      <c r="AS99" s="10"/>
      <c r="AT99" s="10"/>
    </row>
    <row r="100" spans="1:109" ht="13.5" customHeight="1" x14ac:dyDescent="0.2">
      <c r="B100" s="146" t="s">
        <v>1547</v>
      </c>
      <c r="C100" s="694"/>
      <c r="D100" s="694"/>
      <c r="E100" s="921">
        <f>UETable!BF21</f>
        <v>0</v>
      </c>
      <c r="F100" s="921"/>
      <c r="G100" s="694"/>
      <c r="H100" s="694"/>
      <c r="I100" s="936">
        <f>IF(C100="",0,IF(OR(C100&gt;=90,G100&gt;=90),E100,IF(G100&gt;C100,0,UETable!BK21)))</f>
        <v>0</v>
      </c>
      <c r="J100" s="936"/>
      <c r="K100" s="930" t="str">
        <f>IF(OR(C100="NA",G100="NA"),"",IF(AND(C100&lt;&gt;"",G100=""),"Enter contralateral or NA.",IF(AND(C100="",G100&lt;&gt;""),"Need data","")))</f>
        <v/>
      </c>
      <c r="L100" s="930"/>
      <c r="M100" s="930"/>
      <c r="N100" s="930"/>
      <c r="O100" s="930"/>
      <c r="P100" s="755"/>
      <c r="R100" s="10"/>
      <c r="S100" s="50">
        <v>90</v>
      </c>
      <c r="T100" s="50" t="str">
        <f>IF(OR(C100="",C100="NA"),"",IF(C100&gt;S100,S100,IF(C100&lt;0,0,C100)))</f>
        <v/>
      </c>
      <c r="U100" s="50" t="str">
        <f>IF(OR(G100="",G100="NA"),"",IF(G100&gt;S100,S100,IF(G100&lt;0,0,G100)))</f>
        <v/>
      </c>
      <c r="V100" s="553" t="str">
        <f>IF(Y100="","",ROUND(Y100,0))</f>
        <v/>
      </c>
      <c r="W100" s="50">
        <f>IF(T100="",0,90-T100)</f>
        <v>0</v>
      </c>
      <c r="X100" s="50">
        <f>IF(U100="",0,90-U100)</f>
        <v>0</v>
      </c>
      <c r="Y100" s="554" t="str">
        <f>IF(T100="","",IF(OR(U100="",U100=0,U100&gt;T100),T100,90-(W100*90)/X100))</f>
        <v/>
      </c>
      <c r="Z100" s="10"/>
      <c r="AA100" s="548">
        <f>IF(AND(O98&gt;0,O98&lt;0.01),0.01,ROUND(O98,2))</f>
        <v>0</v>
      </c>
      <c r="AB100" s="147">
        <f>LARGE(AA99:AA101,2)</f>
        <v>0</v>
      </c>
      <c r="AC100" s="544">
        <f>AD99+AB101*(1-AD99)</f>
        <v>0</v>
      </c>
      <c r="AD100" s="548">
        <f>ROUND(AC100,2)</f>
        <v>0</v>
      </c>
      <c r="AE100" s="10"/>
      <c r="AF100" s="10"/>
      <c r="AG100" s="10"/>
      <c r="AH100" s="10"/>
      <c r="AI100" s="10"/>
      <c r="AJ100" s="10"/>
      <c r="AK100" s="10"/>
      <c r="AL100" s="10"/>
      <c r="AM100" s="10"/>
      <c r="AN100" s="10"/>
      <c r="AO100" s="10"/>
      <c r="AP100" s="10"/>
      <c r="AQ100" s="10"/>
      <c r="AR100" s="10"/>
      <c r="AS100" s="10"/>
      <c r="AT100" s="10"/>
    </row>
    <row r="101" spans="1:109" ht="15" customHeight="1" x14ac:dyDescent="0.2">
      <c r="B101" s="146" t="s">
        <v>629</v>
      </c>
      <c r="C101" s="694"/>
      <c r="D101" s="694"/>
      <c r="E101" s="921">
        <f>IF(AND(C101&lt;&gt;"",C101&lt;&gt;"NA",C100&lt;&gt;"NA",C100&lt;&gt;""),"ERROR",IF(AND(C101&lt;&gt;"",C101&lt;&gt;"NA",C99&lt;&gt;"",C99&lt;&gt;"NA"),"ERROR",UETable!BF22))</f>
        <v>0</v>
      </c>
      <c r="F101" s="921"/>
      <c r="G101" s="930" t="str">
        <f>IF(AND(C101&lt;&gt;"",C101&lt;&gt;"NA",C100&lt;&gt;"NA",C100&lt;&gt;""),"ERROR: Cannot rate ROM and ankylosis.",IF(AND(C101&lt;&gt;"",C101&lt;&gt;"NA",C99&lt;&gt;"",C99&lt;&gt;"NA"),"ERROR: Cannot rate ROM and ankylosis.",""))</f>
        <v/>
      </c>
      <c r="H101" s="930"/>
      <c r="I101" s="930"/>
      <c r="J101" s="930"/>
      <c r="K101" s="930"/>
      <c r="L101" s="930"/>
      <c r="M101" s="930"/>
      <c r="N101" s="930"/>
      <c r="O101" s="930"/>
      <c r="P101" s="755"/>
      <c r="R101" s="50">
        <f>IF(OR(O94="ERROR",O98="ERROR",O102="ERROR"),1,0)</f>
        <v>0</v>
      </c>
      <c r="S101" s="566">
        <v>90</v>
      </c>
      <c r="T101" s="50" t="str">
        <f>IF(OR(C101="",C101="NA"),"",IF(C101&gt;S101,S101,IF(C101&lt;0,0,C101)))</f>
        <v/>
      </c>
      <c r="U101" s="10"/>
      <c r="V101" s="10"/>
      <c r="W101" s="10"/>
      <c r="X101" s="10"/>
      <c r="Y101" s="10"/>
      <c r="Z101" s="10"/>
      <c r="AA101" s="548">
        <f>IF(AND(O102&gt;0,O102&lt;0.01),0.01,ROUND(O102,2))</f>
        <v>0</v>
      </c>
      <c r="AB101" s="147">
        <f>LARGE(AA99:AA101,3)</f>
        <v>0</v>
      </c>
      <c r="AE101" s="10"/>
      <c r="AF101" s="10"/>
      <c r="AG101" s="10"/>
      <c r="AH101" s="10"/>
      <c r="AI101" s="10"/>
      <c r="AJ101" s="10"/>
      <c r="AK101" s="10"/>
      <c r="AL101" s="10"/>
      <c r="AM101" s="10"/>
      <c r="AN101" s="10"/>
      <c r="AO101" s="10"/>
      <c r="AP101" s="10"/>
      <c r="AQ101" s="10"/>
      <c r="AR101" s="10"/>
      <c r="AS101" s="10"/>
      <c r="AT101" s="10"/>
    </row>
    <row r="102" spans="1:109" ht="12.75" customHeight="1" x14ac:dyDescent="0.2">
      <c r="B102" s="1122"/>
      <c r="C102" s="1122"/>
      <c r="D102" s="1122"/>
      <c r="E102" s="1122"/>
      <c r="F102" s="1122"/>
      <c r="G102" s="1122"/>
      <c r="H102" s="1122"/>
      <c r="I102" s="1122"/>
      <c r="J102" s="956" t="s">
        <v>1803</v>
      </c>
      <c r="K102" s="956"/>
      <c r="L102" s="956"/>
      <c r="M102" s="956"/>
      <c r="N102" s="956"/>
      <c r="O102" s="65">
        <f>IF(E101="ERROR","ERROR",IF(R102&gt;1,1,R102))</f>
        <v>0</v>
      </c>
      <c r="P102" s="755"/>
      <c r="R102" s="193">
        <f>SUM(I99,I100,E101)</f>
        <v>0</v>
      </c>
      <c r="S102" s="10"/>
      <c r="T102" s="10"/>
      <c r="U102" s="10"/>
      <c r="V102" s="10"/>
      <c r="W102" s="10"/>
      <c r="X102" s="10"/>
      <c r="Y102" s="10"/>
      <c r="Z102" s="10"/>
      <c r="AA102" s="10"/>
      <c r="AB102" s="10"/>
      <c r="AE102" s="10"/>
      <c r="AF102" s="10"/>
      <c r="AG102" s="10"/>
      <c r="AH102" s="10"/>
      <c r="AI102" s="10"/>
      <c r="AJ102" s="10"/>
      <c r="AK102" s="10"/>
      <c r="AL102" s="10"/>
      <c r="AM102" s="10"/>
      <c r="AN102" s="10"/>
      <c r="AO102" s="10"/>
      <c r="AP102" s="10"/>
      <c r="AQ102" s="10"/>
      <c r="AR102" s="10"/>
      <c r="AS102" s="10"/>
      <c r="AT102" s="10"/>
    </row>
    <row r="103" spans="1:109" ht="15" customHeight="1" x14ac:dyDescent="0.2">
      <c r="B103" s="1122"/>
      <c r="C103" s="1122"/>
      <c r="D103" s="1122"/>
      <c r="E103" s="1122"/>
      <c r="F103" s="1122"/>
      <c r="G103" s="1122"/>
      <c r="H103" s="1122"/>
      <c r="I103" s="1122"/>
      <c r="J103" s="956" t="s">
        <v>1593</v>
      </c>
      <c r="K103" s="956"/>
      <c r="L103" s="956"/>
      <c r="M103" s="956"/>
      <c r="N103" s="956"/>
      <c r="O103" s="956"/>
      <c r="P103" s="755"/>
      <c r="R103" s="10"/>
      <c r="S103" s="10"/>
      <c r="T103" s="10"/>
      <c r="U103" s="10"/>
      <c r="V103" s="10"/>
      <c r="W103" s="10"/>
      <c r="X103" s="10"/>
      <c r="Y103" s="10"/>
      <c r="Z103" s="10"/>
      <c r="AB103" s="10"/>
      <c r="AC103" s="10"/>
      <c r="AD103" s="10"/>
      <c r="AE103" s="10"/>
      <c r="AF103" s="10"/>
      <c r="AG103" s="10"/>
      <c r="AH103" s="10"/>
      <c r="AI103" s="10"/>
      <c r="AJ103" s="10"/>
      <c r="AK103" s="10"/>
      <c r="AL103" s="10"/>
      <c r="AM103" s="10"/>
      <c r="AN103" s="10"/>
      <c r="AO103" s="10"/>
      <c r="AP103" s="10"/>
      <c r="AQ103" s="10"/>
      <c r="AR103" s="10"/>
      <c r="AS103" s="10"/>
      <c r="AT103" s="10"/>
    </row>
    <row r="104" spans="1:109" ht="12" customHeight="1" x14ac:dyDescent="0.2">
      <c r="B104" s="777"/>
      <c r="C104" s="777"/>
      <c r="D104" s="777"/>
      <c r="E104" s="777"/>
      <c r="F104" s="777"/>
      <c r="G104" s="777"/>
      <c r="H104" s="777"/>
      <c r="I104" s="777"/>
      <c r="J104" s="777"/>
      <c r="K104" s="777"/>
      <c r="L104" s="777"/>
      <c r="M104" s="777"/>
      <c r="N104" s="777"/>
      <c r="O104" s="777"/>
      <c r="P104" s="777"/>
      <c r="R104" s="10"/>
      <c r="S104" s="10"/>
      <c r="T104" s="10"/>
      <c r="U104" s="10"/>
      <c r="V104" s="10"/>
      <c r="W104" s="10"/>
      <c r="X104" s="10"/>
      <c r="Y104" s="10"/>
      <c r="Z104" s="10"/>
      <c r="AB104" s="10"/>
      <c r="AC104" s="10"/>
      <c r="AD104" s="10"/>
      <c r="AE104" s="10"/>
      <c r="AF104" s="10"/>
      <c r="AG104" s="10"/>
      <c r="AH104" s="10"/>
      <c r="AI104" s="10"/>
      <c r="AJ104" s="10"/>
      <c r="AK104" s="10"/>
      <c r="AL104" s="10"/>
      <c r="AM104" s="10"/>
      <c r="AN104" s="10"/>
      <c r="AO104" s="10"/>
      <c r="AP104" s="10"/>
      <c r="AQ104" s="10"/>
      <c r="AR104" s="10"/>
      <c r="AS104" s="10"/>
      <c r="AT104" s="10"/>
    </row>
    <row r="105" spans="1:109" ht="12" customHeight="1" x14ac:dyDescent="0.2">
      <c r="B105" s="777"/>
      <c r="C105" s="777"/>
      <c r="D105" s="777"/>
      <c r="E105" s="777"/>
      <c r="F105" s="777"/>
      <c r="G105" s="777"/>
      <c r="H105" s="777"/>
      <c r="I105" s="777"/>
      <c r="J105" s="777"/>
      <c r="K105" s="777"/>
      <c r="L105" s="777"/>
      <c r="M105" s="777"/>
      <c r="N105" s="777"/>
      <c r="O105" s="777"/>
      <c r="R105" s="10"/>
      <c r="S105" s="863" t="s">
        <v>2147</v>
      </c>
      <c r="T105" s="863"/>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row>
    <row r="106" spans="1:109" ht="14.25" customHeight="1" x14ac:dyDescent="0.2">
      <c r="A106" s="15"/>
      <c r="B106" s="982" t="s">
        <v>951</v>
      </c>
      <c r="C106" s="983"/>
      <c r="D106" s="940"/>
      <c r="E106" s="940"/>
      <c r="F106" s="924" t="s">
        <v>1210</v>
      </c>
      <c r="G106" s="924"/>
      <c r="H106" s="924"/>
      <c r="I106" s="924"/>
      <c r="J106" s="924"/>
      <c r="K106" s="924"/>
      <c r="L106" s="924"/>
      <c r="M106" s="924"/>
      <c r="N106" s="924"/>
      <c r="O106" s="924"/>
      <c r="P106" s="82">
        <f>IF(T106=1,0.1,0)</f>
        <v>0</v>
      </c>
      <c r="R106" s="10"/>
      <c r="S106" s="546" t="b">
        <v>0</v>
      </c>
      <c r="T106" s="50">
        <f>IF(S106=TRUE,1,0)</f>
        <v>0</v>
      </c>
      <c r="W106" s="10"/>
      <c r="X106" s="10"/>
      <c r="Y106" s="10"/>
      <c r="Z106" s="10"/>
      <c r="AA106" s="10"/>
      <c r="AB106" s="10"/>
      <c r="AC106" s="10"/>
      <c r="AD106" s="10"/>
      <c r="AE106" s="10"/>
      <c r="AF106" s="10"/>
      <c r="AG106" s="10">
        <v>1E-4</v>
      </c>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row>
    <row r="107" spans="1:109" x14ac:dyDescent="0.2">
      <c r="B107" s="984"/>
      <c r="C107" s="985"/>
      <c r="D107" s="940"/>
      <c r="E107" s="940"/>
      <c r="F107" s="924" t="s">
        <v>1212</v>
      </c>
      <c r="G107" s="924"/>
      <c r="H107" s="924"/>
      <c r="I107" s="924"/>
      <c r="J107" s="924"/>
      <c r="K107" s="924"/>
      <c r="L107" s="924"/>
      <c r="M107" s="924"/>
      <c r="N107" s="924"/>
      <c r="O107" s="924"/>
      <c r="P107" s="82">
        <f>IF(T107=1,0.1,0)</f>
        <v>0</v>
      </c>
      <c r="R107" s="10"/>
      <c r="S107" s="546" t="b">
        <v>0</v>
      </c>
      <c r="T107" s="50">
        <f>IF(S107=TRUE,1,0)</f>
        <v>0</v>
      </c>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row>
    <row r="108" spans="1:109" x14ac:dyDescent="0.2">
      <c r="B108" s="984"/>
      <c r="C108" s="985"/>
      <c r="D108" s="940"/>
      <c r="E108" s="940"/>
      <c r="F108" s="924" t="s">
        <v>1211</v>
      </c>
      <c r="G108" s="924"/>
      <c r="H108" s="924"/>
      <c r="I108" s="924"/>
      <c r="J108" s="924"/>
      <c r="K108" s="924"/>
      <c r="L108" s="924"/>
      <c r="M108" s="924"/>
      <c r="N108" s="924"/>
      <c r="O108" s="924"/>
      <c r="P108" s="82">
        <f>IF(T108=1,0.1,0)</f>
        <v>0</v>
      </c>
      <c r="R108" s="10"/>
      <c r="S108" s="546" t="b">
        <v>0</v>
      </c>
      <c r="T108" s="50">
        <f>IF(S108=TRUE,1,0)</f>
        <v>0</v>
      </c>
      <c r="U108" s="134"/>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row>
    <row r="109" spans="1:109" x14ac:dyDescent="0.2">
      <c r="B109" s="986"/>
      <c r="C109" s="987"/>
      <c r="D109" s="940"/>
      <c r="E109" s="940"/>
      <c r="F109" s="924" t="s">
        <v>1213</v>
      </c>
      <c r="G109" s="924"/>
      <c r="H109" s="924"/>
      <c r="I109" s="924"/>
      <c r="J109" s="924"/>
      <c r="K109" s="924"/>
      <c r="L109" s="924"/>
      <c r="M109" s="924"/>
      <c r="N109" s="924"/>
      <c r="O109" s="924"/>
      <c r="P109" s="82">
        <f>IF(T109=1,0.1,0)</f>
        <v>0</v>
      </c>
      <c r="R109" s="10"/>
      <c r="S109" s="546" t="b">
        <v>0</v>
      </c>
      <c r="T109" s="50">
        <f>IF(S109=TRUE,1,0)</f>
        <v>0</v>
      </c>
      <c r="U109" s="134"/>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row>
    <row r="110" spans="1:109" ht="12" customHeight="1" x14ac:dyDescent="0.2">
      <c r="B110" s="777"/>
      <c r="C110" s="777"/>
      <c r="D110" s="777"/>
      <c r="E110" s="777"/>
      <c r="F110" s="777"/>
      <c r="G110" s="777"/>
      <c r="H110" s="777"/>
      <c r="I110" s="777"/>
      <c r="J110" s="777"/>
      <c r="K110" s="777"/>
      <c r="L110" s="777"/>
      <c r="M110" s="777"/>
      <c r="N110" s="777"/>
      <c r="O110" s="777"/>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row>
    <row r="111" spans="1:109" ht="12" customHeight="1" x14ac:dyDescent="0.2">
      <c r="B111" s="480"/>
      <c r="C111" s="978" t="s">
        <v>239</v>
      </c>
      <c r="D111" s="975"/>
      <c r="E111" s="976" t="s">
        <v>240</v>
      </c>
      <c r="F111" s="975"/>
      <c r="G111" s="350"/>
      <c r="H111" s="352"/>
      <c r="I111" s="974" t="s">
        <v>241</v>
      </c>
      <c r="J111" s="975"/>
      <c r="K111" s="472"/>
      <c r="L111" s="352"/>
      <c r="M111" s="976" t="s">
        <v>240</v>
      </c>
      <c r="N111" s="975"/>
      <c r="O111" s="351"/>
      <c r="P111" s="487"/>
      <c r="Z111" s="477"/>
      <c r="AE111" s="476"/>
      <c r="AF111" s="476"/>
      <c r="AG111" s="476"/>
      <c r="AH111" s="476"/>
      <c r="AI111" s="476"/>
      <c r="AJ111" s="476"/>
      <c r="AK111" s="476"/>
      <c r="AL111" s="476"/>
      <c r="AM111" s="476"/>
      <c r="AN111" s="476"/>
    </row>
    <row r="112" spans="1:109" ht="12" customHeight="1" x14ac:dyDescent="0.2">
      <c r="B112" s="481"/>
      <c r="C112" s="959" t="s">
        <v>242</v>
      </c>
      <c r="D112" s="960"/>
      <c r="E112" s="959" t="s">
        <v>243</v>
      </c>
      <c r="F112" s="960"/>
      <c r="G112" s="959" t="s">
        <v>244</v>
      </c>
      <c r="H112" s="960"/>
      <c r="I112" s="973" t="s">
        <v>245</v>
      </c>
      <c r="J112" s="960"/>
      <c r="K112" s="959" t="s">
        <v>246</v>
      </c>
      <c r="L112" s="960"/>
      <c r="M112" s="959" t="s">
        <v>247</v>
      </c>
      <c r="N112" s="960"/>
      <c r="P112" s="488"/>
      <c r="Z112" s="327"/>
      <c r="AE112" s="476"/>
      <c r="AF112" s="476"/>
      <c r="AG112" s="476"/>
      <c r="AH112" s="476"/>
      <c r="AI112" s="476"/>
      <c r="AJ112" s="476"/>
      <c r="AK112" s="476"/>
      <c r="AL112" s="476"/>
      <c r="AM112" s="476"/>
      <c r="AN112" s="476"/>
    </row>
    <row r="113" spans="2:79" ht="12" customHeight="1" x14ac:dyDescent="0.2">
      <c r="B113" s="481"/>
      <c r="C113" s="934" t="s">
        <v>248</v>
      </c>
      <c r="D113" s="935"/>
      <c r="E113" s="934" t="s">
        <v>249</v>
      </c>
      <c r="F113" s="935"/>
      <c r="G113" s="934" t="s">
        <v>250</v>
      </c>
      <c r="H113" s="935"/>
      <c r="I113" s="963" t="s">
        <v>251</v>
      </c>
      <c r="J113" s="935"/>
      <c r="K113" s="934" t="s">
        <v>250</v>
      </c>
      <c r="L113" s="935"/>
      <c r="M113" s="934" t="s">
        <v>249</v>
      </c>
      <c r="N113" s="935"/>
      <c r="P113" s="488"/>
      <c r="AH113" s="146">
        <v>1</v>
      </c>
      <c r="AI113" s="146">
        <v>2</v>
      </c>
      <c r="AJ113" s="146">
        <v>3</v>
      </c>
      <c r="AK113" s="146">
        <v>4</v>
      </c>
      <c r="AM113" s="476"/>
      <c r="AN113" s="476"/>
      <c r="AO113" s="476"/>
      <c r="AP113" s="476"/>
      <c r="AQ113" s="476"/>
      <c r="AR113" s="476"/>
      <c r="AS113" s="476"/>
      <c r="AT113" s="476"/>
      <c r="AU113" s="476"/>
      <c r="AV113" s="476"/>
    </row>
    <row r="114" spans="2:79" ht="12" customHeight="1" x14ac:dyDescent="0.2">
      <c r="B114" s="539" t="s">
        <v>1945</v>
      </c>
      <c r="C114" s="932" t="s">
        <v>252</v>
      </c>
      <c r="D114" s="933"/>
      <c r="E114" s="932" t="s">
        <v>252</v>
      </c>
      <c r="F114" s="933"/>
      <c r="G114" s="932" t="s">
        <v>252</v>
      </c>
      <c r="H114" s="933"/>
      <c r="I114" s="932" t="s">
        <v>252</v>
      </c>
      <c r="J114" s="933"/>
      <c r="K114" s="932" t="s">
        <v>252</v>
      </c>
      <c r="L114" s="933"/>
      <c r="M114" s="932" t="s">
        <v>252</v>
      </c>
      <c r="N114" s="933"/>
      <c r="P114" s="488"/>
      <c r="S114" s="892" t="s">
        <v>2147</v>
      </c>
      <c r="T114" s="893"/>
      <c r="U114" s="893"/>
      <c r="V114" s="893"/>
      <c r="W114" s="893"/>
      <c r="X114" s="894"/>
      <c r="Y114" s="475"/>
      <c r="Z114" s="475"/>
      <c r="AA114" s="950" t="s">
        <v>2147</v>
      </c>
      <c r="AB114" s="951"/>
      <c r="AC114" s="951"/>
      <c r="AD114" s="951"/>
      <c r="AE114" s="951"/>
      <c r="AF114" s="952"/>
      <c r="AG114" s="475"/>
      <c r="AH114" s="895" t="s">
        <v>2147</v>
      </c>
      <c r="AI114" s="896"/>
      <c r="AJ114" s="896"/>
      <c r="AK114" s="896"/>
      <c r="AL114" s="896"/>
      <c r="AM114" s="897"/>
      <c r="AO114" s="892" t="s">
        <v>2147</v>
      </c>
      <c r="AP114" s="893"/>
      <c r="AQ114" s="893"/>
      <c r="AR114" s="893"/>
      <c r="AS114" s="894"/>
      <c r="AU114" s="892" t="s">
        <v>2147</v>
      </c>
      <c r="AV114" s="893"/>
      <c r="AW114" s="893"/>
      <c r="AX114" s="894"/>
      <c r="AZ114" s="892" t="s">
        <v>2147</v>
      </c>
      <c r="BA114" s="893"/>
      <c r="BB114" s="893"/>
      <c r="BC114" s="893"/>
      <c r="BD114" s="893"/>
      <c r="BE114" s="893"/>
      <c r="BF114" s="893"/>
      <c r="BG114" s="894"/>
      <c r="BI114" s="892" t="s">
        <v>2147</v>
      </c>
      <c r="BJ114" s="893"/>
      <c r="BK114" s="893"/>
      <c r="BL114" s="893"/>
      <c r="BM114" s="893"/>
      <c r="BN114" s="894"/>
    </row>
    <row r="115" spans="2:79" customFormat="1" ht="15" customHeight="1" x14ac:dyDescent="0.2">
      <c r="B115" s="146" t="s">
        <v>1574</v>
      </c>
      <c r="C115" s="925"/>
      <c r="D115" s="925"/>
      <c r="E115" s="925"/>
      <c r="F115" s="925"/>
      <c r="G115" s="925"/>
      <c r="H115" s="925"/>
      <c r="I115" s="925"/>
      <c r="J115" s="925"/>
      <c r="K115" s="925"/>
      <c r="L115" s="925"/>
      <c r="M115" s="925"/>
      <c r="N115" s="925"/>
      <c r="P115" s="489"/>
      <c r="S115" s="301">
        <f>IF(C115="",0,C115)</f>
        <v>0</v>
      </c>
      <c r="T115" s="301">
        <f>IF(AND(E115&lt;&gt;C115,E115&lt;&gt;""),E115,IF(OR(E116&lt;&gt;"",E117&lt;&gt;""),0,S115))</f>
        <v>0</v>
      </c>
      <c r="U115" s="301">
        <f>IF(AND(G115&lt;&gt;E115,G115&lt;&gt;""),G115,IF(OR(G116&lt;&gt;"",G117&lt;&gt;""),0,T115))</f>
        <v>0</v>
      </c>
      <c r="V115" s="301">
        <f>IF(AND(I115&lt;&gt;G115,I115&lt;&gt;""),I115,IF(OR(I116&lt;&gt;"",I117&lt;&gt;""),0,U115))</f>
        <v>0</v>
      </c>
      <c r="W115" s="301">
        <f>IF(AND(K115&lt;&gt;I115,K115&lt;&gt;""),K115,IF(OR(K116&lt;&gt;"",K117&lt;&gt;""),0,V115))</f>
        <v>0</v>
      </c>
      <c r="X115" s="301">
        <f>IF(AND(M115&lt;&gt;K115,M115&lt;&gt;""),M115,IF(OR(M116&lt;&gt;"",M117&lt;&gt;""),0,W115))</f>
        <v>0</v>
      </c>
      <c r="Z115" s="475"/>
      <c r="AA115" s="483">
        <f>IF(C115&gt;1,1,0)</f>
        <v>0</v>
      </c>
      <c r="AB115" s="301">
        <f t="shared" ref="AB115:AF117" si="15">IF(AND(S115&lt;&gt;T115,T115&gt;0),1,0)</f>
        <v>0</v>
      </c>
      <c r="AC115" s="301">
        <f t="shared" si="15"/>
        <v>0</v>
      </c>
      <c r="AD115" s="301">
        <f t="shared" si="15"/>
        <v>0</v>
      </c>
      <c r="AE115" s="301">
        <f t="shared" si="15"/>
        <v>0</v>
      </c>
      <c r="AF115" s="301">
        <f t="shared" si="15"/>
        <v>0</v>
      </c>
      <c r="AH115" s="478">
        <f>IF(S115=1,0,IF(S115=2,0.25,IF(S115=3,0.38,IF(S115=4,0.5,0))))</f>
        <v>0</v>
      </c>
      <c r="AI115" s="478">
        <f>IF(T115=1,0,IF(T115=2,0.23,IF(T115=3,0.35,IF(T115=4,0.45,0))))</f>
        <v>0</v>
      </c>
      <c r="AJ115" s="478">
        <f>IF(U115=1,0,IF(U115=2,0.2,IF(U115=3,0.3,IF(U115=4,0.39,0))))</f>
        <v>0</v>
      </c>
      <c r="AK115" s="478">
        <f>IF(V115=1,0,IF(V115=2,0.17,IF(V115=3,0.25,IF(V115=4,0.33,0))))</f>
        <v>0</v>
      </c>
      <c r="AL115" s="478">
        <f>IF(W115=1,0,IF(W115=2,0.13,IF(W115=3,0.19,IF(W115=4,0.24,0))))</f>
        <v>0</v>
      </c>
      <c r="AM115" s="478">
        <f>IF(X115=1,0,IF(X115=2,0.08,IF(X115=3,0.12,IF(X115=4,0.15,0))))</f>
        <v>0</v>
      </c>
      <c r="AN115" s="479"/>
      <c r="AO115" s="478">
        <f>IF(S115=1,0,IF(S115=2,0.23,IF(S115=3,0.35,IF(S115=4,0.45,0))))</f>
        <v>0</v>
      </c>
      <c r="AP115" s="478">
        <f>IF(T115=1,0,IF(T115=2,0.2,IF(T115=3,0.3,IF(T115=4,0.39,0))))</f>
        <v>0</v>
      </c>
      <c r="AQ115" s="478">
        <f>IF(U115=1,0,IF(U115=2,0.17,IF(U115=3,0.25,IF(U115=4,0.33,0))))</f>
        <v>0</v>
      </c>
      <c r="AR115" s="478">
        <f>IF(V115=1,0,IF(V115=2,0.13,IF(V115=3,0.19,IF(V115=4,0.24,0))))</f>
        <v>0</v>
      </c>
      <c r="AS115" s="478">
        <f>IF(W115=1,0,IF(W115=2,0.08,IF(W115=3,0.12,IF(W115=4,0.15,0))))</f>
        <v>0</v>
      </c>
      <c r="AU115" s="478">
        <f>IF(S115=1,0,IF(S115=2,0.2,IF(S115=3,0.3,IF(S115=4,0.39,0))))</f>
        <v>0</v>
      </c>
      <c r="AV115" s="478">
        <f>IF(T115=1,0,IF(T115=2,0.17,IF(T115=3,0.25,IF(T115=4,0.33,0))))</f>
        <v>0</v>
      </c>
      <c r="AW115" s="478">
        <f>IF(U115=1,0,IF(U115=2,0.13,IF(U115=3,0.19,IF(U115=4,0.24,0))))</f>
        <v>0</v>
      </c>
      <c r="AX115" s="478">
        <f>IF(V115=1,0,IF(V115=2,0.08,IF(V115=3,0.12,IF(V115=4,0.15,0))))</f>
        <v>0</v>
      </c>
      <c r="AZ115" s="478">
        <f>IF(S115=1,0,IF(S115=2,0.17,IF(S115=3,0.25,IF(S115=4,0.33,0))))</f>
        <v>0</v>
      </c>
      <c r="BA115" s="478">
        <f>IF(T115=1,0,IF(T115=2,0.13,IF(T115=3,0.19,IF(T115=4,0.24,0))))</f>
        <v>0</v>
      </c>
      <c r="BB115" s="478">
        <f>IF(U115=1,0,IF(U115=2,0.08,IF(U115=3,0.12,IF(U115=4,0.15,0))))</f>
        <v>0</v>
      </c>
      <c r="BD115" s="478">
        <f>IF(S115=1,0,IF(S115=2,0.13,IF(S115=3,0.19,IF(S115=4,0.24,0))))</f>
        <v>0</v>
      </c>
      <c r="BE115" s="478">
        <f>IF(T115=1,0,IF(T115=2,0.08,IF(T115=3,0.12,IF(T115=4,0.15,0))))</f>
        <v>0</v>
      </c>
      <c r="BG115" s="478">
        <f>IF(S115=1,0,IF(S115=2,0.08,IF(S115=3,0.12,IF(S115=4,0.15,0))))</f>
        <v>0</v>
      </c>
      <c r="BI115" s="478">
        <f>IF(AA115=0,0,IF(OR(AB115=1,AB116=1,AB117=1),AH115-AO115,IF(OR(AC115=1,AC116=1,AC117=1),AH115-AU115,IF(OR(AD115=1,AD116=1,AD117=1),AH115-AZ115,IF(OR(AE115=1,AE116=1,AE117=1),AH115-BD115,IF(OR(AF115=1,AF116=1,AF117=1),AH115-BG115,AH115))))))</f>
        <v>0</v>
      </c>
      <c r="BJ115" s="478">
        <f>IF(AB115=0,0,IF(OR(AC115=1,AC116=1,AC117=1),AI115-AP115,IF(OR(AD115=1,AD116=1,AD117=1),AI115-AV115,IF(OR(AE115=1,AE116=1,AE117=1),AI115-BA115,IF(OR(AF115=1,AF116=1,AF117=1),AI115-BE115,AI115)))))</f>
        <v>0</v>
      </c>
      <c r="BK115" s="478">
        <f>IF(AC115=0,0,IF(OR(AD115=1,AD116=1,AD117=1),AJ115-AQ115,IF(OR(AE115=1,AE116=1,AE117=1),AJ115-AW115,IF(OR(AF115=1,AF116=1,AF117=1),AJ115-BB115,AJ115))))</f>
        <v>0</v>
      </c>
      <c r="BL115" s="478">
        <f>IF(AD115=0,0,IF(OR(AE115=1,AE116=1,AE117=1),AK115-AR115,IF(OR(AF115=1,AF116=1,AF117=1),AK115-AX115,AK115)))</f>
        <v>0</v>
      </c>
      <c r="BM115" s="478">
        <f>IF(AE115=0,0,IF(OR(AF115=1,AF116=1,AF117=1),AL115-AS115,AL115))</f>
        <v>0</v>
      </c>
      <c r="BN115" s="478">
        <f>IF(AF115=0,0,AM115)</f>
        <v>0</v>
      </c>
      <c r="BP115" t="s">
        <v>253</v>
      </c>
      <c r="BR115" s="863" t="s">
        <v>2147</v>
      </c>
      <c r="BS115" s="863"/>
      <c r="BT115" s="863"/>
      <c r="BU115" s="863"/>
      <c r="BV115" s="863"/>
      <c r="BW115" s="863"/>
      <c r="BX115" s="863"/>
      <c r="BY115" s="863"/>
      <c r="BZ115" s="863"/>
      <c r="CA115" s="863"/>
    </row>
    <row r="116" spans="2:79" customFormat="1" ht="15" customHeight="1" x14ac:dyDescent="0.2">
      <c r="B116" s="301" t="s">
        <v>1577</v>
      </c>
      <c r="C116" s="925"/>
      <c r="D116" s="925"/>
      <c r="E116" s="925"/>
      <c r="F116" s="925"/>
      <c r="G116" s="925"/>
      <c r="H116" s="925"/>
      <c r="I116" s="925"/>
      <c r="J116" s="925"/>
      <c r="K116" s="925"/>
      <c r="L116" s="925"/>
      <c r="M116" s="925"/>
      <c r="N116" s="925"/>
      <c r="P116" s="495"/>
      <c r="S116" s="301">
        <f>IF(C116="",0,C116)</f>
        <v>0</v>
      </c>
      <c r="T116" s="301">
        <f>IF(E116&lt;&gt;C116,E116,IF(AND(E117&lt;&gt;C117,S115&gt;1),S115,0))</f>
        <v>0</v>
      </c>
      <c r="U116" s="301">
        <f>IF(G116&lt;&gt;E116,G116,IF(AND(G117&lt;&gt;E117,T115&gt;1),T115,0))</f>
        <v>0</v>
      </c>
      <c r="V116" s="301">
        <f>IF(I116&lt;&gt;G116,I116,IF(AND(I117&lt;&gt;G117,U115&gt;1),U115,0))</f>
        <v>0</v>
      </c>
      <c r="W116" s="301">
        <f>IF(K116&lt;&gt;I116,K116,IF(AND(K117&lt;&gt;I117,V115&gt;1),V115,0))</f>
        <v>0</v>
      </c>
      <c r="X116" s="301">
        <f>IF(M116&lt;&gt;K116,M116,IF(AND(M117&lt;&gt;K117,W115&gt;1),W115,0))</f>
        <v>0</v>
      </c>
      <c r="Z116" s="475"/>
      <c r="AA116" s="483">
        <f>IF(C116&gt;1,1,0)</f>
        <v>0</v>
      </c>
      <c r="AB116" s="301">
        <f t="shared" si="15"/>
        <v>0</v>
      </c>
      <c r="AC116" s="301">
        <f t="shared" si="15"/>
        <v>0</v>
      </c>
      <c r="AD116" s="301">
        <f t="shared" si="15"/>
        <v>0</v>
      </c>
      <c r="AE116" s="301">
        <f t="shared" si="15"/>
        <v>0</v>
      </c>
      <c r="AF116" s="301">
        <f t="shared" si="15"/>
        <v>0</v>
      </c>
      <c r="AH116" s="478">
        <f>IF(S116=1,0,IF(S116=2,0.17,IF(S116=3,0.25,IF(S116=4,0.35,0))))</f>
        <v>0</v>
      </c>
      <c r="AI116" s="478">
        <f>IF(T116=1,0,IF(T116=2,0.15,IF(T116=3,0.23,IF(T116=4,0.31,0))))</f>
        <v>0</v>
      </c>
      <c r="AJ116" s="478">
        <f>IF(U116=1,0,IF(U116=2,0.13,IF(U116=3,0.2,IF(U116=4,0.27,0))))</f>
        <v>0</v>
      </c>
      <c r="AK116" s="478">
        <f>IF(V116=1,0,IF(V116=2,0.11,IF(V116=3,0.17,IF(V116=4,0.22,0))))</f>
        <v>0</v>
      </c>
      <c r="AL116" s="478">
        <f>IF(W116=1,0,IF(W116=2,0.08,IF(W116=3,0.12,IF(W116=4,0.16,0))))</f>
        <v>0</v>
      </c>
      <c r="AM116" s="478">
        <f>IF(X116=1,0,IF(X116=2,0.05,IF(X116=3,0.07,IF(X116=4,0.1,0))))</f>
        <v>0</v>
      </c>
      <c r="AN116" s="479"/>
      <c r="AO116" s="478">
        <f>IF(S116=1,0,IF(S116=2,0.15,IF(S116=3,0.23,IF(S116=4,0.31,0))))</f>
        <v>0</v>
      </c>
      <c r="AP116" s="478">
        <f>IF(T116=1,0,IF(T116=2,0.13,IF(T116=3,0.2,IF(T116=4,0.27,0))))</f>
        <v>0</v>
      </c>
      <c r="AQ116" s="478">
        <f>IF(U116=1,0,IF(U116=2,0.11,IF(U116=3,0.17,IF(U116=4,0.22,0))))</f>
        <v>0</v>
      </c>
      <c r="AR116" s="478">
        <f>IF(V116=1,0,IF(V116=2,0.08,IF(V116=3,0.12,IF(V116=4,0.16,0))))</f>
        <v>0</v>
      </c>
      <c r="AS116" s="478">
        <f>IF(W116=1,0,IF(W116=2,0.05,IF(W116=3,0.07,IF(W116=4,0.1,0))))</f>
        <v>0</v>
      </c>
      <c r="AU116" s="478">
        <f>IF(S116=1,0,IF(S116=2,0.13,IF(S116=3,0.2,IF(S116=4,0.27,0))))</f>
        <v>0</v>
      </c>
      <c r="AV116" s="478">
        <f>IF(T116=1,0,IF(T116=2,0.11,IF(T116=3,0.17,IF(T116=4,0.22,0))))</f>
        <v>0</v>
      </c>
      <c r="AW116" s="478">
        <f>IF(U116=1,0,IF(U116=2,0.08,IF(U116=3,0.12,IF(U116=4,0.16,0))))</f>
        <v>0</v>
      </c>
      <c r="AX116" s="478">
        <f>IF(V116=1,0,IF(V116=2,0.05,IF(V116=3,0.07,IF(V116=4,0.1,0))))</f>
        <v>0</v>
      </c>
      <c r="AZ116" s="478">
        <f>IF(S116=1,0,IF(S116=2,0.11,IF(S116=3,0.17,IF(S116=4,0.22,0))))</f>
        <v>0</v>
      </c>
      <c r="BA116" s="478">
        <f>IF(T116=1,0,IF(T116=2,0.08,IF(T116=3,0.12,IF(T116=4,0.16,0))))</f>
        <v>0</v>
      </c>
      <c r="BB116" s="478">
        <f>IF(U116=1,0,IF(U116=2,0.05,IF(U116=3,0.07,IF(U116=4,0.1,0))))</f>
        <v>0</v>
      </c>
      <c r="BD116" s="478">
        <f>IF(S116=1,0,IF(S116=2,0.08,IF(S116=3,0.12,IF(S116=4,0.16,0))))</f>
        <v>0</v>
      </c>
      <c r="BE116" s="478">
        <f>IF(T116=1,0,IF(T116=2,0.05,IF(T116=3,0.07,IF(T116=4,0.1,0))))</f>
        <v>0</v>
      </c>
      <c r="BG116" s="478">
        <f>IF(S116=1,0,IF(S116=2,0.05,IF(S116=3,0.07,IF(S116=4,0.1,0))))</f>
        <v>0</v>
      </c>
      <c r="BI116" s="478">
        <f>IF(AA116=0,0,IF(OR(AB115=1,AB116=1),AH116-AO116,IF(OR(AC115=1,AC116=1),AH116-AU116,IF(OR(AD115=1,AD116=1),AH116-AZ116,IF(OR(AE115=1,AE116=1),AH116-BD116,IF(OR(AF115=1,AF116=1),AH116-BG116,AH116))))))</f>
        <v>0</v>
      </c>
      <c r="BJ116" s="478">
        <f>IF(AB116=0,0,IF(OR(AC115=1,AC116=1),AI116-AP116,IF(OR(AD115=1,AD116=1),AI116-AV116,IF(OR(AE115=1,AE116=1),AI116-BA116,IF(OR(AF115=1,AF116=1),AI116-BE116,AI116)))))</f>
        <v>0</v>
      </c>
      <c r="BK116" s="478">
        <f>IF(AC116=0,0,IF(OR(AD115=1,AD116=1),AJ116-AQ116,IF(OR(AE115=1,AE116=1),AJ116-AW116,IF(OR(AF115=1,AF116=1),AJ116-BB116,AJ116))))</f>
        <v>0</v>
      </c>
      <c r="BL116" s="478">
        <f>IF(AD116=0,0,IF(OR(AE115=1,AE116=1),AK116-AR116,IF(OR(AF115=1,AF116=1),AK116-AX116,AK116)))</f>
        <v>0</v>
      </c>
      <c r="BM116" s="478">
        <f>IF(AE116=0,0,IF(OR(AF115=1,AF116=1),AL116-AS116,AL116))</f>
        <v>0</v>
      </c>
      <c r="BN116" s="478">
        <f>IF(AF116=0,0,AM116)</f>
        <v>0</v>
      </c>
      <c r="BP116" s="484">
        <f>LARGE((BI115,BJ115,BK115,BL115,BM115,BN115,BI116,BJ116,BK116,BL116,BM116,BN116,BI117,BJ117,BK117,BL117,BM117,BN117),1)</f>
        <v>0</v>
      </c>
      <c r="BQ116" s="485">
        <f>LARGE((BI115,BJ115,BK115,BL115,BM115,BN115,BI116,BJ116,BK116,BL116,BM116,BN116,BI117,BJ117,BK117,BL117,BM117,BN117),2)</f>
        <v>0</v>
      </c>
      <c r="BR116" s="485">
        <f>LARGE((BI115,BJ115,BK115,BL115,BM115,BN115,BI116,BJ116,BK116,BL116,BM116,BN116,BI117,BJ117,BK117,BL117,BM117,BN117),3)</f>
        <v>0</v>
      </c>
      <c r="BS116" s="485">
        <f>LARGE((BI115,BJ115,BK115,BL115,BM115,BN115,BI116,BJ116,BK116,BL116,BM116,BN116,BI117,BJ117,BK117,BL117,BM117,BN117),4)</f>
        <v>0</v>
      </c>
      <c r="BT116" s="485">
        <f>LARGE((BI115,BJ115,BK115,BL115,BM115,BN115,BI116,BJ116,BK116,BL116,BM116,BN116,BI117,BJ117,BK117,BL117,BM117,BN117),5)</f>
        <v>0</v>
      </c>
      <c r="BU116" s="485">
        <f>LARGE((BI115,BJ115,BK115,BL115,BM115,BN115,BI116,BJ116,BK116,BL116,BM116,BN116,BI117,BJ117,BK117,BL117,BM117,BN117),6)</f>
        <v>0</v>
      </c>
      <c r="BV116" s="485">
        <f>LARGE((BI115,BJ115,BK115,BL115,BM115,BN115,BI116,BJ116,BK116,BL116,BM116,BN116,BI117,BJ117,BK117,BL117,BM117,BN117),7)</f>
        <v>0</v>
      </c>
      <c r="BW116" s="485">
        <f>LARGE((BI115,BJ115,BK115,BL115,BM115,BN115,BI116,BJ116,BK116,BL116,BM116,BN116,BI117,BJ117,BK117,BL117,BM117,BN117),8)</f>
        <v>0</v>
      </c>
      <c r="BX116" s="485">
        <f>LARGE((BI115,BJ115,BK115,BL115,BM115,BN115,BI116,BJ116,BK116,BL116,BM116,BN116,BI117,BJ117,BK117,BL117,BM117,BN117),9)</f>
        <v>0</v>
      </c>
      <c r="BY116" s="485">
        <f>LARGE((BI115,BJ115,BK115,BL115,BM115,BN115,BI116,BJ116,BK116,BL116,BM116,BN116,BI117,BJ117,BK117,BL117,BM117,BN117),10)</f>
        <v>0</v>
      </c>
      <c r="BZ116" s="485">
        <f>LARGE((BI115,BJ115,BK115,BL115,BM115,BN115,BI116,BJ116,BK116,BL116,BM116,BN116,BI117,BJ117,BK117,BL117,BM117,BN117),11)</f>
        <v>0</v>
      </c>
      <c r="CA116" s="485">
        <f>LARGE((BI115,BJ115,BK115,BL115,BM115,BN115,BI116,BJ116,BK116,BL116,BM116,BN116,BI117,BJ117,BK117,BL117,BM117,BN117),12)</f>
        <v>0</v>
      </c>
    </row>
    <row r="117" spans="2:79" customFormat="1" ht="15" customHeight="1" x14ac:dyDescent="0.2">
      <c r="B117" s="482" t="s">
        <v>1580</v>
      </c>
      <c r="C117" s="925"/>
      <c r="D117" s="925"/>
      <c r="E117" s="925"/>
      <c r="F117" s="925"/>
      <c r="G117" s="925"/>
      <c r="H117" s="925"/>
      <c r="I117" s="925"/>
      <c r="J117" s="925"/>
      <c r="K117" s="925"/>
      <c r="L117" s="925"/>
      <c r="M117" s="925"/>
      <c r="N117" s="925"/>
      <c r="P117" s="495"/>
      <c r="S117" s="301">
        <f>IF(C117="",0,C117)</f>
        <v>0</v>
      </c>
      <c r="T117" s="301">
        <f>IF(E117&lt;&gt;C117,E117,IF(AND(E116&lt;&gt;C116,S115&gt;1),S115,0))</f>
        <v>0</v>
      </c>
      <c r="U117" s="301">
        <f>IF(G117&lt;&gt;E117,G117,IF(AND(G116&lt;&gt;E116,T115&gt;1),T115,0))</f>
        <v>0</v>
      </c>
      <c r="V117" s="301">
        <f>IF(I117&lt;&gt;G117,I117,IF(AND(I116&lt;&gt;G116,U115&gt;1),U115,0))</f>
        <v>0</v>
      </c>
      <c r="W117" s="301">
        <f>IF(K117&lt;&gt;I117,K117,IF(AND(K116&lt;&gt;I116,V115&gt;1),V115,0))</f>
        <v>0</v>
      </c>
      <c r="X117" s="301">
        <f>IF(M117&lt;&gt;K117,M117,IF(AND(M116&lt;&gt;K116,W115&gt;1),W115,0))</f>
        <v>0</v>
      </c>
      <c r="AA117" s="483">
        <f>IF(C117&gt;1,1,0)</f>
        <v>0</v>
      </c>
      <c r="AB117" s="301">
        <f t="shared" si="15"/>
        <v>0</v>
      </c>
      <c r="AC117" s="301">
        <f t="shared" si="15"/>
        <v>0</v>
      </c>
      <c r="AD117" s="301">
        <f t="shared" si="15"/>
        <v>0</v>
      </c>
      <c r="AE117" s="301">
        <f t="shared" si="15"/>
        <v>0</v>
      </c>
      <c r="AF117" s="301">
        <f t="shared" si="15"/>
        <v>0</v>
      </c>
      <c r="AH117" s="478">
        <f>IF(S117=1,0,IF(S117=2,0.1,IF(S117=3,0.17,IF(S117=4,0.23,0))))</f>
        <v>0</v>
      </c>
      <c r="AI117" s="478">
        <f>IF(T117=1,0,IF(T117=2,0.09,IF(T117=3,0.15,IF(T117=4,0.2,0))))</f>
        <v>0</v>
      </c>
      <c r="AJ117" s="478">
        <f>IF(U117=1,0,IF(U117=2,0.08,IF(U117=3,0.13,IF(U117=4,0.17,0))))</f>
        <v>0</v>
      </c>
      <c r="AK117" s="478">
        <f>IF(V117=1,0,IF(V117=2,0.07,IF(V117=3,0.1,IF(V117=4,0.14,0))))</f>
        <v>0</v>
      </c>
      <c r="AL117" s="478">
        <f>IF(W117=1,0,IF(W117=2,0.05,IF(W117=3,0.08,IF(W117=4,0.1,0))))</f>
        <v>0</v>
      </c>
      <c r="AM117" s="478">
        <f>IF(X117=1,0,IF(X117=2,0.03,IF(X117=3,0.05,IF(X117=4,0.06,0))))</f>
        <v>0</v>
      </c>
      <c r="AN117" s="479"/>
      <c r="AO117" s="478">
        <f>IF(S117=1,0,IF(S117=2,0.09,IF(S117=3,0.15,IF(S117=4,0.2,0))))</f>
        <v>0</v>
      </c>
      <c r="AP117" s="478">
        <f>IF(T117=1,0,IF(T117=2,0.08,IF(T117=3,0.13,IF(T117=4,0.17,0))))</f>
        <v>0</v>
      </c>
      <c r="AQ117" s="478">
        <f>IF(U117=1,0,IF(U117=2,0.07,IF(U117=3,0.1,IF(U117=4,0.14,0))))</f>
        <v>0</v>
      </c>
      <c r="AR117" s="478">
        <f>IF(V117=1,0,IF(V117=2,0.05,IF(V117=3,0.08,IF(V117=4,0.1,0))))</f>
        <v>0</v>
      </c>
      <c r="AS117" s="478">
        <f>IF(W117=1,0,IF(W117=2,0.03,IF(W117=3,0.05,IF(W117=4,0.06,0))))</f>
        <v>0</v>
      </c>
      <c r="AU117" s="478">
        <f>IF(S117=1,0,IF(S117=2,0.08,IF(S117=3,0.13,IF(S117=4,0.17,0))))</f>
        <v>0</v>
      </c>
      <c r="AV117" s="478">
        <f>IF(T117=1,0,IF(T117=2,0.07,IF(T117=3,0.1,IF(T117=4,0.14,0))))</f>
        <v>0</v>
      </c>
      <c r="AW117" s="478">
        <f>IF(U117=1,0,IF(U117=2,0.05,IF(U117=3,0.08,IF(U117=4,0.1,0))))</f>
        <v>0</v>
      </c>
      <c r="AX117" s="478">
        <f>IF(V117=1,0,IF(V117=2,0.03,IF(V117=3,0.05,IF(V117=4,0.06,0))))</f>
        <v>0</v>
      </c>
      <c r="AZ117" s="478">
        <f>IF(S117=1,0,IF(S117=2,0.07,IF(S117=3,0.1,IF(S117=4,0.14,0))))</f>
        <v>0</v>
      </c>
      <c r="BA117" s="478">
        <f>IF(T117=1,0,IF(T117=2,0.05,IF(T117=3,0.08,IF(T117=4,0.1,0))))</f>
        <v>0</v>
      </c>
      <c r="BB117" s="478">
        <f>IF(U117=1,0,IF(U117=2,0.03,IF(U117=3,0.05,IF(U117=4,0.06,0))))</f>
        <v>0</v>
      </c>
      <c r="BD117" s="478">
        <f>IF(S117=1,0,IF(S117=2,0.05,IF(S117=3,0.08,IF(S117=4,0.1,0))))</f>
        <v>0</v>
      </c>
      <c r="BE117" s="478">
        <f>IF(T117=1,0,IF(T117=2,0.03,IF(T117=3,0.05,IF(T117=4,0.06,0))))</f>
        <v>0</v>
      </c>
      <c r="BG117" s="478">
        <f>IF(S117=1,0,IF(S117=2,0.03,IF(S117=3,0.05,IF(S117=4,0.06,0))))</f>
        <v>0</v>
      </c>
      <c r="BI117" s="478">
        <f>IF(AA117=0,0,IF(OR(AB115=1,AB117=1),AH117-AO117,IF(OR(AC115=1,AC117=1),AH117-AU117,IF(OR(AD115=1,AD117=1),AH117-AZ117,IF(OR(AE115=1,AE117=1),AH117-BD117,IF(OR(AF115=1,AF117=1),AH117-BG117,AH117))))))</f>
        <v>0</v>
      </c>
      <c r="BJ117" s="478">
        <f>IF(AB117=0,0,IF(OR(AC115=1,AC117=1),AI117-AP117,IF(OR(AD115=1,AD117=1),AI117-AV117,IF(OR(AE115=1,AE117=1),AI117-BA117,IF(OR(AF115=1,AF117=1),AI117-BE117,AI117)))))</f>
        <v>0</v>
      </c>
      <c r="BK117" s="478">
        <f>IF(AC117=0,0,IF(OR(AD115=1,AD117=1),AJ117-AQ117,IF(OR(AE115=1,AE117=1),AJ117-AW117,IF(OR(AF115=1,AF117=1),AJ117-BB117,AJ117))))</f>
        <v>0</v>
      </c>
      <c r="BL117" s="478">
        <f>IF(AD117=0,0,IF(OR(AE115=1,AE117=1),AK117-AR117,IF(OR(AF115=1,AF117=1),AK117-AX117,AK117)))</f>
        <v>0</v>
      </c>
      <c r="BM117" s="478">
        <f>IF(AE117=0,0,IF(OR(AF115=1,AF117=1),AL117-AS117,AL117))</f>
        <v>0</v>
      </c>
      <c r="BN117" s="478">
        <f>IF(AF117=0,0,AM117)</f>
        <v>0</v>
      </c>
      <c r="BP117" s="486">
        <f>ROUND(BP116+BQ116*(1-BP116),2)</f>
        <v>0</v>
      </c>
      <c r="BQ117" s="486">
        <f t="shared" ref="BQ117:BZ117" si="16">ROUND(BP117+BR116*(1-BP117),2)</f>
        <v>0</v>
      </c>
      <c r="BR117" s="486">
        <f t="shared" si="16"/>
        <v>0</v>
      </c>
      <c r="BS117" s="486">
        <f t="shared" si="16"/>
        <v>0</v>
      </c>
      <c r="BT117" s="486">
        <f t="shared" si="16"/>
        <v>0</v>
      </c>
      <c r="BU117" s="486">
        <f t="shared" si="16"/>
        <v>0</v>
      </c>
      <c r="BV117" s="486">
        <f t="shared" si="16"/>
        <v>0</v>
      </c>
      <c r="BW117" s="486">
        <f t="shared" si="16"/>
        <v>0</v>
      </c>
      <c r="BX117" s="486">
        <f t="shared" si="16"/>
        <v>0</v>
      </c>
      <c r="BY117" s="486">
        <f t="shared" si="16"/>
        <v>0</v>
      </c>
      <c r="BZ117" s="486">
        <f t="shared" si="16"/>
        <v>0</v>
      </c>
      <c r="CA117" s="483"/>
    </row>
    <row r="118" spans="2:79" customFormat="1" ht="15" customHeight="1" x14ac:dyDescent="0.2">
      <c r="B118" s="926" t="str">
        <f>IF(AD118=1,"ERROR: If radial or ulnar impairment is recorded, do not enter losses for 'both sides.'","")</f>
        <v/>
      </c>
      <c r="C118" s="927"/>
      <c r="D118" s="927"/>
      <c r="E118" s="927"/>
      <c r="F118" s="927"/>
      <c r="G118" s="927"/>
      <c r="H118" s="927"/>
      <c r="I118" s="927"/>
      <c r="J118" s="927"/>
      <c r="K118" s="927"/>
      <c r="L118" s="927"/>
      <c r="M118" s="927"/>
      <c r="N118" s="927"/>
      <c r="O118" s="928"/>
      <c r="P118" s="245">
        <f>IF(B118&lt;&gt;"","ERROR",BZ117)</f>
        <v>0</v>
      </c>
      <c r="S118" s="475"/>
      <c r="T118" s="475"/>
      <c r="U118" s="475"/>
      <c r="V118" s="475"/>
      <c r="W118" s="475"/>
      <c r="AA118" s="301">
        <f>SUM(AA115:AF115)</f>
        <v>0</v>
      </c>
      <c r="AB118" s="301">
        <f>SUM(AA116:AF116)</f>
        <v>0</v>
      </c>
      <c r="AC118" s="301">
        <f>SUM(AA117:AF117)</f>
        <v>0</v>
      </c>
      <c r="AD118" s="301">
        <f>IF(AND(AA118&gt;0,AB118&gt;0),1,IF(AND(AA118&gt;0,AC118&gt;0),1,0))</f>
        <v>0</v>
      </c>
      <c r="AE118" s="475"/>
      <c r="AF118" s="475"/>
    </row>
    <row r="119" spans="2:79" customFormat="1" ht="15" customHeight="1" x14ac:dyDescent="0.2">
      <c r="B119" s="350" t="s">
        <v>1208</v>
      </c>
      <c r="C119" s="474"/>
      <c r="D119" s="474"/>
      <c r="E119" s="474"/>
      <c r="F119" s="474"/>
      <c r="G119" s="474"/>
      <c r="H119" s="474"/>
      <c r="I119" s="474"/>
      <c r="J119" s="474"/>
      <c r="K119" s="474"/>
      <c r="L119" s="474"/>
      <c r="M119" s="474"/>
      <c r="N119" s="474"/>
      <c r="O119" s="491"/>
      <c r="P119" s="492"/>
      <c r="S119" s="475"/>
      <c r="T119" s="475"/>
      <c r="U119" s="475"/>
      <c r="V119" s="475"/>
      <c r="W119" s="475"/>
      <c r="AA119" s="475"/>
      <c r="AB119" s="475"/>
      <c r="AC119" s="475"/>
      <c r="AD119" s="475"/>
      <c r="AE119" s="475"/>
      <c r="AF119" s="475"/>
    </row>
    <row r="120" spans="2:79" customFormat="1" ht="15" customHeight="1" x14ac:dyDescent="0.2">
      <c r="B120" s="146" t="s">
        <v>1574</v>
      </c>
      <c r="C120" s="925"/>
      <c r="D120" s="925"/>
      <c r="E120" s="925"/>
      <c r="F120" s="925"/>
      <c r="G120" s="925"/>
      <c r="H120" s="925"/>
      <c r="I120" s="925"/>
      <c r="J120" s="925"/>
      <c r="K120" s="925"/>
      <c r="L120" s="925"/>
      <c r="M120" s="925"/>
      <c r="N120" s="925"/>
      <c r="P120" s="489"/>
      <c r="S120" s="301">
        <f>IF(C120="",0,C120)</f>
        <v>0</v>
      </c>
      <c r="T120" s="301">
        <f>IF(AND(E120&lt;&gt;C120,E120&lt;&gt;""),E120,IF(OR(E121&lt;&gt;"",E122&lt;&gt;""),0,S120))</f>
        <v>0</v>
      </c>
      <c r="U120" s="301">
        <f>IF(AND(G120&lt;&gt;E120,G120&lt;&gt;""),G120,IF(OR(G121&lt;&gt;"",G122&lt;&gt;""),0,T120))</f>
        <v>0</v>
      </c>
      <c r="V120" s="301">
        <f>IF(AND(I120&lt;&gt;G120,I120&lt;&gt;""),I120,IF(OR(I121&lt;&gt;"",I122&lt;&gt;""),0,U120))</f>
        <v>0</v>
      </c>
      <c r="W120" s="301">
        <f>IF(AND(K120&lt;&gt;I120,K120&lt;&gt;""),K120,IF(OR(K121&lt;&gt;"",K122&lt;&gt;""),0,V120))</f>
        <v>0</v>
      </c>
      <c r="X120" s="301">
        <f>IF(AND(M120&lt;&gt;K120,M120&lt;&gt;""),M120,IF(OR(M121&lt;&gt;"",M122&lt;&gt;""),0,W120))</f>
        <v>0</v>
      </c>
      <c r="Z120" s="475"/>
      <c r="AA120" s="483">
        <f>IF(C120&gt;1,1,0)</f>
        <v>0</v>
      </c>
      <c r="AB120" s="301">
        <f t="shared" ref="AB120:AF122" si="17">IF(AND(S120&lt;&gt;T120,T120&gt;0),1,0)</f>
        <v>0</v>
      </c>
      <c r="AC120" s="301">
        <f t="shared" si="17"/>
        <v>0</v>
      </c>
      <c r="AD120" s="301">
        <f t="shared" si="17"/>
        <v>0</v>
      </c>
      <c r="AE120" s="301">
        <f t="shared" si="17"/>
        <v>0</v>
      </c>
      <c r="AF120" s="301">
        <f t="shared" si="17"/>
        <v>0</v>
      </c>
      <c r="AH120" s="478">
        <f>IF(S120=1,0,IF(S120=2,0.25,IF(S120=3,0.38,IF(S120=4,0.5,0))))</f>
        <v>0</v>
      </c>
      <c r="AI120" s="478">
        <f>IF(T120=1,0,IF(T120=2,0.23,IF(T120=3,0.35,IF(T120=4,0.45,0))))</f>
        <v>0</v>
      </c>
      <c r="AJ120" s="478">
        <f>IF(U120=1,0,IF(U120=2,0.2,IF(U120=3,0.3,IF(U120=4,0.39,0))))</f>
        <v>0</v>
      </c>
      <c r="AK120" s="478">
        <f>IF(V120=1,0,IF(V120=2,0.17,IF(V120=3,0.25,IF(V120=4,0.33,0))))</f>
        <v>0</v>
      </c>
      <c r="AL120" s="478">
        <f>IF(W120=1,0,IF(W120=2,0.13,IF(W120=3,0.19,IF(W120=4,0.24,0))))</f>
        <v>0</v>
      </c>
      <c r="AM120" s="478">
        <f>IF(X120=1,0,IF(X120=2,0.08,IF(X120=3,0.12,IF(X120=4,0.15,0))))</f>
        <v>0</v>
      </c>
      <c r="AN120" s="479"/>
      <c r="AO120" s="478">
        <f>IF(S120=1,0,IF(S120=2,0.23,IF(S120=3,0.35,IF(S120=4,0.45,0))))</f>
        <v>0</v>
      </c>
      <c r="AP120" s="478">
        <f>IF(T120=1,0,IF(T120=2,0.2,IF(T120=3,0.3,IF(T120=4,0.39,0))))</f>
        <v>0</v>
      </c>
      <c r="AQ120" s="478">
        <f>IF(U120=1,0,IF(U120=2,0.17,IF(U120=3,0.25,IF(U120=4,0.33,0))))</f>
        <v>0</v>
      </c>
      <c r="AR120" s="478">
        <f>IF(V120=1,0,IF(V120=2,0.13,IF(V120=3,0.19,IF(V120=4,0.24,0))))</f>
        <v>0</v>
      </c>
      <c r="AS120" s="478">
        <f>IF(W120=1,0,IF(W120=2,0.08,IF(W120=3,0.12,IF(W120=4,0.15,0))))</f>
        <v>0</v>
      </c>
      <c r="AU120" s="478">
        <f>IF(S120=1,0,IF(S120=2,0.2,IF(S120=3,0.3,IF(S120=4,0.39,0))))</f>
        <v>0</v>
      </c>
      <c r="AV120" s="478">
        <f>IF(T120=1,0,IF(T120=2,0.17,IF(T120=3,0.25,IF(T120=4,0.33,0))))</f>
        <v>0</v>
      </c>
      <c r="AW120" s="478">
        <f>IF(U120=1,0,IF(U120=2,0.13,IF(U120=3,0.19,IF(U120=4,0.24,0))))</f>
        <v>0</v>
      </c>
      <c r="AX120" s="478">
        <f>IF(V120=1,0,IF(V120=2,0.08,IF(V120=3,0.12,IF(V120=4,0.15,0))))</f>
        <v>0</v>
      </c>
      <c r="AZ120" s="478">
        <f>IF(S120=1,0,IF(S120=2,0.17,IF(S120=3,0.25,IF(S120=4,0.33,0))))</f>
        <v>0</v>
      </c>
      <c r="BA120" s="478">
        <f>IF(T120=1,0,IF(T120=2,0.13,IF(T120=3,0.19,IF(T120=4,0.24,0))))</f>
        <v>0</v>
      </c>
      <c r="BB120" s="478">
        <f>IF(U120=1,0,IF(U120=2,0.08,IF(U120=3,0.12,IF(U120=4,0.15,0))))</f>
        <v>0</v>
      </c>
      <c r="BD120" s="478">
        <f>IF(S120=1,0,IF(S120=2,0.13,IF(S120=3,0.19,IF(S120=4,0.24,0))))</f>
        <v>0</v>
      </c>
      <c r="BE120" s="478">
        <f>IF(T120=1,0,IF(T120=2,0.08,IF(T120=3,0.12,IF(T120=4,0.15,0))))</f>
        <v>0</v>
      </c>
      <c r="BG120" s="478">
        <f>IF(S120=1,0,IF(S120=2,0.08,IF(S120=3,0.12,IF(S120=4,0.15,0))))</f>
        <v>0</v>
      </c>
      <c r="BI120" s="478">
        <f>IF(AA120=0,0,IF(OR(AB120=1,AB121=1,AB122=1),AH120-AO120,IF(OR(AC120=1,AC121=1,AC122=1),AH120-AU120,IF(OR(AD120=1,AD121=1,AD122=1),AH120-AZ120,IF(OR(AE120=1,AE121=1,AE122=1),AH120-BD120,IF(OR(AF120=1,AF121=1,AF122=1),AH120-BG120,AH120))))))</f>
        <v>0</v>
      </c>
      <c r="BJ120" s="478">
        <f>IF(AB120=0,0,IF(OR(AC120=1,AC121=1,AC122=1),AI120-AP120,IF(OR(AD120=1,AD121=1,AD122=1),AI120-AV120,IF(OR(AE120=1,AE121=1,AE122=1),AI120-BA120,IF(OR(AF120=1,AF121=1,AF122=1),AI120-BE120,AI120)))))</f>
        <v>0</v>
      </c>
      <c r="BK120" s="478">
        <f>IF(AC120=0,0,IF(OR(AD120=1,AD121=1,AD122=1),AJ120-AQ120,IF(OR(AE120=1,AE121=1,AE122=1),AJ120-AW120,IF(OR(AF120=1,AF121=1,AF122=1),AJ120-BB120,AJ120))))</f>
        <v>0</v>
      </c>
      <c r="BL120" s="478">
        <f>IF(AD120=0,0,IF(OR(AE120=1,AE121=1,AE122=1),AK120-AR120,IF(OR(AF120=1,AF121=1,AF122=1),AK120-AX120,AK120)))</f>
        <v>0</v>
      </c>
      <c r="BM120" s="478">
        <f>IF(AE120=0,0,IF(OR(AF120=1,AF121=1,AF122=1),AL120-AS120,AL120))</f>
        <v>0</v>
      </c>
      <c r="BN120" s="478">
        <f>IF(AF120=0,0,AM120)</f>
        <v>0</v>
      </c>
      <c r="BP120" t="s">
        <v>253</v>
      </c>
    </row>
    <row r="121" spans="2:79" customFormat="1" ht="15" customHeight="1" x14ac:dyDescent="0.2">
      <c r="B121" s="301" t="s">
        <v>1577</v>
      </c>
      <c r="C121" s="925"/>
      <c r="D121" s="925"/>
      <c r="E121" s="925"/>
      <c r="F121" s="925"/>
      <c r="G121" s="925"/>
      <c r="H121" s="925"/>
      <c r="I121" s="925"/>
      <c r="J121" s="925"/>
      <c r="K121" s="925"/>
      <c r="L121" s="925"/>
      <c r="M121" s="925"/>
      <c r="N121" s="925"/>
      <c r="P121" s="495"/>
      <c r="S121" s="301">
        <f>IF(C121="",0,C121)</f>
        <v>0</v>
      </c>
      <c r="T121" s="301">
        <f>IF(E121&lt;&gt;C121,E121,IF(AND(E122&lt;&gt;C122,S120&gt;1),S120,0))</f>
        <v>0</v>
      </c>
      <c r="U121" s="301">
        <f>IF(G121&lt;&gt;E121,G121,IF(AND(G122&lt;&gt;E122,T120&gt;1),T120,0))</f>
        <v>0</v>
      </c>
      <c r="V121" s="301">
        <f>IF(I121&lt;&gt;G121,I121,IF(AND(I122&lt;&gt;G122,U120&gt;1),U120,0))</f>
        <v>0</v>
      </c>
      <c r="W121" s="301">
        <f>IF(K121&lt;&gt;I121,K121,IF(AND(K122&lt;&gt;I122,V120&gt;1),V120,0))</f>
        <v>0</v>
      </c>
      <c r="X121" s="301">
        <f>IF(M121&lt;&gt;K121,M121,IF(AND(M122&lt;&gt;K122,W120&gt;1),W120,0))</f>
        <v>0</v>
      </c>
      <c r="Z121" s="475"/>
      <c r="AA121" s="483">
        <f>IF(C121&gt;1,1,0)</f>
        <v>0</v>
      </c>
      <c r="AB121" s="301">
        <f t="shared" si="17"/>
        <v>0</v>
      </c>
      <c r="AC121" s="301">
        <f t="shared" si="17"/>
        <v>0</v>
      </c>
      <c r="AD121" s="301">
        <f t="shared" si="17"/>
        <v>0</v>
      </c>
      <c r="AE121" s="301">
        <f t="shared" si="17"/>
        <v>0</v>
      </c>
      <c r="AF121" s="301">
        <f t="shared" si="17"/>
        <v>0</v>
      </c>
      <c r="AH121" s="478">
        <f>IF(S121=1,0,IF(S121=2,0.17,IF(S121=3,0.25,IF(S121=4,0.35,0))))</f>
        <v>0</v>
      </c>
      <c r="AI121" s="478">
        <f>IF(T121=1,0,IF(T121=2,0.15,IF(T121=3,0.23,IF(T121=4,0.31,0))))</f>
        <v>0</v>
      </c>
      <c r="AJ121" s="478">
        <f>IF(U121=1,0,IF(U121=2,0.13,IF(U121=3,0.2,IF(U121=4,0.27,0))))</f>
        <v>0</v>
      </c>
      <c r="AK121" s="478">
        <f>IF(V121=1,0,IF(V121=2,0.11,IF(V121=3,0.17,IF(V121=4,0.22,0))))</f>
        <v>0</v>
      </c>
      <c r="AL121" s="478">
        <f>IF(W121=1,0,IF(W121=2,0.08,IF(W121=3,0.12,IF(W121=4,0.16,0))))</f>
        <v>0</v>
      </c>
      <c r="AM121" s="478">
        <f>IF(X121=1,0,IF(X121=2,0.05,IF(X121=3,0.07,IF(X121=4,0.1,0))))</f>
        <v>0</v>
      </c>
      <c r="AN121" s="479"/>
      <c r="AO121" s="478">
        <f>IF(S121=1,0,IF(S121=2,0.15,IF(S121=3,0.23,IF(S121=4,0.31,0))))</f>
        <v>0</v>
      </c>
      <c r="AP121" s="478">
        <f>IF(T121=1,0,IF(T121=2,0.13,IF(T121=3,0.2,IF(T121=4,0.27,0))))</f>
        <v>0</v>
      </c>
      <c r="AQ121" s="478">
        <f>IF(U121=1,0,IF(U121=2,0.11,IF(U121=3,0.17,IF(U121=4,0.22,0))))</f>
        <v>0</v>
      </c>
      <c r="AR121" s="478">
        <f>IF(V121=1,0,IF(V121=2,0.08,IF(V121=3,0.12,IF(V121=4,0.16,0))))</f>
        <v>0</v>
      </c>
      <c r="AS121" s="478">
        <f>IF(W121=1,0,IF(W121=2,0.05,IF(W121=3,0.07,IF(W121=4,0.1,0))))</f>
        <v>0</v>
      </c>
      <c r="AU121" s="478">
        <f>IF(S121=1,0,IF(S121=2,0.13,IF(S121=3,0.2,IF(S121=4,0.27,0))))</f>
        <v>0</v>
      </c>
      <c r="AV121" s="478">
        <f>IF(T121=1,0,IF(T121=2,0.11,IF(T121=3,0.17,IF(T121=4,0.22,0))))</f>
        <v>0</v>
      </c>
      <c r="AW121" s="478">
        <f>IF(U121=1,0,IF(U121=2,0.08,IF(U121=3,0.12,IF(U121=4,0.16,0))))</f>
        <v>0</v>
      </c>
      <c r="AX121" s="478">
        <f>IF(V121=1,0,IF(V121=2,0.05,IF(V121=3,0.07,IF(V121=4,0.1,0))))</f>
        <v>0</v>
      </c>
      <c r="AZ121" s="478">
        <f>IF(S121=1,0,IF(S121=2,0.11,IF(S121=3,0.17,IF(S121=4,0.22,0))))</f>
        <v>0</v>
      </c>
      <c r="BA121" s="478">
        <f>IF(T121=1,0,IF(T121=2,0.08,IF(T121=3,0.12,IF(T121=4,0.16,0))))</f>
        <v>0</v>
      </c>
      <c r="BB121" s="478">
        <f>IF(U121=1,0,IF(U121=2,0.05,IF(U121=3,0.07,IF(U121=4,0.1,0))))</f>
        <v>0</v>
      </c>
      <c r="BD121" s="478">
        <f>IF(S121=1,0,IF(S121=2,0.08,IF(S121=3,0.12,IF(S121=4,0.16,0))))</f>
        <v>0</v>
      </c>
      <c r="BE121" s="478">
        <f>IF(T121=1,0,IF(T121=2,0.05,IF(T121=3,0.07,IF(T121=4,0.1,0))))</f>
        <v>0</v>
      </c>
      <c r="BG121" s="478">
        <f>IF(S121=1,0,IF(S121=2,0.05,IF(S121=3,0.07,IF(S121=4,0.1,0))))</f>
        <v>0</v>
      </c>
      <c r="BI121" s="478">
        <f>IF(AA121=0,0,IF(OR(AB120=1,AB121=1),AH121-AO121,IF(OR(AC120=1,AC121=1),AH121-AU121,IF(OR(AD120=1,AD121=1),AH121-AZ121,IF(OR(AE120=1,AE121=1),AH121-BD121,IF(OR(AF120=1,AF121=1),AH121-BG121,AH121))))))</f>
        <v>0</v>
      </c>
      <c r="BJ121" s="478">
        <f>IF(AB121=0,0,IF(OR(AC120=1,AC121=1),AI121-AP121,IF(OR(AD120=1,AD121=1),AI121-AV121,IF(OR(AE120=1,AE121=1),AI121-BA121,IF(OR(AF120=1,AF121=1),AI121-BE121,AI121)))))</f>
        <v>0</v>
      </c>
      <c r="BK121" s="478">
        <f>IF(AC121=0,0,IF(OR(AD120=1,AD121=1),AJ121-AQ121,IF(OR(AE120=1,AE121=1),AJ121-AW121,IF(OR(AF120=1,AF121=1),AJ121-BB121,AJ121))))</f>
        <v>0</v>
      </c>
      <c r="BL121" s="478">
        <f>IF(AD121=0,0,IF(OR(AE120=1,AE121=1),AK121-AR121,IF(OR(AF120=1,AF121=1),AK121-AX121,AK121)))</f>
        <v>0</v>
      </c>
      <c r="BM121" s="478">
        <f>IF(AE121=0,0,IF(OR(AF120=1,AF121=1),AL121-AS121,AL121))</f>
        <v>0</v>
      </c>
      <c r="BN121" s="478">
        <f>IF(AF121=0,0,AM121)</f>
        <v>0</v>
      </c>
      <c r="BP121" s="484">
        <f>LARGE((BI120,BJ120,BK120,BL120,BM120,BN120,BI121,BJ121,BK121,BL121,BM121,BN121,BI122,BJ122,BK122,BL122,BM122,BN122),1)</f>
        <v>0</v>
      </c>
      <c r="BQ121" s="485">
        <f>LARGE((BI120,BJ120,BK120,BL120,BM120,BN120,BI121,BJ121,BK121,BL121,BM121,BN121,BI122,BJ122,BK122,BL122,BM122,BN122),2)</f>
        <v>0</v>
      </c>
      <c r="BR121" s="485">
        <f>LARGE((BI120,BJ120,BK120,BL120,BM120,BN120,BI121,BJ121,BK121,BL121,BM121,BN121,BI122,BJ122,BK122,BL122,BM122,BN122),3)</f>
        <v>0</v>
      </c>
      <c r="BS121" s="485">
        <f>LARGE((BI120,BJ120,BK120,BL120,BM120,BN120,BI121,BJ121,BK121,BL121,BM121,BN121,BI122,BJ122,BK122,BL122,BM122,BN122),4)</f>
        <v>0</v>
      </c>
      <c r="BT121" s="485">
        <f>LARGE((BI120,BJ120,BK120,BL120,BM120,BN120,BI121,BJ121,BK121,BL121,BM121,BN121,BI122,BJ122,BK122,BL122,BM122,BN122),5)</f>
        <v>0</v>
      </c>
      <c r="BU121" s="485">
        <f>LARGE((BI120,BJ120,BK120,BL120,BM120,BN120,BI121,BJ121,BK121,BL121,BM121,BN121,BI122,BJ122,BK122,BL122,BM122,BN122),6)</f>
        <v>0</v>
      </c>
      <c r="BV121" s="485">
        <f>LARGE((BI120,BJ120,BK120,BL120,BM120,BN120,BI121,BJ121,BK121,BL121,BM121,BN121,BI122,BJ122,BK122,BL122,BM122,BN122),7)</f>
        <v>0</v>
      </c>
      <c r="BW121" s="485">
        <f>LARGE((BI120,BJ120,BK120,BL120,BM120,BN120,BI121,BJ121,BK121,BL121,BM121,BN121,BI122,BJ122,BK122,BL122,BM122,BN122),8)</f>
        <v>0</v>
      </c>
      <c r="BX121" s="485">
        <f>LARGE((BI120,BJ120,BK120,BL120,BM120,BN120,BI121,BJ121,BK121,BL121,BM121,BN121,BI122,BJ122,BK122,BL122,BM122,BN122),9)</f>
        <v>0</v>
      </c>
      <c r="BY121" s="485">
        <f>LARGE((BI120,BJ120,BK120,BL120,BM120,BN120,BI121,BJ121,BK121,BL121,BM121,BN121,BI122,BJ122,BK122,BL122,BM122,BN122),10)</f>
        <v>0</v>
      </c>
      <c r="BZ121" s="485">
        <f>LARGE((BI120,BJ120,BK120,BL120,BM120,BN120,BI121,BJ121,BK121,BL121,BM121,BN121,BI122,BJ122,BK122,BL122,BM122,BN122),11)</f>
        <v>0</v>
      </c>
      <c r="CA121" s="485">
        <f>LARGE((BI120,BJ120,BK120,BL120,BM120,BN120,BI121,BJ121,BK121,BL121,BM121,BN121,BI122,BJ122,BK122,BL122,BM122,BN122),12)</f>
        <v>0</v>
      </c>
    </row>
    <row r="122" spans="2:79" customFormat="1" ht="15" customHeight="1" x14ac:dyDescent="0.2">
      <c r="B122" s="482" t="s">
        <v>1580</v>
      </c>
      <c r="C122" s="925"/>
      <c r="D122" s="925"/>
      <c r="E122" s="925"/>
      <c r="F122" s="925"/>
      <c r="G122" s="925"/>
      <c r="H122" s="925"/>
      <c r="I122" s="925"/>
      <c r="J122" s="925"/>
      <c r="K122" s="925"/>
      <c r="L122" s="925"/>
      <c r="M122" s="925"/>
      <c r="N122" s="925"/>
      <c r="P122" s="495"/>
      <c r="S122" s="301">
        <f>IF(C122="",0,C122)</f>
        <v>0</v>
      </c>
      <c r="T122" s="301">
        <f>IF(E122&lt;&gt;C122,E122,IF(AND(E121&lt;&gt;C121,S120&gt;1),S120,0))</f>
        <v>0</v>
      </c>
      <c r="U122" s="301">
        <f>IF(G122&lt;&gt;E122,G122,IF(AND(G121&lt;&gt;E121,T120&gt;1),T120,0))</f>
        <v>0</v>
      </c>
      <c r="V122" s="301">
        <f>IF(I122&lt;&gt;G122,I122,IF(AND(I121&lt;&gt;G121,U120&gt;1),U120,0))</f>
        <v>0</v>
      </c>
      <c r="W122" s="301">
        <f>IF(K122&lt;&gt;I122,K122,IF(AND(K121&lt;&gt;I121,V120&gt;1),V120,0))</f>
        <v>0</v>
      </c>
      <c r="X122" s="301">
        <f>IF(M122&lt;&gt;K122,M122,IF(AND(M121&lt;&gt;K121,W120&gt;1),W120,0))</f>
        <v>0</v>
      </c>
      <c r="AA122" s="483">
        <f>IF(C122&gt;1,1,0)</f>
        <v>0</v>
      </c>
      <c r="AB122" s="301">
        <f t="shared" si="17"/>
        <v>0</v>
      </c>
      <c r="AC122" s="301">
        <f t="shared" si="17"/>
        <v>0</v>
      </c>
      <c r="AD122" s="301">
        <f t="shared" si="17"/>
        <v>0</v>
      </c>
      <c r="AE122" s="301">
        <f t="shared" si="17"/>
        <v>0</v>
      </c>
      <c r="AF122" s="301">
        <f t="shared" si="17"/>
        <v>0</v>
      </c>
      <c r="AH122" s="478">
        <f>IF(S122=1,0,IF(S122=2,0.1,IF(S122=3,0.17,IF(S122=4,0.23,0))))</f>
        <v>0</v>
      </c>
      <c r="AI122" s="478">
        <f>IF(T122=1,0,IF(T122=2,0.09,IF(T122=3,0.15,IF(T122=4,0.2,0))))</f>
        <v>0</v>
      </c>
      <c r="AJ122" s="478">
        <f>IF(U122=1,0,IF(U122=2,0.08,IF(U122=3,0.13,IF(U122=4,0.17,0))))</f>
        <v>0</v>
      </c>
      <c r="AK122" s="478">
        <f>IF(V122=1,0,IF(V122=2,0.07,IF(V122=3,0.1,IF(V122=4,0.14,0))))</f>
        <v>0</v>
      </c>
      <c r="AL122" s="478">
        <f>IF(W122=1,0,IF(W122=2,0.05,IF(W122=3,0.08,IF(W122=4,0.1,0))))</f>
        <v>0</v>
      </c>
      <c r="AM122" s="478">
        <f>IF(X122=1,0,IF(X122=2,0.03,IF(X122=3,0.05,IF(X122=4,0.06,0))))</f>
        <v>0</v>
      </c>
      <c r="AN122" s="479"/>
      <c r="AO122" s="478">
        <f>IF(S122=1,0,IF(S122=2,0.09,IF(S122=3,0.15,IF(S122=4,0.2,0))))</f>
        <v>0</v>
      </c>
      <c r="AP122" s="478">
        <f>IF(T122=1,0,IF(T122=2,0.08,IF(T122=3,0.13,IF(T122=4,0.17,0))))</f>
        <v>0</v>
      </c>
      <c r="AQ122" s="478">
        <f>IF(U122=1,0,IF(U122=2,0.07,IF(U122=3,0.1,IF(U122=4,0.14,0))))</f>
        <v>0</v>
      </c>
      <c r="AR122" s="478">
        <f>IF(V122=1,0,IF(V122=2,0.05,IF(V122=3,0.08,IF(V122=4,0.1,0))))</f>
        <v>0</v>
      </c>
      <c r="AS122" s="478">
        <f>IF(W122=1,0,IF(W122=2,0.03,IF(W122=3,0.05,IF(W122=4,0.06,0))))</f>
        <v>0</v>
      </c>
      <c r="AU122" s="478">
        <f>IF(S122=1,0,IF(S122=2,0.08,IF(S122=3,0.13,IF(S122=4,0.17,0))))</f>
        <v>0</v>
      </c>
      <c r="AV122" s="478">
        <f>IF(T122=1,0,IF(T122=2,0.07,IF(T122=3,0.1,IF(T122=4,0.14,0))))</f>
        <v>0</v>
      </c>
      <c r="AW122" s="478">
        <f>IF(U122=1,0,IF(U122=2,0.05,IF(U122=3,0.08,IF(U122=4,0.1,0))))</f>
        <v>0</v>
      </c>
      <c r="AX122" s="478">
        <f>IF(V122=1,0,IF(V122=2,0.03,IF(V122=3,0.05,IF(V122=4,0.06,0))))</f>
        <v>0</v>
      </c>
      <c r="AZ122" s="478">
        <f>IF(S122=1,0,IF(S122=2,0.07,IF(S122=3,0.1,IF(S122=4,0.14,0))))</f>
        <v>0</v>
      </c>
      <c r="BA122" s="478">
        <f>IF(T122=1,0,IF(T122=2,0.05,IF(T122=3,0.08,IF(T122=4,0.1,0))))</f>
        <v>0</v>
      </c>
      <c r="BB122" s="478">
        <f>IF(U122=1,0,IF(U122=2,0.03,IF(U122=3,0.05,IF(U122=4,0.06,0))))</f>
        <v>0</v>
      </c>
      <c r="BD122" s="478">
        <f>IF(S122=1,0,IF(S122=2,0.05,IF(S122=3,0.08,IF(S122=4,0.1,0))))</f>
        <v>0</v>
      </c>
      <c r="BE122" s="478">
        <f>IF(T122=1,0,IF(T122=2,0.03,IF(T122=3,0.05,IF(T122=4,0.06,0))))</f>
        <v>0</v>
      </c>
      <c r="BG122" s="478">
        <f>IF(S122=1,0,IF(S122=2,0.03,IF(S122=3,0.05,IF(S122=4,0.06,0))))</f>
        <v>0</v>
      </c>
      <c r="BI122" s="478">
        <f>IF(AA122=0,0,IF(OR(AB120=1,AB122=1),AH122-AO122,IF(OR(AC120=1,AC122=1),AH122-AU122,IF(OR(AD120=1,AD122=1),AH122-AZ122,IF(OR(AE120=1,AE122=1),AH122-BD122,IF(OR(AF120=1,AF122=1),AH122-BG122,AH122))))))</f>
        <v>0</v>
      </c>
      <c r="BJ122" s="478">
        <f>IF(AB122=0,0,IF(OR(AC120=1,AC122=1),AI122-AP122,IF(OR(AD120=1,AD122=1),AI122-AV122,IF(OR(AE120=1,AE122=1),AI122-BA122,IF(OR(AF120=1,AF122=1),AI122-BE122,AI122)))))</f>
        <v>0</v>
      </c>
      <c r="BK122" s="478">
        <f>IF(AC122=0,0,IF(OR(AD120=1,AD122=1),AJ122-AQ122,IF(OR(AE120=1,AE122=1),AJ122-AW122,IF(OR(AF120=1,AF122=1),AJ122-BB122,AJ122))))</f>
        <v>0</v>
      </c>
      <c r="BL122" s="478">
        <f>IF(AD122=0,0,IF(OR(AE120=1,AE122=1),AK122-AR122,IF(OR(AF120=1,AF122=1),AK122-AX122,AK122)))</f>
        <v>0</v>
      </c>
      <c r="BM122" s="478">
        <f>IF(AE122=0,0,IF(OR(AF120=1,AF122=1),AL122-AS122,AL122))</f>
        <v>0</v>
      </c>
      <c r="BN122" s="478">
        <f>IF(AF122=0,0,AM122)</f>
        <v>0</v>
      </c>
      <c r="BP122" s="486">
        <f>ROUND(BP121+BQ121*(1-BP121),2)</f>
        <v>0</v>
      </c>
      <c r="BQ122" s="486">
        <f t="shared" ref="BQ122:BZ122" si="18">ROUND(BP122+BR121*(1-BP122),2)</f>
        <v>0</v>
      </c>
      <c r="BR122" s="486">
        <f t="shared" si="18"/>
        <v>0</v>
      </c>
      <c r="BS122" s="486">
        <f t="shared" si="18"/>
        <v>0</v>
      </c>
      <c r="BT122" s="486">
        <f t="shared" si="18"/>
        <v>0</v>
      </c>
      <c r="BU122" s="486">
        <f t="shared" si="18"/>
        <v>0</v>
      </c>
      <c r="BV122" s="486">
        <f t="shared" si="18"/>
        <v>0</v>
      </c>
      <c r="BW122" s="486">
        <f t="shared" si="18"/>
        <v>0</v>
      </c>
      <c r="BX122" s="486">
        <f t="shared" si="18"/>
        <v>0</v>
      </c>
      <c r="BY122" s="486">
        <f t="shared" si="18"/>
        <v>0</v>
      </c>
      <c r="BZ122" s="486">
        <f t="shared" si="18"/>
        <v>0</v>
      </c>
      <c r="CA122" s="483"/>
    </row>
    <row r="123" spans="2:79" customFormat="1" ht="15" customHeight="1" x14ac:dyDescent="0.2">
      <c r="B123" s="926" t="str">
        <f>IF(AD123=1,"ERROR: If radial or ulnar impairment is recorded, do not enter losses for 'both sides.'","")</f>
        <v/>
      </c>
      <c r="C123" s="927"/>
      <c r="D123" s="927"/>
      <c r="E123" s="927"/>
      <c r="F123" s="927"/>
      <c r="G123" s="927"/>
      <c r="H123" s="927"/>
      <c r="I123" s="927"/>
      <c r="J123" s="927"/>
      <c r="K123" s="927"/>
      <c r="L123" s="927"/>
      <c r="M123" s="927"/>
      <c r="N123" s="927"/>
      <c r="O123" s="928"/>
      <c r="P123" s="245">
        <f>IF(B123&lt;&gt;"","ERROR",BZ122)</f>
        <v>0</v>
      </c>
      <c r="S123" s="475"/>
      <c r="T123" s="475"/>
      <c r="U123" s="475"/>
      <c r="V123" s="475"/>
      <c r="W123" s="475"/>
      <c r="AA123" s="301">
        <f>SUM(AA120:AF120)</f>
        <v>0</v>
      </c>
      <c r="AB123" s="301">
        <f>SUM(AA121:AF121)</f>
        <v>0</v>
      </c>
      <c r="AC123" s="301">
        <f>SUM(AA122:AF122)</f>
        <v>0</v>
      </c>
      <c r="AD123" s="301">
        <f>IF(AND(AA123&gt;0,AB123&gt;0),1,IF(AND(AA123&gt;0,AC123&gt;0),1,0))</f>
        <v>0</v>
      </c>
      <c r="AE123" s="475"/>
      <c r="AF123" s="475"/>
    </row>
    <row r="124" spans="2:79" ht="12" customHeight="1" x14ac:dyDescent="0.2">
      <c r="B124" s="1"/>
      <c r="D124" s="1"/>
      <c r="E124" s="1"/>
      <c r="F124" s="1"/>
      <c r="G124" s="1"/>
      <c r="H124" s="1"/>
      <c r="I124" s="1"/>
      <c r="J124" s="1"/>
      <c r="K124" s="1"/>
      <c r="L124" s="1"/>
      <c r="M124" s="1"/>
      <c r="N124" s="1"/>
      <c r="O124" s="1"/>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row>
    <row r="125" spans="2:79" x14ac:dyDescent="0.2">
      <c r="B125" s="50" t="s">
        <v>1214</v>
      </c>
      <c r="C125" s="910" t="s">
        <v>1348</v>
      </c>
      <c r="D125" s="910"/>
      <c r="E125" s="910"/>
      <c r="F125" s="910"/>
      <c r="G125" s="910"/>
      <c r="H125" s="910" t="s">
        <v>1759</v>
      </c>
      <c r="I125" s="910"/>
      <c r="J125" s="910"/>
      <c r="K125" s="18"/>
      <c r="L125" s="910" t="s">
        <v>1215</v>
      </c>
      <c r="M125" s="910"/>
      <c r="N125" s="910"/>
      <c r="O125" s="910"/>
      <c r="P125" s="755">
        <f>V127</f>
        <v>0</v>
      </c>
      <c r="R125" s="10"/>
      <c r="S125" s="560" t="s">
        <v>1565</v>
      </c>
      <c r="T125" s="560" t="s">
        <v>1285</v>
      </c>
      <c r="U125" s="560" t="s">
        <v>1286</v>
      </c>
      <c r="V125" s="559" t="s">
        <v>1287</v>
      </c>
      <c r="AA125" s="10"/>
      <c r="AB125" s="10"/>
      <c r="AC125" s="10"/>
      <c r="AD125" s="10"/>
      <c r="AE125" s="10"/>
      <c r="AF125" s="10"/>
      <c r="AG125" s="10"/>
      <c r="AH125" s="10"/>
      <c r="AI125" s="10"/>
      <c r="AJ125" s="10"/>
      <c r="AK125" s="10"/>
      <c r="AL125" s="10"/>
      <c r="AM125" s="10"/>
      <c r="AN125" s="10"/>
      <c r="AO125" s="10"/>
      <c r="AP125" s="10"/>
      <c r="AQ125" s="10"/>
      <c r="AR125" s="10"/>
      <c r="AS125" s="10"/>
      <c r="AT125" s="10"/>
    </row>
    <row r="126" spans="2:79" ht="15" customHeight="1" x14ac:dyDescent="0.2">
      <c r="B126" s="146" t="s">
        <v>72</v>
      </c>
      <c r="C126" s="922"/>
      <c r="D126" s="922"/>
      <c r="E126" s="922"/>
      <c r="F126" s="922"/>
      <c r="G126" s="922"/>
      <c r="H126" s="914">
        <f>IF(C126=$X$127,0.09,IF(C126=$Y$127,0.18,IF(C126=$Z$127,0.27,0)))</f>
        <v>0</v>
      </c>
      <c r="I126" s="914"/>
      <c r="J126" s="914"/>
      <c r="K126" s="146"/>
      <c r="L126" s="922"/>
      <c r="M126" s="922"/>
      <c r="N126" s="922"/>
      <c r="O126" s="21">
        <f>IF(H126&gt;=S126,H126-S126,0)</f>
        <v>0</v>
      </c>
      <c r="P126" s="755"/>
      <c r="R126" s="10"/>
      <c r="S126" s="147">
        <f>IF(L126=$Y$128,0.09,IF(L126=$Z$128,0.18,IF(L126=$AA$128,0.27,0)))</f>
        <v>0</v>
      </c>
      <c r="T126" s="147">
        <f>LARGE(O126:O128,1)</f>
        <v>0</v>
      </c>
      <c r="U126" s="544">
        <f>T126+T127*(1-T126)</f>
        <v>0</v>
      </c>
      <c r="V126" s="544">
        <f>ROUND(U126,2)</f>
        <v>0</v>
      </c>
      <c r="W126" s="863" t="s">
        <v>2147</v>
      </c>
      <c r="X126" s="863"/>
      <c r="Y126" s="863"/>
      <c r="Z126" s="863"/>
      <c r="AA126" s="10"/>
      <c r="AB126" s="10"/>
      <c r="AC126" s="10"/>
      <c r="AD126" s="10"/>
      <c r="AE126" s="10"/>
      <c r="AF126" s="10"/>
      <c r="AG126" s="10"/>
      <c r="AH126" s="10"/>
      <c r="AI126" s="10"/>
      <c r="AJ126" s="10"/>
      <c r="AK126" s="10"/>
      <c r="AL126" s="10"/>
      <c r="AM126" s="10"/>
      <c r="AN126" s="10"/>
      <c r="AO126" s="10"/>
      <c r="AP126" s="10"/>
      <c r="AQ126" s="10"/>
      <c r="AR126" s="10"/>
      <c r="AS126" s="10"/>
      <c r="AT126" s="10"/>
    </row>
    <row r="127" spans="2:79" ht="15" customHeight="1" x14ac:dyDescent="0.2">
      <c r="B127" s="50" t="s">
        <v>73</v>
      </c>
      <c r="C127" s="922"/>
      <c r="D127" s="922"/>
      <c r="E127" s="922"/>
      <c r="F127" s="922"/>
      <c r="G127" s="922"/>
      <c r="H127" s="914">
        <f>IF(C127=$X$127,0.16,IF(C127=$Y$127,0.32,IF(C127=$Z$127,0.48,0)))</f>
        <v>0</v>
      </c>
      <c r="I127" s="914"/>
      <c r="J127" s="914"/>
      <c r="K127" s="146"/>
      <c r="L127" s="922"/>
      <c r="M127" s="922"/>
      <c r="N127" s="922"/>
      <c r="O127" s="21">
        <f>IF(H127&gt;=S127,H127-S127,0)</f>
        <v>0</v>
      </c>
      <c r="P127" s="755"/>
      <c r="R127" s="10"/>
      <c r="S127" s="147">
        <f>IF(L127=$Y$128,0.16,IF(L127=$Z$128,0.32,IF(L127=$AA$128,0.48,0)))</f>
        <v>0</v>
      </c>
      <c r="T127" s="147">
        <f>LARGE(O126:O128,2)</f>
        <v>0</v>
      </c>
      <c r="U127" s="544">
        <f>V126+T128*(1-V126)</f>
        <v>0</v>
      </c>
      <c r="V127" s="544">
        <f>ROUND(U127,2)</f>
        <v>0</v>
      </c>
      <c r="W127" s="50"/>
      <c r="X127" s="50" t="s">
        <v>1218</v>
      </c>
      <c r="Y127" s="50" t="s">
        <v>1219</v>
      </c>
      <c r="Z127" s="50" t="s">
        <v>1220</v>
      </c>
      <c r="AA127" s="50"/>
      <c r="AB127" s="10"/>
      <c r="AC127" s="10"/>
      <c r="AD127" s="10"/>
      <c r="AE127" s="10"/>
      <c r="AF127" s="10"/>
      <c r="AG127" s="10"/>
      <c r="AH127" s="10"/>
      <c r="AI127" s="10"/>
      <c r="AJ127" s="10"/>
      <c r="AK127" s="10"/>
      <c r="AL127" s="10"/>
      <c r="AM127" s="10"/>
      <c r="AN127" s="10"/>
      <c r="AO127" s="10"/>
      <c r="AP127" s="10"/>
      <c r="AQ127" s="10"/>
      <c r="AR127" s="10"/>
      <c r="AS127" s="10"/>
      <c r="AT127" s="10"/>
    </row>
    <row r="128" spans="2:79" ht="15" customHeight="1" x14ac:dyDescent="0.2">
      <c r="B128" s="50" t="s">
        <v>74</v>
      </c>
      <c r="C128" s="922"/>
      <c r="D128" s="922"/>
      <c r="E128" s="922"/>
      <c r="F128" s="922"/>
      <c r="G128" s="922"/>
      <c r="H128" s="914">
        <f>IF(C128=$X$127,0.2,IF(C128=$Y$127,0.4,IF(C128=$Z$127,0.6,0)))</f>
        <v>0</v>
      </c>
      <c r="I128" s="914"/>
      <c r="J128" s="914"/>
      <c r="K128" s="146"/>
      <c r="L128" s="922"/>
      <c r="M128" s="922"/>
      <c r="N128" s="922"/>
      <c r="O128" s="21">
        <f>IF(H128&gt;=S128,H128-S128,0)</f>
        <v>0</v>
      </c>
      <c r="P128" s="755"/>
      <c r="R128" s="10"/>
      <c r="S128" s="147">
        <f>IF(L128=$Y$128,0.2,IF(L128=$Z$128,0.4,IF(L128=$AA$128,0.6,0)))</f>
        <v>0</v>
      </c>
      <c r="T128" s="147">
        <f>LARGE(O126:O128,3)</f>
        <v>0</v>
      </c>
      <c r="U128" s="50"/>
      <c r="V128" s="50"/>
      <c r="W128" s="50"/>
      <c r="X128" s="50" t="s">
        <v>510</v>
      </c>
      <c r="Y128" s="50" t="s">
        <v>899</v>
      </c>
      <c r="Z128" s="147" t="s">
        <v>1764</v>
      </c>
      <c r="AA128" s="50" t="s">
        <v>1639</v>
      </c>
      <c r="AB128" s="10"/>
      <c r="AC128" s="10"/>
      <c r="AD128" s="10"/>
      <c r="AE128" s="10"/>
      <c r="AF128" s="10"/>
      <c r="AG128" s="10"/>
      <c r="AH128" s="10"/>
      <c r="AI128" s="10"/>
      <c r="AJ128" s="10"/>
      <c r="AK128" s="10"/>
      <c r="AL128" s="10"/>
      <c r="AM128" s="10"/>
      <c r="AN128" s="10"/>
      <c r="AO128" s="10"/>
      <c r="AP128" s="10"/>
      <c r="AQ128" s="10"/>
      <c r="AR128" s="10"/>
      <c r="AS128" s="10"/>
      <c r="AT128" s="10"/>
    </row>
    <row r="129" spans="1:109" ht="12" customHeight="1" x14ac:dyDescent="0.2">
      <c r="B129" s="1003"/>
      <c r="C129" s="1003"/>
      <c r="D129" s="1003"/>
      <c r="E129" s="1003"/>
      <c r="F129" s="1003"/>
      <c r="G129" s="1003"/>
      <c r="H129" s="1003"/>
      <c r="I129" s="1003"/>
      <c r="J129" s="1003"/>
      <c r="K129" s="1003"/>
      <c r="L129" s="1003"/>
      <c r="M129" s="1003"/>
      <c r="N129" s="1003"/>
      <c r="O129" s="1003"/>
      <c r="P129" s="151"/>
      <c r="R129" s="10"/>
      <c r="S129" s="14"/>
      <c r="T129" s="14"/>
      <c r="U129" s="10"/>
      <c r="V129" s="10"/>
      <c r="W129" s="10"/>
      <c r="X129" s="10"/>
      <c r="Y129" s="10"/>
      <c r="Z129" s="14"/>
      <c r="AA129" s="10"/>
      <c r="AB129" s="10"/>
      <c r="AC129" s="10"/>
      <c r="AD129" s="10"/>
      <c r="AE129" s="10"/>
      <c r="AF129" s="10"/>
      <c r="AG129" s="10"/>
      <c r="AH129" s="10"/>
      <c r="AI129" s="10"/>
      <c r="AJ129" s="10"/>
      <c r="AK129" s="10"/>
      <c r="AL129" s="10"/>
      <c r="AM129" s="10"/>
      <c r="AN129" s="10"/>
      <c r="AO129" s="10"/>
      <c r="AP129" s="10"/>
      <c r="AQ129" s="10"/>
      <c r="AR129" s="10"/>
      <c r="AS129" s="10"/>
      <c r="AT129" s="10"/>
    </row>
    <row r="130" spans="1:109" ht="15" customHeight="1" x14ac:dyDescent="0.2">
      <c r="A130" s="15"/>
      <c r="B130" s="761" t="s">
        <v>952</v>
      </c>
      <c r="C130" s="937"/>
      <c r="D130" s="938"/>
      <c r="E130" s="742" t="s">
        <v>560</v>
      </c>
      <c r="F130" s="743"/>
      <c r="G130" s="743"/>
      <c r="H130" s="743"/>
      <c r="I130" s="743"/>
      <c r="J130" s="743"/>
      <c r="K130" s="743"/>
      <c r="L130" s="743"/>
      <c r="M130" s="743"/>
      <c r="N130" s="743"/>
      <c r="O130" s="744"/>
      <c r="P130" s="245">
        <f>IF(T130=1,0.15,0)</f>
        <v>0</v>
      </c>
      <c r="R130" s="947" t="s">
        <v>2147</v>
      </c>
      <c r="S130" s="561" t="b">
        <v>0</v>
      </c>
      <c r="T130" s="50">
        <f>IF(S130=TRUE,1,0)</f>
        <v>0</v>
      </c>
      <c r="U130" s="10"/>
      <c r="V130" s="10"/>
      <c r="W130" s="10"/>
      <c r="X130" s="10"/>
      <c r="Y130" s="10"/>
      <c r="Z130" s="10"/>
      <c r="AA130" s="10"/>
      <c r="AB130" s="10"/>
      <c r="AC130" s="10"/>
      <c r="AD130" s="10"/>
      <c r="AE130" s="10"/>
      <c r="AF130" s="10"/>
      <c r="AG130" s="10">
        <v>1E-4</v>
      </c>
      <c r="AH130" s="10"/>
      <c r="AI130" s="10"/>
      <c r="AJ130" s="10"/>
      <c r="AK130" s="10"/>
      <c r="AL130" s="10"/>
      <c r="AM130" s="10"/>
      <c r="AN130" s="10"/>
      <c r="AO130" s="10"/>
      <c r="AP130" s="10"/>
      <c r="AQ130" s="10"/>
      <c r="AR130" s="10"/>
      <c r="AS130" s="10"/>
      <c r="AT130" s="10"/>
    </row>
    <row r="131" spans="1:109" ht="15" customHeight="1" x14ac:dyDescent="0.2">
      <c r="B131" s="761"/>
      <c r="C131" s="937"/>
      <c r="D131" s="938"/>
      <c r="E131" s="742" t="s">
        <v>561</v>
      </c>
      <c r="F131" s="743"/>
      <c r="G131" s="743"/>
      <c r="H131" s="743"/>
      <c r="I131" s="743"/>
      <c r="J131" s="743"/>
      <c r="K131" s="743"/>
      <c r="L131" s="743"/>
      <c r="M131" s="743"/>
      <c r="N131" s="743"/>
      <c r="O131" s="744"/>
      <c r="P131" s="245">
        <f>IF(T131=1,0.25,0)</f>
        <v>0</v>
      </c>
      <c r="R131" s="947"/>
      <c r="S131" s="561" t="b">
        <v>0</v>
      </c>
      <c r="T131" s="50">
        <f>IF(S131=TRUE,1,0)</f>
        <v>0</v>
      </c>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row>
    <row r="132" spans="1:109" ht="15" customHeight="1" x14ac:dyDescent="0.2">
      <c r="B132" s="761"/>
      <c r="C132" s="937"/>
      <c r="D132" s="938"/>
      <c r="E132" s="742" t="s">
        <v>773</v>
      </c>
      <c r="F132" s="743"/>
      <c r="G132" s="743"/>
      <c r="H132" s="743"/>
      <c r="I132" s="743"/>
      <c r="J132" s="743"/>
      <c r="K132" s="743"/>
      <c r="L132" s="743"/>
      <c r="M132" s="743"/>
      <c r="N132" s="743"/>
      <c r="O132" s="744"/>
      <c r="P132" s="245">
        <f>IF(T132=1,0.23,0)</f>
        <v>0</v>
      </c>
      <c r="R132" s="947"/>
      <c r="S132" s="561" t="b">
        <v>0</v>
      </c>
      <c r="T132" s="50">
        <f>IF(S132=TRUE,1,0)</f>
        <v>0</v>
      </c>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row>
    <row r="133" spans="1:109" ht="12" customHeight="1" x14ac:dyDescent="0.2">
      <c r="B133" s="777"/>
      <c r="C133" s="777"/>
      <c r="D133" s="777"/>
      <c r="E133" s="777"/>
      <c r="F133" s="777"/>
      <c r="G133" s="777"/>
      <c r="H133" s="777"/>
      <c r="I133" s="777"/>
      <c r="J133" s="777"/>
      <c r="K133" s="777"/>
      <c r="L133" s="777"/>
      <c r="M133" s="777"/>
      <c r="N133" s="777"/>
      <c r="O133" s="777"/>
      <c r="P133" s="1"/>
      <c r="R133" s="10"/>
      <c r="S133" s="133"/>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row>
    <row r="134" spans="1:109" ht="15" customHeight="1" x14ac:dyDescent="0.2">
      <c r="B134" s="939" t="s">
        <v>370</v>
      </c>
      <c r="C134" s="939"/>
      <c r="D134" s="939"/>
      <c r="E134" s="939"/>
      <c r="F134" s="939"/>
      <c r="G134" s="939"/>
      <c r="H134" s="939"/>
      <c r="I134" s="939"/>
      <c r="J134" s="939"/>
      <c r="K134" s="939"/>
      <c r="L134" s="939"/>
      <c r="M134" s="939"/>
      <c r="N134" s="939"/>
      <c r="O134" s="312"/>
      <c r="P134" s="21">
        <f>SUMIF(T134:X134,O134,T135:X135)</f>
        <v>0</v>
      </c>
      <c r="R134" s="949" t="s">
        <v>2147</v>
      </c>
      <c r="S134" s="949"/>
      <c r="T134" s="50" t="s">
        <v>1928</v>
      </c>
      <c r="U134" s="50" t="s">
        <v>1929</v>
      </c>
      <c r="V134" s="147" t="s">
        <v>1931</v>
      </c>
      <c r="W134" s="50" t="s">
        <v>929</v>
      </c>
      <c r="X134" s="147" t="s">
        <v>545</v>
      </c>
      <c r="Y134" s="10"/>
      <c r="Z134" s="50" t="s">
        <v>1928</v>
      </c>
      <c r="AA134" s="50" t="s">
        <v>1929</v>
      </c>
      <c r="AB134" s="147" t="s">
        <v>1931</v>
      </c>
      <c r="AC134" s="50" t="s">
        <v>929</v>
      </c>
      <c r="AD134" s="147" t="s">
        <v>545</v>
      </c>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row>
    <row r="135" spans="1:109" ht="15" customHeight="1" x14ac:dyDescent="0.2">
      <c r="B135" s="939" t="s">
        <v>1469</v>
      </c>
      <c r="C135" s="939"/>
      <c r="D135" s="939"/>
      <c r="E135" s="939"/>
      <c r="F135" s="939"/>
      <c r="G135" s="939"/>
      <c r="H135" s="939"/>
      <c r="I135" s="939"/>
      <c r="J135" s="939"/>
      <c r="K135" s="939"/>
      <c r="L135" s="939"/>
      <c r="M135" s="939"/>
      <c r="N135" s="939"/>
      <c r="O135" s="312"/>
      <c r="P135" s="21">
        <f>SUMIF(Z134:AD134,O135,Z135:AD135)</f>
        <v>0</v>
      </c>
      <c r="R135" s="949"/>
      <c r="S135" s="949"/>
      <c r="T135" s="147">
        <v>0.03</v>
      </c>
      <c r="U135" s="147">
        <v>0.15</v>
      </c>
      <c r="V135" s="147">
        <v>0.38</v>
      </c>
      <c r="W135" s="147">
        <v>0.68</v>
      </c>
      <c r="X135" s="147">
        <v>0.9</v>
      </c>
      <c r="Y135" s="10"/>
      <c r="Z135" s="147">
        <v>0.03</v>
      </c>
      <c r="AA135" s="147">
        <v>0.15</v>
      </c>
      <c r="AB135" s="147">
        <v>0.35</v>
      </c>
      <c r="AC135" s="147">
        <v>0.63</v>
      </c>
      <c r="AD135" s="147">
        <v>0.88</v>
      </c>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row>
    <row r="136" spans="1:109" ht="12" customHeight="1" x14ac:dyDescent="0.2">
      <c r="B136" s="1004"/>
      <c r="C136" s="1004"/>
      <c r="D136" s="1004"/>
      <c r="E136" s="1004"/>
      <c r="F136" s="1004"/>
      <c r="G136" s="1004"/>
      <c r="H136" s="1004"/>
      <c r="I136" s="1004"/>
      <c r="J136" s="1004"/>
      <c r="K136" s="1004"/>
      <c r="L136" s="1004"/>
      <c r="M136" s="1004"/>
      <c r="N136" s="1004"/>
      <c r="O136" s="1004"/>
      <c r="P136" s="305"/>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row>
    <row r="137" spans="1:109" ht="27" customHeight="1" x14ac:dyDescent="0.2">
      <c r="B137" s="864" t="s">
        <v>371</v>
      </c>
      <c r="C137" s="865"/>
      <c r="D137" s="865"/>
      <c r="E137" s="865"/>
      <c r="F137" s="866"/>
      <c r="G137" s="907" t="s">
        <v>1495</v>
      </c>
      <c r="H137" s="945"/>
      <c r="I137" s="945"/>
      <c r="J137" s="946"/>
      <c r="K137" s="967"/>
      <c r="L137" s="968"/>
      <c r="M137" s="968"/>
      <c r="N137" s="968"/>
      <c r="O137" s="969"/>
      <c r="P137" s="857">
        <f>U151</f>
        <v>0</v>
      </c>
      <c r="R137" s="146" t="s">
        <v>1826</v>
      </c>
      <c r="S137" s="50" t="s">
        <v>1285</v>
      </c>
      <c r="T137" s="50" t="s">
        <v>1286</v>
      </c>
      <c r="U137" s="50" t="s">
        <v>1287</v>
      </c>
      <c r="V137" s="944" t="s">
        <v>786</v>
      </c>
      <c r="W137" s="945"/>
      <c r="X137" s="946"/>
      <c r="Y137" s="50" t="s">
        <v>498</v>
      </c>
      <c r="Z137" s="10"/>
      <c r="AA137" s="10"/>
      <c r="AB137" s="10"/>
      <c r="AC137" s="10"/>
      <c r="AD137" s="10"/>
      <c r="AE137" s="10"/>
      <c r="AF137" s="10"/>
      <c r="AG137" s="10"/>
      <c r="AH137" s="10"/>
      <c r="AI137" s="10"/>
      <c r="AJ137" s="10"/>
      <c r="AK137" s="10"/>
      <c r="AL137" s="10"/>
      <c r="AM137" s="10"/>
      <c r="AN137" s="10"/>
      <c r="AO137" s="10"/>
      <c r="AP137" s="10"/>
      <c r="AQ137" s="10"/>
      <c r="AR137" s="10"/>
      <c r="AS137" s="10"/>
      <c r="AT137" s="10"/>
    </row>
    <row r="138" spans="1:109" ht="14.45" customHeight="1" x14ac:dyDescent="0.2">
      <c r="B138" s="941" t="s">
        <v>615</v>
      </c>
      <c r="C138" s="942"/>
      <c r="D138" s="943"/>
      <c r="E138" s="1069">
        <f>P81</f>
        <v>0</v>
      </c>
      <c r="F138" s="1070"/>
      <c r="G138" s="977"/>
      <c r="H138" s="977"/>
      <c r="I138" s="914">
        <f t="shared" ref="I138:I150" si="19">IF(AND(Y138&lt;0.01,Y138&gt;0),0.01,ROUND(Y138,2))</f>
        <v>0</v>
      </c>
      <c r="J138" s="914"/>
      <c r="K138" s="970"/>
      <c r="L138" s="971"/>
      <c r="M138" s="971"/>
      <c r="N138" s="971"/>
      <c r="O138" s="972"/>
      <c r="P138" s="961"/>
      <c r="R138" s="548">
        <f t="shared" ref="R138:R151" si="20">IF(I138&gt;0,I138,E138)</f>
        <v>0</v>
      </c>
      <c r="S138" s="147">
        <f>LARGE($R$138:$R$152,1)</f>
        <v>0</v>
      </c>
      <c r="T138" s="544">
        <f>S138+S139*(1-S138)</f>
        <v>0</v>
      </c>
      <c r="U138" s="548">
        <f t="shared" ref="U138:U151" si="21">ROUND(T138,2)</f>
        <v>0</v>
      </c>
      <c r="V138" s="50">
        <f>IF(E138&gt;0,1,0)</f>
        <v>0</v>
      </c>
      <c r="W138" s="50">
        <f>COUNTIF(V138:V152,1)</f>
        <v>0</v>
      </c>
      <c r="X138" s="50">
        <f>IF(AND(W138=0,W139&gt;0),1,IF(W138&gt;0,2,0))</f>
        <v>0</v>
      </c>
      <c r="Y138" s="291">
        <f t="shared" ref="Y138:Y140" si="22">E138*G138</f>
        <v>0</v>
      </c>
      <c r="AA138" s="10"/>
      <c r="AD138" s="10"/>
      <c r="AG138" s="10"/>
      <c r="AH138" s="10"/>
      <c r="AI138" s="10"/>
      <c r="AJ138" s="10"/>
      <c r="AK138" s="10"/>
      <c r="AL138" s="10"/>
      <c r="AM138" s="10"/>
      <c r="AN138" s="10"/>
      <c r="AO138" s="10"/>
      <c r="AP138" s="10"/>
      <c r="AQ138" s="10"/>
      <c r="AR138" s="10"/>
      <c r="AS138" s="10"/>
      <c r="AT138" s="10"/>
    </row>
    <row r="139" spans="1:109" ht="14.45" customHeight="1" x14ac:dyDescent="0.2">
      <c r="B139" s="742" t="s">
        <v>372</v>
      </c>
      <c r="C139" s="743"/>
      <c r="D139" s="744"/>
      <c r="E139" s="755">
        <f>P84</f>
        <v>0</v>
      </c>
      <c r="F139" s="727"/>
      <c r="G139" s="977"/>
      <c r="H139" s="977"/>
      <c r="I139" s="914">
        <f t="shared" ref="I139" si="23">IF(AND(Y139&lt;0.01,Y139&gt;0),0.01,ROUND(Y139,2))</f>
        <v>0</v>
      </c>
      <c r="J139" s="914"/>
      <c r="K139" s="970"/>
      <c r="L139" s="971"/>
      <c r="M139" s="971"/>
      <c r="N139" s="971"/>
      <c r="O139" s="972"/>
      <c r="P139" s="961"/>
      <c r="R139" s="548">
        <f t="shared" si="20"/>
        <v>0</v>
      </c>
      <c r="S139" s="147">
        <f>LARGE($R$138:$R$152,2)</f>
        <v>0</v>
      </c>
      <c r="T139" s="544">
        <f>U138+S140*(1-U138)</f>
        <v>0</v>
      </c>
      <c r="U139" s="548">
        <f t="shared" si="21"/>
        <v>0</v>
      </c>
      <c r="V139" s="50">
        <f>IF(E139&gt;0,2,0)</f>
        <v>0</v>
      </c>
      <c r="W139" s="566">
        <f>COUNTIF(V138:V152,2)</f>
        <v>0</v>
      </c>
      <c r="X139" s="10"/>
      <c r="Y139" s="291">
        <f t="shared" si="22"/>
        <v>0</v>
      </c>
      <c r="AA139" s="777"/>
      <c r="AB139" s="777"/>
      <c r="AC139" s="777"/>
      <c r="AD139" s="10"/>
      <c r="AG139" s="10"/>
      <c r="AH139" s="10"/>
      <c r="AI139" s="10"/>
      <c r="AJ139" s="10"/>
      <c r="AK139" s="10"/>
      <c r="AL139" s="10"/>
      <c r="AM139" s="10"/>
      <c r="AN139" s="10"/>
      <c r="AO139" s="10"/>
      <c r="AP139" s="10"/>
      <c r="AQ139" s="10"/>
      <c r="AR139" s="10"/>
      <c r="AS139" s="10"/>
      <c r="AT139" s="10"/>
    </row>
    <row r="140" spans="1:109" ht="14.45" customHeight="1" x14ac:dyDescent="0.2">
      <c r="B140" s="742" t="s">
        <v>1918</v>
      </c>
      <c r="C140" s="743"/>
      <c r="D140" s="744"/>
      <c r="E140" s="755">
        <f>IF(E615&gt;0,0,P88)</f>
        <v>0</v>
      </c>
      <c r="F140" s="727"/>
      <c r="G140" s="977"/>
      <c r="H140" s="977"/>
      <c r="I140" s="914">
        <f t="shared" si="19"/>
        <v>0</v>
      </c>
      <c r="J140" s="914"/>
      <c r="K140" s="970"/>
      <c r="L140" s="971"/>
      <c r="M140" s="971"/>
      <c r="N140" s="971"/>
      <c r="O140" s="972"/>
      <c r="P140" s="961"/>
      <c r="R140" s="548">
        <f t="shared" si="20"/>
        <v>0</v>
      </c>
      <c r="S140" s="147">
        <f>LARGE($R$138:$R$152,3)</f>
        <v>0</v>
      </c>
      <c r="T140" s="544">
        <f>U139+S141*(1-U139)</f>
        <v>0</v>
      </c>
      <c r="U140" s="548">
        <f t="shared" si="21"/>
        <v>0</v>
      </c>
      <c r="V140" s="50">
        <f t="shared" ref="V140:V152" si="24">IF(E140&gt;0,1,0)</f>
        <v>0</v>
      </c>
      <c r="W140" s="10"/>
      <c r="X140" s="10"/>
      <c r="Y140" s="291">
        <f t="shared" si="22"/>
        <v>0</v>
      </c>
      <c r="Z140" s="10"/>
      <c r="AA140" s="777"/>
      <c r="AB140" s="777"/>
      <c r="AC140" s="777"/>
      <c r="AD140" s="10"/>
      <c r="AG140" s="10"/>
      <c r="AH140" s="10"/>
      <c r="AI140" s="10"/>
      <c r="AJ140" s="10"/>
      <c r="AK140" s="10"/>
      <c r="AL140" s="10"/>
      <c r="AM140" s="10"/>
      <c r="AN140" s="10"/>
      <c r="AO140" s="10"/>
      <c r="AP140" s="10"/>
      <c r="AQ140" s="10"/>
      <c r="AR140" s="10"/>
      <c r="AS140" s="10"/>
      <c r="AT140" s="10"/>
    </row>
    <row r="141" spans="1:109" ht="14.45" customHeight="1" x14ac:dyDescent="0.2">
      <c r="B141" s="791" t="s">
        <v>1389</v>
      </c>
      <c r="C141" s="791"/>
      <c r="D141" s="791"/>
      <c r="E141" s="727">
        <f>P106</f>
        <v>0</v>
      </c>
      <c r="F141" s="728"/>
      <c r="G141" s="977"/>
      <c r="H141" s="977"/>
      <c r="I141" s="914">
        <f t="shared" si="19"/>
        <v>0</v>
      </c>
      <c r="J141" s="914"/>
      <c r="K141" s="970"/>
      <c r="L141" s="971"/>
      <c r="M141" s="971"/>
      <c r="N141" s="971"/>
      <c r="O141" s="972"/>
      <c r="P141" s="961"/>
      <c r="R141" s="548">
        <f t="shared" si="20"/>
        <v>0</v>
      </c>
      <c r="S141" s="147">
        <f>LARGE($R$138:$R$152,4)</f>
        <v>0</v>
      </c>
      <c r="T141" s="544">
        <f t="shared" ref="T141:T151" si="25">U140+S142*(1-U140)</f>
        <v>0</v>
      </c>
      <c r="U141" s="548">
        <f t="shared" si="21"/>
        <v>0</v>
      </c>
      <c r="V141" s="50">
        <f t="shared" si="24"/>
        <v>0</v>
      </c>
      <c r="W141" s="10"/>
      <c r="X141" s="10"/>
      <c r="Y141" s="291">
        <f>E141*G141</f>
        <v>0</v>
      </c>
      <c r="Z141" s="597"/>
      <c r="AA141" s="777"/>
      <c r="AB141" s="777"/>
      <c r="AC141" s="777"/>
      <c r="AD141" s="10"/>
      <c r="AG141" s="10"/>
      <c r="AH141" s="10"/>
      <c r="AI141" s="10"/>
      <c r="AJ141" s="10"/>
      <c r="AK141" s="10"/>
      <c r="AL141" s="10"/>
      <c r="AM141" s="10"/>
      <c r="AN141" s="10"/>
      <c r="AO141" s="10"/>
      <c r="AP141" s="10"/>
      <c r="AQ141" s="10"/>
      <c r="AR141" s="10"/>
      <c r="AS141" s="10"/>
      <c r="AT141" s="10"/>
    </row>
    <row r="142" spans="1:109" ht="14.45" customHeight="1" x14ac:dyDescent="0.2">
      <c r="B142" s="742" t="s">
        <v>1390</v>
      </c>
      <c r="C142" s="743"/>
      <c r="D142" s="744"/>
      <c r="E142" s="727">
        <f>P107</f>
        <v>0</v>
      </c>
      <c r="F142" s="728"/>
      <c r="G142" s="977"/>
      <c r="H142" s="977"/>
      <c r="I142" s="914">
        <f t="shared" si="19"/>
        <v>0</v>
      </c>
      <c r="J142" s="914"/>
      <c r="K142" s="970"/>
      <c r="L142" s="971"/>
      <c r="M142" s="971"/>
      <c r="N142" s="971"/>
      <c r="O142" s="972"/>
      <c r="P142" s="961"/>
      <c r="R142" s="548">
        <f t="shared" si="20"/>
        <v>0</v>
      </c>
      <c r="S142" s="147">
        <f>LARGE($R$138:$R$152,5)</f>
        <v>0</v>
      </c>
      <c r="T142" s="544">
        <f t="shared" si="25"/>
        <v>0</v>
      </c>
      <c r="U142" s="548">
        <f t="shared" si="21"/>
        <v>0</v>
      </c>
      <c r="V142" s="50">
        <f t="shared" si="24"/>
        <v>0</v>
      </c>
      <c r="W142" s="10"/>
      <c r="X142" s="10"/>
      <c r="Y142" s="291">
        <f t="shared" ref="Y142:Y150" si="26">E142*G142</f>
        <v>0</v>
      </c>
      <c r="Z142" s="597"/>
      <c r="AA142" s="777"/>
      <c r="AB142" s="777"/>
      <c r="AC142" s="777"/>
      <c r="AD142" s="10"/>
      <c r="AE142" s="10"/>
      <c r="AF142" s="10"/>
      <c r="AG142" s="10"/>
      <c r="AH142" s="10"/>
      <c r="AI142" s="10"/>
      <c r="AJ142" s="10"/>
      <c r="AK142" s="10"/>
      <c r="AL142" s="10"/>
      <c r="AM142" s="10"/>
      <c r="AN142" s="10"/>
      <c r="AO142" s="10"/>
      <c r="AP142" s="10"/>
      <c r="AQ142" s="10"/>
      <c r="AR142" s="10"/>
      <c r="AS142" s="10"/>
      <c r="AT142" s="10"/>
    </row>
    <row r="143" spans="1:109" ht="14.45" customHeight="1" x14ac:dyDescent="0.2">
      <c r="B143" s="742" t="s">
        <v>1391</v>
      </c>
      <c r="C143" s="743"/>
      <c r="D143" s="744"/>
      <c r="E143" s="727">
        <f>P108</f>
        <v>0</v>
      </c>
      <c r="F143" s="728"/>
      <c r="G143" s="977"/>
      <c r="H143" s="977"/>
      <c r="I143" s="914">
        <f t="shared" si="19"/>
        <v>0</v>
      </c>
      <c r="J143" s="914"/>
      <c r="K143" s="970"/>
      <c r="L143" s="971"/>
      <c r="M143" s="971"/>
      <c r="N143" s="971"/>
      <c r="O143" s="972"/>
      <c r="P143" s="961"/>
      <c r="R143" s="548">
        <f t="shared" si="20"/>
        <v>0</v>
      </c>
      <c r="S143" s="147">
        <f>LARGE($R$138:$R$152,6)</f>
        <v>0</v>
      </c>
      <c r="T143" s="544">
        <f t="shared" si="25"/>
        <v>0</v>
      </c>
      <c r="U143" s="548">
        <f t="shared" si="21"/>
        <v>0</v>
      </c>
      <c r="V143" s="50">
        <f t="shared" si="24"/>
        <v>0</v>
      </c>
      <c r="W143" s="10"/>
      <c r="X143" s="10"/>
      <c r="Y143" s="291">
        <f t="shared" si="26"/>
        <v>0</v>
      </c>
      <c r="Z143" s="597"/>
      <c r="AC143" s="10"/>
      <c r="AD143" s="10"/>
      <c r="AE143" s="10"/>
      <c r="AF143" s="10"/>
      <c r="AG143" s="10"/>
      <c r="AH143" s="10"/>
      <c r="AI143" s="10"/>
      <c r="AJ143" s="10"/>
      <c r="AK143" s="10"/>
      <c r="AL143" s="10"/>
      <c r="AM143" s="10"/>
      <c r="AN143" s="10"/>
      <c r="AO143" s="10"/>
      <c r="AP143" s="10"/>
      <c r="AQ143" s="10"/>
      <c r="AR143" s="10"/>
      <c r="AS143" s="10"/>
      <c r="AT143" s="10"/>
    </row>
    <row r="144" spans="1:109" ht="14.45" customHeight="1" x14ac:dyDescent="0.2">
      <c r="B144" s="742" t="s">
        <v>1392</v>
      </c>
      <c r="C144" s="743"/>
      <c r="D144" s="744"/>
      <c r="E144" s="727">
        <f>P109</f>
        <v>0</v>
      </c>
      <c r="F144" s="728"/>
      <c r="G144" s="977"/>
      <c r="H144" s="977"/>
      <c r="I144" s="914">
        <f t="shared" si="19"/>
        <v>0</v>
      </c>
      <c r="J144" s="914"/>
      <c r="K144" s="970"/>
      <c r="L144" s="971"/>
      <c r="M144" s="971"/>
      <c r="N144" s="971"/>
      <c r="O144" s="972"/>
      <c r="P144" s="961"/>
      <c r="R144" s="548">
        <f t="shared" si="20"/>
        <v>0</v>
      </c>
      <c r="S144" s="147">
        <f>LARGE($R$138:$R$152,7)</f>
        <v>0</v>
      </c>
      <c r="T144" s="544">
        <f t="shared" si="25"/>
        <v>0</v>
      </c>
      <c r="U144" s="548">
        <f t="shared" si="21"/>
        <v>0</v>
      </c>
      <c r="V144" s="50">
        <f t="shared" si="24"/>
        <v>0</v>
      </c>
      <c r="W144" s="10"/>
      <c r="X144" s="10"/>
      <c r="Y144" s="291">
        <f t="shared" si="26"/>
        <v>0</v>
      </c>
      <c r="Z144" s="597"/>
      <c r="AD144" s="10"/>
      <c r="AE144" s="10"/>
      <c r="AF144" s="10"/>
      <c r="AG144" s="10"/>
      <c r="AH144" s="10"/>
      <c r="AI144" s="10"/>
      <c r="AJ144" s="10"/>
      <c r="AK144" s="10"/>
      <c r="AL144" s="10"/>
      <c r="AM144" s="10"/>
      <c r="AN144" s="10"/>
      <c r="AO144" s="10"/>
      <c r="AP144" s="10"/>
      <c r="AQ144" s="10"/>
      <c r="AR144" s="10"/>
      <c r="AS144" s="10"/>
      <c r="AT144" s="10"/>
    </row>
    <row r="145" spans="2:46" ht="14.45" customHeight="1" x14ac:dyDescent="0.2">
      <c r="B145" s="742" t="s">
        <v>1945</v>
      </c>
      <c r="C145" s="743"/>
      <c r="D145" s="744"/>
      <c r="E145" s="755">
        <f>P118</f>
        <v>0</v>
      </c>
      <c r="F145" s="727"/>
      <c r="G145" s="977"/>
      <c r="H145" s="977"/>
      <c r="I145" s="914">
        <f t="shared" si="19"/>
        <v>0</v>
      </c>
      <c r="J145" s="914"/>
      <c r="K145" s="970"/>
      <c r="L145" s="971"/>
      <c r="M145" s="971"/>
      <c r="N145" s="971"/>
      <c r="O145" s="972"/>
      <c r="P145" s="961"/>
      <c r="R145" s="548">
        <f t="shared" si="20"/>
        <v>0</v>
      </c>
      <c r="S145" s="147">
        <f>LARGE($R$138:$R$152,8)</f>
        <v>0</v>
      </c>
      <c r="T145" s="544">
        <f t="shared" si="25"/>
        <v>0</v>
      </c>
      <c r="U145" s="548">
        <f t="shared" si="21"/>
        <v>0</v>
      </c>
      <c r="V145" s="50">
        <f t="shared" si="24"/>
        <v>0</v>
      </c>
      <c r="W145" s="10"/>
      <c r="X145" s="10"/>
      <c r="Y145" s="291">
        <f t="shared" si="26"/>
        <v>0</v>
      </c>
      <c r="Z145" s="597"/>
      <c r="AD145" s="10"/>
      <c r="AE145" s="10"/>
      <c r="AF145" s="10"/>
      <c r="AG145" s="10"/>
      <c r="AH145" s="10"/>
      <c r="AI145" s="10"/>
      <c r="AJ145" s="10"/>
      <c r="AK145" s="10"/>
      <c r="AL145" s="10"/>
      <c r="AM145" s="10"/>
      <c r="AN145" s="10"/>
      <c r="AO145" s="10"/>
      <c r="AP145" s="10"/>
      <c r="AQ145" s="10"/>
      <c r="AR145" s="10"/>
      <c r="AS145" s="10"/>
      <c r="AT145" s="10"/>
    </row>
    <row r="146" spans="2:46" ht="14.45" customHeight="1" x14ac:dyDescent="0.2">
      <c r="B146" s="742" t="s">
        <v>1208</v>
      </c>
      <c r="C146" s="743"/>
      <c r="D146" s="744"/>
      <c r="E146" s="755">
        <f>P123</f>
        <v>0</v>
      </c>
      <c r="F146" s="727"/>
      <c r="G146" s="977"/>
      <c r="H146" s="977"/>
      <c r="I146" s="914">
        <f t="shared" si="19"/>
        <v>0</v>
      </c>
      <c r="J146" s="914"/>
      <c r="K146" s="623"/>
      <c r="L146" s="624"/>
      <c r="M146" s="624"/>
      <c r="N146" s="624"/>
      <c r="O146" s="625"/>
      <c r="P146" s="961"/>
      <c r="R146" s="548">
        <f t="shared" si="20"/>
        <v>0</v>
      </c>
      <c r="S146" s="147">
        <f>LARGE($R$138:$R$152,9)</f>
        <v>0</v>
      </c>
      <c r="T146" s="544">
        <f t="shared" si="25"/>
        <v>0</v>
      </c>
      <c r="U146" s="548">
        <f t="shared" si="21"/>
        <v>0</v>
      </c>
      <c r="V146" s="50">
        <f t="shared" si="24"/>
        <v>0</v>
      </c>
      <c r="W146" s="10"/>
      <c r="X146" s="10"/>
      <c r="Y146" s="291">
        <f t="shared" si="26"/>
        <v>0</v>
      </c>
      <c r="Z146" s="73"/>
      <c r="AD146" s="10"/>
      <c r="AE146" s="10"/>
      <c r="AF146" s="10"/>
      <c r="AG146" s="10"/>
      <c r="AH146" s="10"/>
      <c r="AI146" s="10"/>
      <c r="AJ146" s="10"/>
      <c r="AK146" s="10"/>
      <c r="AL146" s="10"/>
      <c r="AM146" s="10"/>
      <c r="AN146" s="10"/>
      <c r="AO146" s="10"/>
      <c r="AP146" s="10"/>
      <c r="AQ146" s="10"/>
      <c r="AR146" s="10"/>
      <c r="AS146" s="10"/>
      <c r="AT146" s="10"/>
    </row>
    <row r="147" spans="2:46" ht="14.45" customHeight="1" x14ac:dyDescent="0.2">
      <c r="B147" s="742" t="s">
        <v>1214</v>
      </c>
      <c r="C147" s="743"/>
      <c r="D147" s="744"/>
      <c r="E147" s="755">
        <f>P125</f>
        <v>0</v>
      </c>
      <c r="F147" s="727"/>
      <c r="G147" s="977"/>
      <c r="H147" s="977"/>
      <c r="I147" s="914">
        <f t="shared" si="19"/>
        <v>0</v>
      </c>
      <c r="J147" s="914"/>
      <c r="K147" s="623"/>
      <c r="L147" s="624"/>
      <c r="M147" s="624"/>
      <c r="N147" s="624"/>
      <c r="O147" s="625"/>
      <c r="P147" s="961"/>
      <c r="R147" s="548">
        <f t="shared" si="20"/>
        <v>0</v>
      </c>
      <c r="S147" s="147">
        <f>LARGE($R$138:$R$152,10)</f>
        <v>0</v>
      </c>
      <c r="T147" s="544">
        <f t="shared" si="25"/>
        <v>0</v>
      </c>
      <c r="U147" s="548">
        <f t="shared" si="21"/>
        <v>0</v>
      </c>
      <c r="V147" s="50">
        <f t="shared" si="24"/>
        <v>0</v>
      </c>
      <c r="W147" s="10"/>
      <c r="X147" s="10"/>
      <c r="Y147" s="291">
        <f t="shared" si="26"/>
        <v>0</v>
      </c>
      <c r="Z147" s="73"/>
      <c r="AD147" s="10"/>
      <c r="AE147" s="10"/>
      <c r="AF147" s="10"/>
      <c r="AG147" s="10"/>
      <c r="AH147" s="10"/>
      <c r="AI147" s="10"/>
      <c r="AJ147" s="10"/>
      <c r="AK147" s="10"/>
      <c r="AL147" s="10"/>
      <c r="AM147" s="10"/>
      <c r="AN147" s="10"/>
      <c r="AO147" s="10"/>
      <c r="AP147" s="10"/>
      <c r="AQ147" s="10"/>
      <c r="AR147" s="10"/>
      <c r="AS147" s="10"/>
      <c r="AT147" s="10"/>
    </row>
    <row r="148" spans="2:46" ht="14.45" customHeight="1" x14ac:dyDescent="0.2">
      <c r="B148" s="742" t="s">
        <v>373</v>
      </c>
      <c r="C148" s="743"/>
      <c r="D148" s="744"/>
      <c r="E148" s="755">
        <f>P130</f>
        <v>0</v>
      </c>
      <c r="F148" s="727"/>
      <c r="G148" s="977"/>
      <c r="H148" s="977"/>
      <c r="I148" s="914">
        <f t="shared" si="19"/>
        <v>0</v>
      </c>
      <c r="J148" s="914"/>
      <c r="K148" s="915" t="str">
        <f>IF(AND(P88&gt;0,E615&gt;0),"A value has been granted for motor loss. Additional impairment value is not allowed for reduced ROM in the same extremity.","")</f>
        <v/>
      </c>
      <c r="L148" s="916"/>
      <c r="M148" s="916"/>
      <c r="N148" s="916"/>
      <c r="O148" s="917"/>
      <c r="P148" s="961"/>
      <c r="R148" s="548">
        <f t="shared" si="20"/>
        <v>0</v>
      </c>
      <c r="S148" s="147">
        <f>LARGE($R$138:$R$152,11)</f>
        <v>0</v>
      </c>
      <c r="T148" s="544">
        <f t="shared" si="25"/>
        <v>0</v>
      </c>
      <c r="U148" s="548">
        <f t="shared" si="21"/>
        <v>0</v>
      </c>
      <c r="V148" s="50">
        <f t="shared" si="24"/>
        <v>0</v>
      </c>
      <c r="W148" s="10"/>
      <c r="X148" s="10"/>
      <c r="Y148" s="291">
        <f t="shared" si="26"/>
        <v>0</v>
      </c>
      <c r="Z148" s="73"/>
      <c r="AC148" s="10"/>
      <c r="AD148" s="10"/>
      <c r="AE148" s="10"/>
      <c r="AF148" s="10"/>
      <c r="AG148" s="10"/>
      <c r="AH148" s="10"/>
      <c r="AI148" s="10"/>
      <c r="AJ148" s="10"/>
      <c r="AK148" s="10"/>
      <c r="AL148" s="10"/>
      <c r="AM148" s="10"/>
      <c r="AN148" s="10"/>
      <c r="AO148" s="10"/>
      <c r="AP148" s="10"/>
      <c r="AQ148" s="10"/>
      <c r="AR148" s="10"/>
      <c r="AS148" s="10"/>
      <c r="AT148" s="10"/>
    </row>
    <row r="149" spans="2:46" ht="14.45" customHeight="1" x14ac:dyDescent="0.2">
      <c r="B149" s="742" t="s">
        <v>374</v>
      </c>
      <c r="C149" s="743"/>
      <c r="D149" s="744"/>
      <c r="E149" s="755">
        <f>P131</f>
        <v>0</v>
      </c>
      <c r="F149" s="727"/>
      <c r="G149" s="977"/>
      <c r="H149" s="977"/>
      <c r="I149" s="914">
        <f t="shared" si="19"/>
        <v>0</v>
      </c>
      <c r="J149" s="914"/>
      <c r="K149" s="915"/>
      <c r="L149" s="916"/>
      <c r="M149" s="916"/>
      <c r="N149" s="916"/>
      <c r="O149" s="917"/>
      <c r="P149" s="961"/>
      <c r="R149" s="548">
        <f t="shared" si="20"/>
        <v>0</v>
      </c>
      <c r="S149" s="147">
        <f>LARGE($R$138:$R$152,12)</f>
        <v>0</v>
      </c>
      <c r="T149" s="544">
        <f t="shared" si="25"/>
        <v>0</v>
      </c>
      <c r="U149" s="548">
        <f t="shared" si="21"/>
        <v>0</v>
      </c>
      <c r="V149" s="50">
        <f t="shared" si="24"/>
        <v>0</v>
      </c>
      <c r="W149" s="10"/>
      <c r="X149" s="10"/>
      <c r="Y149" s="291">
        <f t="shared" si="26"/>
        <v>0</v>
      </c>
      <c r="Z149" s="57"/>
      <c r="AC149" s="10"/>
      <c r="AD149" s="10"/>
      <c r="AE149" s="10"/>
      <c r="AF149" s="10"/>
      <c r="AG149" s="10"/>
      <c r="AH149" s="10"/>
      <c r="AI149" s="10"/>
      <c r="AJ149" s="10"/>
      <c r="AK149" s="10"/>
      <c r="AL149" s="10"/>
      <c r="AM149" s="10"/>
      <c r="AN149" s="10"/>
      <c r="AO149" s="10"/>
      <c r="AP149" s="10"/>
      <c r="AQ149" s="10"/>
      <c r="AR149" s="10"/>
      <c r="AS149" s="10"/>
      <c r="AT149" s="10"/>
    </row>
    <row r="150" spans="2:46" ht="14.45" customHeight="1" x14ac:dyDescent="0.2">
      <c r="B150" s="742" t="s">
        <v>792</v>
      </c>
      <c r="C150" s="743"/>
      <c r="D150" s="744"/>
      <c r="E150" s="755">
        <f>P132</f>
        <v>0</v>
      </c>
      <c r="F150" s="727"/>
      <c r="G150" s="977"/>
      <c r="H150" s="977"/>
      <c r="I150" s="914">
        <f t="shared" si="19"/>
        <v>0</v>
      </c>
      <c r="J150" s="914"/>
      <c r="K150" s="915"/>
      <c r="L150" s="916"/>
      <c r="M150" s="916"/>
      <c r="N150" s="916"/>
      <c r="O150" s="917"/>
      <c r="P150" s="961"/>
      <c r="R150" s="548">
        <f t="shared" si="20"/>
        <v>0</v>
      </c>
      <c r="S150" s="147">
        <f>LARGE($R$138:$R$152,13)</f>
        <v>0</v>
      </c>
      <c r="T150" s="544">
        <f t="shared" si="25"/>
        <v>0</v>
      </c>
      <c r="U150" s="548">
        <f t="shared" si="21"/>
        <v>0</v>
      </c>
      <c r="V150" s="50">
        <f t="shared" si="24"/>
        <v>0</v>
      </c>
      <c r="W150" s="10"/>
      <c r="X150" s="10"/>
      <c r="Y150" s="291">
        <f t="shared" si="26"/>
        <v>0</v>
      </c>
      <c r="Z150" s="57"/>
      <c r="AC150" s="10"/>
      <c r="AD150" s="10"/>
      <c r="AE150" s="10"/>
      <c r="AF150" s="10"/>
      <c r="AG150" s="10"/>
      <c r="AH150" s="10"/>
      <c r="AI150" s="10"/>
      <c r="AJ150" s="10"/>
      <c r="AK150" s="10"/>
      <c r="AL150" s="10"/>
      <c r="AM150" s="10"/>
      <c r="AN150" s="10"/>
      <c r="AO150" s="10"/>
      <c r="AP150" s="10"/>
      <c r="AQ150" s="10"/>
      <c r="AR150" s="10"/>
      <c r="AS150" s="10"/>
      <c r="AT150" s="10"/>
    </row>
    <row r="151" spans="2:46" ht="14.45" customHeight="1" x14ac:dyDescent="0.2">
      <c r="B151" s="742" t="s">
        <v>1419</v>
      </c>
      <c r="C151" s="743"/>
      <c r="D151" s="744"/>
      <c r="E151" s="755">
        <f>P134</f>
        <v>0</v>
      </c>
      <c r="F151" s="727"/>
      <c r="G151" s="977"/>
      <c r="H151" s="977"/>
      <c r="I151" s="914">
        <f>IF(AND(Y151&lt;0.01,Y151&gt;0),0.01,ROUND(Y151,2))</f>
        <v>0</v>
      </c>
      <c r="J151" s="914"/>
      <c r="K151" s="915"/>
      <c r="L151" s="916"/>
      <c r="M151" s="916"/>
      <c r="N151" s="916"/>
      <c r="O151" s="917"/>
      <c r="P151" s="961"/>
      <c r="R151" s="548">
        <f t="shared" si="20"/>
        <v>0</v>
      </c>
      <c r="S151" s="147">
        <f>LARGE($R$138:$R$152,14)</f>
        <v>0</v>
      </c>
      <c r="T151" s="544">
        <f t="shared" si="25"/>
        <v>0</v>
      </c>
      <c r="U151" s="548">
        <f t="shared" si="21"/>
        <v>0</v>
      </c>
      <c r="V151" s="50">
        <f t="shared" si="24"/>
        <v>0</v>
      </c>
      <c r="W151" s="10"/>
      <c r="X151" s="10"/>
      <c r="Y151" s="291">
        <f t="shared" ref="Y151:Y152" si="27">E151*G151</f>
        <v>0</v>
      </c>
      <c r="Z151" s="73"/>
      <c r="AA151" s="10"/>
      <c r="AB151" s="10"/>
      <c r="AC151" s="10"/>
      <c r="AD151" s="10"/>
      <c r="AE151" s="10"/>
      <c r="AF151" s="10"/>
      <c r="AG151" s="10"/>
      <c r="AH151" s="10"/>
      <c r="AI151" s="10"/>
      <c r="AJ151" s="10"/>
      <c r="AK151" s="10"/>
      <c r="AL151" s="10"/>
      <c r="AM151" s="10"/>
      <c r="AN151" s="10"/>
      <c r="AO151" s="10"/>
      <c r="AP151" s="10"/>
      <c r="AQ151" s="10"/>
      <c r="AR151" s="10"/>
      <c r="AS151" s="10"/>
      <c r="AT151" s="10"/>
    </row>
    <row r="152" spans="2:46" ht="14.45" customHeight="1" x14ac:dyDescent="0.2">
      <c r="B152" s="789" t="s">
        <v>1235</v>
      </c>
      <c r="C152" s="789"/>
      <c r="D152" s="789"/>
      <c r="E152" s="1022">
        <f>P135</f>
        <v>0</v>
      </c>
      <c r="F152" s="1022"/>
      <c r="G152" s="923"/>
      <c r="H152" s="923"/>
      <c r="I152" s="929">
        <f>IF(AND(Y152&lt;0.01,Y152&gt;0),0.01,ROUND(Y152,2))</f>
        <v>0</v>
      </c>
      <c r="J152" s="929"/>
      <c r="K152" s="918"/>
      <c r="L152" s="919"/>
      <c r="M152" s="919"/>
      <c r="N152" s="919"/>
      <c r="O152" s="920"/>
      <c r="P152" s="961"/>
      <c r="R152" s="548">
        <f>IF(I152&gt;0,I152,E152)</f>
        <v>0</v>
      </c>
      <c r="S152" s="147">
        <f>LARGE($R$138:$R$152,15)</f>
        <v>0</v>
      </c>
      <c r="T152" s="562"/>
      <c r="U152" s="548"/>
      <c r="V152" s="50">
        <f t="shared" si="24"/>
        <v>0</v>
      </c>
      <c r="W152" s="10"/>
      <c r="X152" s="10"/>
      <c r="Y152" s="291">
        <f t="shared" si="27"/>
        <v>0</v>
      </c>
      <c r="Z152" s="73"/>
      <c r="AA152" s="10"/>
      <c r="AB152" s="10"/>
      <c r="AC152" s="10"/>
      <c r="AD152" s="10"/>
      <c r="AE152" s="10"/>
      <c r="AF152" s="10"/>
      <c r="AG152" s="10"/>
      <c r="AH152" s="10"/>
      <c r="AI152" s="10"/>
      <c r="AJ152" s="10"/>
      <c r="AK152" s="10"/>
      <c r="AL152" s="10"/>
      <c r="AM152" s="10"/>
      <c r="AN152" s="10"/>
      <c r="AO152" s="10"/>
      <c r="AP152" s="10"/>
      <c r="AQ152" s="10"/>
      <c r="AR152" s="10"/>
      <c r="AS152" s="10"/>
      <c r="AT152" s="10"/>
    </row>
    <row r="153" spans="2:46" ht="14.25" customHeight="1" x14ac:dyDescent="0.2">
      <c r="B153" s="956" t="s">
        <v>570</v>
      </c>
      <c r="C153" s="956"/>
      <c r="D153" s="956"/>
      <c r="E153" s="956"/>
      <c r="F153" s="956"/>
      <c r="G153" s="956"/>
      <c r="H153" s="956"/>
      <c r="I153" s="956"/>
      <c r="J153" s="956"/>
      <c r="K153" s="956"/>
      <c r="L153" s="956"/>
      <c r="M153" s="956"/>
      <c r="N153" s="956"/>
      <c r="O153" s="956"/>
      <c r="P153" s="962"/>
      <c r="S153" s="14"/>
      <c r="T153" s="142"/>
      <c r="U153" s="128"/>
      <c r="V153" s="10"/>
      <c r="W153" s="10"/>
      <c r="X153" s="10"/>
      <c r="Y153" s="10"/>
      <c r="Z153" s="73"/>
      <c r="AA153" s="10"/>
      <c r="AB153" s="10"/>
      <c r="AC153" s="10"/>
      <c r="AD153" s="10"/>
      <c r="AE153" s="10"/>
      <c r="AF153" s="10"/>
      <c r="AG153" s="10"/>
      <c r="AH153" s="10"/>
      <c r="AI153" s="10"/>
      <c r="AJ153" s="10"/>
      <c r="AK153" s="10"/>
      <c r="AL153" s="10"/>
      <c r="AM153" s="10"/>
      <c r="AN153" s="10"/>
      <c r="AO153" s="10"/>
      <c r="AP153" s="10"/>
      <c r="AQ153" s="10"/>
      <c r="AR153" s="10"/>
      <c r="AS153" s="10"/>
      <c r="AT153" s="10"/>
    </row>
    <row r="154" spans="2:46" ht="12" customHeight="1" x14ac:dyDescent="0.2">
      <c r="B154" s="1"/>
      <c r="D154" s="1"/>
      <c r="E154" s="1"/>
      <c r="F154" s="1"/>
      <c r="G154" s="1"/>
      <c r="H154" s="1"/>
      <c r="I154" s="1"/>
      <c r="J154" s="1"/>
      <c r="K154" s="1"/>
      <c r="L154" s="1"/>
      <c r="M154" s="1"/>
      <c r="N154" s="1"/>
      <c r="O154" s="1"/>
      <c r="P154" s="1"/>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row>
    <row r="155" spans="2:46" ht="12" customHeight="1" x14ac:dyDescent="0.2">
      <c r="B155" s="1"/>
      <c r="D155" s="1"/>
      <c r="E155" s="1"/>
      <c r="F155" s="1"/>
      <c r="G155" s="1"/>
      <c r="H155" s="1"/>
      <c r="I155" s="1"/>
      <c r="J155" s="1"/>
      <c r="K155" s="1"/>
      <c r="L155" s="1"/>
      <c r="M155" s="1"/>
      <c r="N155" s="1"/>
      <c r="O155" s="1"/>
      <c r="P155" s="1"/>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row>
    <row r="156" spans="2:46" ht="16.5" customHeight="1" x14ac:dyDescent="0.2">
      <c r="B156" s="892" t="s">
        <v>571</v>
      </c>
      <c r="C156" s="893"/>
      <c r="D156" s="893"/>
      <c r="E156" s="893"/>
      <c r="F156" s="893"/>
      <c r="G156" s="893"/>
      <c r="H156" s="893"/>
      <c r="I156" s="893"/>
      <c r="J156" s="893"/>
      <c r="K156" s="893"/>
      <c r="L156" s="893"/>
      <c r="M156" s="893"/>
      <c r="N156" s="893"/>
      <c r="O156" s="893"/>
      <c r="P156" s="894"/>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row>
    <row r="157" spans="2:46" ht="15" customHeight="1" x14ac:dyDescent="0.2">
      <c r="B157" s="791" t="s">
        <v>1777</v>
      </c>
      <c r="C157" s="791"/>
      <c r="D157" s="791"/>
      <c r="E157" s="791"/>
      <c r="F157" s="791"/>
      <c r="G157" s="791"/>
      <c r="H157" s="791"/>
      <c r="I157" s="791"/>
      <c r="J157" s="791"/>
      <c r="K157" s="791"/>
      <c r="L157" s="791"/>
      <c r="M157" s="791"/>
      <c r="N157" s="791"/>
      <c r="O157" s="791"/>
      <c r="P157" s="914">
        <f>SUMIF(S157:Y157,B158,S158:Y158)</f>
        <v>0</v>
      </c>
      <c r="R157" s="948" t="s">
        <v>1305</v>
      </c>
      <c r="S157" s="50" t="s">
        <v>511</v>
      </c>
      <c r="T157" s="552" t="s">
        <v>1306</v>
      </c>
      <c r="U157" s="50" t="s">
        <v>513</v>
      </c>
      <c r="V157" s="50" t="s">
        <v>1060</v>
      </c>
      <c r="W157" s="50" t="s">
        <v>1063</v>
      </c>
      <c r="X157" s="50" t="s">
        <v>702</v>
      </c>
      <c r="Y157" s="50" t="s">
        <v>577</v>
      </c>
      <c r="Z157" s="10"/>
      <c r="AA157" s="10"/>
      <c r="AB157" s="10"/>
      <c r="AC157" s="10"/>
      <c r="AD157" s="10"/>
      <c r="AE157" s="10"/>
      <c r="AF157" s="10"/>
      <c r="AG157" s="10"/>
      <c r="AH157" s="10"/>
      <c r="AI157" s="10"/>
      <c r="AJ157" s="10"/>
      <c r="AK157" s="14"/>
      <c r="AL157" s="14"/>
      <c r="AM157" s="14"/>
      <c r="AN157" s="14"/>
      <c r="AO157" s="14"/>
      <c r="AP157" s="10"/>
      <c r="AQ157" s="10"/>
      <c r="AR157" s="10"/>
      <c r="AS157" s="10"/>
      <c r="AT157" s="10"/>
    </row>
    <row r="158" spans="2:46" ht="15" customHeight="1" x14ac:dyDescent="0.2">
      <c r="B158" s="1012"/>
      <c r="C158" s="1012"/>
      <c r="D158" s="1012"/>
      <c r="E158" s="1012"/>
      <c r="F158" s="1012"/>
      <c r="G158" s="1012"/>
      <c r="H158" s="1012"/>
      <c r="I158" s="1012"/>
      <c r="J158" s="1012"/>
      <c r="K158" s="1012"/>
      <c r="L158" s="1012"/>
      <c r="M158" s="1012"/>
      <c r="N158" s="1012"/>
      <c r="O158" s="1012"/>
      <c r="P158" s="914"/>
      <c r="R158" s="776"/>
      <c r="S158" s="548">
        <v>0</v>
      </c>
      <c r="T158" s="147">
        <v>0.1</v>
      </c>
      <c r="U158" s="147">
        <v>0.3</v>
      </c>
      <c r="V158" s="147">
        <v>0.5</v>
      </c>
      <c r="W158" s="147">
        <v>0.63</v>
      </c>
      <c r="X158" s="147">
        <v>0.75</v>
      </c>
      <c r="Y158" s="147">
        <v>1</v>
      </c>
      <c r="Z158" s="10"/>
      <c r="AA158" s="10"/>
      <c r="AB158" s="10"/>
      <c r="AC158" s="10"/>
      <c r="AD158" s="10"/>
      <c r="AE158" s="10"/>
      <c r="AF158" s="10"/>
      <c r="AG158" s="10"/>
      <c r="AH158" s="10"/>
      <c r="AI158" s="10"/>
      <c r="AJ158" s="10"/>
      <c r="AK158" s="10"/>
      <c r="AL158" s="10"/>
      <c r="AM158" s="10"/>
      <c r="AN158" s="10"/>
      <c r="AO158" s="10"/>
      <c r="AP158" s="10"/>
      <c r="AQ158" s="10"/>
      <c r="AR158" s="10"/>
      <c r="AS158" s="10"/>
      <c r="AT158" s="10"/>
    </row>
    <row r="159" spans="2:46" ht="15" customHeight="1" x14ac:dyDescent="0.2">
      <c r="B159" s="958" t="str">
        <f>IF(AND(P157&gt;0.1,B161=""),"Enter specific level of amputation or shortening below.","")</f>
        <v/>
      </c>
      <c r="C159" s="958"/>
      <c r="D159" s="958"/>
      <c r="E159" s="958"/>
      <c r="F159" s="958"/>
      <c r="G159" s="958"/>
      <c r="H159" s="958"/>
      <c r="I159" s="958"/>
      <c r="J159" s="958"/>
      <c r="K159" s="958"/>
      <c r="L159" s="958"/>
      <c r="M159" s="958"/>
      <c r="N159" s="958"/>
      <c r="O159" s="958"/>
      <c r="P159" s="958"/>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row>
    <row r="160" spans="2:46" ht="27" customHeight="1" x14ac:dyDescent="0.2">
      <c r="B160" s="761" t="s">
        <v>575</v>
      </c>
      <c r="C160" s="761"/>
      <c r="D160" s="761"/>
      <c r="E160" s="761"/>
      <c r="F160" s="761"/>
      <c r="G160" s="761"/>
      <c r="H160" s="761"/>
      <c r="I160" s="761"/>
      <c r="J160" s="761"/>
      <c r="K160" s="761"/>
      <c r="L160" s="761"/>
      <c r="M160" s="761"/>
      <c r="N160" s="761"/>
      <c r="O160" s="761"/>
      <c r="P160" s="914">
        <f>IF(P157=1,0,U12)</f>
        <v>0</v>
      </c>
      <c r="R160" s="514">
        <f>SUMIF(S160:AD160,B161,S161:AD161)</f>
        <v>0</v>
      </c>
      <c r="S160" s="50" t="s">
        <v>1166</v>
      </c>
      <c r="T160" s="50" t="s">
        <v>1167</v>
      </c>
      <c r="U160" s="50" t="s">
        <v>1168</v>
      </c>
      <c r="V160" s="50" t="s">
        <v>1169</v>
      </c>
      <c r="W160" s="50" t="s">
        <v>1883</v>
      </c>
      <c r="X160" s="50" t="s">
        <v>1884</v>
      </c>
      <c r="Y160" s="50" t="s">
        <v>659</v>
      </c>
      <c r="Z160" s="50" t="s">
        <v>660</v>
      </c>
      <c r="AA160" s="50" t="s">
        <v>661</v>
      </c>
      <c r="AB160" s="50" t="s">
        <v>662</v>
      </c>
      <c r="AC160" s="50" t="s">
        <v>663</v>
      </c>
      <c r="AD160" s="50" t="s">
        <v>664</v>
      </c>
      <c r="AE160" s="10"/>
      <c r="AF160" s="10"/>
      <c r="AG160" s="10"/>
      <c r="AH160" s="10"/>
      <c r="AI160" s="10"/>
      <c r="AJ160" s="10"/>
      <c r="AK160" s="10"/>
      <c r="AL160" s="10"/>
      <c r="AM160" s="10"/>
      <c r="AN160" s="10"/>
      <c r="AO160" s="10"/>
      <c r="AP160" s="10"/>
      <c r="AQ160" s="10"/>
      <c r="AR160" s="10"/>
      <c r="AS160" s="10"/>
      <c r="AT160" s="10"/>
    </row>
    <row r="161" spans="2:46" ht="15" customHeight="1" x14ac:dyDescent="0.2">
      <c r="B161" s="1012"/>
      <c r="C161" s="1012"/>
      <c r="D161" s="1012"/>
      <c r="E161" s="1012"/>
      <c r="F161" s="1012"/>
      <c r="G161" s="1012"/>
      <c r="H161" s="1012"/>
      <c r="I161" s="1012"/>
      <c r="J161" s="1012"/>
      <c r="K161" s="1012"/>
      <c r="L161" s="1012"/>
      <c r="M161" s="1012"/>
      <c r="N161" s="1012"/>
      <c r="O161" s="1012"/>
      <c r="P161" s="914"/>
      <c r="R161" s="761" t="s">
        <v>665</v>
      </c>
      <c r="S161" s="147">
        <v>0</v>
      </c>
      <c r="T161" s="147">
        <v>0.05</v>
      </c>
      <c r="U161" s="147">
        <v>0.05</v>
      </c>
      <c r="V161" s="147">
        <v>0.1</v>
      </c>
      <c r="W161" s="147">
        <v>0.15</v>
      </c>
      <c r="X161" s="147">
        <v>0.2</v>
      </c>
      <c r="Y161" s="147">
        <v>0.2</v>
      </c>
      <c r="Z161" s="147">
        <v>0.25</v>
      </c>
      <c r="AA161" s="147">
        <v>0.25</v>
      </c>
      <c r="AB161" s="147">
        <v>0.25</v>
      </c>
      <c r="AC161" s="147">
        <v>0.25</v>
      </c>
      <c r="AD161" s="147">
        <v>0.3</v>
      </c>
      <c r="AE161" s="10"/>
      <c r="AF161" s="10"/>
      <c r="AG161" s="10"/>
      <c r="AH161" s="10"/>
      <c r="AI161" s="10"/>
      <c r="AJ161" s="10"/>
      <c r="AK161" s="10"/>
      <c r="AL161" s="10"/>
      <c r="AM161" s="10"/>
      <c r="AN161" s="10"/>
      <c r="AO161" s="10"/>
      <c r="AP161" s="10"/>
      <c r="AQ161" s="10"/>
      <c r="AR161" s="10"/>
      <c r="AS161" s="10"/>
      <c r="AT161" s="10"/>
    </row>
    <row r="162" spans="2:46" ht="18" customHeight="1" x14ac:dyDescent="0.2">
      <c r="B162" s="1068" t="s">
        <v>666</v>
      </c>
      <c r="C162" s="1068"/>
      <c r="D162" s="1068"/>
      <c r="E162" s="1068"/>
      <c r="F162" s="1068"/>
      <c r="G162" s="1068"/>
      <c r="H162" s="1068"/>
      <c r="I162" s="1068"/>
      <c r="J162" s="1068"/>
      <c r="K162" s="1068"/>
      <c r="L162" s="1068"/>
      <c r="M162" s="1068"/>
      <c r="N162" s="1068"/>
      <c r="O162" s="1068"/>
      <c r="P162" s="914"/>
      <c r="R162" s="761"/>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row>
    <row r="163" spans="2:46" ht="7.5" customHeight="1" x14ac:dyDescent="0.2">
      <c r="B163" s="777"/>
      <c r="C163" s="777"/>
      <c r="D163" s="777"/>
      <c r="E163" s="777"/>
      <c r="F163" s="777"/>
      <c r="G163" s="777"/>
      <c r="H163" s="777"/>
      <c r="I163" s="777"/>
      <c r="J163" s="777"/>
      <c r="K163" s="777"/>
      <c r="L163" s="777"/>
      <c r="M163" s="777"/>
      <c r="N163" s="777"/>
      <c r="O163" s="777"/>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row>
    <row r="164" spans="2:46" ht="9.75" customHeight="1" x14ac:dyDescent="0.2">
      <c r="B164" s="777"/>
      <c r="C164" s="777"/>
      <c r="D164" s="777"/>
      <c r="E164" s="777"/>
      <c r="F164" s="777"/>
      <c r="G164" s="777"/>
      <c r="H164" s="777"/>
      <c r="I164" s="777"/>
      <c r="J164" s="777"/>
      <c r="K164" s="777"/>
      <c r="L164" s="777"/>
      <c r="M164" s="777"/>
      <c r="N164" s="777"/>
      <c r="O164" s="777"/>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row>
    <row r="165" spans="2:46" ht="15" customHeight="1" x14ac:dyDescent="0.2">
      <c r="B165" s="910" t="s">
        <v>1563</v>
      </c>
      <c r="C165" s="910"/>
      <c r="D165" s="910"/>
      <c r="E165" s="910"/>
      <c r="F165" s="910"/>
      <c r="G165" s="910"/>
      <c r="H165" s="910"/>
      <c r="I165" s="910"/>
      <c r="J165" s="910"/>
      <c r="K165" s="910"/>
      <c r="L165" s="910"/>
      <c r="M165" s="910"/>
      <c r="N165" s="910"/>
      <c r="O165" s="910"/>
      <c r="P165" s="755">
        <f>IF(R178=1,"ERROR",AD177)</f>
        <v>0</v>
      </c>
      <c r="R165" s="10"/>
      <c r="S165" s="10"/>
      <c r="T165" s="761" t="s">
        <v>1238</v>
      </c>
      <c r="U165" s="761" t="s">
        <v>1238</v>
      </c>
      <c r="V165" s="10"/>
      <c r="W165" s="10"/>
      <c r="X165" s="10"/>
      <c r="Y165" s="10"/>
      <c r="Z165" s="10"/>
      <c r="AA165" s="10"/>
      <c r="AB165" s="10"/>
      <c r="AC165" s="724"/>
      <c r="AD165" s="724"/>
      <c r="AE165" s="10"/>
      <c r="AF165" s="10"/>
      <c r="AG165" s="10"/>
      <c r="AH165" s="10"/>
      <c r="AI165" s="10"/>
      <c r="AJ165" s="10"/>
      <c r="AK165" s="10"/>
      <c r="AL165" s="10"/>
      <c r="AM165" s="10"/>
      <c r="AN165" s="10"/>
      <c r="AO165" s="10"/>
      <c r="AP165" s="10"/>
      <c r="AQ165" s="10"/>
      <c r="AR165" s="10"/>
      <c r="AS165" s="10"/>
      <c r="AT165" s="10"/>
    </row>
    <row r="166" spans="2:46" ht="27" customHeight="1" x14ac:dyDescent="0.2">
      <c r="B166" s="18" t="s">
        <v>1535</v>
      </c>
      <c r="C166" s="910" t="s">
        <v>1564</v>
      </c>
      <c r="D166" s="910"/>
      <c r="E166" s="910"/>
      <c r="F166" s="910"/>
      <c r="G166" s="912" t="s">
        <v>1064</v>
      </c>
      <c r="H166" s="912"/>
      <c r="I166" s="912"/>
      <c r="J166" s="912"/>
      <c r="K166" s="910"/>
      <c r="L166" s="910"/>
      <c r="M166" s="910"/>
      <c r="N166" s="910"/>
      <c r="O166" s="910"/>
      <c r="P166" s="755"/>
      <c r="R166" s="10"/>
      <c r="S166" s="10"/>
      <c r="T166" s="948"/>
      <c r="U166" s="948"/>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row>
    <row r="167" spans="2:46" ht="18" customHeight="1" x14ac:dyDescent="0.2">
      <c r="B167" s="18"/>
      <c r="C167" s="910" t="s">
        <v>355</v>
      </c>
      <c r="D167" s="910"/>
      <c r="E167" s="910" t="s">
        <v>1759</v>
      </c>
      <c r="F167" s="910"/>
      <c r="G167" s="910" t="s">
        <v>355</v>
      </c>
      <c r="H167" s="910"/>
      <c r="I167" s="910" t="s">
        <v>1759</v>
      </c>
      <c r="J167" s="910"/>
      <c r="K167" s="910"/>
      <c r="L167" s="910"/>
      <c r="M167" s="910"/>
      <c r="N167" s="910"/>
      <c r="O167" s="910"/>
      <c r="P167" s="755"/>
      <c r="R167" s="10"/>
      <c r="S167" s="50" t="s">
        <v>1622</v>
      </c>
      <c r="T167" s="498" t="s">
        <v>1564</v>
      </c>
      <c r="U167" s="256" t="s">
        <v>1565</v>
      </c>
      <c r="V167" s="910" t="s">
        <v>1066</v>
      </c>
      <c r="W167" s="910"/>
      <c r="X167" s="910"/>
      <c r="Y167" s="910"/>
      <c r="AA167" s="10"/>
      <c r="AB167" s="10"/>
      <c r="AC167" s="10"/>
      <c r="AD167" s="10"/>
      <c r="AE167" s="10"/>
      <c r="AF167" s="10"/>
      <c r="AG167" s="10"/>
      <c r="AH167" s="10"/>
      <c r="AI167" s="10"/>
      <c r="AJ167" s="10"/>
      <c r="AK167" s="10"/>
      <c r="AL167" s="10"/>
      <c r="AM167" s="10"/>
      <c r="AN167" s="10"/>
      <c r="AO167" s="10"/>
      <c r="AP167" s="10"/>
      <c r="AQ167" s="10"/>
      <c r="AR167" s="10"/>
      <c r="AS167" s="10"/>
      <c r="AT167" s="10"/>
    </row>
    <row r="168" spans="2:46" ht="13.5" customHeight="1" x14ac:dyDescent="0.2">
      <c r="B168" s="146" t="s">
        <v>667</v>
      </c>
      <c r="C168" s="694"/>
      <c r="D168" s="694"/>
      <c r="E168" s="921">
        <f>UETable!BF25</f>
        <v>0</v>
      </c>
      <c r="F168" s="921"/>
      <c r="G168" s="694"/>
      <c r="H168" s="694"/>
      <c r="I168" s="936">
        <f>IF(C168="",0,IF(OR(C168&lt;=0,G168&lt;=0),E168,IF(G168&lt;C168,0,UETable!BK25)))</f>
        <v>0</v>
      </c>
      <c r="J168" s="936"/>
      <c r="K168" s="930" t="str">
        <f>IF(OR(C168="NA",G168="NA"),"",IF(AND(C168&lt;&gt;"",G168=""),"Enter contralateral or NA.",IF(AND(C168="",G168&lt;&gt;""),"Need data","")))</f>
        <v/>
      </c>
      <c r="L168" s="930"/>
      <c r="M168" s="930"/>
      <c r="N168" s="930"/>
      <c r="O168" s="930"/>
      <c r="P168" s="755"/>
      <c r="R168" s="131"/>
      <c r="S168" s="50">
        <v>70</v>
      </c>
      <c r="T168" s="566" t="str">
        <f>IF(OR(C168="",C168="NA"),"",IF(C168&gt;S168,S168,IF(C168&lt;0,0,C168)))</f>
        <v/>
      </c>
      <c r="U168" s="50" t="str">
        <f>IF(OR(G168="",G168="NA"),"",IF(G168&gt;S168,S168,IF(G168&lt;0,0,G168)))</f>
        <v/>
      </c>
      <c r="V168" s="553" t="str">
        <f>IF(Y168="","",ROUND(Y168,0))</f>
        <v/>
      </c>
      <c r="W168" s="791" t="s">
        <v>1184</v>
      </c>
      <c r="X168" s="791"/>
      <c r="Y168" s="554" t="str">
        <f>IF(T168="","",IF(OR(U168="",U168=0,U168&lt;T168),T168,(T168*70)/U168))</f>
        <v/>
      </c>
      <c r="Z168" s="10"/>
      <c r="AA168" s="10"/>
      <c r="AB168" s="10"/>
      <c r="AC168" s="10"/>
      <c r="AD168" s="10"/>
      <c r="AE168" s="10"/>
      <c r="AF168" s="10"/>
      <c r="AG168" s="10"/>
      <c r="AH168" s="10"/>
      <c r="AI168" s="10"/>
      <c r="AJ168" s="10"/>
      <c r="AK168" s="10"/>
      <c r="AL168" s="10"/>
      <c r="AM168" s="10"/>
      <c r="AN168" s="10"/>
      <c r="AO168" s="10"/>
      <c r="AP168" s="10"/>
      <c r="AQ168" s="10"/>
      <c r="AR168" s="10"/>
      <c r="AS168" s="10"/>
      <c r="AT168" s="10"/>
    </row>
    <row r="169" spans="2:46" ht="13.5" customHeight="1" x14ac:dyDescent="0.2">
      <c r="B169" s="146" t="s">
        <v>668</v>
      </c>
      <c r="C169" s="694"/>
      <c r="D169" s="694"/>
      <c r="E169" s="921">
        <f>UETable!BF26</f>
        <v>0</v>
      </c>
      <c r="F169" s="921"/>
      <c r="G169" s="694"/>
      <c r="H169" s="694"/>
      <c r="I169" s="936">
        <f>IF(C169="",0,IF(OR(C169&gt;=70,G169&gt;=70),E169,IF(G169&gt;C169,0,UETable!BK26)))</f>
        <v>0</v>
      </c>
      <c r="J169" s="936"/>
      <c r="K169" s="930" t="str">
        <f>IF(OR(C169="NA",G169="NA"),"",IF(AND(C169&lt;&gt;"",G169=""),"Enter contralateral or NA.",IF(AND(C169="",G169&lt;&gt;""),"Need data","")))</f>
        <v/>
      </c>
      <c r="L169" s="930"/>
      <c r="M169" s="930"/>
      <c r="N169" s="930"/>
      <c r="O169" s="930"/>
      <c r="P169" s="755"/>
      <c r="S169" s="50">
        <v>70</v>
      </c>
      <c r="T169" s="566" t="str">
        <f>IF(OR(C169="",C169="NA"),"",IF(C169&gt;S169,S169,IF(C169&lt;0,0,C169)))</f>
        <v/>
      </c>
      <c r="U169" s="50" t="str">
        <f>IF(OR(G169="",G169="NA"),"",IF(G169&gt;S169,S169,IF(G169&lt;0,0,G169)))</f>
        <v/>
      </c>
      <c r="V169" s="553" t="str">
        <f>IF(Y169="","",ROUND(Y169,0))</f>
        <v/>
      </c>
      <c r="W169" s="50">
        <f>IF(T169="",0,70-T169)</f>
        <v>0</v>
      </c>
      <c r="X169" s="50">
        <f>IF(U169="",0,70-U169)</f>
        <v>0</v>
      </c>
      <c r="Y169" s="554" t="str">
        <f>IF(T169="","",IF(OR(U169="",U169=0,U169&gt;T169),T169,70-(W169*70)/X169))</f>
        <v/>
      </c>
      <c r="Z169" s="10"/>
      <c r="AA169" s="10"/>
      <c r="AB169" s="10"/>
      <c r="AC169" s="10"/>
      <c r="AD169" s="10"/>
      <c r="AE169" s="10"/>
      <c r="AF169" s="10"/>
      <c r="AG169" s="10"/>
      <c r="AH169" s="10"/>
      <c r="AI169" s="10"/>
      <c r="AJ169" s="10"/>
      <c r="AK169" s="10"/>
      <c r="AL169" s="10"/>
      <c r="AM169" s="10"/>
      <c r="AN169" s="10"/>
      <c r="AO169" s="10"/>
      <c r="AP169" s="10"/>
      <c r="AQ169" s="10"/>
      <c r="AR169" s="10"/>
      <c r="AS169" s="10"/>
      <c r="AT169" s="10"/>
    </row>
    <row r="170" spans="2:46" ht="15" customHeight="1" x14ac:dyDescent="0.2">
      <c r="B170" s="146" t="s">
        <v>669</v>
      </c>
      <c r="C170" s="694"/>
      <c r="D170" s="694"/>
      <c r="E170" s="921">
        <f>IF(AND(C170&lt;&gt;"",C170&lt;&gt;"NA",C169&lt;&gt;"NA",C169&lt;&gt;""),"ERROR",IF(AND(C170&lt;&gt;"",C170&lt;&gt;"NA",C168&lt;&gt;"",C168&lt;&gt;"NA"),"ERROR",UETable!BF27))</f>
        <v>0</v>
      </c>
      <c r="F170" s="921"/>
      <c r="G170" s="930" t="str">
        <f>IF(AND(C170&lt;&gt;"",C170&lt;&gt;"NA",C169&lt;&gt;"NA",C169&lt;&gt;""),"ERROR: Cannot rate ROM and ankylosis.",IF(AND(C170&lt;&gt;"",C170&lt;&gt;"NA",C168&lt;&gt;"",C168&lt;&gt;"NA"),"ERROR: Cannot rate ROM and ankylosis.",""))</f>
        <v/>
      </c>
      <c r="H170" s="930"/>
      <c r="I170" s="930"/>
      <c r="J170" s="930"/>
      <c r="K170" s="930"/>
      <c r="L170" s="930"/>
      <c r="M170" s="930"/>
      <c r="N170" s="930"/>
      <c r="O170" s="930"/>
      <c r="P170" s="755"/>
      <c r="R170" s="131"/>
      <c r="S170" s="50">
        <v>70</v>
      </c>
      <c r="T170" s="566" t="str">
        <f>IF(OR(C170="",C170="NA"),"",IF(C170&gt;S170,S170,IF(C170&lt;0,0,C170)))</f>
        <v/>
      </c>
      <c r="U170" s="10"/>
      <c r="V170" s="10"/>
      <c r="W170" s="10"/>
      <c r="X170" s="10"/>
      <c r="Y170" s="10"/>
      <c r="Z170" s="10"/>
      <c r="AA170" s="626"/>
      <c r="AB170" s="626"/>
      <c r="AC170" s="626"/>
      <c r="AD170" s="626"/>
      <c r="AE170" s="10"/>
      <c r="AF170" s="10"/>
      <c r="AG170" s="10"/>
      <c r="AH170" s="10"/>
      <c r="AI170" s="10"/>
      <c r="AJ170" s="10"/>
      <c r="AK170" s="10"/>
      <c r="AL170" s="10"/>
      <c r="AM170" s="10"/>
      <c r="AN170" s="10"/>
      <c r="AO170" s="10"/>
      <c r="AP170" s="10"/>
      <c r="AQ170" s="10"/>
      <c r="AR170" s="10"/>
      <c r="AS170" s="10"/>
      <c r="AT170" s="10"/>
    </row>
    <row r="171" spans="2:46" x14ac:dyDescent="0.2">
      <c r="B171" s="979"/>
      <c r="C171" s="980"/>
      <c r="D171" s="980"/>
      <c r="E171" s="980"/>
      <c r="F171" s="980"/>
      <c r="G171" s="980"/>
      <c r="H171" s="980"/>
      <c r="I171" s="980"/>
      <c r="J171" s="981"/>
      <c r="K171" s="956" t="s">
        <v>1803</v>
      </c>
      <c r="L171" s="956"/>
      <c r="M171" s="956"/>
      <c r="N171" s="956"/>
      <c r="O171" s="65">
        <f>IF(E170="ERROR","ERROR",IF(R171&gt;1,1,R171))</f>
        <v>0</v>
      </c>
      <c r="P171" s="755"/>
      <c r="R171" s="193">
        <f>SUM(I168,I169,E170)</f>
        <v>0</v>
      </c>
      <c r="S171" s="5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row>
    <row r="172" spans="2:46" ht="13.5" customHeight="1" x14ac:dyDescent="0.2">
      <c r="B172" s="146" t="s">
        <v>670</v>
      </c>
      <c r="C172" s="694"/>
      <c r="D172" s="694"/>
      <c r="E172" s="921">
        <f>UETable!BF29</f>
        <v>0</v>
      </c>
      <c r="F172" s="921"/>
      <c r="G172" s="694"/>
      <c r="H172" s="694"/>
      <c r="I172" s="936">
        <f>IF(C172="",0,IF(OR(C172&lt;=0,G172&lt;=0),E172,IF(G172&lt;C172,0,UETable!BK29)))</f>
        <v>0</v>
      </c>
      <c r="J172" s="936"/>
      <c r="K172" s="930" t="str">
        <f>IF(OR(C172="NA",G172="NA"),"",IF(AND(C172&lt;&gt;"",G172=""),"Enter contralateral or NA.",IF(AND(C172="",G172&lt;&gt;""),"Need data","")))</f>
        <v/>
      </c>
      <c r="L172" s="930"/>
      <c r="M172" s="930"/>
      <c r="N172" s="930"/>
      <c r="O172" s="930"/>
      <c r="P172" s="755"/>
      <c r="R172" s="131"/>
      <c r="S172" s="50">
        <v>100</v>
      </c>
      <c r="T172" s="566" t="str">
        <f>IF(OR(C172="",C172="NA"),"",IF(C172&gt;S172,S172,IF(C172&lt;0,0,C172)))</f>
        <v/>
      </c>
      <c r="U172" s="50" t="str">
        <f>IF(OR(G172="",G172="NA"),"",IF(G172&gt;S172,S172,IF(G172&lt;0,0,G172)))</f>
        <v/>
      </c>
      <c r="V172" s="553" t="str">
        <f>IF(Y172="","",ROUND(Y172,0))</f>
        <v/>
      </c>
      <c r="W172" s="791" t="s">
        <v>1184</v>
      </c>
      <c r="X172" s="791"/>
      <c r="Y172" s="554" t="str">
        <f>IF(T172="","",IF(OR(U172="",U172=0,U172&lt;T172),T172,(T172*100)/U172))</f>
        <v/>
      </c>
      <c r="Z172" s="10"/>
      <c r="AA172" s="10"/>
      <c r="AB172" s="10"/>
      <c r="AC172" s="10"/>
      <c r="AD172" s="10"/>
      <c r="AE172" s="10"/>
      <c r="AF172" s="10"/>
      <c r="AG172" s="10"/>
      <c r="AH172" s="10"/>
      <c r="AI172" s="10"/>
      <c r="AJ172" s="10"/>
      <c r="AK172" s="10"/>
      <c r="AL172" s="10"/>
      <c r="AM172" s="10"/>
      <c r="AN172" s="10"/>
      <c r="AO172" s="10"/>
      <c r="AP172" s="10"/>
      <c r="AQ172" s="10"/>
      <c r="AR172" s="10"/>
      <c r="AS172" s="10"/>
      <c r="AT172" s="10"/>
    </row>
    <row r="173" spans="2:46" ht="13.5" customHeight="1" x14ac:dyDescent="0.2">
      <c r="B173" s="146" t="s">
        <v>671</v>
      </c>
      <c r="C173" s="694"/>
      <c r="D173" s="694"/>
      <c r="E173" s="921">
        <f>UETable!BF30</f>
        <v>0</v>
      </c>
      <c r="F173" s="921"/>
      <c r="G173" s="694"/>
      <c r="H173" s="694"/>
      <c r="I173" s="936">
        <f>IF(C173="",0,IF(OR(C173&gt;=100,G173&gt;=100),E173,IF(G173&gt;C173,0,UETable!BK30)))</f>
        <v>0</v>
      </c>
      <c r="J173" s="936"/>
      <c r="K173" s="930" t="str">
        <f>IF(OR(C173="NA",G173="NA"),"",IF(AND(C173&lt;&gt;"",G173=""),"Enter contralateral or NA.",IF(AND(C173="",G173&lt;&gt;""),"Need data","")))</f>
        <v/>
      </c>
      <c r="L173" s="930"/>
      <c r="M173" s="930"/>
      <c r="N173" s="930"/>
      <c r="O173" s="930"/>
      <c r="P173" s="755"/>
      <c r="S173" s="50">
        <v>100</v>
      </c>
      <c r="T173" s="566" t="str">
        <f>IF(OR(C173="",C173="NA"),"",IF(C173&gt;S173,S173,IF(C173&lt;0,0,C173)))</f>
        <v/>
      </c>
      <c r="U173" s="50" t="str">
        <f>IF(OR(G173="",G173="NA"),"",IF(G173&gt;S173,S173,IF(G173&lt;0,0,G173)))</f>
        <v/>
      </c>
      <c r="V173" s="553" t="str">
        <f>IF(Y173="","",ROUND(Y173,0))</f>
        <v/>
      </c>
      <c r="W173" s="50">
        <f>IF(T173="",0,100-T173)</f>
        <v>0</v>
      </c>
      <c r="X173" s="50">
        <f>IF(U173="",0,100-U173)</f>
        <v>0</v>
      </c>
      <c r="Y173" s="554" t="str">
        <f>IF(T173="","",IF(OR(U173="",U173=0,U173&gt;T173),T173,100-(W173*100)/X173))</f>
        <v/>
      </c>
      <c r="Z173" s="10"/>
      <c r="AA173" s="10"/>
      <c r="AB173" s="10"/>
      <c r="AC173" s="10"/>
      <c r="AD173" s="10"/>
      <c r="AE173" s="10"/>
      <c r="AF173" s="10"/>
      <c r="AG173" s="10"/>
      <c r="AH173" s="10"/>
      <c r="AI173" s="10"/>
      <c r="AJ173" s="10"/>
      <c r="AK173" s="10"/>
      <c r="AL173" s="10"/>
      <c r="AM173" s="10"/>
      <c r="AN173" s="10"/>
      <c r="AO173" s="10"/>
      <c r="AP173" s="10"/>
      <c r="AQ173" s="10"/>
      <c r="AR173" s="10"/>
      <c r="AS173" s="10"/>
      <c r="AT173" s="10"/>
    </row>
    <row r="174" spans="2:46" ht="15" customHeight="1" x14ac:dyDescent="0.2">
      <c r="B174" s="146" t="s">
        <v>672</v>
      </c>
      <c r="C174" s="694"/>
      <c r="D174" s="694"/>
      <c r="E174" s="921">
        <f>IF(AND(C174&lt;&gt;"",C174&lt;&gt;"NA",C173&lt;&gt;"NA",C173&lt;&gt;""),"ERROR",IF(AND(C174&lt;&gt;"",C174&lt;&gt;"NA",C172&lt;&gt;"",C172&lt;&gt;"NA"),"ERROR",UETable!BF31))</f>
        <v>0</v>
      </c>
      <c r="F174" s="921"/>
      <c r="G174" s="930" t="str">
        <f>IF(AND(C174&lt;&gt;"",C174&lt;&gt;"NA",C173&lt;&gt;"NA",C173&lt;&gt;""),"ERROR: Cannot rate ROM and ankylosis.",IF(AND(C174&lt;&gt;"",C174&lt;&gt;"NA",C172&lt;&gt;"",C172&lt;&gt;"NA"),"ERROR: Cannot rate ROM and ankylosis.",""))</f>
        <v/>
      </c>
      <c r="H174" s="930"/>
      <c r="I174" s="930"/>
      <c r="J174" s="930"/>
      <c r="K174" s="930"/>
      <c r="L174" s="930"/>
      <c r="M174" s="930"/>
      <c r="N174" s="930"/>
      <c r="O174" s="930"/>
      <c r="P174" s="755"/>
      <c r="R174" s="10"/>
      <c r="S174" s="50">
        <v>100</v>
      </c>
      <c r="T174" s="566" t="str">
        <f>IF(OR(C174="",C174="NA"),"",IF(C174&gt;S174,S174,IF(C174&lt;0,0,C174)))</f>
        <v/>
      </c>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row>
    <row r="175" spans="2:46" x14ac:dyDescent="0.2">
      <c r="B175" s="979"/>
      <c r="C175" s="980"/>
      <c r="D175" s="980"/>
      <c r="E175" s="980"/>
      <c r="F175" s="980"/>
      <c r="G175" s="980"/>
      <c r="H175" s="980"/>
      <c r="I175" s="980"/>
      <c r="J175" s="981"/>
      <c r="K175" s="956" t="s">
        <v>1803</v>
      </c>
      <c r="L175" s="956"/>
      <c r="M175" s="956"/>
      <c r="N175" s="956"/>
      <c r="O175" s="65">
        <f>IF(E174="ERROR","ERROR",IF(R175&gt;1,1,R175))</f>
        <v>0</v>
      </c>
      <c r="P175" s="755"/>
      <c r="R175" s="193">
        <f>SUM(I172,I173,E174)</f>
        <v>0</v>
      </c>
      <c r="S175" s="50"/>
      <c r="T175" s="10"/>
      <c r="U175" s="10"/>
      <c r="V175" s="10"/>
      <c r="W175" s="10"/>
      <c r="X175" s="10"/>
      <c r="Y175" s="10"/>
      <c r="Z175" s="10"/>
      <c r="AA175" s="146" t="s">
        <v>1287</v>
      </c>
      <c r="AB175" s="146" t="s">
        <v>1285</v>
      </c>
      <c r="AC175" s="50" t="s">
        <v>1286</v>
      </c>
      <c r="AD175" s="50" t="s">
        <v>1287</v>
      </c>
      <c r="AE175" s="10"/>
      <c r="AF175" s="10"/>
      <c r="AG175" s="10"/>
      <c r="AH175" s="10"/>
      <c r="AI175" s="10"/>
      <c r="AJ175" s="10"/>
      <c r="AK175" s="10"/>
      <c r="AL175" s="10"/>
      <c r="AM175" s="10"/>
      <c r="AN175" s="10"/>
      <c r="AO175" s="10"/>
      <c r="AP175" s="10"/>
      <c r="AQ175" s="10"/>
      <c r="AR175" s="10"/>
      <c r="AS175" s="10"/>
      <c r="AT175" s="10"/>
    </row>
    <row r="176" spans="2:46" ht="13.5" customHeight="1" x14ac:dyDescent="0.2">
      <c r="B176" s="146" t="s">
        <v>1546</v>
      </c>
      <c r="C176" s="694"/>
      <c r="D176" s="694"/>
      <c r="E176" s="921">
        <f>UETable!BF33</f>
        <v>0</v>
      </c>
      <c r="F176" s="921"/>
      <c r="G176" s="694"/>
      <c r="H176" s="694"/>
      <c r="I176" s="936">
        <f>IF(C176="",0,IF(OR(C176&lt;=0,G176&lt;=0),E176,IF(G176&lt;C176,0,UETable!BK33)))</f>
        <v>0</v>
      </c>
      <c r="J176" s="936"/>
      <c r="K176" s="930" t="str">
        <f>IF(OR(C176="NA",G176="NA"),"",IF(AND(C176&lt;&gt;"",G176=""),"Enter contralateral or NA.",IF(AND(C176="",G176&lt;&gt;""),"Need data","")))</f>
        <v/>
      </c>
      <c r="L176" s="930"/>
      <c r="M176" s="930"/>
      <c r="N176" s="930"/>
      <c r="O176" s="930"/>
      <c r="P176" s="755"/>
      <c r="R176" s="10"/>
      <c r="S176" s="50">
        <v>90</v>
      </c>
      <c r="T176" s="566" t="str">
        <f>IF(OR(C176="",C176="NA"),"",IF(C176&gt;S176,S176,IF(C176&lt;0,0,C176)))</f>
        <v/>
      </c>
      <c r="U176" s="50" t="str">
        <f>IF(OR(G176="",G176="NA"),"",IF(G176&gt;S176,S176,IF(G176&lt;0,0,G176)))</f>
        <v/>
      </c>
      <c r="V176" s="553" t="str">
        <f>IF(Y176="","",ROUND(Y176,0))</f>
        <v/>
      </c>
      <c r="W176" s="791" t="s">
        <v>1184</v>
      </c>
      <c r="X176" s="791"/>
      <c r="Y176" s="554" t="str">
        <f>IF(T176="","",IF(OR(U176="",U176=0,U176&lt;T176),T176,(T176*90)/U176))</f>
        <v/>
      </c>
      <c r="Z176" s="10"/>
      <c r="AA176" s="548">
        <f>IF(AND(O171&gt;0,O171&lt;0.01),0.01,ROUND(O171,2))</f>
        <v>0</v>
      </c>
      <c r="AB176" s="147">
        <f>LARGE(AA176:AA178,1)</f>
        <v>0</v>
      </c>
      <c r="AC176" s="548">
        <f>AB176+AB177*(1-AB176)</f>
        <v>0</v>
      </c>
      <c r="AD176" s="548">
        <f>ROUND(AC176,2)</f>
        <v>0</v>
      </c>
      <c r="AE176" s="10"/>
      <c r="AF176" s="10"/>
      <c r="AG176" s="10"/>
      <c r="AH176" s="10"/>
      <c r="AI176" s="10"/>
      <c r="AJ176" s="10"/>
      <c r="AK176" s="10"/>
      <c r="AL176" s="10"/>
      <c r="AM176" s="10"/>
      <c r="AN176" s="10"/>
      <c r="AO176" s="10"/>
      <c r="AP176" s="10"/>
      <c r="AQ176" s="10"/>
      <c r="AR176" s="10"/>
      <c r="AS176" s="10"/>
      <c r="AT176" s="10"/>
    </row>
    <row r="177" spans="1:109" ht="13.5" customHeight="1" x14ac:dyDescent="0.2">
      <c r="B177" s="146" t="s">
        <v>1547</v>
      </c>
      <c r="C177" s="694"/>
      <c r="D177" s="694"/>
      <c r="E177" s="921">
        <f>UETable!BF34</f>
        <v>0</v>
      </c>
      <c r="F177" s="921"/>
      <c r="G177" s="694"/>
      <c r="H177" s="694"/>
      <c r="I177" s="936">
        <f>IF(C177="",0,IF(OR(C177&gt;=90,G177&gt;=90),E177,IF(G177&gt;C177,0,UETable!BK34)))</f>
        <v>0</v>
      </c>
      <c r="J177" s="936"/>
      <c r="K177" s="930" t="str">
        <f>IF(OR(C177="NA",G177="NA"),"",IF(AND(C177&lt;&gt;"",G177=""),"Enter contralateral or NA.",IF(AND(C177="",G177&lt;&gt;""),"Need data","")))</f>
        <v/>
      </c>
      <c r="L177" s="930"/>
      <c r="M177" s="930"/>
      <c r="N177" s="930"/>
      <c r="O177" s="930"/>
      <c r="P177" s="755"/>
      <c r="R177" s="10"/>
      <c r="S177" s="50">
        <v>90</v>
      </c>
      <c r="T177" s="566" t="str">
        <f>IF(OR(C177="",C177="NA"),"",IF(C177&gt;S177,S177,IF(C177&lt;0,0,C177)))</f>
        <v/>
      </c>
      <c r="U177" s="50" t="str">
        <f>IF(OR(G177="",G177="NA"),"",IF(G177&gt;S177,S177,IF(G177&lt;0,0,G177)))</f>
        <v/>
      </c>
      <c r="V177" s="553" t="str">
        <f>IF(Y177="","",ROUND(Y177,0))</f>
        <v/>
      </c>
      <c r="W177" s="50">
        <f>IF(T177="",0,90-T177)</f>
        <v>0</v>
      </c>
      <c r="X177" s="50">
        <f>IF(U177="",0,90-U177)</f>
        <v>0</v>
      </c>
      <c r="Y177" s="554" t="str">
        <f>IF(T177="","",IF(OR(U177="",U177=0,U177&gt;T177),T177,90-(W177*90)/X177))</f>
        <v/>
      </c>
      <c r="Z177" s="10"/>
      <c r="AA177" s="548">
        <f>IF(AND(O175&gt;0,O175&lt;0.01),0.01,ROUND(O175,2))</f>
        <v>0</v>
      </c>
      <c r="AB177" s="147">
        <f>LARGE(AA176:AA178,2)</f>
        <v>0</v>
      </c>
      <c r="AC177" s="544">
        <f>AD176+AB178*(1-AD176)</f>
        <v>0</v>
      </c>
      <c r="AD177" s="548">
        <f>ROUND(AC177,2)</f>
        <v>0</v>
      </c>
      <c r="AE177" s="10"/>
      <c r="AF177" s="10"/>
      <c r="AG177" s="10"/>
      <c r="AH177" s="10"/>
      <c r="AI177" s="10"/>
      <c r="AJ177" s="10"/>
      <c r="AK177" s="10"/>
      <c r="AL177" s="10"/>
      <c r="AM177" s="10"/>
      <c r="AN177" s="10"/>
      <c r="AO177" s="10"/>
      <c r="AP177" s="10"/>
      <c r="AQ177" s="10"/>
      <c r="AR177" s="10"/>
      <c r="AS177" s="10"/>
      <c r="AT177" s="10"/>
    </row>
    <row r="178" spans="1:109" ht="15" customHeight="1" x14ac:dyDescent="0.2">
      <c r="B178" s="146" t="s">
        <v>629</v>
      </c>
      <c r="C178" s="694"/>
      <c r="D178" s="694"/>
      <c r="E178" s="921">
        <f>IF(AND(C178&lt;&gt;"",C178&lt;&gt;"NA",C177&lt;&gt;"NA",C177&lt;&gt;""),"ERROR",IF(AND(C178&lt;&gt;"",C178&lt;&gt;"NA",C176&lt;&gt;"",C176&lt;&gt;"NA"),"ERROR",UETable!BF35))</f>
        <v>0</v>
      </c>
      <c r="F178" s="921"/>
      <c r="G178" s="930" t="str">
        <f>IF(AND(C178&lt;&gt;"",C178&lt;&gt;"NA",C177&lt;&gt;"NA",C177&lt;&gt;""),"ERROR: Cannot rate ROM and ankylosis.",IF(AND(C178&lt;&gt;"",C178&lt;&gt;"NA",C176&lt;&gt;"",C176&lt;&gt;"NA"),"ERROR: Cannot rate ROM and ankylosis.",""))</f>
        <v/>
      </c>
      <c r="H178" s="930"/>
      <c r="I178" s="930"/>
      <c r="J178" s="930"/>
      <c r="K178" s="930"/>
      <c r="L178" s="930"/>
      <c r="M178" s="930"/>
      <c r="N178" s="930"/>
      <c r="O178" s="930"/>
      <c r="P178" s="755"/>
      <c r="R178" s="50">
        <f>IF(OR(O171="ERROR",O175="ERROR",O179="ERROR"),1,0)</f>
        <v>0</v>
      </c>
      <c r="S178" s="566">
        <v>90</v>
      </c>
      <c r="T178" s="566" t="str">
        <f>IF(OR(C178="",C178="NA"),"",IF(C178&gt;S178,S178,IF(C178&lt;0,0,C178)))</f>
        <v/>
      </c>
      <c r="U178" s="10"/>
      <c r="V178" s="10"/>
      <c r="W178" s="10"/>
      <c r="X178" s="10"/>
      <c r="Y178" s="10"/>
      <c r="Z178" s="10"/>
      <c r="AA178" s="548">
        <f>IF(AND(O179&gt;0,O179&lt;0.01),0.01,ROUND(O179,2))</f>
        <v>0</v>
      </c>
      <c r="AB178" s="147">
        <f>LARGE(AA176:AA178,3)</f>
        <v>0</v>
      </c>
      <c r="AE178" s="10"/>
      <c r="AF178" s="10"/>
      <c r="AG178" s="10"/>
      <c r="AH178" s="10"/>
      <c r="AI178" s="10"/>
      <c r="AJ178" s="10"/>
      <c r="AK178" s="10"/>
      <c r="AL178" s="10"/>
      <c r="AM178" s="10"/>
      <c r="AN178" s="10"/>
      <c r="AO178" s="10"/>
      <c r="AP178" s="10"/>
      <c r="AQ178" s="10"/>
      <c r="AR178" s="10"/>
      <c r="AS178" s="10"/>
      <c r="AT178" s="10"/>
    </row>
    <row r="179" spans="1:109" ht="12.75" customHeight="1" x14ac:dyDescent="0.2">
      <c r="B179" s="1122"/>
      <c r="C179" s="1122"/>
      <c r="D179" s="1122"/>
      <c r="E179" s="1122"/>
      <c r="F179" s="1122"/>
      <c r="G179" s="1122"/>
      <c r="H179" s="1122"/>
      <c r="I179" s="1122"/>
      <c r="J179" s="956" t="s">
        <v>1803</v>
      </c>
      <c r="K179" s="956"/>
      <c r="L179" s="956"/>
      <c r="M179" s="956"/>
      <c r="N179" s="956"/>
      <c r="O179" s="65">
        <f>IF(E178="ERROR","ERROR",IF(R179&gt;1,1,R179))</f>
        <v>0</v>
      </c>
      <c r="P179" s="755"/>
      <c r="R179" s="193">
        <f>SUM(I176,I177,E178)</f>
        <v>0</v>
      </c>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row>
    <row r="180" spans="1:109" ht="18" customHeight="1" x14ac:dyDescent="0.2">
      <c r="B180" s="1122"/>
      <c r="C180" s="1122"/>
      <c r="D180" s="1122"/>
      <c r="E180" s="1122"/>
      <c r="F180" s="1122"/>
      <c r="G180" s="1122"/>
      <c r="H180" s="1122"/>
      <c r="I180" s="1122"/>
      <c r="J180" s="956" t="s">
        <v>75</v>
      </c>
      <c r="K180" s="956"/>
      <c r="L180" s="956"/>
      <c r="M180" s="956"/>
      <c r="N180" s="956"/>
      <c r="O180" s="956"/>
      <c r="P180" s="755"/>
      <c r="R180" s="10"/>
      <c r="S180" s="10"/>
      <c r="T180" s="10"/>
      <c r="U180" s="10"/>
      <c r="V180" s="10"/>
      <c r="W180" s="10"/>
      <c r="X180" s="10"/>
      <c r="Y180" s="10"/>
      <c r="Z180" s="10"/>
      <c r="AB180" s="10"/>
      <c r="AC180" s="10"/>
      <c r="AD180" s="10"/>
      <c r="AE180" s="10"/>
      <c r="AF180" s="10"/>
      <c r="AG180" s="10"/>
      <c r="AH180" s="10"/>
      <c r="AI180" s="10"/>
      <c r="AJ180" s="10"/>
      <c r="AK180" s="10"/>
      <c r="AL180" s="10"/>
      <c r="AM180" s="10"/>
      <c r="AN180" s="10"/>
      <c r="AO180" s="10"/>
      <c r="AP180" s="10"/>
      <c r="AQ180" s="10"/>
      <c r="AR180" s="10"/>
      <c r="AS180" s="10"/>
      <c r="AT180" s="10"/>
    </row>
    <row r="181" spans="1:109" ht="12" customHeight="1" x14ac:dyDescent="0.2">
      <c r="B181" s="777"/>
      <c r="C181" s="777"/>
      <c r="D181" s="777"/>
      <c r="E181" s="777"/>
      <c r="F181" s="777"/>
      <c r="G181" s="777"/>
      <c r="H181" s="777"/>
      <c r="I181" s="777"/>
      <c r="J181" s="777"/>
      <c r="K181" s="777"/>
      <c r="L181" s="777"/>
      <c r="M181" s="777"/>
      <c r="N181" s="777"/>
      <c r="O181" s="777"/>
      <c r="R181" s="10"/>
      <c r="S181" s="863" t="s">
        <v>2147</v>
      </c>
      <c r="T181" s="863"/>
      <c r="U181" s="10"/>
      <c r="V181" s="10"/>
      <c r="W181" s="10"/>
      <c r="X181" s="10"/>
      <c r="Y181" s="10"/>
      <c r="Z181" s="10"/>
      <c r="AB181" s="10"/>
      <c r="AC181" s="10"/>
      <c r="AD181" s="10"/>
      <c r="AE181" s="10"/>
      <c r="AF181" s="10"/>
      <c r="AG181" s="10"/>
      <c r="AH181" s="10"/>
      <c r="AI181" s="10"/>
      <c r="AJ181" s="10"/>
      <c r="AK181" s="10"/>
      <c r="AL181" s="10"/>
      <c r="AM181" s="10"/>
      <c r="AN181" s="10"/>
      <c r="AO181" s="10"/>
      <c r="AP181" s="10"/>
      <c r="AQ181" s="10"/>
      <c r="AR181" s="10"/>
      <c r="AS181" s="10"/>
      <c r="AT181" s="10"/>
    </row>
    <row r="182" spans="1:109" ht="14.25" customHeight="1" x14ac:dyDescent="0.2">
      <c r="A182" s="15"/>
      <c r="B182" s="982" t="s">
        <v>953</v>
      </c>
      <c r="C182" s="983"/>
      <c r="D182" s="940"/>
      <c r="E182" s="940"/>
      <c r="F182" s="924" t="s">
        <v>1210</v>
      </c>
      <c r="G182" s="924"/>
      <c r="H182" s="924"/>
      <c r="I182" s="924"/>
      <c r="J182" s="924"/>
      <c r="K182" s="924"/>
      <c r="L182" s="924"/>
      <c r="M182" s="924"/>
      <c r="N182" s="924"/>
      <c r="O182" s="924"/>
      <c r="P182" s="82">
        <f>IF(T182=1,0.1,0)</f>
        <v>0</v>
      </c>
      <c r="R182" s="10"/>
      <c r="S182" s="546" t="b">
        <v>0</v>
      </c>
      <c r="T182" s="50">
        <f>IF(S182=TRUE,1,0)</f>
        <v>0</v>
      </c>
      <c r="W182" s="10"/>
      <c r="X182" s="10"/>
      <c r="Y182" s="10"/>
      <c r="Z182" s="10"/>
      <c r="AA182" s="10"/>
      <c r="AB182" s="10"/>
      <c r="AC182" s="10"/>
      <c r="AD182" s="10"/>
      <c r="AE182" s="10"/>
      <c r="AF182" s="10"/>
      <c r="AG182" s="10">
        <v>1E-4</v>
      </c>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row>
    <row r="183" spans="1:109" x14ac:dyDescent="0.2">
      <c r="B183" s="984"/>
      <c r="C183" s="985"/>
      <c r="D183" s="940"/>
      <c r="E183" s="940"/>
      <c r="F183" s="924" t="s">
        <v>1212</v>
      </c>
      <c r="G183" s="924"/>
      <c r="H183" s="924"/>
      <c r="I183" s="924"/>
      <c r="J183" s="924"/>
      <c r="K183" s="924"/>
      <c r="L183" s="924"/>
      <c r="M183" s="924"/>
      <c r="N183" s="924"/>
      <c r="O183" s="924"/>
      <c r="P183" s="82">
        <f>IF(T183=1,0.1,0)</f>
        <v>0</v>
      </c>
      <c r="R183" s="10"/>
      <c r="S183" s="546" t="b">
        <v>0</v>
      </c>
      <c r="T183" s="50">
        <f>IF(S183=TRUE,1,0)</f>
        <v>0</v>
      </c>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row>
    <row r="184" spans="1:109" x14ac:dyDescent="0.2">
      <c r="B184" s="984"/>
      <c r="C184" s="985"/>
      <c r="D184" s="940"/>
      <c r="E184" s="940"/>
      <c r="F184" s="924" t="s">
        <v>1211</v>
      </c>
      <c r="G184" s="924"/>
      <c r="H184" s="924"/>
      <c r="I184" s="924"/>
      <c r="J184" s="924"/>
      <c r="K184" s="924"/>
      <c r="L184" s="924"/>
      <c r="M184" s="924"/>
      <c r="N184" s="924"/>
      <c r="O184" s="924"/>
      <c r="P184" s="82">
        <f>IF(T184=1,0.1,0)</f>
        <v>0</v>
      </c>
      <c r="R184" s="10"/>
      <c r="S184" s="546" t="b">
        <v>0</v>
      </c>
      <c r="T184" s="50">
        <f>IF(S184=TRUE,1,0)</f>
        <v>0</v>
      </c>
      <c r="U184" s="134"/>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row>
    <row r="185" spans="1:109" x14ac:dyDescent="0.2">
      <c r="B185" s="986"/>
      <c r="C185" s="987"/>
      <c r="D185" s="940"/>
      <c r="E185" s="940"/>
      <c r="F185" s="924" t="s">
        <v>1213</v>
      </c>
      <c r="G185" s="924"/>
      <c r="H185" s="924"/>
      <c r="I185" s="924"/>
      <c r="J185" s="924"/>
      <c r="K185" s="924"/>
      <c r="L185" s="924"/>
      <c r="M185" s="924"/>
      <c r="N185" s="924"/>
      <c r="O185" s="924"/>
      <c r="P185" s="82">
        <f>IF(T185=1,0.1,0)</f>
        <v>0</v>
      </c>
      <c r="R185" s="10"/>
      <c r="S185" s="546" t="b">
        <v>0</v>
      </c>
      <c r="T185" s="50">
        <f>IF(S185=TRUE,1,0)</f>
        <v>0</v>
      </c>
      <c r="U185" s="134"/>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row>
    <row r="186" spans="1:109" ht="12" customHeight="1" x14ac:dyDescent="0.2">
      <c r="B186" s="777"/>
      <c r="C186" s="777"/>
      <c r="D186" s="777"/>
      <c r="E186" s="777"/>
      <c r="F186" s="777"/>
      <c r="G186" s="777"/>
      <c r="H186" s="777"/>
      <c r="I186" s="777"/>
      <c r="J186" s="777"/>
      <c r="K186" s="777"/>
      <c r="L186" s="777"/>
      <c r="M186" s="777"/>
      <c r="N186" s="777"/>
      <c r="O186" s="777"/>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row>
    <row r="187" spans="1:109" ht="12" customHeight="1" x14ac:dyDescent="0.2">
      <c r="B187" s="480"/>
      <c r="C187" s="978" t="s">
        <v>239</v>
      </c>
      <c r="D187" s="975"/>
      <c r="E187" s="976" t="s">
        <v>240</v>
      </c>
      <c r="F187" s="975"/>
      <c r="G187" s="350"/>
      <c r="H187" s="352"/>
      <c r="I187" s="974" t="s">
        <v>241</v>
      </c>
      <c r="J187" s="975"/>
      <c r="K187" s="472"/>
      <c r="L187" s="352"/>
      <c r="M187" s="976" t="s">
        <v>240</v>
      </c>
      <c r="N187" s="975"/>
      <c r="O187" s="351"/>
      <c r="P187" s="487"/>
      <c r="Z187" s="477"/>
      <c r="AE187" s="476"/>
      <c r="AF187" s="476"/>
      <c r="AG187" s="476"/>
      <c r="AH187" s="476"/>
      <c r="AI187" s="476"/>
      <c r="AJ187" s="476"/>
      <c r="AK187" s="476"/>
      <c r="AL187" s="476"/>
      <c r="AM187" s="476"/>
      <c r="AN187" s="476"/>
    </row>
    <row r="188" spans="1:109" ht="12" customHeight="1" x14ac:dyDescent="0.2">
      <c r="B188" s="481"/>
      <c r="C188" s="959" t="s">
        <v>242</v>
      </c>
      <c r="D188" s="960"/>
      <c r="E188" s="959" t="s">
        <v>243</v>
      </c>
      <c r="F188" s="960"/>
      <c r="G188" s="959" t="s">
        <v>244</v>
      </c>
      <c r="H188" s="960"/>
      <c r="I188" s="973" t="s">
        <v>245</v>
      </c>
      <c r="J188" s="960"/>
      <c r="K188" s="959" t="s">
        <v>246</v>
      </c>
      <c r="L188" s="960"/>
      <c r="M188" s="959" t="s">
        <v>247</v>
      </c>
      <c r="N188" s="960"/>
      <c r="P188" s="488"/>
      <c r="Z188" s="327"/>
      <c r="AE188" s="476"/>
      <c r="AF188" s="476"/>
      <c r="AG188" s="476"/>
      <c r="AH188" s="476"/>
      <c r="AI188" s="476"/>
      <c r="AJ188" s="476"/>
      <c r="AK188" s="476"/>
      <c r="AL188" s="476"/>
      <c r="AM188" s="476"/>
      <c r="AN188" s="476"/>
    </row>
    <row r="189" spans="1:109" ht="12" customHeight="1" x14ac:dyDescent="0.2">
      <c r="B189" s="481"/>
      <c r="C189" s="934" t="s">
        <v>248</v>
      </c>
      <c r="D189" s="935"/>
      <c r="E189" s="934" t="s">
        <v>249</v>
      </c>
      <c r="F189" s="935"/>
      <c r="G189" s="934" t="s">
        <v>250</v>
      </c>
      <c r="H189" s="935"/>
      <c r="I189" s="963" t="s">
        <v>251</v>
      </c>
      <c r="J189" s="935"/>
      <c r="K189" s="934" t="s">
        <v>250</v>
      </c>
      <c r="L189" s="935"/>
      <c r="M189" s="934" t="s">
        <v>249</v>
      </c>
      <c r="N189" s="935"/>
      <c r="P189" s="488"/>
      <c r="AH189" s="146">
        <v>1</v>
      </c>
      <c r="AI189" s="146">
        <v>2</v>
      </c>
      <c r="AJ189" s="146">
        <v>3</v>
      </c>
      <c r="AK189" s="146">
        <v>4</v>
      </c>
      <c r="AM189" s="476"/>
      <c r="AN189" s="476"/>
      <c r="AO189" s="476"/>
      <c r="AP189" s="476"/>
      <c r="AQ189" s="476"/>
      <c r="AR189" s="476"/>
      <c r="AS189" s="476"/>
      <c r="AT189" s="476"/>
      <c r="AU189" s="476"/>
      <c r="AV189" s="476"/>
    </row>
    <row r="190" spans="1:109" ht="12" customHeight="1" x14ac:dyDescent="0.2">
      <c r="B190" s="539" t="s">
        <v>1945</v>
      </c>
      <c r="C190" s="932" t="s">
        <v>252</v>
      </c>
      <c r="D190" s="933"/>
      <c r="E190" s="932" t="s">
        <v>252</v>
      </c>
      <c r="F190" s="933"/>
      <c r="G190" s="932" t="s">
        <v>252</v>
      </c>
      <c r="H190" s="933"/>
      <c r="I190" s="932" t="s">
        <v>252</v>
      </c>
      <c r="J190" s="933"/>
      <c r="K190" s="932" t="s">
        <v>252</v>
      </c>
      <c r="L190" s="933"/>
      <c r="M190" s="932" t="s">
        <v>252</v>
      </c>
      <c r="N190" s="933"/>
      <c r="P190" s="488"/>
      <c r="S190" s="892" t="s">
        <v>2147</v>
      </c>
      <c r="T190" s="893"/>
      <c r="U190" s="893"/>
      <c r="V190" s="893"/>
      <c r="W190" s="893"/>
      <c r="X190" s="894"/>
      <c r="Y190" s="475"/>
      <c r="Z190" s="475"/>
      <c r="AA190" s="950" t="s">
        <v>2147</v>
      </c>
      <c r="AB190" s="951"/>
      <c r="AC190" s="951"/>
      <c r="AD190" s="951"/>
      <c r="AE190" s="951"/>
      <c r="AF190" s="952"/>
      <c r="AG190" s="475"/>
      <c r="AH190" s="895" t="s">
        <v>2147</v>
      </c>
      <c r="AI190" s="896"/>
      <c r="AJ190" s="896"/>
      <c r="AK190" s="896"/>
      <c r="AL190" s="896"/>
      <c r="AM190" s="897"/>
      <c r="AO190" s="892" t="s">
        <v>2147</v>
      </c>
      <c r="AP190" s="893"/>
      <c r="AQ190" s="893"/>
      <c r="AR190" s="893"/>
      <c r="AS190" s="894"/>
      <c r="AU190" s="892" t="s">
        <v>2147</v>
      </c>
      <c r="AV190" s="893"/>
      <c r="AW190" s="893"/>
      <c r="AX190" s="894"/>
      <c r="AZ190" s="892" t="s">
        <v>2147</v>
      </c>
      <c r="BA190" s="893"/>
      <c r="BB190" s="893"/>
      <c r="BC190" s="893"/>
      <c r="BD190" s="893"/>
      <c r="BE190" s="893"/>
      <c r="BF190" s="893"/>
      <c r="BG190" s="894"/>
      <c r="BI190" s="892" t="s">
        <v>2147</v>
      </c>
      <c r="BJ190" s="893"/>
      <c r="BK190" s="893"/>
      <c r="BL190" s="893"/>
      <c r="BM190" s="893"/>
      <c r="BN190" s="894"/>
    </row>
    <row r="191" spans="1:109" customFormat="1" ht="15" customHeight="1" x14ac:dyDescent="0.2">
      <c r="B191" s="146" t="s">
        <v>1575</v>
      </c>
      <c r="C191" s="925"/>
      <c r="D191" s="925"/>
      <c r="E191" s="925"/>
      <c r="F191" s="925"/>
      <c r="G191" s="925"/>
      <c r="H191" s="925"/>
      <c r="I191" s="925"/>
      <c r="J191" s="925"/>
      <c r="K191" s="925"/>
      <c r="L191" s="925"/>
      <c r="M191" s="925"/>
      <c r="N191" s="925"/>
      <c r="P191" s="489"/>
      <c r="S191" s="301">
        <f>IF(C191="",0,C191)</f>
        <v>0</v>
      </c>
      <c r="T191" s="301">
        <f>IF(AND(E191&lt;&gt;C191,E191&lt;&gt;""),E191,IF(OR(E192&lt;&gt;"",E193&lt;&gt;""),0,S191))</f>
        <v>0</v>
      </c>
      <c r="U191" s="301">
        <f>IF(AND(G191&lt;&gt;E191,G191&lt;&gt;""),G191,IF(OR(G192&lt;&gt;"",G193&lt;&gt;""),0,T191))</f>
        <v>0</v>
      </c>
      <c r="V191" s="301">
        <f>IF(AND(I191&lt;&gt;G191,I191&lt;&gt;""),I191,IF(OR(I192&lt;&gt;"",I193&lt;&gt;""),0,U191))</f>
        <v>0</v>
      </c>
      <c r="W191" s="301">
        <f>IF(AND(K191&lt;&gt;I191,K191&lt;&gt;""),K191,IF(OR(K192&lt;&gt;"",K193&lt;&gt;""),0,V191))</f>
        <v>0</v>
      </c>
      <c r="X191" s="301">
        <f>IF(AND(M191&lt;&gt;K191,M191&lt;&gt;""),M191,IF(OR(M192&lt;&gt;"",M193&lt;&gt;""),0,W191))</f>
        <v>0</v>
      </c>
      <c r="Z191" s="475"/>
      <c r="AA191" s="483">
        <f>IF(C191&gt;1,1,0)</f>
        <v>0</v>
      </c>
      <c r="AB191" s="301">
        <f t="shared" ref="AB191:AF193" si="28">IF(AND(S191&lt;&gt;T191,T191&gt;0),1,0)</f>
        <v>0</v>
      </c>
      <c r="AC191" s="301">
        <f t="shared" si="28"/>
        <v>0</v>
      </c>
      <c r="AD191" s="301">
        <f t="shared" si="28"/>
        <v>0</v>
      </c>
      <c r="AE191" s="301">
        <f t="shared" si="28"/>
        <v>0</v>
      </c>
      <c r="AF191" s="301">
        <f t="shared" si="28"/>
        <v>0</v>
      </c>
      <c r="AH191" s="478">
        <f>IF(S191=1,0,IF(S191=2,0.25,IF(S191=3,0.38,IF(S191=4,0.5,0))))</f>
        <v>0</v>
      </c>
      <c r="AI191" s="478">
        <f>IF(T191=1,0,IF(T191=2,0.23,IF(T191=3,0.35,IF(T191=4,0.45,0))))</f>
        <v>0</v>
      </c>
      <c r="AJ191" s="478">
        <f>IF(U191=1,0,IF(U191=2,0.2,IF(U191=3,0.3,IF(U191=4,0.39,0))))</f>
        <v>0</v>
      </c>
      <c r="AK191" s="478">
        <f>IF(V191=1,0,IF(V191=2,0.17,IF(V191=3,0.25,IF(V191=4,0.33,0))))</f>
        <v>0</v>
      </c>
      <c r="AL191" s="478">
        <f>IF(W191=1,0,IF(W191=2,0.13,IF(W191=3,0.19,IF(W191=4,0.24,0))))</f>
        <v>0</v>
      </c>
      <c r="AM191" s="478">
        <f>IF(X191=1,0,IF(X191=2,0.08,IF(X191=3,0.12,IF(X191=4,0.15,0))))</f>
        <v>0</v>
      </c>
      <c r="AN191" s="479"/>
      <c r="AO191" s="478">
        <f>IF(S191=1,0,IF(S191=2,0.23,IF(S191=3,0.35,IF(S191=4,0.45,0))))</f>
        <v>0</v>
      </c>
      <c r="AP191" s="478">
        <f>IF(T191=1,0,IF(T191=2,0.2,IF(T191=3,0.3,IF(T191=4,0.39,0))))</f>
        <v>0</v>
      </c>
      <c r="AQ191" s="478">
        <f>IF(U191=1,0,IF(U191=2,0.17,IF(U191=3,0.25,IF(U191=4,0.33,0))))</f>
        <v>0</v>
      </c>
      <c r="AR191" s="478">
        <f>IF(V191=1,0,IF(V191=2,0.13,IF(V191=3,0.19,IF(V191=4,0.24,0))))</f>
        <v>0</v>
      </c>
      <c r="AS191" s="478">
        <f>IF(W191=1,0,IF(W191=2,0.08,IF(W191=3,0.12,IF(W191=4,0.15,0))))</f>
        <v>0</v>
      </c>
      <c r="AU191" s="478">
        <f>IF(S191=1,0,IF(S191=2,0.2,IF(S191=3,0.3,IF(S191=4,0.39,0))))</f>
        <v>0</v>
      </c>
      <c r="AV191" s="478">
        <f>IF(T191=1,0,IF(T191=2,0.17,IF(T191=3,0.25,IF(T191=4,0.33,0))))</f>
        <v>0</v>
      </c>
      <c r="AW191" s="478">
        <f>IF(U191=1,0,IF(U191=2,0.13,IF(U191=3,0.19,IF(U191=4,0.24,0))))</f>
        <v>0</v>
      </c>
      <c r="AX191" s="478">
        <f>IF(V191=1,0,IF(V191=2,0.08,IF(V191=3,0.12,IF(V191=4,0.15,0))))</f>
        <v>0</v>
      </c>
      <c r="AZ191" s="478">
        <f>IF(S191=1,0,IF(S191=2,0.17,IF(S191=3,0.25,IF(S191=4,0.33,0))))</f>
        <v>0</v>
      </c>
      <c r="BA191" s="478">
        <f>IF(T191=1,0,IF(T191=2,0.13,IF(T191=3,0.19,IF(T191=4,0.24,0))))</f>
        <v>0</v>
      </c>
      <c r="BB191" s="478">
        <f>IF(U191=1,0,IF(U191=2,0.08,IF(U191=3,0.12,IF(U191=4,0.15,0))))</f>
        <v>0</v>
      </c>
      <c r="BD191" s="478">
        <f>IF(S191=1,0,IF(S191=2,0.13,IF(S191=3,0.19,IF(S191=4,0.24,0))))</f>
        <v>0</v>
      </c>
      <c r="BE191" s="478">
        <f>IF(T191=1,0,IF(T191=2,0.08,IF(T191=3,0.12,IF(T191=4,0.15,0))))</f>
        <v>0</v>
      </c>
      <c r="BG191" s="478">
        <f>IF(S191=1,0,IF(S191=2,0.08,IF(S191=3,0.12,IF(S191=4,0.15,0))))</f>
        <v>0</v>
      </c>
      <c r="BI191" s="478">
        <f>IF(AA191=0,0,IF(OR(AB191=1,AB192=1,AB193=1),AH191-AO191,IF(OR(AC191=1,AC192=1,AC193=1),AH191-AU191,IF(OR(AD191=1,AD192=1,AD193=1),AH191-AZ191,IF(OR(AE191=1,AE192=1,AE193=1),AH191-BD191,IF(OR(AF191=1,AF192=1,AF193=1),AH191-BG191,AH191))))))</f>
        <v>0</v>
      </c>
      <c r="BJ191" s="478">
        <f>IF(AB191=0,0,IF(OR(AC191=1,AC192=1,AC193=1),AI191-AP191,IF(OR(AD191=1,AD192=1,AD193=1),AI191-AV191,IF(OR(AE191=1,AE192=1,AE193=1),AI191-BA191,IF(OR(AF191=1,AF192=1,AF193=1),AI191-BE191,AI191)))))</f>
        <v>0</v>
      </c>
      <c r="BK191" s="478">
        <f>IF(AC191=0,0,IF(OR(AD191=1,AD192=1,AD193=1),AJ191-AQ191,IF(OR(AE191=1,AE192=1,AE193=1),AJ191-AW191,IF(OR(AF191=1,AF192=1,AF193=1),AJ191-BB191,AJ191))))</f>
        <v>0</v>
      </c>
      <c r="BL191" s="478">
        <f>IF(AD191=0,0,IF(OR(AE191=1,AE192=1,AE193=1),AK191-AR191,IF(OR(AF191=1,AF192=1,AF193=1),AK191-AX191,AK191)))</f>
        <v>0</v>
      </c>
      <c r="BM191" s="478">
        <f>IF(AE191=0,0,IF(OR(AF191=1,AF192=1,AF193=1),AL191-AS191,AL191))</f>
        <v>0</v>
      </c>
      <c r="BN191" s="478">
        <f>IF(AF191=0,0,AM191)</f>
        <v>0</v>
      </c>
      <c r="BP191" t="s">
        <v>253</v>
      </c>
      <c r="BR191" s="892" t="s">
        <v>2147</v>
      </c>
      <c r="BS191" s="893"/>
      <c r="BT191" s="893"/>
      <c r="BU191" s="893"/>
      <c r="BV191" s="893"/>
      <c r="BW191" s="893"/>
      <c r="BX191" s="893"/>
      <c r="BY191" s="893"/>
      <c r="BZ191" s="893"/>
      <c r="CA191" s="894"/>
    </row>
    <row r="192" spans="1:109" customFormat="1" ht="15" customHeight="1" x14ac:dyDescent="0.2">
      <c r="B192" s="301" t="s">
        <v>1578</v>
      </c>
      <c r="C192" s="925"/>
      <c r="D192" s="925"/>
      <c r="E192" s="925"/>
      <c r="F192" s="925"/>
      <c r="G192" s="925"/>
      <c r="H192" s="925"/>
      <c r="I192" s="925"/>
      <c r="J192" s="925"/>
      <c r="K192" s="925"/>
      <c r="L192" s="925"/>
      <c r="M192" s="925"/>
      <c r="N192" s="925"/>
      <c r="P192" s="495"/>
      <c r="S192" s="301">
        <f>IF(C192="",0,C192)</f>
        <v>0</v>
      </c>
      <c r="T192" s="301">
        <f>IF(E192&lt;&gt;C192,E192,IF(AND(E193&lt;&gt;C193,S191&gt;1),S191,0))</f>
        <v>0</v>
      </c>
      <c r="U192" s="301">
        <f>IF(G192&lt;&gt;E192,G192,IF(AND(G193&lt;&gt;E193,T191&gt;1),T191,0))</f>
        <v>0</v>
      </c>
      <c r="V192" s="301">
        <f>IF(I192&lt;&gt;G192,I192,IF(AND(I193&lt;&gt;G193,U191&gt;1),U191,0))</f>
        <v>0</v>
      </c>
      <c r="W192" s="301">
        <f>IF(K192&lt;&gt;I192,K192,IF(AND(K193&lt;&gt;I193,V191&gt;1),V191,0))</f>
        <v>0</v>
      </c>
      <c r="X192" s="301">
        <f>IF(M192&lt;&gt;K192,M192,IF(AND(M193&lt;&gt;K193,W191&gt;1),W191,0))</f>
        <v>0</v>
      </c>
      <c r="Z192" s="475"/>
      <c r="AA192" s="483">
        <f>IF(C192&gt;1,1,0)</f>
        <v>0</v>
      </c>
      <c r="AB192" s="301">
        <f t="shared" si="28"/>
        <v>0</v>
      </c>
      <c r="AC192" s="301">
        <f t="shared" si="28"/>
        <v>0</v>
      </c>
      <c r="AD192" s="301">
        <f t="shared" si="28"/>
        <v>0</v>
      </c>
      <c r="AE192" s="301">
        <f t="shared" si="28"/>
        <v>0</v>
      </c>
      <c r="AF192" s="301">
        <f t="shared" si="28"/>
        <v>0</v>
      </c>
      <c r="AH192" s="478">
        <f>IF(S192=1,0,IF(S192=2,0.17,IF(S192=3,0.25,IF(S192=4,0.35,0))))</f>
        <v>0</v>
      </c>
      <c r="AI192" s="478">
        <f>IF(T192=1,0,IF(T192=2,0.15,IF(T192=3,0.23,IF(T192=4,0.31,0))))</f>
        <v>0</v>
      </c>
      <c r="AJ192" s="478">
        <f>IF(U192=1,0,IF(U192=2,0.13,IF(U192=3,0.2,IF(U192=4,0.27,0))))</f>
        <v>0</v>
      </c>
      <c r="AK192" s="478">
        <f>IF(V192=1,0,IF(V192=2,0.11,IF(V192=3,0.17,IF(V192=4,0.22,0))))</f>
        <v>0</v>
      </c>
      <c r="AL192" s="478">
        <f>IF(W192=1,0,IF(W192=2,0.08,IF(W192=3,0.12,IF(W192=4,0.16,0))))</f>
        <v>0</v>
      </c>
      <c r="AM192" s="478">
        <f>IF(X192=1,0,IF(X192=2,0.05,IF(X192=3,0.07,IF(X192=4,0.1,0))))</f>
        <v>0</v>
      </c>
      <c r="AN192" s="479"/>
      <c r="AO192" s="478">
        <f>IF(S192=1,0,IF(S192=2,0.15,IF(S192=3,0.23,IF(S192=4,0.31,0))))</f>
        <v>0</v>
      </c>
      <c r="AP192" s="478">
        <f>IF(T192=1,0,IF(T192=2,0.13,IF(T192=3,0.2,IF(T192=4,0.27,0))))</f>
        <v>0</v>
      </c>
      <c r="AQ192" s="478">
        <f>IF(U192=1,0,IF(U192=2,0.11,IF(U192=3,0.17,IF(U192=4,0.22,0))))</f>
        <v>0</v>
      </c>
      <c r="AR192" s="478">
        <f>IF(V192=1,0,IF(V192=2,0.08,IF(V192=3,0.12,IF(V192=4,0.16,0))))</f>
        <v>0</v>
      </c>
      <c r="AS192" s="478">
        <f>IF(W192=1,0,IF(W192=2,0.05,IF(W192=3,0.07,IF(W192=4,0.1,0))))</f>
        <v>0</v>
      </c>
      <c r="AU192" s="478">
        <f>IF(S192=1,0,IF(S192=2,0.13,IF(S192=3,0.2,IF(S192=4,0.27,0))))</f>
        <v>0</v>
      </c>
      <c r="AV192" s="478">
        <f>IF(T192=1,0,IF(T192=2,0.11,IF(T192=3,0.17,IF(T192=4,0.22,0))))</f>
        <v>0</v>
      </c>
      <c r="AW192" s="478">
        <f>IF(U192=1,0,IF(U192=2,0.08,IF(U192=3,0.12,IF(U192=4,0.16,0))))</f>
        <v>0</v>
      </c>
      <c r="AX192" s="478">
        <f>IF(V192=1,0,IF(V192=2,0.05,IF(V192=3,0.07,IF(V192=4,0.1,0))))</f>
        <v>0</v>
      </c>
      <c r="AZ192" s="478">
        <f>IF(S192=1,0,IF(S192=2,0.11,IF(S192=3,0.17,IF(S192=4,0.22,0))))</f>
        <v>0</v>
      </c>
      <c r="BA192" s="478">
        <f>IF(T192=1,0,IF(T192=2,0.08,IF(T192=3,0.12,IF(T192=4,0.16,0))))</f>
        <v>0</v>
      </c>
      <c r="BB192" s="478">
        <f>IF(U192=1,0,IF(U192=2,0.05,IF(U192=3,0.07,IF(U192=4,0.1,0))))</f>
        <v>0</v>
      </c>
      <c r="BD192" s="478">
        <f>IF(S192=1,0,IF(S192=2,0.08,IF(S192=3,0.12,IF(S192=4,0.16,0))))</f>
        <v>0</v>
      </c>
      <c r="BE192" s="478">
        <f>IF(T192=1,0,IF(T192=2,0.05,IF(T192=3,0.07,IF(T192=4,0.1,0))))</f>
        <v>0</v>
      </c>
      <c r="BG192" s="478">
        <f>IF(S192=1,0,IF(S192=2,0.05,IF(S192=3,0.07,IF(S192=4,0.1,0))))</f>
        <v>0</v>
      </c>
      <c r="BI192" s="478">
        <f>IF(AA192=0,0,IF(OR(AB191=1,AB192=1),AH192-AO192,IF(OR(AC191=1,AC192=1),AH192-AU192,IF(OR(AD191=1,AD192=1),AH192-AZ192,IF(OR(AE191=1,AE192=1),AH192-BD192,IF(OR(AF191=1,AF192=1),AH192-BG192,AH192))))))</f>
        <v>0</v>
      </c>
      <c r="BJ192" s="478">
        <f>IF(AB192=0,0,IF(OR(AC191=1,AC192=1),AI192-AP192,IF(OR(AD191=1,AD192=1),AI192-AV192,IF(OR(AE191=1,AE192=1),AI192-BA192,IF(OR(AF191=1,AF192=1),AI192-BE192,AI192)))))</f>
        <v>0</v>
      </c>
      <c r="BK192" s="478">
        <f>IF(AC192=0,0,IF(OR(AD191=1,AD192=1),AJ192-AQ192,IF(OR(AE191=1,AE192=1),AJ192-AW192,IF(OR(AF191=1,AF192=1),AJ192-BB192,AJ192))))</f>
        <v>0</v>
      </c>
      <c r="BL192" s="478">
        <f>IF(AD192=0,0,IF(OR(AE191=1,AE192=1),AK192-AR192,IF(OR(AF191=1,AF192=1),AK192-AX192,AK192)))</f>
        <v>0</v>
      </c>
      <c r="BM192" s="478">
        <f>IF(AE192=0,0,IF(OR(AF191=1,AF192=1),AL192-AS192,AL192))</f>
        <v>0</v>
      </c>
      <c r="BN192" s="478">
        <f>IF(AF192=0,0,AM192)</f>
        <v>0</v>
      </c>
      <c r="BP192" s="484">
        <f>LARGE((BI191,BJ191,BK191,BL191,BM191,BN191,BI192,BJ192,BK192,BL192,BM192,BN192,BI193,BJ193,BK193,BL193,BM193,BN193),1)</f>
        <v>0</v>
      </c>
      <c r="BQ192" s="485">
        <f>LARGE((BI191,BJ191,BK191,BL191,BM191,BN191,BI192,BJ192,BK192,BL192,BM192,BN192,BI193,BJ193,BK193,BL193,BM193,BN193),2)</f>
        <v>0</v>
      </c>
      <c r="BR192" s="485">
        <f>LARGE((BI191,BJ191,BK191,BL191,BM191,BN191,BI192,BJ192,BK192,BL192,BM192,BN192,BI193,BJ193,BK193,BL193,BM193,BN193),3)</f>
        <v>0</v>
      </c>
      <c r="BS192" s="485">
        <f>LARGE((BI191,BJ191,BK191,BL191,BM191,BN191,BI192,BJ192,BK192,BL192,BM192,BN192,BI193,BJ193,BK193,BL193,BM193,BN193),4)</f>
        <v>0</v>
      </c>
      <c r="BT192" s="485">
        <f>LARGE((BI191,BJ191,BK191,BL191,BM191,BN191,BI192,BJ192,BK192,BL192,BM192,BN192,BI193,BJ193,BK193,BL193,BM193,BN193),5)</f>
        <v>0</v>
      </c>
      <c r="BU192" s="485">
        <f>LARGE((BI191,BJ191,BK191,BL191,BM191,BN191,BI192,BJ192,BK192,BL192,BM192,BN192,BI193,BJ193,BK193,BL193,BM193,BN193),6)</f>
        <v>0</v>
      </c>
      <c r="BV192" s="485">
        <f>LARGE((BI191,BJ191,BK191,BL191,BM191,BN191,BI192,BJ192,BK192,BL192,BM192,BN192,BI193,BJ193,BK193,BL193,BM193,BN193),7)</f>
        <v>0</v>
      </c>
      <c r="BW192" s="485">
        <f>LARGE((BI191,BJ191,BK191,BL191,BM191,BN191,BI192,BJ192,BK192,BL192,BM192,BN192,BI193,BJ193,BK193,BL193,BM193,BN193),8)</f>
        <v>0</v>
      </c>
      <c r="BX192" s="485">
        <f>LARGE((BI191,BJ191,BK191,BL191,BM191,BN191,BI192,BJ192,BK192,BL192,BM192,BN192,BI193,BJ193,BK193,BL193,BM193,BN193),9)</f>
        <v>0</v>
      </c>
      <c r="BY192" s="485">
        <f>LARGE((BI191,BJ191,BK191,BL191,BM191,BN191,BI192,BJ192,BK192,BL192,BM192,BN192,BI193,BJ193,BK193,BL193,BM193,BN193),10)</f>
        <v>0</v>
      </c>
      <c r="BZ192" s="485">
        <f>LARGE((BI191,BJ191,BK191,BL191,BM191,BN191,BI192,BJ192,BK192,BL192,BM192,BN192,BI193,BJ193,BK193,BL193,BM193,BN193),11)</f>
        <v>0</v>
      </c>
      <c r="CA192" s="485">
        <f>LARGE((BI191,BJ191,BK191,BL191,BM191,BN191,BI192,BJ192,BK192,BL192,BM192,BN192,BI193,BJ193,BK193,BL193,BM193,BN193),12)</f>
        <v>0</v>
      </c>
    </row>
    <row r="193" spans="1:79" customFormat="1" ht="15" customHeight="1" x14ac:dyDescent="0.2">
      <c r="B193" s="482" t="s">
        <v>1581</v>
      </c>
      <c r="C193" s="925"/>
      <c r="D193" s="925"/>
      <c r="E193" s="925"/>
      <c r="F193" s="925"/>
      <c r="G193" s="925"/>
      <c r="H193" s="925"/>
      <c r="I193" s="925"/>
      <c r="J193" s="925"/>
      <c r="K193" s="925"/>
      <c r="L193" s="925"/>
      <c r="M193" s="925"/>
      <c r="N193" s="925"/>
      <c r="P193" s="495"/>
      <c r="S193" s="301">
        <f>IF(C193="",0,C193)</f>
        <v>0</v>
      </c>
      <c r="T193" s="301">
        <f>IF(E193&lt;&gt;C193,E193,IF(AND(E192&lt;&gt;C192,S191&gt;1),S191,0))</f>
        <v>0</v>
      </c>
      <c r="U193" s="301">
        <f>IF(G193&lt;&gt;E193,G193,IF(AND(G192&lt;&gt;E192,T191&gt;1),T191,0))</f>
        <v>0</v>
      </c>
      <c r="V193" s="301">
        <f>IF(I193&lt;&gt;G193,I193,IF(AND(I192&lt;&gt;G192,U191&gt;1),U191,0))</f>
        <v>0</v>
      </c>
      <c r="W193" s="301">
        <f>IF(K193&lt;&gt;I193,K193,IF(AND(K192&lt;&gt;I192,V191&gt;1),V191,0))</f>
        <v>0</v>
      </c>
      <c r="X193" s="301">
        <f>IF(M193&lt;&gt;K193,M193,IF(AND(M192&lt;&gt;K192,W191&gt;1),W191,0))</f>
        <v>0</v>
      </c>
      <c r="AA193" s="483">
        <f>IF(C193&gt;1,1,0)</f>
        <v>0</v>
      </c>
      <c r="AB193" s="301">
        <f t="shared" si="28"/>
        <v>0</v>
      </c>
      <c r="AC193" s="301">
        <f t="shared" si="28"/>
        <v>0</v>
      </c>
      <c r="AD193" s="301">
        <f t="shared" si="28"/>
        <v>0</v>
      </c>
      <c r="AE193" s="301">
        <f t="shared" si="28"/>
        <v>0</v>
      </c>
      <c r="AF193" s="301">
        <f t="shared" si="28"/>
        <v>0</v>
      </c>
      <c r="AH193" s="478">
        <f>IF(S193=1,0,IF(S193=2,0.1,IF(S193=3,0.17,IF(S193=4,0.23,0))))</f>
        <v>0</v>
      </c>
      <c r="AI193" s="478">
        <f>IF(T193=1,0,IF(T193=2,0.09,IF(T193=3,0.15,IF(T193=4,0.2,0))))</f>
        <v>0</v>
      </c>
      <c r="AJ193" s="478">
        <f>IF(U193=1,0,IF(U193=2,0.08,IF(U193=3,0.13,IF(U193=4,0.17,0))))</f>
        <v>0</v>
      </c>
      <c r="AK193" s="478">
        <f>IF(V193=1,0,IF(V193=2,0.07,IF(V193=3,0.1,IF(V193=4,0.14,0))))</f>
        <v>0</v>
      </c>
      <c r="AL193" s="478">
        <f>IF(W193=1,0,IF(W193=2,0.05,IF(W193=3,0.08,IF(W193=4,0.1,0))))</f>
        <v>0</v>
      </c>
      <c r="AM193" s="478">
        <f>IF(X193=1,0,IF(X193=2,0.03,IF(X193=3,0.05,IF(X193=4,0.06,0))))</f>
        <v>0</v>
      </c>
      <c r="AN193" s="479"/>
      <c r="AO193" s="478">
        <f>IF(S193=1,0,IF(S193=2,0.09,IF(S193=3,0.15,IF(S193=4,0.2,0))))</f>
        <v>0</v>
      </c>
      <c r="AP193" s="478">
        <f>IF(T193=1,0,IF(T193=2,0.08,IF(T193=3,0.13,IF(T193=4,0.17,0))))</f>
        <v>0</v>
      </c>
      <c r="AQ193" s="478">
        <f>IF(U193=1,0,IF(U193=2,0.07,IF(U193=3,0.1,IF(U193=4,0.14,0))))</f>
        <v>0</v>
      </c>
      <c r="AR193" s="478">
        <f>IF(V193=1,0,IF(V193=2,0.05,IF(V193=3,0.08,IF(V193=4,0.1,0))))</f>
        <v>0</v>
      </c>
      <c r="AS193" s="478">
        <f>IF(W193=1,0,IF(W193=2,0.03,IF(W193=3,0.05,IF(W193=4,0.06,0))))</f>
        <v>0</v>
      </c>
      <c r="AU193" s="478">
        <f>IF(S193=1,0,IF(S193=2,0.08,IF(S193=3,0.13,IF(S193=4,0.17,0))))</f>
        <v>0</v>
      </c>
      <c r="AV193" s="478">
        <f>IF(T193=1,0,IF(T193=2,0.07,IF(T193=3,0.1,IF(T193=4,0.14,0))))</f>
        <v>0</v>
      </c>
      <c r="AW193" s="478">
        <f>IF(U193=1,0,IF(U193=2,0.05,IF(U193=3,0.08,IF(U193=4,0.1,0))))</f>
        <v>0</v>
      </c>
      <c r="AX193" s="478">
        <f>IF(V193=1,0,IF(V193=2,0.03,IF(V193=3,0.05,IF(V193=4,0.06,0))))</f>
        <v>0</v>
      </c>
      <c r="AZ193" s="478">
        <f>IF(S193=1,0,IF(S193=2,0.07,IF(S193=3,0.1,IF(S193=4,0.14,0))))</f>
        <v>0</v>
      </c>
      <c r="BA193" s="478">
        <f>IF(T193=1,0,IF(T193=2,0.05,IF(T193=3,0.08,IF(T193=4,0.1,0))))</f>
        <v>0</v>
      </c>
      <c r="BB193" s="478">
        <f>IF(U193=1,0,IF(U193=2,0.03,IF(U193=3,0.05,IF(U193=4,0.06,0))))</f>
        <v>0</v>
      </c>
      <c r="BD193" s="478">
        <f>IF(S193=1,0,IF(S193=2,0.05,IF(S193=3,0.08,IF(S193=4,0.1,0))))</f>
        <v>0</v>
      </c>
      <c r="BE193" s="478">
        <f>IF(T193=1,0,IF(T193=2,0.03,IF(T193=3,0.05,IF(T193=4,0.06,0))))</f>
        <v>0</v>
      </c>
      <c r="BG193" s="478">
        <f>IF(S193=1,0,IF(S193=2,0.03,IF(S193=3,0.05,IF(S193=4,0.06,0))))</f>
        <v>0</v>
      </c>
      <c r="BI193" s="478">
        <f>IF(AA193=0,0,IF(OR(AB191=1,AB193=1),AH193-AO193,IF(OR(AC191=1,AC193=1),AH193-AU193,IF(OR(AD191=1,AD193=1),AH193-AZ193,IF(OR(AE191=1,AE193=1),AH193-BD193,IF(OR(AF191=1,AF193=1),AH193-BG193,AH193))))))</f>
        <v>0</v>
      </c>
      <c r="BJ193" s="478">
        <f>IF(AB193=0,0,IF(OR(AC191=1,AC193=1),AI193-AP193,IF(OR(AD191=1,AD193=1),AI193-AV193,IF(OR(AE191=1,AE193=1),AI193-BA193,IF(OR(AF191=1,AF193=1),AI193-BE193,AI193)))))</f>
        <v>0</v>
      </c>
      <c r="BK193" s="478">
        <f>IF(AC193=0,0,IF(OR(AD191=1,AD193=1),AJ193-AQ193,IF(OR(AE191=1,AE193=1),AJ193-AW193,IF(OR(AF191=1,AF193=1),AJ193-BB193,AJ193))))</f>
        <v>0</v>
      </c>
      <c r="BL193" s="478">
        <f>IF(AD193=0,0,IF(OR(AE191=1,AE193=1),AK193-AR193,IF(OR(AF191=1,AF193=1),AK193-AX193,AK193)))</f>
        <v>0</v>
      </c>
      <c r="BM193" s="478">
        <f>IF(AE193=0,0,IF(OR(AF191=1,AF193=1),AL193-AS193,AL193))</f>
        <v>0</v>
      </c>
      <c r="BN193" s="478">
        <f>IF(AF193=0,0,AM193)</f>
        <v>0</v>
      </c>
      <c r="BP193" s="486">
        <f>ROUND(BP192+BQ192*(1-BP192),2)</f>
        <v>0</v>
      </c>
      <c r="BQ193" s="486">
        <f t="shared" ref="BQ193:BZ193" si="29">ROUND(BP193+BR192*(1-BP193),2)</f>
        <v>0</v>
      </c>
      <c r="BR193" s="486">
        <f t="shared" si="29"/>
        <v>0</v>
      </c>
      <c r="BS193" s="486">
        <f t="shared" si="29"/>
        <v>0</v>
      </c>
      <c r="BT193" s="486">
        <f t="shared" si="29"/>
        <v>0</v>
      </c>
      <c r="BU193" s="486">
        <f t="shared" si="29"/>
        <v>0</v>
      </c>
      <c r="BV193" s="486">
        <f t="shared" si="29"/>
        <v>0</v>
      </c>
      <c r="BW193" s="486">
        <f t="shared" si="29"/>
        <v>0</v>
      </c>
      <c r="BX193" s="486">
        <f t="shared" si="29"/>
        <v>0</v>
      </c>
      <c r="BY193" s="486">
        <f t="shared" si="29"/>
        <v>0</v>
      </c>
      <c r="BZ193" s="486">
        <f t="shared" si="29"/>
        <v>0</v>
      </c>
      <c r="CA193" s="483"/>
    </row>
    <row r="194" spans="1:79" customFormat="1" ht="15" customHeight="1" x14ac:dyDescent="0.2">
      <c r="B194" s="926" t="str">
        <f>IF(AD194=1,"ERROR: If radial or ulnar impairment is recorded, do not enter losses for 'both sides.'","")</f>
        <v/>
      </c>
      <c r="C194" s="927"/>
      <c r="D194" s="927"/>
      <c r="E194" s="927"/>
      <c r="F194" s="927"/>
      <c r="G194" s="927"/>
      <c r="H194" s="927"/>
      <c r="I194" s="927"/>
      <c r="J194" s="927"/>
      <c r="K194" s="927"/>
      <c r="L194" s="927"/>
      <c r="M194" s="927"/>
      <c r="N194" s="927"/>
      <c r="O194" s="928"/>
      <c r="P194" s="245">
        <f>IF(B194&lt;&gt;"","ERROR",BZ193)</f>
        <v>0</v>
      </c>
      <c r="S194" s="475"/>
      <c r="T194" s="475"/>
      <c r="U194" s="475"/>
      <c r="V194" s="475"/>
      <c r="W194" s="475"/>
      <c r="AA194" s="301">
        <f>SUM(AA191:AF191)</f>
        <v>0</v>
      </c>
      <c r="AB194" s="301">
        <f>SUM(AA192:AF192)</f>
        <v>0</v>
      </c>
      <c r="AC194" s="301">
        <f>SUM(AA193:AF193)</f>
        <v>0</v>
      </c>
      <c r="AD194" s="301">
        <f>IF(AND(AA194&gt;0,AB194&gt;0),1,IF(AND(AA194&gt;0,AC194&gt;0),1,0))</f>
        <v>0</v>
      </c>
      <c r="AE194" s="475"/>
      <c r="AF194" s="475"/>
    </row>
    <row r="195" spans="1:79" customFormat="1" ht="15" customHeight="1" x14ac:dyDescent="0.2">
      <c r="B195" s="350" t="s">
        <v>1208</v>
      </c>
      <c r="C195" s="474"/>
      <c r="D195" s="474"/>
      <c r="E195" s="474"/>
      <c r="F195" s="474"/>
      <c r="G195" s="474"/>
      <c r="H195" s="474"/>
      <c r="I195" s="474"/>
      <c r="J195" s="474"/>
      <c r="K195" s="474"/>
      <c r="L195" s="474"/>
      <c r="M195" s="474"/>
      <c r="N195" s="474"/>
      <c r="O195" s="491"/>
      <c r="P195" s="492"/>
      <c r="S195" s="475"/>
      <c r="T195" s="475"/>
      <c r="U195" s="475"/>
      <c r="V195" s="475"/>
      <c r="W195" s="475"/>
      <c r="AA195" s="475"/>
      <c r="AB195" s="475"/>
      <c r="AC195" s="475"/>
      <c r="AD195" s="475"/>
      <c r="AE195" s="475"/>
      <c r="AF195" s="475"/>
    </row>
    <row r="196" spans="1:79" customFormat="1" ht="15" customHeight="1" x14ac:dyDescent="0.2">
      <c r="B196" s="146" t="s">
        <v>1575</v>
      </c>
      <c r="C196" s="925"/>
      <c r="D196" s="925"/>
      <c r="E196" s="925"/>
      <c r="F196" s="925"/>
      <c r="G196" s="925"/>
      <c r="H196" s="925"/>
      <c r="I196" s="925"/>
      <c r="J196" s="925"/>
      <c r="K196" s="925"/>
      <c r="L196" s="925"/>
      <c r="M196" s="925"/>
      <c r="N196" s="925"/>
      <c r="P196" s="489"/>
      <c r="S196" s="301">
        <f>IF(C196="",0,C196)</f>
        <v>0</v>
      </c>
      <c r="T196" s="301">
        <f>IF(AND(E196&lt;&gt;C196,E196&lt;&gt;""),E196,IF(OR(E197&lt;&gt;"",E198&lt;&gt;""),0,S196))</f>
        <v>0</v>
      </c>
      <c r="U196" s="301">
        <f>IF(AND(G196&lt;&gt;E196,G196&lt;&gt;""),G196,IF(OR(G197&lt;&gt;"",G198&lt;&gt;""),0,T196))</f>
        <v>0</v>
      </c>
      <c r="V196" s="301">
        <f>IF(AND(I196&lt;&gt;G196,I196&lt;&gt;""),I196,IF(OR(I197&lt;&gt;"",I198&lt;&gt;""),0,U196))</f>
        <v>0</v>
      </c>
      <c r="W196" s="301">
        <f>IF(AND(K196&lt;&gt;I196,K196&lt;&gt;""),K196,IF(OR(K197&lt;&gt;"",K198&lt;&gt;""),0,V196))</f>
        <v>0</v>
      </c>
      <c r="X196" s="301">
        <f>IF(AND(M196&lt;&gt;K196,M196&lt;&gt;""),M196,IF(OR(M197&lt;&gt;"",M198&lt;&gt;""),0,W196))</f>
        <v>0</v>
      </c>
      <c r="Z196" s="475"/>
      <c r="AA196" s="483">
        <f>IF(C196&gt;1,1,0)</f>
        <v>0</v>
      </c>
      <c r="AB196" s="301">
        <f t="shared" ref="AB196:AF198" si="30">IF(AND(S196&lt;&gt;T196,T196&gt;0),1,0)</f>
        <v>0</v>
      </c>
      <c r="AC196" s="301">
        <f t="shared" si="30"/>
        <v>0</v>
      </c>
      <c r="AD196" s="301">
        <f t="shared" si="30"/>
        <v>0</v>
      </c>
      <c r="AE196" s="301">
        <f t="shared" si="30"/>
        <v>0</v>
      </c>
      <c r="AF196" s="301">
        <f t="shared" si="30"/>
        <v>0</v>
      </c>
      <c r="AH196" s="478">
        <f>IF(S196=1,0,IF(S196=2,0.25,IF(S196=3,0.38,IF(S196=4,0.5,0))))</f>
        <v>0</v>
      </c>
      <c r="AI196" s="478">
        <f>IF(T196=1,0,IF(T196=2,0.23,IF(T196=3,0.35,IF(T196=4,0.45,0))))</f>
        <v>0</v>
      </c>
      <c r="AJ196" s="478">
        <f>IF(U196=1,0,IF(U196=2,0.2,IF(U196=3,0.3,IF(U196=4,0.39,0))))</f>
        <v>0</v>
      </c>
      <c r="AK196" s="478">
        <f>IF(V196=1,0,IF(V196=2,0.17,IF(V196=3,0.25,IF(V196=4,0.33,0))))</f>
        <v>0</v>
      </c>
      <c r="AL196" s="478">
        <f>IF(W196=1,0,IF(W196=2,0.13,IF(W196=3,0.19,IF(W196=4,0.24,0))))</f>
        <v>0</v>
      </c>
      <c r="AM196" s="478">
        <f>IF(X196=1,0,IF(X196=2,0.08,IF(X196=3,0.12,IF(X196=4,0.15,0))))</f>
        <v>0</v>
      </c>
      <c r="AN196" s="479"/>
      <c r="AO196" s="478">
        <f>IF(S196=1,0,IF(S196=2,0.23,IF(S196=3,0.35,IF(S196=4,0.45,0))))</f>
        <v>0</v>
      </c>
      <c r="AP196" s="478">
        <f>IF(T196=1,0,IF(T196=2,0.2,IF(T196=3,0.3,IF(T196=4,0.39,0))))</f>
        <v>0</v>
      </c>
      <c r="AQ196" s="478">
        <f>IF(U196=1,0,IF(U196=2,0.17,IF(U196=3,0.25,IF(U196=4,0.33,0))))</f>
        <v>0</v>
      </c>
      <c r="AR196" s="478">
        <f>IF(V196=1,0,IF(V196=2,0.13,IF(V196=3,0.19,IF(V196=4,0.24,0))))</f>
        <v>0</v>
      </c>
      <c r="AS196" s="478">
        <f>IF(W196=1,0,IF(W196=2,0.08,IF(W196=3,0.12,IF(W196=4,0.15,0))))</f>
        <v>0</v>
      </c>
      <c r="AU196" s="478">
        <f>IF(S196=1,0,IF(S196=2,0.2,IF(S196=3,0.3,IF(S196=4,0.39,0))))</f>
        <v>0</v>
      </c>
      <c r="AV196" s="478">
        <f>IF(T196=1,0,IF(T196=2,0.17,IF(T196=3,0.25,IF(T196=4,0.33,0))))</f>
        <v>0</v>
      </c>
      <c r="AW196" s="478">
        <f>IF(U196=1,0,IF(U196=2,0.13,IF(U196=3,0.19,IF(U196=4,0.24,0))))</f>
        <v>0</v>
      </c>
      <c r="AX196" s="478">
        <f>IF(V196=1,0,IF(V196=2,0.08,IF(V196=3,0.12,IF(V196=4,0.15,0))))</f>
        <v>0</v>
      </c>
      <c r="AZ196" s="478">
        <f>IF(S196=1,0,IF(S196=2,0.17,IF(S196=3,0.25,IF(S196=4,0.33,0))))</f>
        <v>0</v>
      </c>
      <c r="BA196" s="478">
        <f>IF(T196=1,0,IF(T196=2,0.13,IF(T196=3,0.19,IF(T196=4,0.24,0))))</f>
        <v>0</v>
      </c>
      <c r="BB196" s="478">
        <f>IF(U196=1,0,IF(U196=2,0.08,IF(U196=3,0.12,IF(U196=4,0.15,0))))</f>
        <v>0</v>
      </c>
      <c r="BD196" s="478">
        <f>IF(S196=1,0,IF(S196=2,0.13,IF(S196=3,0.19,IF(S196=4,0.24,0))))</f>
        <v>0</v>
      </c>
      <c r="BE196" s="478">
        <f>IF(T196=1,0,IF(T196=2,0.08,IF(T196=3,0.12,IF(T196=4,0.15,0))))</f>
        <v>0</v>
      </c>
      <c r="BG196" s="478">
        <f>IF(S196=1,0,IF(S196=2,0.08,IF(S196=3,0.12,IF(S196=4,0.15,0))))</f>
        <v>0</v>
      </c>
      <c r="BI196" s="478">
        <f>IF(AA196=0,0,IF(OR(AB196=1,AB197=1,AB198=1),AH196-AO196,IF(OR(AC196=1,AC197=1,AC198=1),AH196-AU196,IF(OR(AD196=1,AD197=1,AD198=1),AH196-AZ196,IF(OR(AE196=1,AE197=1,AE198=1),AH196-BD196,IF(OR(AF196=1,AF197=1,AF198=1),AH196-BG196,AH196))))))</f>
        <v>0</v>
      </c>
      <c r="BJ196" s="478">
        <f>IF(AB196=0,0,IF(OR(AC196=1,AC197=1,AC198=1),AI196-AP196,IF(OR(AD196=1,AD197=1,AD198=1),AI196-AV196,IF(OR(AE196=1,AE197=1,AE198=1),AI196-BA196,IF(OR(AF196=1,AF197=1,AF198=1),AI196-BE196,AI196)))))</f>
        <v>0</v>
      </c>
      <c r="BK196" s="478">
        <f>IF(AC196=0,0,IF(OR(AD196=1,AD197=1,AD198=1),AJ196-AQ196,IF(OR(AE196=1,AE197=1,AE198=1),AJ196-AW196,IF(OR(AF196=1,AF197=1,AF198=1),AJ196-BB196,AJ196))))</f>
        <v>0</v>
      </c>
      <c r="BL196" s="478">
        <f>IF(AD196=0,0,IF(OR(AE196=1,AE197=1,AE198=1),AK196-AR196,IF(OR(AF196=1,AF197=1,AF198=1),AK196-AX196,AK196)))</f>
        <v>0</v>
      </c>
      <c r="BM196" s="478">
        <f>IF(AE196=0,0,IF(OR(AF196=1,AF197=1,AF198=1),AL196-AS196,AL196))</f>
        <v>0</v>
      </c>
      <c r="BN196" s="478">
        <f>IF(AF196=0,0,AM196)</f>
        <v>0</v>
      </c>
      <c r="BP196" t="s">
        <v>253</v>
      </c>
    </row>
    <row r="197" spans="1:79" customFormat="1" ht="15" customHeight="1" x14ac:dyDescent="0.2">
      <c r="B197" s="301" t="s">
        <v>1578</v>
      </c>
      <c r="C197" s="925"/>
      <c r="D197" s="925"/>
      <c r="E197" s="925"/>
      <c r="F197" s="925"/>
      <c r="G197" s="925"/>
      <c r="H197" s="925"/>
      <c r="I197" s="925"/>
      <c r="J197" s="925"/>
      <c r="K197" s="925"/>
      <c r="L197" s="925"/>
      <c r="M197" s="925"/>
      <c r="N197" s="925"/>
      <c r="P197" s="495"/>
      <c r="S197" s="301">
        <f>IF(C197="",0,C197)</f>
        <v>0</v>
      </c>
      <c r="T197" s="301">
        <f>IF(E197&lt;&gt;C197,E197,IF(AND(E198&lt;&gt;C198,S196&gt;1),S196,0))</f>
        <v>0</v>
      </c>
      <c r="U197" s="301">
        <f>IF(G197&lt;&gt;E197,G197,IF(AND(G198&lt;&gt;E198,T196&gt;1),T196,0))</f>
        <v>0</v>
      </c>
      <c r="V197" s="301">
        <f>IF(I197&lt;&gt;G197,I197,IF(AND(I198&lt;&gt;G198,U196&gt;1),U196,0))</f>
        <v>0</v>
      </c>
      <c r="W197" s="301">
        <f>IF(K197&lt;&gt;I197,K197,IF(AND(K198&lt;&gt;I198,V196&gt;1),V196,0))</f>
        <v>0</v>
      </c>
      <c r="X197" s="301">
        <f>IF(M197&lt;&gt;K197,M197,IF(AND(M198&lt;&gt;K198,W196&gt;1),W196,0))</f>
        <v>0</v>
      </c>
      <c r="Z197" s="475"/>
      <c r="AA197" s="483">
        <f>IF(C197&gt;1,1,0)</f>
        <v>0</v>
      </c>
      <c r="AB197" s="301">
        <f t="shared" si="30"/>
        <v>0</v>
      </c>
      <c r="AC197" s="301">
        <f t="shared" si="30"/>
        <v>0</v>
      </c>
      <c r="AD197" s="301">
        <f t="shared" si="30"/>
        <v>0</v>
      </c>
      <c r="AE197" s="301">
        <f t="shared" si="30"/>
        <v>0</v>
      </c>
      <c r="AF197" s="301">
        <f t="shared" si="30"/>
        <v>0</v>
      </c>
      <c r="AH197" s="478">
        <f>IF(S197=1,0,IF(S197=2,0.17,IF(S197=3,0.25,IF(S197=4,0.35,0))))</f>
        <v>0</v>
      </c>
      <c r="AI197" s="478">
        <f>IF(T197=1,0,IF(T197=2,0.15,IF(T197=3,0.23,IF(T197=4,0.31,0))))</f>
        <v>0</v>
      </c>
      <c r="AJ197" s="478">
        <f>IF(U197=1,0,IF(U197=2,0.13,IF(U197=3,0.2,IF(U197=4,0.27,0))))</f>
        <v>0</v>
      </c>
      <c r="AK197" s="478">
        <f>IF(V197=1,0,IF(V197=2,0.11,IF(V197=3,0.17,IF(V197=4,0.22,0))))</f>
        <v>0</v>
      </c>
      <c r="AL197" s="478">
        <f>IF(W197=1,0,IF(W197=2,0.08,IF(W197=3,0.12,IF(W197=4,0.16,0))))</f>
        <v>0</v>
      </c>
      <c r="AM197" s="478">
        <f>IF(X197=1,0,IF(X197=2,0.05,IF(X197=3,0.07,IF(X197=4,0.1,0))))</f>
        <v>0</v>
      </c>
      <c r="AN197" s="479"/>
      <c r="AO197" s="478">
        <f>IF(S197=1,0,IF(S197=2,0.15,IF(S197=3,0.23,IF(S197=4,0.31,0))))</f>
        <v>0</v>
      </c>
      <c r="AP197" s="478">
        <f>IF(T197=1,0,IF(T197=2,0.13,IF(T197=3,0.2,IF(T197=4,0.27,0))))</f>
        <v>0</v>
      </c>
      <c r="AQ197" s="478">
        <f>IF(U197=1,0,IF(U197=2,0.11,IF(U197=3,0.17,IF(U197=4,0.22,0))))</f>
        <v>0</v>
      </c>
      <c r="AR197" s="478">
        <f>IF(V197=1,0,IF(V197=2,0.08,IF(V197=3,0.12,IF(V197=4,0.16,0))))</f>
        <v>0</v>
      </c>
      <c r="AS197" s="478">
        <f>IF(W197=1,0,IF(W197=2,0.05,IF(W197=3,0.07,IF(W197=4,0.1,0))))</f>
        <v>0</v>
      </c>
      <c r="AU197" s="478">
        <f>IF(S197=1,0,IF(S197=2,0.13,IF(S197=3,0.2,IF(S197=4,0.27,0))))</f>
        <v>0</v>
      </c>
      <c r="AV197" s="478">
        <f>IF(T197=1,0,IF(T197=2,0.11,IF(T197=3,0.17,IF(T197=4,0.22,0))))</f>
        <v>0</v>
      </c>
      <c r="AW197" s="478">
        <f>IF(U197=1,0,IF(U197=2,0.08,IF(U197=3,0.12,IF(U197=4,0.16,0))))</f>
        <v>0</v>
      </c>
      <c r="AX197" s="478">
        <f>IF(V197=1,0,IF(V197=2,0.05,IF(V197=3,0.07,IF(V197=4,0.1,0))))</f>
        <v>0</v>
      </c>
      <c r="AZ197" s="478">
        <f>IF(S197=1,0,IF(S197=2,0.11,IF(S197=3,0.17,IF(S197=4,0.22,0))))</f>
        <v>0</v>
      </c>
      <c r="BA197" s="478">
        <f>IF(T197=1,0,IF(T197=2,0.08,IF(T197=3,0.12,IF(T197=4,0.16,0))))</f>
        <v>0</v>
      </c>
      <c r="BB197" s="478">
        <f>IF(U197=1,0,IF(U197=2,0.05,IF(U197=3,0.07,IF(U197=4,0.1,0))))</f>
        <v>0</v>
      </c>
      <c r="BD197" s="478">
        <f>IF(S197=1,0,IF(S197=2,0.08,IF(S197=3,0.12,IF(S197=4,0.16,0))))</f>
        <v>0</v>
      </c>
      <c r="BE197" s="478">
        <f>IF(T197=1,0,IF(T197=2,0.05,IF(T197=3,0.07,IF(T197=4,0.1,0))))</f>
        <v>0</v>
      </c>
      <c r="BG197" s="478">
        <f>IF(S197=1,0,IF(S197=2,0.05,IF(S197=3,0.07,IF(S197=4,0.1,0))))</f>
        <v>0</v>
      </c>
      <c r="BI197" s="478">
        <f>IF(AA197=0,0,IF(OR(AB196=1,AB197=1),AH197-AO197,IF(OR(AC196=1,AC197=1),AH197-AU197,IF(OR(AD196=1,AD197=1),AH197-AZ197,IF(OR(AE196=1,AE197=1),AH197-BD197,IF(OR(AF196=1,AF197=1),AH197-BG197,AH197))))))</f>
        <v>0</v>
      </c>
      <c r="BJ197" s="478">
        <f>IF(AB197=0,0,IF(OR(AC196=1,AC197=1),AI197-AP197,IF(OR(AD196=1,AD197=1),AI197-AV197,IF(OR(AE196=1,AE197=1),AI197-BA197,IF(OR(AF196=1,AF197=1),AI197-BE197,AI197)))))</f>
        <v>0</v>
      </c>
      <c r="BK197" s="478">
        <f>IF(AC197=0,0,IF(OR(AD196=1,AD197=1),AJ197-AQ197,IF(OR(AE196=1,AE197=1),AJ197-AW197,IF(OR(AF196=1,AF197=1),AJ197-BB197,AJ197))))</f>
        <v>0</v>
      </c>
      <c r="BL197" s="478">
        <f>IF(AD197=0,0,IF(OR(AE196=1,AE197=1),AK197-AR197,IF(OR(AF196=1,AF197=1),AK197-AX197,AK197)))</f>
        <v>0</v>
      </c>
      <c r="BM197" s="478">
        <f>IF(AE197=0,0,IF(OR(AF196=1,AF197=1),AL197-AS197,AL197))</f>
        <v>0</v>
      </c>
      <c r="BN197" s="478">
        <f>IF(AF197=0,0,AM197)</f>
        <v>0</v>
      </c>
      <c r="BP197" s="484">
        <f>LARGE((BI196,BJ196,BK196,BL196,BM196,BN196,BI197,BJ197,BK197,BL197,BM197,BN197,BI198,BJ198,BK198,BL198,BM198,BN198),1)</f>
        <v>0</v>
      </c>
      <c r="BQ197" s="485">
        <f>LARGE((BI196,BJ196,BK196,BL196,BM196,BN196,BI197,BJ197,BK197,BL197,BM197,BN197,BI198,BJ198,BK198,BL198,BM198,BN198),2)</f>
        <v>0</v>
      </c>
      <c r="BR197" s="485">
        <f>LARGE((BI196,BJ196,BK196,BL196,BM196,BN196,BI197,BJ197,BK197,BL197,BM197,BN197,BI198,BJ198,BK198,BL198,BM198,BN198),3)</f>
        <v>0</v>
      </c>
      <c r="BS197" s="485">
        <f>LARGE((BI196,BJ196,BK196,BL196,BM196,BN196,BI197,BJ197,BK197,BL197,BM197,BN197,BI198,BJ198,BK198,BL198,BM198,BN198),4)</f>
        <v>0</v>
      </c>
      <c r="BT197" s="485">
        <f>LARGE((BI196,BJ196,BK196,BL196,BM196,BN196,BI197,BJ197,BK197,BL197,BM197,BN197,BI198,BJ198,BK198,BL198,BM198,BN198),5)</f>
        <v>0</v>
      </c>
      <c r="BU197" s="485">
        <f>LARGE((BI196,BJ196,BK196,BL196,BM196,BN196,BI197,BJ197,BK197,BL197,BM197,BN197,BI198,BJ198,BK198,BL198,BM198,BN198),6)</f>
        <v>0</v>
      </c>
      <c r="BV197" s="485">
        <f>LARGE((BI196,BJ196,BK196,BL196,BM196,BN196,BI197,BJ197,BK197,BL197,BM197,BN197,BI198,BJ198,BK198,BL198,BM198,BN198),7)</f>
        <v>0</v>
      </c>
      <c r="BW197" s="485">
        <f>LARGE((BI196,BJ196,BK196,BL196,BM196,BN196,BI197,BJ197,BK197,BL197,BM197,BN197,BI198,BJ198,BK198,BL198,BM198,BN198),8)</f>
        <v>0</v>
      </c>
      <c r="BX197" s="485">
        <f>LARGE((BI196,BJ196,BK196,BL196,BM196,BN196,BI197,BJ197,BK197,BL197,BM197,BN197,BI198,BJ198,BK198,BL198,BM198,BN198),9)</f>
        <v>0</v>
      </c>
      <c r="BY197" s="485">
        <f>LARGE((BI196,BJ196,BK196,BL196,BM196,BN196,BI197,BJ197,BK197,BL197,BM197,BN197,BI198,BJ198,BK198,BL198,BM198,BN198),10)</f>
        <v>0</v>
      </c>
      <c r="BZ197" s="485">
        <f>LARGE((BI196,BJ196,BK196,BL196,BM196,BN196,BI197,BJ197,BK197,BL197,BM197,BN197,BI198,BJ198,BK198,BL198,BM198,BN198),11)</f>
        <v>0</v>
      </c>
      <c r="CA197" s="485">
        <f>LARGE((BI196,BJ196,BK196,BL196,BM196,BN196,BI197,BJ197,BK197,BL197,BM197,BN197,BI198,BJ198,BK198,BL198,BM198,BN198),12)</f>
        <v>0</v>
      </c>
    </row>
    <row r="198" spans="1:79" customFormat="1" ht="15" customHeight="1" x14ac:dyDescent="0.2">
      <c r="B198" s="482" t="s">
        <v>1581</v>
      </c>
      <c r="C198" s="925"/>
      <c r="D198" s="925"/>
      <c r="E198" s="925"/>
      <c r="F198" s="925"/>
      <c r="G198" s="925"/>
      <c r="H198" s="925"/>
      <c r="I198" s="925"/>
      <c r="J198" s="925"/>
      <c r="K198" s="925"/>
      <c r="L198" s="925"/>
      <c r="M198" s="925"/>
      <c r="N198" s="925"/>
      <c r="P198" s="495"/>
      <c r="S198" s="301">
        <f>IF(C198="",0,C198)</f>
        <v>0</v>
      </c>
      <c r="T198" s="301">
        <f>IF(E198&lt;&gt;C198,E198,IF(AND(E197&lt;&gt;C197,S196&gt;1),S196,0))</f>
        <v>0</v>
      </c>
      <c r="U198" s="301">
        <f>IF(G198&lt;&gt;E198,G198,IF(AND(G197&lt;&gt;E197,T196&gt;1),T196,0))</f>
        <v>0</v>
      </c>
      <c r="V198" s="301">
        <f>IF(I198&lt;&gt;G198,I198,IF(AND(I197&lt;&gt;G197,U196&gt;1),U196,0))</f>
        <v>0</v>
      </c>
      <c r="W198" s="301">
        <f>IF(K198&lt;&gt;I198,K198,IF(AND(K197&lt;&gt;I197,V196&gt;1),V196,0))</f>
        <v>0</v>
      </c>
      <c r="X198" s="301">
        <f>IF(M198&lt;&gt;K198,M198,IF(AND(M197&lt;&gt;K197,W196&gt;1),W196,0))</f>
        <v>0</v>
      </c>
      <c r="AA198" s="483">
        <f>IF(C198&gt;1,1,0)</f>
        <v>0</v>
      </c>
      <c r="AB198" s="301">
        <f t="shared" si="30"/>
        <v>0</v>
      </c>
      <c r="AC198" s="301">
        <f t="shared" si="30"/>
        <v>0</v>
      </c>
      <c r="AD198" s="301">
        <f t="shared" si="30"/>
        <v>0</v>
      </c>
      <c r="AE198" s="301">
        <f t="shared" si="30"/>
        <v>0</v>
      </c>
      <c r="AF198" s="301">
        <f t="shared" si="30"/>
        <v>0</v>
      </c>
      <c r="AH198" s="478">
        <f>IF(S198=1,0,IF(S198=2,0.1,IF(S198=3,0.17,IF(S198=4,0.23,0))))</f>
        <v>0</v>
      </c>
      <c r="AI198" s="478">
        <f>IF(T198=1,0,IF(T198=2,0.09,IF(T198=3,0.15,IF(T198=4,0.2,0))))</f>
        <v>0</v>
      </c>
      <c r="AJ198" s="478">
        <f>IF(U198=1,0,IF(U198=2,0.08,IF(U198=3,0.13,IF(U198=4,0.17,0))))</f>
        <v>0</v>
      </c>
      <c r="AK198" s="478">
        <f>IF(V198=1,0,IF(V198=2,0.07,IF(V198=3,0.1,IF(V198=4,0.14,0))))</f>
        <v>0</v>
      </c>
      <c r="AL198" s="478">
        <f>IF(W198=1,0,IF(W198=2,0.05,IF(W198=3,0.08,IF(W198=4,0.1,0))))</f>
        <v>0</v>
      </c>
      <c r="AM198" s="478">
        <f>IF(X198=1,0,IF(X198=2,0.03,IF(X198=3,0.05,IF(X198=4,0.06,0))))</f>
        <v>0</v>
      </c>
      <c r="AN198" s="479"/>
      <c r="AO198" s="478">
        <f>IF(S198=1,0,IF(S198=2,0.09,IF(S198=3,0.15,IF(S198=4,0.2,0))))</f>
        <v>0</v>
      </c>
      <c r="AP198" s="478">
        <f>IF(T198=1,0,IF(T198=2,0.08,IF(T198=3,0.13,IF(T198=4,0.17,0))))</f>
        <v>0</v>
      </c>
      <c r="AQ198" s="478">
        <f>IF(U198=1,0,IF(U198=2,0.07,IF(U198=3,0.1,IF(U198=4,0.14,0))))</f>
        <v>0</v>
      </c>
      <c r="AR198" s="478">
        <f>IF(V198=1,0,IF(V198=2,0.05,IF(V198=3,0.08,IF(V198=4,0.1,0))))</f>
        <v>0</v>
      </c>
      <c r="AS198" s="478">
        <f>IF(W198=1,0,IF(W198=2,0.03,IF(W198=3,0.05,IF(W198=4,0.06,0))))</f>
        <v>0</v>
      </c>
      <c r="AU198" s="478">
        <f>IF(S198=1,0,IF(S198=2,0.08,IF(S198=3,0.13,IF(S198=4,0.17,0))))</f>
        <v>0</v>
      </c>
      <c r="AV198" s="478">
        <f>IF(T198=1,0,IF(T198=2,0.07,IF(T198=3,0.1,IF(T198=4,0.14,0))))</f>
        <v>0</v>
      </c>
      <c r="AW198" s="478">
        <f>IF(U198=1,0,IF(U198=2,0.05,IF(U198=3,0.08,IF(U198=4,0.1,0))))</f>
        <v>0</v>
      </c>
      <c r="AX198" s="478">
        <f>IF(V198=1,0,IF(V198=2,0.03,IF(V198=3,0.05,IF(V198=4,0.06,0))))</f>
        <v>0</v>
      </c>
      <c r="AZ198" s="478">
        <f>IF(S198=1,0,IF(S198=2,0.07,IF(S198=3,0.1,IF(S198=4,0.14,0))))</f>
        <v>0</v>
      </c>
      <c r="BA198" s="478">
        <f>IF(T198=1,0,IF(T198=2,0.05,IF(T198=3,0.08,IF(T198=4,0.1,0))))</f>
        <v>0</v>
      </c>
      <c r="BB198" s="478">
        <f>IF(U198=1,0,IF(U198=2,0.03,IF(U198=3,0.05,IF(U198=4,0.06,0))))</f>
        <v>0</v>
      </c>
      <c r="BD198" s="478">
        <f>IF(S198=1,0,IF(S198=2,0.05,IF(S198=3,0.08,IF(S198=4,0.1,0))))</f>
        <v>0</v>
      </c>
      <c r="BE198" s="478">
        <f>IF(T198=1,0,IF(T198=2,0.03,IF(T198=3,0.05,IF(T198=4,0.06,0))))</f>
        <v>0</v>
      </c>
      <c r="BG198" s="478">
        <f>IF(S198=1,0,IF(S198=2,0.03,IF(S198=3,0.05,IF(S198=4,0.06,0))))</f>
        <v>0</v>
      </c>
      <c r="BI198" s="478">
        <f>IF(AA198=0,0,IF(OR(AB196=1,AB198=1),AH198-AO198,IF(OR(AC196=1,AC198=1),AH198-AU198,IF(OR(AD196=1,AD198=1),AH198-AZ198,IF(OR(AE196=1,AE198=1),AH198-BD198,IF(OR(AF196=1,AF198=1),AH198-BG198,AH198))))))</f>
        <v>0</v>
      </c>
      <c r="BJ198" s="478">
        <f>IF(AB198=0,0,IF(OR(AC196=1,AC198=1),AI198-AP198,IF(OR(AD196=1,AD198=1),AI198-AV198,IF(OR(AE196=1,AE198=1),AI198-BA198,IF(OR(AF196=1,AF198=1),AI198-BE198,AI198)))))</f>
        <v>0</v>
      </c>
      <c r="BK198" s="478">
        <f>IF(AC198=0,0,IF(OR(AD196=1,AD198=1),AJ198-AQ198,IF(OR(AE196=1,AE198=1),AJ198-AW198,IF(OR(AF196=1,AF198=1),AJ198-BB198,AJ198))))</f>
        <v>0</v>
      </c>
      <c r="BL198" s="478">
        <f>IF(AD198=0,0,IF(OR(AE196=1,AE198=1),AK198-AR198,IF(OR(AF196=1,AF198=1),AK198-AX198,AK198)))</f>
        <v>0</v>
      </c>
      <c r="BM198" s="478">
        <f>IF(AE198=0,0,IF(OR(AF196=1,AF198=1),AL198-AS198,AL198))</f>
        <v>0</v>
      </c>
      <c r="BN198" s="478">
        <f>IF(AF198=0,0,AM198)</f>
        <v>0</v>
      </c>
      <c r="BP198" s="486">
        <f>ROUND(BP197+BQ197*(1-BP197),2)</f>
        <v>0</v>
      </c>
      <c r="BQ198" s="486">
        <f t="shared" ref="BQ198:BZ198" si="31">ROUND(BP198+BR197*(1-BP198),2)</f>
        <v>0</v>
      </c>
      <c r="BR198" s="486">
        <f t="shared" si="31"/>
        <v>0</v>
      </c>
      <c r="BS198" s="486">
        <f t="shared" si="31"/>
        <v>0</v>
      </c>
      <c r="BT198" s="486">
        <f t="shared" si="31"/>
        <v>0</v>
      </c>
      <c r="BU198" s="486">
        <f t="shared" si="31"/>
        <v>0</v>
      </c>
      <c r="BV198" s="486">
        <f t="shared" si="31"/>
        <v>0</v>
      </c>
      <c r="BW198" s="486">
        <f t="shared" si="31"/>
        <v>0</v>
      </c>
      <c r="BX198" s="486">
        <f t="shared" si="31"/>
        <v>0</v>
      </c>
      <c r="BY198" s="486">
        <f t="shared" si="31"/>
        <v>0</v>
      </c>
      <c r="BZ198" s="486">
        <f t="shared" si="31"/>
        <v>0</v>
      </c>
      <c r="CA198" s="483"/>
    </row>
    <row r="199" spans="1:79" customFormat="1" ht="15" customHeight="1" x14ac:dyDescent="0.2">
      <c r="B199" s="926" t="str">
        <f>IF(AD199=1,"ERROR: If radial or ulnar impairment is recorded, do not enter losses for 'both sides.'","")</f>
        <v/>
      </c>
      <c r="C199" s="927"/>
      <c r="D199" s="927"/>
      <c r="E199" s="927"/>
      <c r="F199" s="927"/>
      <c r="G199" s="927"/>
      <c r="H199" s="927"/>
      <c r="I199" s="927"/>
      <c r="J199" s="927"/>
      <c r="K199" s="927"/>
      <c r="L199" s="927"/>
      <c r="M199" s="927"/>
      <c r="N199" s="927"/>
      <c r="O199" s="928"/>
      <c r="P199" s="245">
        <f>IF(B199&lt;&gt;"","ERROR",BZ198)</f>
        <v>0</v>
      </c>
      <c r="S199" s="475"/>
      <c r="T199" s="475"/>
      <c r="U199" s="475"/>
      <c r="V199" s="475"/>
      <c r="W199" s="475"/>
      <c r="AA199" s="301">
        <f>SUM(AA196:AF196)</f>
        <v>0</v>
      </c>
      <c r="AB199" s="301">
        <f>SUM(AA197:AF197)</f>
        <v>0</v>
      </c>
      <c r="AC199" s="301">
        <f>SUM(AA198:AF198)</f>
        <v>0</v>
      </c>
      <c r="AD199" s="301">
        <f>IF(AND(AA199&gt;0,AB199&gt;0),1,IF(AND(AA199&gt;0,AC199&gt;0),1,0))</f>
        <v>0</v>
      </c>
      <c r="AE199" s="475"/>
      <c r="AF199" s="475"/>
    </row>
    <row r="200" spans="1:79" ht="12" customHeight="1" x14ac:dyDescent="0.2">
      <c r="B200" s="1"/>
      <c r="D200" s="1"/>
      <c r="E200" s="1"/>
      <c r="F200" s="1"/>
      <c r="G200" s="1"/>
      <c r="H200" s="1"/>
      <c r="I200" s="1"/>
      <c r="J200" s="1"/>
      <c r="K200" s="1"/>
      <c r="L200" s="1"/>
      <c r="M200" s="1"/>
      <c r="N200" s="1"/>
      <c r="O200" s="1"/>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row>
    <row r="201" spans="1:79" x14ac:dyDescent="0.2">
      <c r="B201" s="50" t="s">
        <v>1214</v>
      </c>
      <c r="C201" s="910" t="s">
        <v>1348</v>
      </c>
      <c r="D201" s="910"/>
      <c r="E201" s="910"/>
      <c r="F201" s="910"/>
      <c r="G201" s="910"/>
      <c r="H201" s="910" t="s">
        <v>1759</v>
      </c>
      <c r="I201" s="910"/>
      <c r="J201" s="910"/>
      <c r="K201" s="18"/>
      <c r="L201" s="910" t="s">
        <v>1215</v>
      </c>
      <c r="M201" s="910"/>
      <c r="N201" s="910"/>
      <c r="O201" s="910"/>
      <c r="P201" s="755">
        <f>V203</f>
        <v>0</v>
      </c>
      <c r="R201" s="10"/>
      <c r="S201" s="559" t="s">
        <v>1565</v>
      </c>
      <c r="T201" s="559" t="s">
        <v>1285</v>
      </c>
      <c r="U201" s="559" t="s">
        <v>1286</v>
      </c>
      <c r="V201" s="559" t="s">
        <v>1287</v>
      </c>
      <c r="AB201" s="10"/>
      <c r="AC201" s="10"/>
      <c r="AD201" s="10"/>
      <c r="AE201" s="10"/>
      <c r="AF201" s="10"/>
      <c r="AG201" s="10"/>
      <c r="AH201" s="10"/>
      <c r="AI201" s="10"/>
      <c r="AJ201" s="10"/>
      <c r="AK201" s="10"/>
      <c r="AL201" s="10"/>
      <c r="AM201" s="10"/>
      <c r="AN201" s="10"/>
      <c r="AO201" s="10"/>
      <c r="AP201" s="10"/>
      <c r="AQ201" s="10"/>
      <c r="AR201" s="10"/>
      <c r="AS201" s="10"/>
      <c r="AT201" s="10"/>
    </row>
    <row r="202" spans="1:79" ht="15" customHeight="1" x14ac:dyDescent="0.2">
      <c r="B202" s="146" t="s">
        <v>533</v>
      </c>
      <c r="C202" s="922"/>
      <c r="D202" s="922"/>
      <c r="E202" s="922"/>
      <c r="F202" s="922"/>
      <c r="G202" s="922"/>
      <c r="H202" s="914">
        <f>IF(C202=$X$127,0.09,IF(C202=$Y$127,0.18,IF(C202=$Z$127,0.27,0)))</f>
        <v>0</v>
      </c>
      <c r="I202" s="914"/>
      <c r="J202" s="914"/>
      <c r="K202" s="146"/>
      <c r="L202" s="922"/>
      <c r="M202" s="922"/>
      <c r="N202" s="922"/>
      <c r="O202" s="21">
        <f>IF(H202&gt;=S202,H202-S202,0)</f>
        <v>0</v>
      </c>
      <c r="P202" s="755"/>
      <c r="R202" s="10"/>
      <c r="S202" s="147">
        <f>IF(L202=$Y$128,0.09,IF(L202=$Z$128,0.18,IF(L202=$AA$128,0.27,0)))</f>
        <v>0</v>
      </c>
      <c r="T202" s="147">
        <f>LARGE(O202:O204,1)</f>
        <v>0</v>
      </c>
      <c r="U202" s="544">
        <f>T202+T203*(1-T202)</f>
        <v>0</v>
      </c>
      <c r="V202" s="544">
        <f>ROUND(U202,2)</f>
        <v>0</v>
      </c>
      <c r="W202" s="863" t="s">
        <v>2147</v>
      </c>
      <c r="X202" s="863"/>
      <c r="Y202" s="863"/>
      <c r="Z202" s="863"/>
      <c r="AA202" s="589"/>
      <c r="AB202" s="10"/>
      <c r="AC202" s="10"/>
      <c r="AD202" s="10"/>
      <c r="AE202" s="10"/>
      <c r="AF202" s="10"/>
      <c r="AG202" s="10"/>
      <c r="AH202" s="10"/>
      <c r="AI202" s="10"/>
      <c r="AJ202" s="10"/>
      <c r="AK202" s="10"/>
      <c r="AL202" s="10"/>
      <c r="AM202" s="10"/>
      <c r="AN202" s="10"/>
      <c r="AO202" s="10"/>
      <c r="AP202" s="10"/>
      <c r="AQ202" s="10"/>
      <c r="AR202" s="10"/>
      <c r="AS202" s="10"/>
      <c r="AT202" s="10"/>
    </row>
    <row r="203" spans="1:79" ht="15" customHeight="1" x14ac:dyDescent="0.2">
      <c r="B203" s="50" t="s">
        <v>534</v>
      </c>
      <c r="C203" s="922"/>
      <c r="D203" s="922"/>
      <c r="E203" s="922"/>
      <c r="F203" s="922"/>
      <c r="G203" s="922"/>
      <c r="H203" s="914">
        <f>IF(C203=$X$127,0.16,IF(C203=$Y$127,0.32,IF(C203=$Z$127,0.48,0)))</f>
        <v>0</v>
      </c>
      <c r="I203" s="914"/>
      <c r="J203" s="914"/>
      <c r="K203" s="146"/>
      <c r="L203" s="922"/>
      <c r="M203" s="922"/>
      <c r="N203" s="922"/>
      <c r="O203" s="21">
        <f>IF(H203&gt;=S203,H203-S203,0)</f>
        <v>0</v>
      </c>
      <c r="P203" s="755"/>
      <c r="R203" s="10"/>
      <c r="S203" s="147">
        <f>IF(L203=$Y$128,0.16,IF(L203=$Z$128,0.32,IF(L203=$AA$128,0.48,0)))</f>
        <v>0</v>
      </c>
      <c r="T203" s="147">
        <f>LARGE(O202:O204,2)</f>
        <v>0</v>
      </c>
      <c r="U203" s="544">
        <f>V202+T204*(1-V202)</f>
        <v>0</v>
      </c>
      <c r="V203" s="544">
        <f>ROUND(U203,2)</f>
        <v>0</v>
      </c>
      <c r="W203" s="50"/>
      <c r="X203" s="50" t="s">
        <v>1218</v>
      </c>
      <c r="Y203" s="50" t="s">
        <v>1219</v>
      </c>
      <c r="Z203" s="50" t="s">
        <v>1220</v>
      </c>
      <c r="AA203" s="50"/>
      <c r="AB203" s="10"/>
      <c r="AC203" s="10"/>
      <c r="AD203" s="10"/>
      <c r="AE203" s="10"/>
      <c r="AF203" s="10"/>
      <c r="AG203" s="10"/>
      <c r="AH203" s="10"/>
      <c r="AI203" s="10"/>
      <c r="AJ203" s="10"/>
      <c r="AK203" s="10"/>
      <c r="AL203" s="10"/>
      <c r="AM203" s="10"/>
      <c r="AN203" s="10"/>
      <c r="AO203" s="10"/>
      <c r="AP203" s="10"/>
      <c r="AQ203" s="10"/>
      <c r="AR203" s="10"/>
      <c r="AS203" s="10"/>
      <c r="AT203" s="10"/>
    </row>
    <row r="204" spans="1:79" ht="15" customHeight="1" x14ac:dyDescent="0.2">
      <c r="B204" s="50" t="s">
        <v>535</v>
      </c>
      <c r="C204" s="922"/>
      <c r="D204" s="922"/>
      <c r="E204" s="922"/>
      <c r="F204" s="922"/>
      <c r="G204" s="922"/>
      <c r="H204" s="914">
        <f>IF(C204=$X$127,0.2,IF(C204=$Y$127,0.4,IF(C204=$Z$127,0.6,0)))</f>
        <v>0</v>
      </c>
      <c r="I204" s="914"/>
      <c r="J204" s="914"/>
      <c r="K204" s="146"/>
      <c r="L204" s="922"/>
      <c r="M204" s="922"/>
      <c r="N204" s="922"/>
      <c r="O204" s="21">
        <f>IF(H204&gt;=S204,H204-S204,0)</f>
        <v>0</v>
      </c>
      <c r="P204" s="755"/>
      <c r="R204" s="10"/>
      <c r="S204" s="147">
        <f>IF(L204=$Y$128,0.2,IF(L204=$Z$128,0.4,IF(L204=$AA$128,0.6,0)))</f>
        <v>0</v>
      </c>
      <c r="T204" s="147">
        <f>LARGE(O202:O204,3)</f>
        <v>0</v>
      </c>
      <c r="U204" s="50"/>
      <c r="V204" s="50"/>
      <c r="W204" s="50"/>
      <c r="X204" s="50" t="s">
        <v>510</v>
      </c>
      <c r="Y204" s="50" t="s">
        <v>899</v>
      </c>
      <c r="Z204" s="147" t="s">
        <v>1764</v>
      </c>
      <c r="AA204" s="50" t="s">
        <v>1639</v>
      </c>
      <c r="AB204" s="10"/>
      <c r="AC204" s="10"/>
      <c r="AD204" s="10"/>
      <c r="AE204" s="10"/>
      <c r="AF204" s="10"/>
      <c r="AG204" s="10"/>
      <c r="AH204" s="10"/>
      <c r="AI204" s="10"/>
      <c r="AJ204" s="10"/>
      <c r="AK204" s="10"/>
      <c r="AL204" s="10"/>
      <c r="AM204" s="10"/>
      <c r="AN204" s="10"/>
      <c r="AO204" s="10"/>
      <c r="AP204" s="10"/>
      <c r="AQ204" s="10"/>
      <c r="AR204" s="10"/>
      <c r="AS204" s="10"/>
      <c r="AT204" s="10"/>
    </row>
    <row r="205" spans="1:79" ht="12" customHeight="1" x14ac:dyDescent="0.2">
      <c r="B205" s="1003"/>
      <c r="C205" s="1003"/>
      <c r="D205" s="1003"/>
      <c r="E205" s="1003"/>
      <c r="F205" s="1003"/>
      <c r="G205" s="1003"/>
      <c r="H205" s="1003"/>
      <c r="I205" s="1003"/>
      <c r="J205" s="1003"/>
      <c r="K205" s="1003"/>
      <c r="L205" s="1003"/>
      <c r="M205" s="1003"/>
      <c r="N205" s="1003"/>
      <c r="O205" s="1003"/>
      <c r="P205" s="151"/>
      <c r="R205" s="10"/>
      <c r="S205" s="14"/>
      <c r="T205" s="14"/>
      <c r="U205" s="10"/>
      <c r="V205" s="10"/>
      <c r="W205" s="10"/>
      <c r="X205" s="10"/>
      <c r="Y205" s="10"/>
      <c r="Z205" s="14"/>
      <c r="AA205" s="10"/>
      <c r="AB205" s="10"/>
      <c r="AC205" s="10"/>
      <c r="AD205" s="10"/>
      <c r="AE205" s="10"/>
      <c r="AF205" s="10"/>
      <c r="AG205" s="10"/>
      <c r="AH205" s="10"/>
      <c r="AI205" s="10"/>
      <c r="AJ205" s="10"/>
      <c r="AK205" s="10"/>
      <c r="AL205" s="10"/>
      <c r="AM205" s="10"/>
      <c r="AN205" s="10"/>
      <c r="AO205" s="10"/>
      <c r="AP205" s="10"/>
      <c r="AQ205" s="10"/>
      <c r="AR205" s="10"/>
      <c r="AS205" s="10"/>
      <c r="AT205" s="10"/>
    </row>
    <row r="206" spans="1:79" ht="15" customHeight="1" x14ac:dyDescent="0.2">
      <c r="A206" s="15"/>
      <c r="B206" s="761" t="s">
        <v>952</v>
      </c>
      <c r="C206" s="937"/>
      <c r="D206" s="938"/>
      <c r="E206" s="742" t="s">
        <v>560</v>
      </c>
      <c r="F206" s="743"/>
      <c r="G206" s="743"/>
      <c r="H206" s="743"/>
      <c r="I206" s="743"/>
      <c r="J206" s="743"/>
      <c r="K206" s="743"/>
      <c r="L206" s="743"/>
      <c r="M206" s="743"/>
      <c r="N206" s="743"/>
      <c r="O206" s="744"/>
      <c r="P206" s="245">
        <f>IF(T206=1,0.15,0)</f>
        <v>0</v>
      </c>
      <c r="R206" s="947" t="s">
        <v>2147</v>
      </c>
      <c r="S206" s="561" t="b">
        <v>0</v>
      </c>
      <c r="T206" s="50">
        <f>IF(S206=TRUE,1,0)</f>
        <v>0</v>
      </c>
      <c r="U206" s="10"/>
      <c r="V206" s="10"/>
      <c r="W206" s="10"/>
      <c r="X206" s="10"/>
      <c r="Y206" s="10"/>
      <c r="Z206" s="10"/>
      <c r="AA206" s="10"/>
      <c r="AB206" s="10"/>
      <c r="AC206" s="10"/>
      <c r="AD206" s="10"/>
      <c r="AE206" s="10"/>
      <c r="AF206" s="10"/>
      <c r="AG206" s="10">
        <v>1E-4</v>
      </c>
      <c r="AH206" s="10"/>
      <c r="AI206" s="10"/>
      <c r="AJ206" s="10"/>
      <c r="AK206" s="10"/>
      <c r="AL206" s="10"/>
      <c r="AM206" s="10"/>
      <c r="AN206" s="10"/>
      <c r="AO206" s="10"/>
      <c r="AP206" s="10"/>
      <c r="AQ206" s="10"/>
      <c r="AR206" s="10"/>
      <c r="AS206" s="10"/>
      <c r="AT206" s="10"/>
    </row>
    <row r="207" spans="1:79" ht="15" customHeight="1" x14ac:dyDescent="0.2">
      <c r="B207" s="761"/>
      <c r="C207" s="937"/>
      <c r="D207" s="938"/>
      <c r="E207" s="742" t="s">
        <v>561</v>
      </c>
      <c r="F207" s="743"/>
      <c r="G207" s="743"/>
      <c r="H207" s="743"/>
      <c r="I207" s="743"/>
      <c r="J207" s="743"/>
      <c r="K207" s="743"/>
      <c r="L207" s="743"/>
      <c r="M207" s="743"/>
      <c r="N207" s="743"/>
      <c r="O207" s="744"/>
      <c r="P207" s="245">
        <f>IF(T207=1,0.25,0)</f>
        <v>0</v>
      </c>
      <c r="R207" s="947"/>
      <c r="S207" s="561" t="b">
        <v>0</v>
      </c>
      <c r="T207" s="50">
        <f>IF(S207=TRUE,1,0)</f>
        <v>0</v>
      </c>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row>
    <row r="208" spans="1:79" ht="15" customHeight="1" x14ac:dyDescent="0.2">
      <c r="B208" s="761"/>
      <c r="C208" s="937"/>
      <c r="D208" s="938"/>
      <c r="E208" s="742" t="s">
        <v>773</v>
      </c>
      <c r="F208" s="743"/>
      <c r="G208" s="743"/>
      <c r="H208" s="743"/>
      <c r="I208" s="743"/>
      <c r="J208" s="743"/>
      <c r="K208" s="743"/>
      <c r="L208" s="743"/>
      <c r="M208" s="743"/>
      <c r="N208" s="743"/>
      <c r="O208" s="744"/>
      <c r="P208" s="245">
        <f>IF(T208=1,0.23,0)</f>
        <v>0</v>
      </c>
      <c r="R208" s="947"/>
      <c r="S208" s="561" t="b">
        <v>0</v>
      </c>
      <c r="T208" s="50">
        <f>IF(S208=TRUE,1,0)</f>
        <v>0</v>
      </c>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row>
    <row r="209" spans="2:109" ht="12" customHeight="1" x14ac:dyDescent="0.2">
      <c r="B209" s="777"/>
      <c r="C209" s="777"/>
      <c r="D209" s="777"/>
      <c r="E209" s="777"/>
      <c r="F209" s="777"/>
      <c r="G209" s="777"/>
      <c r="H209" s="777"/>
      <c r="I209" s="777"/>
      <c r="J209" s="777"/>
      <c r="K209" s="777"/>
      <c r="L209" s="777"/>
      <c r="M209" s="777"/>
      <c r="N209" s="777"/>
      <c r="O209" s="777"/>
      <c r="P209" s="1"/>
      <c r="R209" s="10"/>
      <c r="S209" s="133"/>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row>
    <row r="210" spans="2:109" ht="15" customHeight="1" x14ac:dyDescent="0.2">
      <c r="B210" s="939" t="s">
        <v>1424</v>
      </c>
      <c r="C210" s="939"/>
      <c r="D210" s="939"/>
      <c r="E210" s="939"/>
      <c r="F210" s="939"/>
      <c r="G210" s="939"/>
      <c r="H210" s="939"/>
      <c r="I210" s="939"/>
      <c r="J210" s="939"/>
      <c r="K210" s="939"/>
      <c r="L210" s="939"/>
      <c r="M210" s="939"/>
      <c r="N210" s="939"/>
      <c r="O210" s="312"/>
      <c r="P210" s="21">
        <f>SUMIF(T210:X210,O210,T211:X211)</f>
        <v>0</v>
      </c>
      <c r="R210" s="949" t="s">
        <v>2147</v>
      </c>
      <c r="S210" s="949"/>
      <c r="T210" s="50" t="s">
        <v>1928</v>
      </c>
      <c r="U210" s="50" t="s">
        <v>1929</v>
      </c>
      <c r="V210" s="147" t="s">
        <v>1931</v>
      </c>
      <c r="W210" s="50" t="s">
        <v>929</v>
      </c>
      <c r="X210" s="147" t="s">
        <v>545</v>
      </c>
      <c r="Y210" s="10"/>
      <c r="Z210" s="50" t="s">
        <v>1928</v>
      </c>
      <c r="AA210" s="50" t="s">
        <v>1929</v>
      </c>
      <c r="AB210" s="147" t="s">
        <v>1931</v>
      </c>
      <c r="AC210" s="50" t="s">
        <v>929</v>
      </c>
      <c r="AD210" s="147" t="s">
        <v>545</v>
      </c>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row>
    <row r="211" spans="2:109" ht="15" customHeight="1" x14ac:dyDescent="0.2">
      <c r="B211" s="939" t="s">
        <v>1469</v>
      </c>
      <c r="C211" s="939"/>
      <c r="D211" s="939"/>
      <c r="E211" s="939"/>
      <c r="F211" s="939"/>
      <c r="G211" s="939"/>
      <c r="H211" s="939"/>
      <c r="I211" s="939"/>
      <c r="J211" s="939"/>
      <c r="K211" s="939"/>
      <c r="L211" s="939"/>
      <c r="M211" s="939"/>
      <c r="N211" s="939"/>
      <c r="O211" s="312"/>
      <c r="P211" s="21">
        <f>SUMIF(Z210:AD210,O211,Z211:AD211)</f>
        <v>0</v>
      </c>
      <c r="R211" s="949"/>
      <c r="S211" s="949"/>
      <c r="T211" s="147">
        <v>0.03</v>
      </c>
      <c r="U211" s="147">
        <v>0.15</v>
      </c>
      <c r="V211" s="147">
        <v>0.38</v>
      </c>
      <c r="W211" s="147">
        <v>0.68</v>
      </c>
      <c r="X211" s="147">
        <v>0.9</v>
      </c>
      <c r="Y211" s="10"/>
      <c r="Z211" s="147">
        <v>0.03</v>
      </c>
      <c r="AA211" s="147">
        <v>0.15</v>
      </c>
      <c r="AB211" s="147">
        <v>0.35</v>
      </c>
      <c r="AC211" s="147">
        <v>0.63</v>
      </c>
      <c r="AD211" s="147">
        <v>0.88</v>
      </c>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row>
    <row r="212" spans="2:109" ht="12" customHeight="1" x14ac:dyDescent="0.2">
      <c r="B212" s="777"/>
      <c r="C212" s="777"/>
      <c r="D212" s="777"/>
      <c r="E212" s="777"/>
      <c r="F212" s="777"/>
      <c r="G212" s="777"/>
      <c r="H212" s="777"/>
      <c r="I212" s="777"/>
      <c r="J212" s="777"/>
      <c r="K212" s="777"/>
      <c r="L212" s="777"/>
      <c r="M212" s="777"/>
      <c r="N212" s="777"/>
      <c r="O212" s="777"/>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row>
    <row r="213" spans="2:109" ht="12" customHeight="1" x14ac:dyDescent="0.2">
      <c r="B213" s="777"/>
      <c r="C213" s="777"/>
      <c r="D213" s="777"/>
      <c r="E213" s="777"/>
      <c r="F213" s="777"/>
      <c r="G213" s="777"/>
      <c r="H213" s="777"/>
      <c r="I213" s="777"/>
      <c r="J213" s="777"/>
      <c r="K213" s="777"/>
      <c r="L213" s="777"/>
      <c r="M213" s="777"/>
      <c r="N213" s="777"/>
      <c r="O213" s="777"/>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row>
    <row r="214" spans="2:109" ht="27" customHeight="1" x14ac:dyDescent="0.2">
      <c r="B214" s="864" t="s">
        <v>1425</v>
      </c>
      <c r="C214" s="865"/>
      <c r="D214" s="865"/>
      <c r="E214" s="865"/>
      <c r="F214" s="865"/>
      <c r="G214" s="907" t="s">
        <v>1495</v>
      </c>
      <c r="H214" s="945"/>
      <c r="I214" s="945"/>
      <c r="J214" s="946"/>
      <c r="K214" s="967"/>
      <c r="L214" s="968"/>
      <c r="M214" s="968"/>
      <c r="N214" s="968"/>
      <c r="O214" s="969"/>
      <c r="P214" s="857">
        <f>U228</f>
        <v>0</v>
      </c>
      <c r="R214" s="146" t="s">
        <v>1826</v>
      </c>
      <c r="S214" s="50" t="s">
        <v>1285</v>
      </c>
      <c r="T214" s="50" t="s">
        <v>1286</v>
      </c>
      <c r="U214" s="50" t="s">
        <v>1287</v>
      </c>
      <c r="V214" s="944" t="s">
        <v>786</v>
      </c>
      <c r="W214" s="945"/>
      <c r="X214" s="946"/>
      <c r="Y214" s="50" t="s">
        <v>498</v>
      </c>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row>
    <row r="215" spans="2:109" ht="15" customHeight="1" x14ac:dyDescent="0.2">
      <c r="B215" s="941" t="s">
        <v>615</v>
      </c>
      <c r="C215" s="942"/>
      <c r="D215" s="943"/>
      <c r="E215" s="1069">
        <f>P157</f>
        <v>0</v>
      </c>
      <c r="F215" s="1091"/>
      <c r="G215" s="977"/>
      <c r="H215" s="977"/>
      <c r="I215" s="914">
        <f t="shared" ref="I215:I217" si="32">IF(AND(Y215&lt;0.01,Y215&gt;0),0.01,ROUND(Y215,2))</f>
        <v>0</v>
      </c>
      <c r="J215" s="914"/>
      <c r="K215" s="970"/>
      <c r="L215" s="971"/>
      <c r="M215" s="971"/>
      <c r="N215" s="971"/>
      <c r="O215" s="972"/>
      <c r="P215" s="961"/>
      <c r="R215" s="548">
        <f t="shared" ref="R215:R228" si="33">IF(I215&gt;0,I215,E215)</f>
        <v>0</v>
      </c>
      <c r="S215" s="147">
        <f>LARGE($R$215:$R$229,1)</f>
        <v>0</v>
      </c>
      <c r="T215" s="544">
        <f>S215+S216*(1-S215)</f>
        <v>0</v>
      </c>
      <c r="U215" s="548">
        <f t="shared" ref="U215:U228" si="34">ROUND(T215,2)</f>
        <v>0</v>
      </c>
      <c r="V215" s="50">
        <f>IF(E215&gt;0,1,0)</f>
        <v>0</v>
      </c>
      <c r="W215" s="50">
        <f>COUNTIF(V215:V229,1)</f>
        <v>0</v>
      </c>
      <c r="X215" s="50">
        <f>IF(AND(W215=0,W216&gt;0),1,IF(W215&gt;0,2,0))</f>
        <v>0</v>
      </c>
      <c r="Y215" s="291">
        <f t="shared" ref="Y215:Y217" si="35">E215*G215</f>
        <v>0</v>
      </c>
      <c r="AA215" s="10"/>
      <c r="AD215" s="10"/>
      <c r="AG215" s="10"/>
      <c r="AH215" s="10"/>
      <c r="AI215" s="10"/>
      <c r="AJ215" s="10"/>
      <c r="AK215" s="10"/>
      <c r="AL215" s="10"/>
      <c r="AM215" s="10"/>
      <c r="AN215" s="10"/>
      <c r="AO215" s="10"/>
      <c r="AP215" s="10"/>
      <c r="AQ215" s="10"/>
      <c r="AR215" s="10"/>
      <c r="AS215" s="10"/>
      <c r="AT215" s="10"/>
      <c r="AU215" s="10"/>
      <c r="AV215" s="10"/>
      <c r="AW215" s="10"/>
      <c r="AX215" s="10"/>
      <c r="AY215" s="10"/>
      <c r="AZ215" s="10"/>
    </row>
    <row r="216" spans="2:109" ht="15" customHeight="1" x14ac:dyDescent="0.2">
      <c r="B216" s="742" t="s">
        <v>372</v>
      </c>
      <c r="C216" s="743"/>
      <c r="D216" s="744"/>
      <c r="E216" s="755">
        <f>P160</f>
        <v>0</v>
      </c>
      <c r="F216" s="755"/>
      <c r="G216" s="977"/>
      <c r="H216" s="977"/>
      <c r="I216" s="914">
        <f t="shared" ref="I216" si="36">IF(AND(Y216&lt;0.01,Y216&gt;0),0.01,ROUND(Y216,2))</f>
        <v>0</v>
      </c>
      <c r="J216" s="914"/>
      <c r="K216" s="970"/>
      <c r="L216" s="971"/>
      <c r="M216" s="971"/>
      <c r="N216" s="971"/>
      <c r="O216" s="972"/>
      <c r="P216" s="961"/>
      <c r="R216" s="548">
        <f t="shared" si="33"/>
        <v>0</v>
      </c>
      <c r="S216" s="147">
        <f>LARGE($R$215:$R$229,2)</f>
        <v>0</v>
      </c>
      <c r="T216" s="544">
        <f>U215+S217*(1-U215)</f>
        <v>0</v>
      </c>
      <c r="U216" s="548">
        <f t="shared" si="34"/>
        <v>0</v>
      </c>
      <c r="V216" s="50">
        <f>IF(E216&gt;0,2,0)</f>
        <v>0</v>
      </c>
      <c r="W216" s="566">
        <f>COUNTIF(V215:V229,2)</f>
        <v>0</v>
      </c>
      <c r="X216" s="10"/>
      <c r="Y216" s="291">
        <f t="shared" si="35"/>
        <v>0</v>
      </c>
      <c r="AA216" s="777"/>
      <c r="AB216" s="777"/>
      <c r="AC216" s="777"/>
      <c r="AD216" s="10"/>
      <c r="AG216" s="10"/>
      <c r="AH216" s="10"/>
      <c r="AI216" s="10"/>
      <c r="AJ216" s="10"/>
      <c r="AK216" s="10"/>
      <c r="AL216" s="10"/>
      <c r="AM216" s="10"/>
      <c r="AN216" s="10"/>
      <c r="AO216" s="10"/>
      <c r="AP216" s="10"/>
      <c r="AQ216" s="10"/>
      <c r="AR216" s="10"/>
      <c r="AS216" s="10"/>
      <c r="AT216" s="10"/>
      <c r="AU216" s="10"/>
      <c r="AV216" s="10"/>
      <c r="AW216" s="10"/>
      <c r="AX216" s="10"/>
      <c r="AY216" s="10"/>
      <c r="AZ216" s="10"/>
    </row>
    <row r="217" spans="2:109" ht="15" customHeight="1" x14ac:dyDescent="0.2">
      <c r="B217" s="742" t="s">
        <v>1918</v>
      </c>
      <c r="C217" s="743"/>
      <c r="D217" s="744"/>
      <c r="E217" s="755">
        <f>IF(E615&gt;0,0,P165)</f>
        <v>0</v>
      </c>
      <c r="F217" s="755"/>
      <c r="G217" s="977"/>
      <c r="H217" s="977"/>
      <c r="I217" s="914">
        <f t="shared" si="32"/>
        <v>0</v>
      </c>
      <c r="J217" s="914"/>
      <c r="K217" s="970"/>
      <c r="L217" s="971"/>
      <c r="M217" s="971"/>
      <c r="N217" s="971"/>
      <c r="O217" s="972"/>
      <c r="P217" s="961"/>
      <c r="R217" s="548">
        <f t="shared" si="33"/>
        <v>0</v>
      </c>
      <c r="S217" s="147">
        <f>LARGE($R$215:$R$229,3)</f>
        <v>0</v>
      </c>
      <c r="T217" s="544">
        <f>U216+S218*(1-U216)</f>
        <v>0</v>
      </c>
      <c r="U217" s="548">
        <f t="shared" si="34"/>
        <v>0</v>
      </c>
      <c r="V217" s="50">
        <f t="shared" ref="V217:V229" si="37">IF(E217&gt;0,1,0)</f>
        <v>0</v>
      </c>
      <c r="W217" s="10"/>
      <c r="X217" s="10"/>
      <c r="Y217" s="291">
        <f t="shared" si="35"/>
        <v>0</v>
      </c>
      <c r="Z217" s="10"/>
      <c r="AA217" s="777"/>
      <c r="AB217" s="777"/>
      <c r="AC217" s="777"/>
      <c r="AD217" s="10"/>
      <c r="AG217" s="10"/>
      <c r="AH217" s="10"/>
      <c r="AI217" s="10"/>
      <c r="AJ217" s="10"/>
      <c r="AK217" s="10"/>
      <c r="AL217" s="10"/>
      <c r="AM217" s="10"/>
      <c r="AN217" s="10"/>
      <c r="AO217" s="10"/>
      <c r="AP217" s="10"/>
      <c r="AQ217" s="10"/>
      <c r="AR217" s="10"/>
      <c r="AS217" s="10"/>
      <c r="AT217" s="10"/>
      <c r="AU217" s="10"/>
      <c r="AV217" s="10"/>
      <c r="AW217" s="10"/>
      <c r="AX217" s="10"/>
      <c r="AY217" s="10"/>
      <c r="AZ217" s="10"/>
    </row>
    <row r="218" spans="2:109" ht="15" customHeight="1" x14ac:dyDescent="0.2">
      <c r="B218" s="791" t="s">
        <v>1389</v>
      </c>
      <c r="C218" s="791"/>
      <c r="D218" s="791"/>
      <c r="E218" s="727">
        <f>P182</f>
        <v>0</v>
      </c>
      <c r="F218" s="729"/>
      <c r="G218" s="977"/>
      <c r="H218" s="977"/>
      <c r="I218" s="914">
        <f t="shared" ref="I218:I224" si="38">IF(AND(Y218&lt;0.01,Y218&gt;0),0.01,ROUND(Y218,2))</f>
        <v>0</v>
      </c>
      <c r="J218" s="914"/>
      <c r="K218" s="970"/>
      <c r="L218" s="971"/>
      <c r="M218" s="971"/>
      <c r="N218" s="971"/>
      <c r="O218" s="972"/>
      <c r="P218" s="961"/>
      <c r="R218" s="548">
        <f t="shared" si="33"/>
        <v>0</v>
      </c>
      <c r="S218" s="147">
        <f>LARGE($R$215:$R$229,4)</f>
        <v>0</v>
      </c>
      <c r="T218" s="544">
        <f t="shared" ref="T218:T228" si="39">U217+S219*(1-U217)</f>
        <v>0</v>
      </c>
      <c r="U218" s="548">
        <f t="shared" si="34"/>
        <v>0</v>
      </c>
      <c r="V218" s="50">
        <f t="shared" si="37"/>
        <v>0</v>
      </c>
      <c r="W218" s="10"/>
      <c r="X218" s="10"/>
      <c r="Y218" s="291">
        <f>E218*G218</f>
        <v>0</v>
      </c>
      <c r="Z218" s="597"/>
      <c r="AA218" s="777"/>
      <c r="AB218" s="777"/>
      <c r="AC218" s="777"/>
      <c r="AD218" s="10"/>
      <c r="AG218" s="10"/>
      <c r="AH218" s="10"/>
      <c r="AI218" s="10"/>
      <c r="AJ218" s="10"/>
      <c r="AK218" s="10"/>
      <c r="AL218" s="10"/>
      <c r="AM218" s="10"/>
      <c r="AN218" s="10"/>
      <c r="AO218" s="10"/>
      <c r="AP218" s="10"/>
      <c r="AQ218" s="10"/>
      <c r="AR218" s="10"/>
      <c r="AS218" s="10"/>
      <c r="AT218" s="10"/>
      <c r="AU218" s="10"/>
      <c r="AV218" s="10"/>
      <c r="AW218" s="10"/>
      <c r="AX218" s="10"/>
      <c r="AY218" s="10"/>
      <c r="AZ218" s="10"/>
    </row>
    <row r="219" spans="2:109" ht="15" customHeight="1" x14ac:dyDescent="0.2">
      <c r="B219" s="742" t="s">
        <v>1390</v>
      </c>
      <c r="C219" s="743"/>
      <c r="D219" s="744"/>
      <c r="E219" s="727">
        <f>P183</f>
        <v>0</v>
      </c>
      <c r="F219" s="729"/>
      <c r="G219" s="977"/>
      <c r="H219" s="977"/>
      <c r="I219" s="914">
        <f t="shared" si="38"/>
        <v>0</v>
      </c>
      <c r="J219" s="914"/>
      <c r="K219" s="970"/>
      <c r="L219" s="971"/>
      <c r="M219" s="971"/>
      <c r="N219" s="971"/>
      <c r="O219" s="972"/>
      <c r="P219" s="961"/>
      <c r="R219" s="548">
        <f t="shared" si="33"/>
        <v>0</v>
      </c>
      <c r="S219" s="147">
        <f>LARGE($R$215:$R$229,5)</f>
        <v>0</v>
      </c>
      <c r="T219" s="544">
        <f t="shared" si="39"/>
        <v>0</v>
      </c>
      <c r="U219" s="548">
        <f t="shared" si="34"/>
        <v>0</v>
      </c>
      <c r="V219" s="50">
        <f t="shared" si="37"/>
        <v>0</v>
      </c>
      <c r="W219" s="10"/>
      <c r="X219" s="10"/>
      <c r="Y219" s="291">
        <f t="shared" ref="Y219:Y229" si="40">E219*G219</f>
        <v>0</v>
      </c>
      <c r="Z219" s="597"/>
      <c r="AA219" s="777"/>
      <c r="AB219" s="777"/>
      <c r="AC219" s="777"/>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row>
    <row r="220" spans="2:109" ht="15" customHeight="1" x14ac:dyDescent="0.2">
      <c r="B220" s="742" t="s">
        <v>1391</v>
      </c>
      <c r="C220" s="743"/>
      <c r="D220" s="744"/>
      <c r="E220" s="727">
        <f>P184</f>
        <v>0</v>
      </c>
      <c r="F220" s="729"/>
      <c r="G220" s="977"/>
      <c r="H220" s="977"/>
      <c r="I220" s="914">
        <f t="shared" si="38"/>
        <v>0</v>
      </c>
      <c r="J220" s="914"/>
      <c r="K220" s="970"/>
      <c r="L220" s="971"/>
      <c r="M220" s="971"/>
      <c r="N220" s="971"/>
      <c r="O220" s="972"/>
      <c r="P220" s="961"/>
      <c r="R220" s="548">
        <f t="shared" si="33"/>
        <v>0</v>
      </c>
      <c r="S220" s="147">
        <f>LARGE($R$215:$R$229,6)</f>
        <v>0</v>
      </c>
      <c r="T220" s="544">
        <f t="shared" si="39"/>
        <v>0</v>
      </c>
      <c r="U220" s="548">
        <f t="shared" si="34"/>
        <v>0</v>
      </c>
      <c r="V220" s="50">
        <f t="shared" si="37"/>
        <v>0</v>
      </c>
      <c r="W220" s="10"/>
      <c r="X220" s="10"/>
      <c r="Y220" s="291">
        <f t="shared" si="40"/>
        <v>0</v>
      </c>
      <c r="Z220" s="597"/>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row>
    <row r="221" spans="2:109" ht="15" customHeight="1" x14ac:dyDescent="0.2">
      <c r="B221" s="742" t="s">
        <v>1392</v>
      </c>
      <c r="C221" s="743"/>
      <c r="D221" s="744"/>
      <c r="E221" s="727">
        <f>P185</f>
        <v>0</v>
      </c>
      <c r="F221" s="729"/>
      <c r="G221" s="977"/>
      <c r="H221" s="977"/>
      <c r="I221" s="914">
        <f t="shared" si="38"/>
        <v>0</v>
      </c>
      <c r="J221" s="914"/>
      <c r="K221" s="970"/>
      <c r="L221" s="971"/>
      <c r="M221" s="971"/>
      <c r="N221" s="971"/>
      <c r="O221" s="972"/>
      <c r="P221" s="961"/>
      <c r="R221" s="548">
        <f t="shared" si="33"/>
        <v>0</v>
      </c>
      <c r="S221" s="147">
        <f>LARGE($R$215:$R$229,7)</f>
        <v>0</v>
      </c>
      <c r="T221" s="544">
        <f t="shared" si="39"/>
        <v>0</v>
      </c>
      <c r="U221" s="548">
        <f t="shared" si="34"/>
        <v>0</v>
      </c>
      <c r="V221" s="50">
        <f t="shared" si="37"/>
        <v>0</v>
      </c>
      <c r="W221" s="10"/>
      <c r="X221" s="10"/>
      <c r="Y221" s="291">
        <f t="shared" si="40"/>
        <v>0</v>
      </c>
      <c r="Z221" s="597"/>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row>
    <row r="222" spans="2:109" ht="15" customHeight="1" x14ac:dyDescent="0.2">
      <c r="B222" s="742" t="s">
        <v>1945</v>
      </c>
      <c r="C222" s="743"/>
      <c r="D222" s="744"/>
      <c r="E222" s="755">
        <f>P194</f>
        <v>0</v>
      </c>
      <c r="F222" s="755"/>
      <c r="G222" s="977"/>
      <c r="H222" s="977"/>
      <c r="I222" s="914">
        <f t="shared" si="38"/>
        <v>0</v>
      </c>
      <c r="J222" s="914"/>
      <c r="K222" s="970"/>
      <c r="L222" s="971"/>
      <c r="M222" s="971"/>
      <c r="N222" s="971"/>
      <c r="O222" s="972"/>
      <c r="P222" s="961"/>
      <c r="R222" s="548">
        <f t="shared" si="33"/>
        <v>0</v>
      </c>
      <c r="S222" s="147">
        <f>LARGE($R$215:$R$229,8)</f>
        <v>0</v>
      </c>
      <c r="T222" s="544">
        <f t="shared" si="39"/>
        <v>0</v>
      </c>
      <c r="U222" s="548">
        <f t="shared" si="34"/>
        <v>0</v>
      </c>
      <c r="V222" s="50">
        <f t="shared" si="37"/>
        <v>0</v>
      </c>
      <c r="W222" s="10"/>
      <c r="X222" s="10"/>
      <c r="Y222" s="291">
        <f t="shared" si="40"/>
        <v>0</v>
      </c>
      <c r="Z222" s="597"/>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row>
    <row r="223" spans="2:109" ht="15" customHeight="1" x14ac:dyDescent="0.2">
      <c r="B223" s="742" t="s">
        <v>1208</v>
      </c>
      <c r="C223" s="743"/>
      <c r="D223" s="744"/>
      <c r="E223" s="755">
        <f>P199</f>
        <v>0</v>
      </c>
      <c r="F223" s="755"/>
      <c r="G223" s="977"/>
      <c r="H223" s="977"/>
      <c r="I223" s="914">
        <f t="shared" si="38"/>
        <v>0</v>
      </c>
      <c r="J223" s="914"/>
      <c r="K223" s="623"/>
      <c r="L223" s="624"/>
      <c r="M223" s="624"/>
      <c r="N223" s="624"/>
      <c r="O223" s="625"/>
      <c r="P223" s="961"/>
      <c r="R223" s="548">
        <f t="shared" si="33"/>
        <v>0</v>
      </c>
      <c r="S223" s="147">
        <f>LARGE($R$215:$R$229,9)</f>
        <v>0</v>
      </c>
      <c r="T223" s="544">
        <f t="shared" si="39"/>
        <v>0</v>
      </c>
      <c r="U223" s="548">
        <f t="shared" si="34"/>
        <v>0</v>
      </c>
      <c r="V223" s="50">
        <f t="shared" si="37"/>
        <v>0</v>
      </c>
      <c r="W223" s="10"/>
      <c r="X223" s="10"/>
      <c r="Y223" s="291">
        <f t="shared" si="40"/>
        <v>0</v>
      </c>
      <c r="Z223" s="73"/>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row>
    <row r="224" spans="2:109" ht="15" customHeight="1" x14ac:dyDescent="0.2">
      <c r="B224" s="742" t="s">
        <v>1214</v>
      </c>
      <c r="C224" s="743"/>
      <c r="D224" s="744"/>
      <c r="E224" s="755">
        <f>P201</f>
        <v>0</v>
      </c>
      <c r="F224" s="755"/>
      <c r="G224" s="977"/>
      <c r="H224" s="977"/>
      <c r="I224" s="914">
        <f t="shared" si="38"/>
        <v>0</v>
      </c>
      <c r="J224" s="914"/>
      <c r="K224" s="623"/>
      <c r="L224" s="624"/>
      <c r="M224" s="624"/>
      <c r="N224" s="624"/>
      <c r="O224" s="625"/>
      <c r="P224" s="961"/>
      <c r="R224" s="548">
        <f t="shared" si="33"/>
        <v>0</v>
      </c>
      <c r="S224" s="147">
        <f>LARGE($R$215:$R$229,10)</f>
        <v>0</v>
      </c>
      <c r="T224" s="544">
        <f t="shared" si="39"/>
        <v>0</v>
      </c>
      <c r="U224" s="548">
        <f t="shared" si="34"/>
        <v>0</v>
      </c>
      <c r="V224" s="50">
        <f t="shared" si="37"/>
        <v>0</v>
      </c>
      <c r="W224" s="10"/>
      <c r="X224" s="10"/>
      <c r="Y224" s="291">
        <f t="shared" si="40"/>
        <v>0</v>
      </c>
      <c r="Z224" s="73"/>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row>
    <row r="225" spans="2:52" ht="15" customHeight="1" x14ac:dyDescent="0.2">
      <c r="B225" s="742" t="s">
        <v>373</v>
      </c>
      <c r="C225" s="743"/>
      <c r="D225" s="744"/>
      <c r="E225" s="755">
        <f>P206</f>
        <v>0</v>
      </c>
      <c r="F225" s="755"/>
      <c r="G225" s="977"/>
      <c r="H225" s="977"/>
      <c r="I225" s="914">
        <f t="shared" ref="I225:I227" si="41">IF(AND(Y225&lt;0.01,Y225&gt;0),0.01,ROUND(Y225,2))</f>
        <v>0</v>
      </c>
      <c r="J225" s="914"/>
      <c r="K225" s="915" t="str">
        <f>IF(AND(P165&gt;0,E615&gt;0),"A value has been granted for motor loss. Additional impairment value is not allowed for reduced ROM in the same extremity.","")</f>
        <v/>
      </c>
      <c r="L225" s="916"/>
      <c r="M225" s="916"/>
      <c r="N225" s="916"/>
      <c r="O225" s="917"/>
      <c r="P225" s="961"/>
      <c r="R225" s="548">
        <f t="shared" si="33"/>
        <v>0</v>
      </c>
      <c r="S225" s="147">
        <f>LARGE($R$215:$R$229,11)</f>
        <v>0</v>
      </c>
      <c r="T225" s="544">
        <f t="shared" si="39"/>
        <v>0</v>
      </c>
      <c r="U225" s="548">
        <f t="shared" si="34"/>
        <v>0</v>
      </c>
      <c r="V225" s="50">
        <f t="shared" si="37"/>
        <v>0</v>
      </c>
      <c r="W225" s="10"/>
      <c r="X225" s="10"/>
      <c r="Y225" s="291">
        <f t="shared" si="40"/>
        <v>0</v>
      </c>
      <c r="Z225" s="73"/>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row>
    <row r="226" spans="2:52" ht="15" customHeight="1" x14ac:dyDescent="0.2">
      <c r="B226" s="742" t="s">
        <v>374</v>
      </c>
      <c r="C226" s="743"/>
      <c r="D226" s="744"/>
      <c r="E226" s="755">
        <f>P207</f>
        <v>0</v>
      </c>
      <c r="F226" s="755"/>
      <c r="G226" s="977"/>
      <c r="H226" s="977"/>
      <c r="I226" s="914">
        <f t="shared" si="41"/>
        <v>0</v>
      </c>
      <c r="J226" s="914"/>
      <c r="K226" s="915"/>
      <c r="L226" s="916"/>
      <c r="M226" s="916"/>
      <c r="N226" s="916"/>
      <c r="O226" s="917"/>
      <c r="P226" s="961"/>
      <c r="R226" s="548">
        <f t="shared" si="33"/>
        <v>0</v>
      </c>
      <c r="S226" s="147">
        <f>LARGE($R$215:$R$229,12)</f>
        <v>0</v>
      </c>
      <c r="T226" s="544">
        <f t="shared" si="39"/>
        <v>0</v>
      </c>
      <c r="U226" s="548">
        <f t="shared" si="34"/>
        <v>0</v>
      </c>
      <c r="V226" s="50">
        <f t="shared" si="37"/>
        <v>0</v>
      </c>
      <c r="W226" s="10"/>
      <c r="X226" s="10"/>
      <c r="Y226" s="291">
        <f t="shared" si="40"/>
        <v>0</v>
      </c>
      <c r="Z226" s="57"/>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row>
    <row r="227" spans="2:52" ht="15" customHeight="1" x14ac:dyDescent="0.2">
      <c r="B227" s="742" t="s">
        <v>792</v>
      </c>
      <c r="C227" s="743"/>
      <c r="D227" s="744"/>
      <c r="E227" s="755">
        <f>P208</f>
        <v>0</v>
      </c>
      <c r="F227" s="755"/>
      <c r="G227" s="977"/>
      <c r="H227" s="977"/>
      <c r="I227" s="914">
        <f t="shared" si="41"/>
        <v>0</v>
      </c>
      <c r="J227" s="914"/>
      <c r="K227" s="915"/>
      <c r="L227" s="916"/>
      <c r="M227" s="916"/>
      <c r="N227" s="916"/>
      <c r="O227" s="917"/>
      <c r="P227" s="961"/>
      <c r="R227" s="548">
        <f t="shared" si="33"/>
        <v>0</v>
      </c>
      <c r="S227" s="147">
        <f>LARGE($R$215:$R$229,13)</f>
        <v>0</v>
      </c>
      <c r="T227" s="544">
        <f t="shared" si="39"/>
        <v>0</v>
      </c>
      <c r="U227" s="548">
        <f t="shared" si="34"/>
        <v>0</v>
      </c>
      <c r="V227" s="50">
        <f t="shared" si="37"/>
        <v>0</v>
      </c>
      <c r="W227" s="10"/>
      <c r="X227" s="10"/>
      <c r="Y227" s="291">
        <f t="shared" si="40"/>
        <v>0</v>
      </c>
      <c r="Z227" s="57"/>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row>
    <row r="228" spans="2:52" ht="15" customHeight="1" x14ac:dyDescent="0.2">
      <c r="B228" s="742" t="s">
        <v>1419</v>
      </c>
      <c r="C228" s="743"/>
      <c r="D228" s="744"/>
      <c r="E228" s="755">
        <f>P210</f>
        <v>0</v>
      </c>
      <c r="F228" s="755"/>
      <c r="G228" s="977"/>
      <c r="H228" s="977"/>
      <c r="I228" s="914">
        <f>IF(AND(Y228&lt;0.01,Y228&gt;0),0.01,ROUND(Y228,2))</f>
        <v>0</v>
      </c>
      <c r="J228" s="914"/>
      <c r="K228" s="915"/>
      <c r="L228" s="916"/>
      <c r="M228" s="916"/>
      <c r="N228" s="916"/>
      <c r="O228" s="917"/>
      <c r="P228" s="961"/>
      <c r="R228" s="548">
        <f t="shared" si="33"/>
        <v>0</v>
      </c>
      <c r="S228" s="147">
        <f>LARGE($R$215:$R$229,14)</f>
        <v>0</v>
      </c>
      <c r="T228" s="544">
        <f t="shared" si="39"/>
        <v>0</v>
      </c>
      <c r="U228" s="548">
        <f t="shared" si="34"/>
        <v>0</v>
      </c>
      <c r="V228" s="50">
        <f t="shared" si="37"/>
        <v>0</v>
      </c>
      <c r="W228" s="10"/>
      <c r="X228" s="10"/>
      <c r="Y228" s="291">
        <f t="shared" si="40"/>
        <v>0</v>
      </c>
      <c r="Z228" s="73"/>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row>
    <row r="229" spans="2:52" ht="15" customHeight="1" x14ac:dyDescent="0.2">
      <c r="B229" s="791" t="s">
        <v>1235</v>
      </c>
      <c r="C229" s="791"/>
      <c r="D229" s="791"/>
      <c r="E229" s="1116">
        <f>P211</f>
        <v>0</v>
      </c>
      <c r="F229" s="1116"/>
      <c r="G229" s="977"/>
      <c r="H229" s="977"/>
      <c r="I229" s="914">
        <f>IF(AND(Y229&lt;0.01,Y229&gt;0),0.01,ROUND(Y229,2))</f>
        <v>0</v>
      </c>
      <c r="J229" s="914"/>
      <c r="K229" s="918"/>
      <c r="L229" s="919"/>
      <c r="M229" s="919"/>
      <c r="N229" s="919"/>
      <c r="O229" s="920"/>
      <c r="P229" s="961"/>
      <c r="R229" s="548">
        <f>IF(I229&gt;0,I229,E229)</f>
        <v>0</v>
      </c>
      <c r="S229" s="147">
        <f>LARGE($R$215:$R$229,15)</f>
        <v>0</v>
      </c>
      <c r="T229" s="562"/>
      <c r="U229" s="548"/>
      <c r="V229" s="50">
        <f t="shared" si="37"/>
        <v>0</v>
      </c>
      <c r="W229" s="10"/>
      <c r="X229" s="10"/>
      <c r="Y229" s="291">
        <f t="shared" si="40"/>
        <v>0</v>
      </c>
      <c r="Z229" s="73"/>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row>
    <row r="230" spans="2:52" ht="14.25" customHeight="1" x14ac:dyDescent="0.2">
      <c r="B230" s="1113" t="s">
        <v>2198</v>
      </c>
      <c r="C230" s="1114"/>
      <c r="D230" s="1114"/>
      <c r="E230" s="1114"/>
      <c r="F230" s="1114"/>
      <c r="G230" s="1114"/>
      <c r="H230" s="1114"/>
      <c r="I230" s="1114"/>
      <c r="J230" s="1114"/>
      <c r="K230" s="1114"/>
      <c r="L230" s="1114"/>
      <c r="M230" s="1114"/>
      <c r="N230" s="1114"/>
      <c r="O230" s="1115"/>
      <c r="P230" s="962"/>
      <c r="S230" s="14"/>
      <c r="T230" s="142"/>
      <c r="U230" s="128"/>
      <c r="V230" s="10"/>
      <c r="W230" s="10"/>
      <c r="X230" s="10"/>
      <c r="Y230" s="10"/>
      <c r="Z230" s="73"/>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row>
    <row r="231" spans="2:52" ht="12" customHeight="1" x14ac:dyDescent="0.2">
      <c r="B231" s="1"/>
      <c r="D231" s="1"/>
      <c r="E231" s="1"/>
      <c r="F231" s="1"/>
      <c r="G231" s="1"/>
      <c r="H231" s="1"/>
      <c r="I231" s="1"/>
      <c r="J231" s="1"/>
      <c r="K231" s="1"/>
      <c r="L231" s="1"/>
      <c r="M231" s="1"/>
      <c r="N231" s="1"/>
      <c r="O231" s="1"/>
      <c r="P231" s="1"/>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row>
    <row r="232" spans="2:52" ht="12" customHeight="1" x14ac:dyDescent="0.2">
      <c r="B232" s="1"/>
      <c r="D232" s="1"/>
      <c r="E232" s="1"/>
      <c r="F232" s="1"/>
      <c r="G232" s="1"/>
      <c r="H232" s="1"/>
      <c r="I232" s="1"/>
      <c r="J232" s="1"/>
      <c r="K232" s="1"/>
      <c r="L232" s="1"/>
      <c r="M232" s="1"/>
      <c r="N232" s="1"/>
      <c r="O232" s="1"/>
      <c r="P232" s="1"/>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row>
    <row r="233" spans="2:52" ht="18" customHeight="1" x14ac:dyDescent="0.2">
      <c r="B233" s="892" t="s">
        <v>1426</v>
      </c>
      <c r="C233" s="893"/>
      <c r="D233" s="893"/>
      <c r="E233" s="893"/>
      <c r="F233" s="893"/>
      <c r="G233" s="893"/>
      <c r="H233" s="893"/>
      <c r="I233" s="893"/>
      <c r="J233" s="893"/>
      <c r="K233" s="893"/>
      <c r="L233" s="893"/>
      <c r="M233" s="893"/>
      <c r="N233" s="893"/>
      <c r="O233" s="893"/>
      <c r="P233" s="894"/>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row>
    <row r="234" spans="2:52" ht="18" customHeight="1" x14ac:dyDescent="0.2">
      <c r="B234" s="776" t="s">
        <v>1427</v>
      </c>
      <c r="C234" s="776"/>
      <c r="D234" s="776"/>
      <c r="E234" s="776"/>
      <c r="F234" s="776"/>
      <c r="G234" s="776"/>
      <c r="H234" s="776"/>
      <c r="I234" s="776"/>
      <c r="J234" s="776"/>
      <c r="K234" s="776"/>
      <c r="L234" s="776"/>
      <c r="M234" s="776"/>
      <c r="N234" s="776"/>
      <c r="O234" s="776"/>
      <c r="P234" s="929">
        <f>SUMIF(S234:Y234,B235,S235:Y235)</f>
        <v>0</v>
      </c>
      <c r="R234" s="948" t="s">
        <v>1305</v>
      </c>
      <c r="S234" s="50" t="s">
        <v>511</v>
      </c>
      <c r="T234" s="552" t="s">
        <v>1306</v>
      </c>
      <c r="U234" s="50" t="s">
        <v>513</v>
      </c>
      <c r="V234" s="50" t="s">
        <v>1060</v>
      </c>
      <c r="W234" s="50" t="s">
        <v>1063</v>
      </c>
      <c r="X234" s="50" t="s">
        <v>702</v>
      </c>
      <c r="Y234" s="50" t="s">
        <v>577</v>
      </c>
      <c r="Z234" s="10"/>
      <c r="AA234" s="10"/>
      <c r="AB234" s="10"/>
      <c r="AC234" s="10"/>
      <c r="AD234" s="10"/>
      <c r="AE234" s="10"/>
      <c r="AF234" s="10"/>
      <c r="AG234" s="10"/>
      <c r="AH234" s="10"/>
      <c r="AI234" s="10"/>
      <c r="AJ234" s="10"/>
      <c r="AK234" s="14"/>
      <c r="AL234" s="14"/>
      <c r="AM234" s="14"/>
      <c r="AN234" s="14"/>
      <c r="AO234" s="14"/>
      <c r="AP234" s="10"/>
      <c r="AQ234" s="10"/>
      <c r="AR234" s="10"/>
      <c r="AS234" s="10"/>
      <c r="AT234" s="10"/>
    </row>
    <row r="235" spans="2:52" ht="15" customHeight="1" x14ac:dyDescent="0.2">
      <c r="B235" s="1012"/>
      <c r="C235" s="1012"/>
      <c r="D235" s="1012"/>
      <c r="E235" s="1012"/>
      <c r="F235" s="1012"/>
      <c r="G235" s="1012"/>
      <c r="H235" s="1012"/>
      <c r="I235" s="1012"/>
      <c r="J235" s="1012"/>
      <c r="K235" s="1012"/>
      <c r="L235" s="1012"/>
      <c r="M235" s="1012"/>
      <c r="N235" s="1012"/>
      <c r="O235" s="1012"/>
      <c r="P235" s="1072"/>
      <c r="R235" s="776"/>
      <c r="S235" s="548">
        <v>0</v>
      </c>
      <c r="T235" s="147">
        <v>0.1</v>
      </c>
      <c r="U235" s="147">
        <v>0.3</v>
      </c>
      <c r="V235" s="147">
        <v>0.5</v>
      </c>
      <c r="W235" s="147">
        <v>0.63</v>
      </c>
      <c r="X235" s="147">
        <v>0.75</v>
      </c>
      <c r="Y235" s="147">
        <v>1</v>
      </c>
      <c r="Z235" s="10"/>
      <c r="AA235" s="10"/>
      <c r="AB235" s="10"/>
      <c r="AC235" s="10"/>
      <c r="AD235" s="10"/>
      <c r="AE235" s="10"/>
      <c r="AF235" s="10"/>
      <c r="AG235" s="10"/>
      <c r="AH235" s="10"/>
      <c r="AI235" s="10"/>
      <c r="AJ235" s="10"/>
      <c r="AK235" s="10"/>
      <c r="AL235" s="10"/>
      <c r="AM235" s="10"/>
      <c r="AN235" s="10"/>
      <c r="AO235" s="10"/>
      <c r="AP235" s="10"/>
      <c r="AQ235" s="10"/>
      <c r="AR235" s="10"/>
      <c r="AS235" s="10"/>
      <c r="AT235" s="10"/>
    </row>
    <row r="236" spans="2:52" ht="15" customHeight="1" x14ac:dyDescent="0.2">
      <c r="B236" s="958" t="str">
        <f>IF(AND(P234&gt;0.1,B238=""),"Enter specific level of amputation or shortening below.","")</f>
        <v/>
      </c>
      <c r="C236" s="958"/>
      <c r="D236" s="958"/>
      <c r="E236" s="958"/>
      <c r="F236" s="958"/>
      <c r="G236" s="958"/>
      <c r="H236" s="958"/>
      <c r="I236" s="958"/>
      <c r="J236" s="958"/>
      <c r="K236" s="958"/>
      <c r="L236" s="958"/>
      <c r="M236" s="958"/>
      <c r="N236" s="958"/>
      <c r="O236" s="958"/>
      <c r="P236" s="958"/>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row>
    <row r="237" spans="2:52" ht="30" customHeight="1" x14ac:dyDescent="0.2">
      <c r="B237" s="761" t="s">
        <v>1643</v>
      </c>
      <c r="C237" s="761"/>
      <c r="D237" s="761"/>
      <c r="E237" s="761"/>
      <c r="F237" s="761"/>
      <c r="G237" s="761"/>
      <c r="H237" s="761"/>
      <c r="I237" s="761"/>
      <c r="J237" s="761"/>
      <c r="K237" s="761"/>
      <c r="L237" s="761"/>
      <c r="M237" s="761"/>
      <c r="N237" s="761"/>
      <c r="O237" s="761"/>
      <c r="P237" s="929">
        <f>IF(P234=1,0,U13)</f>
        <v>0</v>
      </c>
      <c r="R237" s="514">
        <f>SUMIF(S237:AD237,B238,S238:AD238)</f>
        <v>0</v>
      </c>
      <c r="S237" s="50" t="s">
        <v>1166</v>
      </c>
      <c r="T237" s="50" t="s">
        <v>1167</v>
      </c>
      <c r="U237" s="50" t="s">
        <v>1168</v>
      </c>
      <c r="V237" s="50" t="s">
        <v>1169</v>
      </c>
      <c r="W237" s="50" t="s">
        <v>1883</v>
      </c>
      <c r="X237" s="50" t="s">
        <v>1884</v>
      </c>
      <c r="Y237" s="50" t="s">
        <v>659</v>
      </c>
      <c r="Z237" s="50" t="s">
        <v>660</v>
      </c>
      <c r="AA237" s="50" t="s">
        <v>661</v>
      </c>
      <c r="AB237" s="50" t="s">
        <v>662</v>
      </c>
      <c r="AC237" s="50" t="s">
        <v>663</v>
      </c>
      <c r="AD237" s="50" t="s">
        <v>664</v>
      </c>
      <c r="AE237" s="10"/>
      <c r="AF237" s="10"/>
      <c r="AG237" s="10"/>
      <c r="AH237" s="10"/>
      <c r="AI237" s="10"/>
      <c r="AJ237" s="10"/>
      <c r="AK237" s="10"/>
      <c r="AL237" s="10"/>
      <c r="AM237" s="10"/>
      <c r="AN237" s="10"/>
      <c r="AO237" s="10"/>
      <c r="AP237" s="10"/>
      <c r="AQ237" s="10"/>
      <c r="AR237" s="10"/>
      <c r="AS237" s="10"/>
      <c r="AT237" s="10"/>
    </row>
    <row r="238" spans="2:52" ht="15" customHeight="1" x14ac:dyDescent="0.2">
      <c r="B238" s="1012"/>
      <c r="C238" s="1012"/>
      <c r="D238" s="1012"/>
      <c r="E238" s="1012"/>
      <c r="F238" s="1012"/>
      <c r="G238" s="1012"/>
      <c r="H238" s="1012"/>
      <c r="I238" s="1012"/>
      <c r="J238" s="1012"/>
      <c r="K238" s="1012"/>
      <c r="L238" s="1012"/>
      <c r="M238" s="1012"/>
      <c r="N238" s="1012"/>
      <c r="O238" s="1012"/>
      <c r="P238" s="1071"/>
      <c r="R238" s="761" t="s">
        <v>665</v>
      </c>
      <c r="S238" s="147">
        <v>0</v>
      </c>
      <c r="T238" s="147">
        <v>0</v>
      </c>
      <c r="U238" s="147">
        <v>0</v>
      </c>
      <c r="V238" s="147">
        <v>0.05</v>
      </c>
      <c r="W238" s="147">
        <v>0.05</v>
      </c>
      <c r="X238" s="147">
        <v>0.05</v>
      </c>
      <c r="Y238" s="147">
        <v>0.05</v>
      </c>
      <c r="Z238" s="147">
        <v>0.1</v>
      </c>
      <c r="AA238" s="147">
        <v>0.15</v>
      </c>
      <c r="AB238" s="147">
        <v>0.15</v>
      </c>
      <c r="AC238" s="147">
        <v>0.15</v>
      </c>
      <c r="AD238" s="147">
        <v>0.2</v>
      </c>
      <c r="AE238" s="10"/>
      <c r="AF238" s="10"/>
      <c r="AG238" s="10"/>
      <c r="AH238" s="10"/>
      <c r="AI238" s="10"/>
      <c r="AJ238" s="10"/>
      <c r="AK238" s="10"/>
      <c r="AL238" s="10"/>
      <c r="AM238" s="10"/>
      <c r="AN238" s="10"/>
      <c r="AO238" s="10"/>
      <c r="AP238" s="10"/>
      <c r="AQ238" s="10"/>
      <c r="AR238" s="10"/>
      <c r="AS238" s="10"/>
      <c r="AT238" s="10"/>
    </row>
    <row r="239" spans="2:52" ht="18" customHeight="1" x14ac:dyDescent="0.2">
      <c r="B239" s="1013" t="s">
        <v>666</v>
      </c>
      <c r="C239" s="1014"/>
      <c r="D239" s="1014"/>
      <c r="E239" s="1014"/>
      <c r="F239" s="1014"/>
      <c r="G239" s="1014"/>
      <c r="H239" s="1014"/>
      <c r="I239" s="1014"/>
      <c r="J239" s="1014"/>
      <c r="K239" s="1014"/>
      <c r="L239" s="1014"/>
      <c r="M239" s="1014"/>
      <c r="N239" s="1014"/>
      <c r="O239" s="1015"/>
      <c r="P239" s="1072"/>
      <c r="R239" s="761"/>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row>
    <row r="240" spans="2:52" ht="12" customHeight="1" x14ac:dyDescent="0.2">
      <c r="B240" s="777"/>
      <c r="C240" s="777"/>
      <c r="D240" s="777"/>
      <c r="E240" s="777"/>
      <c r="F240" s="777"/>
      <c r="G240" s="777"/>
      <c r="H240" s="777"/>
      <c r="I240" s="777"/>
      <c r="J240" s="777"/>
      <c r="K240" s="777"/>
      <c r="L240" s="777"/>
      <c r="M240" s="777"/>
      <c r="N240" s="777"/>
      <c r="O240" s="777"/>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row>
    <row r="241" spans="2:46" ht="18" customHeight="1" x14ac:dyDescent="0.2">
      <c r="B241" s="910" t="s">
        <v>1563</v>
      </c>
      <c r="C241" s="910"/>
      <c r="D241" s="910"/>
      <c r="E241" s="910"/>
      <c r="F241" s="910"/>
      <c r="G241" s="910"/>
      <c r="H241" s="910"/>
      <c r="I241" s="910"/>
      <c r="J241" s="910"/>
      <c r="K241" s="910"/>
      <c r="L241" s="910"/>
      <c r="M241" s="910"/>
      <c r="N241" s="910"/>
      <c r="O241" s="910"/>
      <c r="P241" s="755">
        <f>IF(R254=1,"ERROR",AD253)</f>
        <v>0</v>
      </c>
      <c r="R241" s="10"/>
      <c r="S241" s="10"/>
      <c r="T241" s="761" t="s">
        <v>1238</v>
      </c>
      <c r="U241" s="761" t="s">
        <v>1238</v>
      </c>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row>
    <row r="242" spans="2:46" ht="27" customHeight="1" x14ac:dyDescent="0.2">
      <c r="B242" s="20" t="s">
        <v>1537</v>
      </c>
      <c r="C242" s="832" t="s">
        <v>1564</v>
      </c>
      <c r="D242" s="832"/>
      <c r="E242" s="832"/>
      <c r="F242" s="832"/>
      <c r="G242" s="1066" t="s">
        <v>1064</v>
      </c>
      <c r="H242" s="1066"/>
      <c r="I242" s="1066"/>
      <c r="J242" s="1066"/>
      <c r="K242" s="832"/>
      <c r="L242" s="832"/>
      <c r="M242" s="832"/>
      <c r="N242" s="832"/>
      <c r="O242" s="1065"/>
      <c r="P242" s="755"/>
      <c r="R242" s="10"/>
      <c r="S242" s="10"/>
      <c r="T242" s="948"/>
      <c r="U242" s="948"/>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row>
    <row r="243" spans="2:46" ht="18" customHeight="1" x14ac:dyDescent="0.2">
      <c r="B243" s="18"/>
      <c r="C243" s="910" t="s">
        <v>355</v>
      </c>
      <c r="D243" s="910"/>
      <c r="E243" s="910" t="s">
        <v>1759</v>
      </c>
      <c r="F243" s="910"/>
      <c r="G243" s="910" t="s">
        <v>355</v>
      </c>
      <c r="H243" s="910"/>
      <c r="I243" s="910" t="s">
        <v>1759</v>
      </c>
      <c r="J243" s="910"/>
      <c r="K243" s="910"/>
      <c r="L243" s="910"/>
      <c r="M243" s="910"/>
      <c r="N243" s="910"/>
      <c r="O243" s="944"/>
      <c r="P243" s="755"/>
      <c r="R243" s="10"/>
      <c r="S243" s="50" t="s">
        <v>1622</v>
      </c>
      <c r="T243" s="498" t="s">
        <v>1564</v>
      </c>
      <c r="U243" s="256" t="s">
        <v>1565</v>
      </c>
      <c r="V243" s="910" t="s">
        <v>1066</v>
      </c>
      <c r="W243" s="910"/>
      <c r="X243" s="910"/>
      <c r="Y243" s="910"/>
      <c r="AA243" s="10"/>
      <c r="AB243" s="10"/>
      <c r="AC243" s="10"/>
      <c r="AD243" s="10"/>
      <c r="AE243" s="10"/>
      <c r="AF243" s="10"/>
      <c r="AG243" s="10"/>
      <c r="AH243" s="10"/>
      <c r="AI243" s="10"/>
      <c r="AJ243" s="10"/>
      <c r="AK243" s="10"/>
      <c r="AL243" s="10"/>
      <c r="AM243" s="10"/>
      <c r="AN243" s="10"/>
      <c r="AO243" s="10"/>
      <c r="AP243" s="10"/>
      <c r="AQ243" s="10"/>
      <c r="AR243" s="10"/>
      <c r="AS243" s="10"/>
      <c r="AT243" s="10"/>
    </row>
    <row r="244" spans="2:46" ht="13.5" customHeight="1" x14ac:dyDescent="0.2">
      <c r="B244" s="146" t="s">
        <v>667</v>
      </c>
      <c r="C244" s="694"/>
      <c r="D244" s="694"/>
      <c r="E244" s="921">
        <f>UETable!BF38</f>
        <v>0</v>
      </c>
      <c r="F244" s="921"/>
      <c r="G244" s="694"/>
      <c r="H244" s="694"/>
      <c r="I244" s="936">
        <f>IF(C244="",0,IF(OR(C244&lt;=0,G244&lt;=0),E244,IF(G244&lt;C244,0,UETable!BK38)))</f>
        <v>0</v>
      </c>
      <c r="J244" s="936"/>
      <c r="K244" s="930" t="str">
        <f>IF(OR(C244="NA",G244="NA"),"",IF(AND(C244&lt;&gt;"",G244=""),"Enter contralateral or NA.",IF(AND(C244="",G244&lt;&gt;""),"Need data","")))</f>
        <v/>
      </c>
      <c r="L244" s="930"/>
      <c r="M244" s="930"/>
      <c r="N244" s="930"/>
      <c r="O244" s="931"/>
      <c r="P244" s="755"/>
      <c r="R244" s="131"/>
      <c r="S244" s="50">
        <v>70</v>
      </c>
      <c r="T244" s="566" t="str">
        <f>IF(OR(C244="",C244="NA"),"",IF(C244&gt;S244,S244,IF(C244&lt;0,0,C244)))</f>
        <v/>
      </c>
      <c r="U244" s="50" t="str">
        <f>IF(OR(G244="",G244="NA"),"",IF(G244&gt;S244,S244,IF(G244&lt;0,0,G244)))</f>
        <v/>
      </c>
      <c r="V244" s="553" t="str">
        <f>IF(Y244="","",ROUND(Y244,0))</f>
        <v/>
      </c>
      <c r="W244" s="791" t="s">
        <v>1184</v>
      </c>
      <c r="X244" s="791"/>
      <c r="Y244" s="554" t="str">
        <f>IF(T244="","",IF(OR(U244="",U244=0,U244&lt;T244),T244,(T244*70)/U244))</f>
        <v/>
      </c>
      <c r="Z244" s="10"/>
      <c r="AA244" s="10"/>
      <c r="AB244" s="10"/>
      <c r="AC244" s="10"/>
      <c r="AD244" s="10"/>
      <c r="AE244" s="10"/>
      <c r="AF244" s="10"/>
      <c r="AG244" s="10"/>
      <c r="AH244" s="10"/>
      <c r="AI244" s="10"/>
      <c r="AJ244" s="10"/>
      <c r="AK244" s="10"/>
      <c r="AL244" s="10"/>
      <c r="AM244" s="10"/>
      <c r="AN244" s="10"/>
      <c r="AO244" s="10"/>
      <c r="AP244" s="10"/>
      <c r="AQ244" s="10"/>
      <c r="AR244" s="10"/>
      <c r="AS244" s="10"/>
      <c r="AT244" s="10"/>
    </row>
    <row r="245" spans="2:46" ht="13.5" customHeight="1" x14ac:dyDescent="0.2">
      <c r="B245" s="146" t="s">
        <v>668</v>
      </c>
      <c r="C245" s="694"/>
      <c r="D245" s="694"/>
      <c r="E245" s="921">
        <f>UETable!BF39</f>
        <v>0</v>
      </c>
      <c r="F245" s="921"/>
      <c r="G245" s="694"/>
      <c r="H245" s="694"/>
      <c r="I245" s="936">
        <f>IF(C245="",0,IF(OR(C245&gt;=70,G245&gt;=70),E245,IF(G245&gt;C245,0,UETable!BK39)))</f>
        <v>0</v>
      </c>
      <c r="J245" s="936"/>
      <c r="K245" s="930" t="str">
        <f>IF(OR(C245="NA",G245="NA"),"",IF(AND(C245&lt;&gt;"",G245=""),"Enter contralateral or NA.",IF(AND(C245="",G245&lt;&gt;""),"Need data","")))</f>
        <v/>
      </c>
      <c r="L245" s="930"/>
      <c r="M245" s="930"/>
      <c r="N245" s="930"/>
      <c r="O245" s="931"/>
      <c r="P245" s="755"/>
      <c r="S245" s="50">
        <v>70</v>
      </c>
      <c r="T245" s="566" t="str">
        <f>IF(OR(C245="",C245="NA"),"",IF(C245&gt;S245,S245,IF(C245&lt;0,0,C245)))</f>
        <v/>
      </c>
      <c r="U245" s="50" t="str">
        <f>IF(OR(G245="",G245="NA"),"",IF(G245&gt;S245,S245,IF(G245&lt;0,0,G245)))</f>
        <v/>
      </c>
      <c r="V245" s="553" t="str">
        <f>IF(Y245="","",ROUND(Y245,0))</f>
        <v/>
      </c>
      <c r="W245" s="50">
        <f>IF(T245="",0,70-T245)</f>
        <v>0</v>
      </c>
      <c r="X245" s="50">
        <f>IF(U245="",0,70-U245)</f>
        <v>0</v>
      </c>
      <c r="Y245" s="554" t="str">
        <f>IF(T245="","",IF(OR(U245="",U245=0,U245&gt;T245),T245,70-(W245*70)/X245))</f>
        <v/>
      </c>
      <c r="Z245" s="10"/>
      <c r="AA245" s="10"/>
      <c r="AB245" s="10"/>
      <c r="AC245" s="10"/>
      <c r="AD245" s="10"/>
      <c r="AE245" s="10"/>
      <c r="AF245" s="10"/>
      <c r="AG245" s="10"/>
      <c r="AH245" s="10"/>
      <c r="AI245" s="10"/>
      <c r="AJ245" s="10"/>
      <c r="AK245" s="10"/>
      <c r="AL245" s="10"/>
      <c r="AM245" s="10"/>
      <c r="AN245" s="10"/>
      <c r="AO245" s="10"/>
      <c r="AP245" s="10"/>
      <c r="AQ245" s="10"/>
      <c r="AR245" s="10"/>
      <c r="AS245" s="10"/>
      <c r="AT245" s="10"/>
    </row>
    <row r="246" spans="2:46" ht="15" customHeight="1" x14ac:dyDescent="0.2">
      <c r="B246" s="146" t="s">
        <v>669</v>
      </c>
      <c r="C246" s="694"/>
      <c r="D246" s="694"/>
      <c r="E246" s="921">
        <f>IF(AND(C246&lt;&gt;"",C246&lt;&gt;"NA",C245&lt;&gt;"NA",C245&lt;&gt;""),"ERROR",IF(AND(C246&lt;&gt;"",C246&lt;&gt;"NA",C244&lt;&gt;"",C244&lt;&gt;"NA"),"ERROR",UETable!BF40))</f>
        <v>0</v>
      </c>
      <c r="F246" s="921"/>
      <c r="G246" s="930" t="str">
        <f>IF(AND(C246&lt;&gt;"",C246&lt;&gt;"NA",C245&lt;&gt;"NA",C245&lt;&gt;""),"ERROR: Cannot rate ROM and ankylosis.",IF(AND(C246&lt;&gt;"",C246&lt;&gt;"NA",C244&lt;&gt;"",C244&lt;&gt;"NA"),"ERROR: Cannot rate ROM and ankylosis.",""))</f>
        <v/>
      </c>
      <c r="H246" s="930"/>
      <c r="I246" s="930"/>
      <c r="J246" s="930"/>
      <c r="K246" s="930"/>
      <c r="L246" s="930"/>
      <c r="M246" s="930"/>
      <c r="N246" s="930"/>
      <c r="O246" s="931"/>
      <c r="P246" s="755"/>
      <c r="R246" s="131"/>
      <c r="S246" s="50">
        <v>70</v>
      </c>
      <c r="T246" s="566" t="str">
        <f>IF(OR(C246="",C246="NA"),"",IF(C246&gt;S246,S246,IF(C246&lt;0,0,C246)))</f>
        <v/>
      </c>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row>
    <row r="247" spans="2:46" x14ac:dyDescent="0.2">
      <c r="B247" s="979"/>
      <c r="C247" s="980"/>
      <c r="D247" s="980"/>
      <c r="E247" s="980"/>
      <c r="F247" s="980"/>
      <c r="G247" s="980"/>
      <c r="H247" s="980"/>
      <c r="I247" s="980"/>
      <c r="J247" s="981"/>
      <c r="K247" s="956" t="s">
        <v>1803</v>
      </c>
      <c r="L247" s="956"/>
      <c r="M247" s="956"/>
      <c r="N247" s="956"/>
      <c r="O247" s="65">
        <f>IF(E246="ERROR","ERROR",IF(R247&gt;1,1,R247))</f>
        <v>0</v>
      </c>
      <c r="P247" s="755"/>
      <c r="R247" s="193">
        <f>SUM(I244,I245,E246)</f>
        <v>0</v>
      </c>
      <c r="S247" s="5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row>
    <row r="248" spans="2:46" ht="13.5" customHeight="1" x14ac:dyDescent="0.2">
      <c r="B248" s="230" t="s">
        <v>670</v>
      </c>
      <c r="C248" s="694"/>
      <c r="D248" s="694"/>
      <c r="E248" s="1064">
        <f>UETable!BF42</f>
        <v>0</v>
      </c>
      <c r="F248" s="1064"/>
      <c r="G248" s="694"/>
      <c r="H248" s="694"/>
      <c r="I248" s="1051">
        <f>IF(C248="",0,IF(OR(C248&lt;=0,G248&lt;=0),E248,IF(G248&lt;C248,0,UETable!BK42)))</f>
        <v>0</v>
      </c>
      <c r="J248" s="1051"/>
      <c r="K248" s="1052" t="str">
        <f>IF(OR(C248="NA",G248="NA"),"",IF(AND(C248&lt;&gt;"",G248=""),"Enter contralateral or NA.",IF(AND(C248="",G248&lt;&gt;""),"Need data","")))</f>
        <v/>
      </c>
      <c r="L248" s="1052"/>
      <c r="M248" s="1052"/>
      <c r="N248" s="1052"/>
      <c r="O248" s="1053"/>
      <c r="P248" s="755"/>
      <c r="R248" s="131"/>
      <c r="S248" s="50">
        <v>100</v>
      </c>
      <c r="T248" s="566" t="str">
        <f>IF(OR(C248="",C248="NA"),"",IF(C248&gt;S248,S248,IF(C248&lt;0,0,C248)))</f>
        <v/>
      </c>
      <c r="U248" s="50" t="str">
        <f>IF(OR(G248="",G248="NA"),"",IF(G248&gt;S248,S248,IF(G248&lt;0,0,G248)))</f>
        <v/>
      </c>
      <c r="V248" s="553" t="str">
        <f>IF(Y248="","",ROUND(Y248,0))</f>
        <v/>
      </c>
      <c r="W248" s="791" t="s">
        <v>1184</v>
      </c>
      <c r="X248" s="791"/>
      <c r="Y248" s="554" t="str">
        <f>IF(T248="","",IF(OR(U248="",U248=0,U248&lt;T248),T248,(T248*100)/U248))</f>
        <v/>
      </c>
      <c r="Z248" s="10"/>
      <c r="AA248" s="10"/>
      <c r="AB248" s="10"/>
      <c r="AC248" s="10"/>
      <c r="AD248" s="10"/>
      <c r="AE248" s="10"/>
      <c r="AF248" s="10"/>
      <c r="AG248" s="10"/>
      <c r="AH248" s="10"/>
      <c r="AI248" s="10"/>
      <c r="AJ248" s="10"/>
      <c r="AK248" s="10"/>
      <c r="AL248" s="10"/>
      <c r="AM248" s="10"/>
      <c r="AN248" s="10"/>
      <c r="AO248" s="10"/>
      <c r="AP248" s="10"/>
      <c r="AQ248" s="10"/>
      <c r="AR248" s="10"/>
      <c r="AS248" s="10"/>
      <c r="AT248" s="10"/>
    </row>
    <row r="249" spans="2:46" ht="13.5" customHeight="1" x14ac:dyDescent="0.2">
      <c r="B249" s="146" t="s">
        <v>671</v>
      </c>
      <c r="C249" s="694"/>
      <c r="D249" s="694"/>
      <c r="E249" s="921">
        <f>UETable!BF43</f>
        <v>0</v>
      </c>
      <c r="F249" s="921"/>
      <c r="G249" s="694"/>
      <c r="H249" s="694"/>
      <c r="I249" s="936">
        <f>IF(C249="",0,IF(OR(C249&gt;=100,G249&gt;=100),E249,IF(G249&gt;C249,0,UETable!BK43)))</f>
        <v>0</v>
      </c>
      <c r="J249" s="936"/>
      <c r="K249" s="930" t="str">
        <f>IF(OR(C249="NA",G249="NA"),"",IF(AND(C249&lt;&gt;"",G249=""),"Enter contralateral or NA.",IF(AND(C249="",G249&lt;&gt;""),"Need data","")))</f>
        <v/>
      </c>
      <c r="L249" s="930"/>
      <c r="M249" s="930"/>
      <c r="N249" s="930"/>
      <c r="O249" s="931"/>
      <c r="P249" s="755"/>
      <c r="S249" s="50">
        <v>100</v>
      </c>
      <c r="T249" s="566" t="str">
        <f>IF(OR(C249="",C249="NA"),"",IF(C249&gt;S249,S249,IF(C249&lt;0,0,C249)))</f>
        <v/>
      </c>
      <c r="U249" s="50" t="str">
        <f>IF(OR(G249="",G249="NA"),"",IF(G249&gt;S249,S249,IF(G249&lt;0,0,G249)))</f>
        <v/>
      </c>
      <c r="V249" s="553" t="str">
        <f>IF(Y249="","",ROUND(Y249,0))</f>
        <v/>
      </c>
      <c r="W249" s="50">
        <f>IF(T249="",0,100-T249)</f>
        <v>0</v>
      </c>
      <c r="X249" s="50">
        <f>IF(U249="",0,100-U249)</f>
        <v>0</v>
      </c>
      <c r="Y249" s="554" t="str">
        <f>IF(T249="","",IF(OR(U249="",U249=0,U249&gt;T249),T249,100-(W249*100)/X249))</f>
        <v/>
      </c>
      <c r="Z249" s="10"/>
      <c r="AA249" s="10"/>
      <c r="AB249" s="10"/>
      <c r="AC249" s="10"/>
      <c r="AD249" s="10"/>
      <c r="AE249" s="10"/>
      <c r="AF249" s="10"/>
      <c r="AG249" s="10"/>
      <c r="AH249" s="10"/>
      <c r="AI249" s="10"/>
      <c r="AJ249" s="10"/>
      <c r="AK249" s="10"/>
      <c r="AL249" s="10"/>
      <c r="AM249" s="10"/>
      <c r="AN249" s="10"/>
      <c r="AO249" s="10"/>
      <c r="AP249" s="10"/>
      <c r="AQ249" s="10"/>
      <c r="AR249" s="10"/>
      <c r="AS249" s="10"/>
      <c r="AT249" s="10"/>
    </row>
    <row r="250" spans="2:46" ht="15" customHeight="1" x14ac:dyDescent="0.2">
      <c r="B250" s="146" t="s">
        <v>672</v>
      </c>
      <c r="C250" s="694"/>
      <c r="D250" s="694"/>
      <c r="E250" s="921">
        <f>IF(AND(C250&lt;&gt;"",C250&lt;&gt;"NA",C249&lt;&gt;"NA",C249&lt;&gt;""),"ERROR",IF(AND(C250&lt;&gt;"",C250&lt;&gt;"NA",C248&lt;&gt;"",C248&lt;&gt;"NA"),"ERROR",UETable!BF44))</f>
        <v>0</v>
      </c>
      <c r="F250" s="921"/>
      <c r="G250" s="930" t="str">
        <f>IF(AND(C250&lt;&gt;"",C250&lt;&gt;"NA",C249&lt;&gt;"NA",C249&lt;&gt;""),"ERROR: Cannot rate ROM and ankylosis.",IF(AND(C250&lt;&gt;"",C250&lt;&gt;"NA",C248&lt;&gt;"",C248&lt;&gt;"NA"),"ERROR: Cannot rate ROM and ankylosis.",""))</f>
        <v/>
      </c>
      <c r="H250" s="930"/>
      <c r="I250" s="930"/>
      <c r="J250" s="930"/>
      <c r="K250" s="930"/>
      <c r="L250" s="930"/>
      <c r="M250" s="930"/>
      <c r="N250" s="930"/>
      <c r="O250" s="931"/>
      <c r="P250" s="755"/>
      <c r="R250" s="10"/>
      <c r="S250" s="50">
        <v>100</v>
      </c>
      <c r="T250" s="566" t="str">
        <f>IF(OR(C250="",C250="NA"),"",IF(C250&gt;S250,S250,IF(C250&lt;0,0,C250)))</f>
        <v/>
      </c>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row>
    <row r="251" spans="2:46" x14ac:dyDescent="0.2">
      <c r="B251" s="979"/>
      <c r="C251" s="980"/>
      <c r="D251" s="980"/>
      <c r="E251" s="980"/>
      <c r="F251" s="980"/>
      <c r="G251" s="980"/>
      <c r="H251" s="980"/>
      <c r="I251" s="980"/>
      <c r="J251" s="981"/>
      <c r="K251" s="956" t="s">
        <v>1803</v>
      </c>
      <c r="L251" s="956"/>
      <c r="M251" s="956"/>
      <c r="N251" s="956"/>
      <c r="O251" s="65">
        <f>IF(E250="ERROR","ERROR",IF(R251&gt;1,1,R251))</f>
        <v>0</v>
      </c>
      <c r="P251" s="755"/>
      <c r="R251" s="193">
        <f>SUM(I248,I249,E250)</f>
        <v>0</v>
      </c>
      <c r="S251" s="50"/>
      <c r="T251" s="10"/>
      <c r="U251" s="10"/>
      <c r="V251" s="10"/>
      <c r="W251" s="10"/>
      <c r="X251" s="10"/>
      <c r="Y251" s="10"/>
      <c r="Z251" s="10"/>
      <c r="AA251" s="146" t="s">
        <v>1287</v>
      </c>
      <c r="AB251" s="146" t="s">
        <v>1285</v>
      </c>
      <c r="AC251" s="50" t="s">
        <v>1286</v>
      </c>
      <c r="AD251" s="50" t="s">
        <v>1287</v>
      </c>
      <c r="AE251" s="10"/>
      <c r="AF251" s="10"/>
      <c r="AG251" s="10"/>
      <c r="AH251" s="10"/>
      <c r="AI251" s="10"/>
      <c r="AJ251" s="10"/>
      <c r="AK251" s="10"/>
      <c r="AL251" s="10"/>
      <c r="AM251" s="10"/>
      <c r="AN251" s="10"/>
      <c r="AO251" s="10"/>
      <c r="AP251" s="10"/>
      <c r="AQ251" s="10"/>
      <c r="AR251" s="10"/>
      <c r="AS251" s="10"/>
      <c r="AT251" s="10"/>
    </row>
    <row r="252" spans="2:46" ht="13.5" customHeight="1" x14ac:dyDescent="0.2">
      <c r="B252" s="230" t="s">
        <v>1546</v>
      </c>
      <c r="C252" s="694"/>
      <c r="D252" s="694"/>
      <c r="E252" s="1064">
        <f>UETable!BF46</f>
        <v>0</v>
      </c>
      <c r="F252" s="1064"/>
      <c r="G252" s="694"/>
      <c r="H252" s="694"/>
      <c r="I252" s="1051">
        <f>IF(C252="",0,IF(OR(C252&lt;=0,G252&lt;=0),E252,IF(G252&lt;C252,0,UETable!BK46)))</f>
        <v>0</v>
      </c>
      <c r="J252" s="1051"/>
      <c r="K252" s="1052" t="str">
        <f>IF(OR(C252="NA",G252="NA"),"",IF(AND(C252&lt;&gt;"",G252=""),"Enter contralateral or NA.",IF(AND(C252="",G252&lt;&gt;""),"Need data","")))</f>
        <v/>
      </c>
      <c r="L252" s="1052"/>
      <c r="M252" s="1052"/>
      <c r="N252" s="1052"/>
      <c r="O252" s="1053"/>
      <c r="P252" s="755"/>
      <c r="R252" s="10"/>
      <c r="S252" s="50">
        <v>90</v>
      </c>
      <c r="T252" s="566" t="str">
        <f>IF(OR(C252="",C252="NA"),"",IF(C252&gt;S252,S252,IF(C252&lt;0,0,C252)))</f>
        <v/>
      </c>
      <c r="U252" s="50" t="str">
        <f>IF(OR(G252="",G252="NA"),"",IF(G252&gt;S252,S252,IF(G252&lt;0,0,G252)))</f>
        <v/>
      </c>
      <c r="V252" s="553" t="str">
        <f>IF(Y252="","",ROUND(Y252,0))</f>
        <v/>
      </c>
      <c r="W252" s="791" t="s">
        <v>1184</v>
      </c>
      <c r="X252" s="791"/>
      <c r="Y252" s="554" t="str">
        <f>IF(T252="","",IF(OR(U252="",U252=0,U252&lt;T252),T252,(T252*90)/U252))</f>
        <v/>
      </c>
      <c r="Z252" s="10"/>
      <c r="AA252" s="548">
        <f>IF(AND(O247&gt;0,O247&lt;0.01),0.01,ROUND(O247,2))</f>
        <v>0</v>
      </c>
      <c r="AB252" s="147">
        <f>LARGE(AA252:AA254,1)</f>
        <v>0</v>
      </c>
      <c r="AC252" s="548">
        <f>AB252+AB253*(1-AB252)</f>
        <v>0</v>
      </c>
      <c r="AD252" s="548">
        <f>ROUND(AC252,2)</f>
        <v>0</v>
      </c>
      <c r="AE252" s="10"/>
      <c r="AF252" s="10"/>
      <c r="AG252" s="10"/>
      <c r="AH252" s="10"/>
      <c r="AI252" s="10"/>
      <c r="AJ252" s="10"/>
      <c r="AK252" s="10"/>
      <c r="AL252" s="10"/>
      <c r="AM252" s="10"/>
      <c r="AN252" s="10"/>
      <c r="AO252" s="10"/>
      <c r="AP252" s="10"/>
      <c r="AQ252" s="10"/>
      <c r="AR252" s="10"/>
      <c r="AS252" s="10"/>
      <c r="AT252" s="10"/>
    </row>
    <row r="253" spans="2:46" ht="13.5" customHeight="1" x14ac:dyDescent="0.2">
      <c r="B253" s="146" t="s">
        <v>1547</v>
      </c>
      <c r="C253" s="694"/>
      <c r="D253" s="694"/>
      <c r="E253" s="921">
        <f>UETable!BF47</f>
        <v>0</v>
      </c>
      <c r="F253" s="921"/>
      <c r="G253" s="694"/>
      <c r="H253" s="694"/>
      <c r="I253" s="936">
        <f>IF(C253="",0,IF(OR(C253&gt;=90,G253&gt;=90),E253,IF(G253&gt;C253,0,UETable!BK47)))</f>
        <v>0</v>
      </c>
      <c r="J253" s="936"/>
      <c r="K253" s="930" t="str">
        <f>IF(OR(C253="NA",G253="NA"),"",IF(AND(C253&lt;&gt;"",G253=""),"Enter contralateral or NA.",IF(AND(C253="",G253&lt;&gt;""),"Need data","")))</f>
        <v/>
      </c>
      <c r="L253" s="930"/>
      <c r="M253" s="930"/>
      <c r="N253" s="930"/>
      <c r="O253" s="931"/>
      <c r="P253" s="755"/>
      <c r="R253" s="10"/>
      <c r="S253" s="50">
        <v>90</v>
      </c>
      <c r="T253" s="566" t="str">
        <f>IF(OR(C253="",C253="NA"),"",IF(C253&gt;S253,S253,IF(C253&lt;0,0,C253)))</f>
        <v/>
      </c>
      <c r="U253" s="50" t="str">
        <f>IF(OR(G253="",G253="NA"),"",IF(G253&gt;S253,S253,IF(G253&lt;0,0,G253)))</f>
        <v/>
      </c>
      <c r="V253" s="553" t="str">
        <f>IF(Y253="","",ROUND(Y253,0))</f>
        <v/>
      </c>
      <c r="W253" s="50">
        <f>IF(T253="",0,90-T253)</f>
        <v>0</v>
      </c>
      <c r="X253" s="50">
        <f>IF(U253="",0,90-U253)</f>
        <v>0</v>
      </c>
      <c r="Y253" s="554" t="str">
        <f>IF(T253="","",IF(OR(U253="",U253=0,U253&gt;T253),T253,90-(W253*90)/X253))</f>
        <v/>
      </c>
      <c r="Z253" s="10"/>
      <c r="AA253" s="548">
        <f>IF(AND(O251&gt;0,O251&lt;0.01),0.01,ROUND(O251,2))</f>
        <v>0</v>
      </c>
      <c r="AB253" s="147">
        <f>LARGE(AA252:AA254,2)</f>
        <v>0</v>
      </c>
      <c r="AC253" s="544">
        <f>AD252+AB254*(1-AD252)</f>
        <v>0</v>
      </c>
      <c r="AD253" s="548">
        <f>ROUND(AC253,2)</f>
        <v>0</v>
      </c>
      <c r="AE253" s="10"/>
      <c r="AF253" s="10"/>
      <c r="AG253" s="10"/>
      <c r="AH253" s="10"/>
      <c r="AI253" s="10"/>
      <c r="AJ253" s="10"/>
      <c r="AK253" s="10"/>
      <c r="AL253" s="10"/>
      <c r="AM253" s="10"/>
      <c r="AN253" s="10"/>
      <c r="AO253" s="10"/>
      <c r="AP253" s="10"/>
      <c r="AQ253" s="10"/>
      <c r="AR253" s="10"/>
      <c r="AS253" s="10"/>
      <c r="AT253" s="10"/>
    </row>
    <row r="254" spans="2:46" ht="15" customHeight="1" x14ac:dyDescent="0.2">
      <c r="B254" s="146" t="s">
        <v>629</v>
      </c>
      <c r="C254" s="694"/>
      <c r="D254" s="694"/>
      <c r="E254" s="921">
        <f>IF(AND(C254&lt;&gt;"",C254&lt;&gt;"NA",C253&lt;&gt;"NA",C253&lt;&gt;""),"ERROR",IF(AND(C254&lt;&gt;"",C254&lt;&gt;"NA",C252&lt;&gt;"",C252&lt;&gt;"NA"),"ERROR",UETable!BF48))</f>
        <v>0</v>
      </c>
      <c r="F254" s="921"/>
      <c r="G254" s="930" t="str">
        <f>IF(AND(C254&lt;&gt;"",C254&lt;&gt;"NA",C253&lt;&gt;"NA",C253&lt;&gt;""),"ERROR: Cannot rate ROM and ankylosis.",IF(AND(C254&lt;&gt;"",C254&lt;&gt;"NA",C252&lt;&gt;"",C252&lt;&gt;"NA"),"ERROR: Cannot rate ROM and ankylosis.",""))</f>
        <v/>
      </c>
      <c r="H254" s="930"/>
      <c r="I254" s="930"/>
      <c r="J254" s="930"/>
      <c r="K254" s="930"/>
      <c r="L254" s="930"/>
      <c r="M254" s="930"/>
      <c r="N254" s="930"/>
      <c r="O254" s="931"/>
      <c r="P254" s="755"/>
      <c r="R254" s="50">
        <f>IF(OR(O247="ERROR",O251="ERROR",O255="ERROR"),1,0)</f>
        <v>0</v>
      </c>
      <c r="S254" s="566">
        <v>90</v>
      </c>
      <c r="T254" s="566" t="str">
        <f>IF(OR(C254="",C254="NA"),"",IF(C254&gt;S254,S254,IF(C254&lt;0,0,C254)))</f>
        <v/>
      </c>
      <c r="U254" s="10"/>
      <c r="V254" s="10"/>
      <c r="W254" s="10"/>
      <c r="X254" s="10"/>
      <c r="Y254" s="10"/>
      <c r="Z254" s="10"/>
      <c r="AA254" s="548">
        <f>IF(AND(O255&gt;0,O255&lt;0.01),0.01,ROUND(O255,2))</f>
        <v>0</v>
      </c>
      <c r="AB254" s="147">
        <f>LARGE(AA252:AA254,3)</f>
        <v>0</v>
      </c>
      <c r="AE254" s="10"/>
      <c r="AF254" s="10"/>
      <c r="AG254" s="10"/>
      <c r="AH254" s="10"/>
      <c r="AI254" s="10"/>
      <c r="AJ254" s="10"/>
      <c r="AK254" s="10"/>
      <c r="AL254" s="10"/>
      <c r="AM254" s="10"/>
      <c r="AN254" s="10"/>
      <c r="AO254" s="10"/>
      <c r="AP254" s="10"/>
      <c r="AQ254" s="10"/>
      <c r="AR254" s="10"/>
      <c r="AS254" s="10"/>
      <c r="AT254" s="10"/>
    </row>
    <row r="255" spans="2:46" ht="12.75" customHeight="1" x14ac:dyDescent="0.2">
      <c r="B255" s="1122"/>
      <c r="C255" s="1122"/>
      <c r="D255" s="1122"/>
      <c r="E255" s="1122"/>
      <c r="F255" s="1122"/>
      <c r="G255" s="1122"/>
      <c r="H255" s="1122"/>
      <c r="I255" s="1122"/>
      <c r="J255" s="956" t="s">
        <v>1803</v>
      </c>
      <c r="K255" s="956"/>
      <c r="L255" s="956"/>
      <c r="M255" s="956"/>
      <c r="N255" s="956"/>
      <c r="O255" s="65">
        <f>IF(E254="ERROR","ERROR",IF(R255&gt;1,1,R255))</f>
        <v>0</v>
      </c>
      <c r="P255" s="755"/>
      <c r="R255" s="193">
        <f>SUM(I252,I253,E254)</f>
        <v>0</v>
      </c>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row>
    <row r="256" spans="2:46" ht="15" customHeight="1" x14ac:dyDescent="0.2">
      <c r="B256" s="1122"/>
      <c r="C256" s="1122"/>
      <c r="D256" s="1122"/>
      <c r="E256" s="1122"/>
      <c r="F256" s="1122"/>
      <c r="G256" s="1122"/>
      <c r="H256" s="1122"/>
      <c r="I256" s="1122"/>
      <c r="J256" s="956" t="s">
        <v>912</v>
      </c>
      <c r="K256" s="956"/>
      <c r="L256" s="956"/>
      <c r="M256" s="956"/>
      <c r="N256" s="956"/>
      <c r="O256" s="1006"/>
      <c r="P256" s="755"/>
      <c r="R256" s="10"/>
      <c r="S256" s="10"/>
      <c r="T256" s="10"/>
      <c r="U256" s="10"/>
      <c r="V256" s="10"/>
      <c r="W256" s="10"/>
      <c r="X256" s="10"/>
      <c r="Y256" s="10"/>
      <c r="Z256" s="10"/>
      <c r="AB256" s="10"/>
      <c r="AC256" s="10"/>
      <c r="AD256" s="10"/>
      <c r="AE256" s="10"/>
      <c r="AF256" s="10"/>
      <c r="AG256" s="10"/>
      <c r="AH256" s="10"/>
      <c r="AI256" s="10"/>
      <c r="AJ256" s="10"/>
      <c r="AK256" s="10"/>
      <c r="AL256" s="10"/>
      <c r="AM256" s="10"/>
      <c r="AN256" s="10"/>
      <c r="AO256" s="10"/>
      <c r="AP256" s="10"/>
      <c r="AQ256" s="10"/>
      <c r="AR256" s="10"/>
      <c r="AS256" s="10"/>
      <c r="AT256" s="10"/>
    </row>
    <row r="257" spans="1:109" ht="12" customHeight="1" x14ac:dyDescent="0.2">
      <c r="B257" s="777"/>
      <c r="C257" s="777"/>
      <c r="D257" s="777"/>
      <c r="E257" s="777"/>
      <c r="F257" s="777"/>
      <c r="G257" s="777"/>
      <c r="H257" s="777"/>
      <c r="I257" s="777"/>
      <c r="J257" s="777"/>
      <c r="K257" s="777"/>
      <c r="L257" s="777"/>
      <c r="M257" s="777"/>
      <c r="N257" s="777"/>
      <c r="O257" s="777"/>
      <c r="R257" s="10"/>
      <c r="S257" s="863" t="s">
        <v>2147</v>
      </c>
      <c r="T257" s="863"/>
      <c r="U257" s="10"/>
      <c r="V257" s="10"/>
      <c r="W257" s="10"/>
      <c r="X257" s="10"/>
      <c r="Y257" s="10"/>
      <c r="Z257" s="10"/>
      <c r="AB257" s="10"/>
      <c r="AC257" s="10"/>
      <c r="AD257" s="10"/>
      <c r="AE257" s="10"/>
      <c r="AF257" s="10"/>
      <c r="AG257" s="10"/>
      <c r="AH257" s="10"/>
      <c r="AI257" s="10"/>
      <c r="AJ257" s="10"/>
      <c r="AK257" s="10"/>
      <c r="AL257" s="10"/>
      <c r="AM257" s="10"/>
      <c r="AN257" s="10"/>
      <c r="AO257" s="10"/>
      <c r="AP257" s="10"/>
      <c r="AQ257" s="10"/>
      <c r="AR257" s="10"/>
      <c r="AS257" s="10"/>
      <c r="AT257" s="10"/>
    </row>
    <row r="258" spans="1:109" ht="14.25" customHeight="1" x14ac:dyDescent="0.2">
      <c r="A258" s="15"/>
      <c r="B258" s="982" t="s">
        <v>954</v>
      </c>
      <c r="C258" s="983"/>
      <c r="D258" s="940"/>
      <c r="E258" s="940"/>
      <c r="F258" s="924" t="s">
        <v>1210</v>
      </c>
      <c r="G258" s="924"/>
      <c r="H258" s="924"/>
      <c r="I258" s="924"/>
      <c r="J258" s="924"/>
      <c r="K258" s="924"/>
      <c r="L258" s="924"/>
      <c r="M258" s="924"/>
      <c r="N258" s="924"/>
      <c r="O258" s="924"/>
      <c r="P258" s="82">
        <f>IF(T258=1,0.1,0)</f>
        <v>0</v>
      </c>
      <c r="R258" s="10"/>
      <c r="S258" s="546" t="b">
        <v>0</v>
      </c>
      <c r="T258" s="50">
        <f>IF(S258=TRUE,1,0)</f>
        <v>0</v>
      </c>
      <c r="W258" s="10"/>
      <c r="X258" s="10"/>
      <c r="Y258" s="10"/>
      <c r="Z258" s="10"/>
      <c r="AA258" s="10"/>
      <c r="AB258" s="10"/>
      <c r="AC258" s="10"/>
      <c r="AD258" s="10"/>
      <c r="AE258" s="10"/>
      <c r="AF258" s="10"/>
      <c r="AG258" s="10">
        <v>1E-4</v>
      </c>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row>
    <row r="259" spans="1:109" x14ac:dyDescent="0.2">
      <c r="B259" s="984"/>
      <c r="C259" s="985"/>
      <c r="D259" s="940"/>
      <c r="E259" s="940"/>
      <c r="F259" s="924" t="s">
        <v>1212</v>
      </c>
      <c r="G259" s="924"/>
      <c r="H259" s="924"/>
      <c r="I259" s="924"/>
      <c r="J259" s="924"/>
      <c r="K259" s="924"/>
      <c r="L259" s="924"/>
      <c r="M259" s="924"/>
      <c r="N259" s="924"/>
      <c r="O259" s="924"/>
      <c r="P259" s="82">
        <f>IF(T259=1,0.1,0)</f>
        <v>0</v>
      </c>
      <c r="R259" s="10"/>
      <c r="S259" s="546" t="b">
        <v>0</v>
      </c>
      <c r="T259" s="50">
        <f>IF(S259=TRUE,1,0)</f>
        <v>0</v>
      </c>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row>
    <row r="260" spans="1:109" x14ac:dyDescent="0.2">
      <c r="B260" s="984"/>
      <c r="C260" s="985"/>
      <c r="D260" s="940"/>
      <c r="E260" s="940"/>
      <c r="F260" s="924" t="s">
        <v>1211</v>
      </c>
      <c r="G260" s="924"/>
      <c r="H260" s="924"/>
      <c r="I260" s="924"/>
      <c r="J260" s="924"/>
      <c r="K260" s="924"/>
      <c r="L260" s="924"/>
      <c r="M260" s="924"/>
      <c r="N260" s="924"/>
      <c r="O260" s="924"/>
      <c r="P260" s="82">
        <f>IF(T260=1,0.1,0)</f>
        <v>0</v>
      </c>
      <c r="R260" s="10"/>
      <c r="S260" s="546" t="b">
        <v>0</v>
      </c>
      <c r="T260" s="50">
        <f>IF(S260=TRUE,1,0)</f>
        <v>0</v>
      </c>
      <c r="U260" s="134"/>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row>
    <row r="261" spans="1:109" x14ac:dyDescent="0.2">
      <c r="B261" s="986"/>
      <c r="C261" s="987"/>
      <c r="D261" s="940"/>
      <c r="E261" s="940"/>
      <c r="F261" s="924" t="s">
        <v>1213</v>
      </c>
      <c r="G261" s="924"/>
      <c r="H261" s="924"/>
      <c r="I261" s="924"/>
      <c r="J261" s="924"/>
      <c r="K261" s="924"/>
      <c r="L261" s="924"/>
      <c r="M261" s="924"/>
      <c r="N261" s="924"/>
      <c r="O261" s="924"/>
      <c r="P261" s="82">
        <f>IF(T261=1,0.1,0)</f>
        <v>0</v>
      </c>
      <c r="R261" s="10"/>
      <c r="S261" s="546" t="b">
        <v>0</v>
      </c>
      <c r="T261" s="50">
        <f>IF(S261=TRUE,1,0)</f>
        <v>0</v>
      </c>
      <c r="U261" s="134"/>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row>
    <row r="262" spans="1:109" ht="12" customHeight="1" x14ac:dyDescent="0.2">
      <c r="B262" s="777"/>
      <c r="C262" s="777"/>
      <c r="D262" s="777"/>
      <c r="E262" s="777"/>
      <c r="F262" s="777"/>
      <c r="G262" s="777"/>
      <c r="H262" s="777"/>
      <c r="I262" s="777"/>
      <c r="J262" s="777"/>
      <c r="K262" s="777"/>
      <c r="L262" s="777"/>
      <c r="M262" s="777"/>
      <c r="N262" s="777"/>
      <c r="O262" s="777"/>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row>
    <row r="263" spans="1:109" ht="12" customHeight="1" x14ac:dyDescent="0.2">
      <c r="B263" s="480"/>
      <c r="C263" s="978" t="s">
        <v>239</v>
      </c>
      <c r="D263" s="975"/>
      <c r="E263" s="976" t="s">
        <v>240</v>
      </c>
      <c r="F263" s="975"/>
      <c r="G263" s="350"/>
      <c r="H263" s="352"/>
      <c r="I263" s="974" t="s">
        <v>241</v>
      </c>
      <c r="J263" s="975"/>
      <c r="K263" s="472"/>
      <c r="L263" s="352"/>
      <c r="M263" s="976" t="s">
        <v>240</v>
      </c>
      <c r="N263" s="975"/>
      <c r="O263" s="351"/>
      <c r="P263" s="487"/>
      <c r="Z263" s="477"/>
      <c r="AE263" s="476"/>
      <c r="AF263" s="476"/>
      <c r="AG263" s="476"/>
      <c r="AH263" s="476"/>
      <c r="AI263" s="476"/>
      <c r="AJ263" s="476"/>
      <c r="AK263" s="476"/>
      <c r="AL263" s="476"/>
      <c r="AM263" s="476"/>
      <c r="AN263" s="476"/>
    </row>
    <row r="264" spans="1:109" ht="12" customHeight="1" x14ac:dyDescent="0.2">
      <c r="B264" s="481"/>
      <c r="C264" s="959" t="s">
        <v>242</v>
      </c>
      <c r="D264" s="960"/>
      <c r="E264" s="959" t="s">
        <v>243</v>
      </c>
      <c r="F264" s="960"/>
      <c r="G264" s="959" t="s">
        <v>244</v>
      </c>
      <c r="H264" s="960"/>
      <c r="I264" s="973" t="s">
        <v>245</v>
      </c>
      <c r="J264" s="960"/>
      <c r="K264" s="959" t="s">
        <v>246</v>
      </c>
      <c r="L264" s="960"/>
      <c r="M264" s="959" t="s">
        <v>247</v>
      </c>
      <c r="N264" s="960"/>
      <c r="P264" s="488"/>
      <c r="Z264" s="327"/>
      <c r="AE264" s="476"/>
      <c r="AF264" s="476"/>
      <c r="AG264" s="476"/>
      <c r="AH264" s="476"/>
      <c r="AI264" s="476"/>
      <c r="AJ264" s="476"/>
      <c r="AK264" s="476"/>
      <c r="AL264" s="476"/>
      <c r="AM264" s="476"/>
      <c r="AN264" s="476"/>
    </row>
    <row r="265" spans="1:109" ht="12" customHeight="1" x14ac:dyDescent="0.2">
      <c r="B265" s="481"/>
      <c r="C265" s="934" t="s">
        <v>248</v>
      </c>
      <c r="D265" s="935"/>
      <c r="E265" s="934" t="s">
        <v>249</v>
      </c>
      <c r="F265" s="935"/>
      <c r="G265" s="934" t="s">
        <v>250</v>
      </c>
      <c r="H265" s="935"/>
      <c r="I265" s="963" t="s">
        <v>251</v>
      </c>
      <c r="J265" s="935"/>
      <c r="K265" s="934" t="s">
        <v>250</v>
      </c>
      <c r="L265" s="935"/>
      <c r="M265" s="934" t="s">
        <v>249</v>
      </c>
      <c r="N265" s="935"/>
      <c r="P265" s="488"/>
      <c r="AH265" s="146">
        <v>1</v>
      </c>
      <c r="AI265" s="146">
        <v>2</v>
      </c>
      <c r="AJ265" s="146">
        <v>3</v>
      </c>
      <c r="AK265" s="146">
        <v>4</v>
      </c>
      <c r="AM265" s="476"/>
      <c r="AN265" s="476"/>
      <c r="AO265" s="476"/>
      <c r="AP265" s="476"/>
      <c r="AQ265" s="476"/>
      <c r="AR265" s="476"/>
      <c r="AS265" s="476"/>
      <c r="AT265" s="476"/>
      <c r="AU265" s="476"/>
      <c r="AV265" s="476"/>
    </row>
    <row r="266" spans="1:109" ht="12" customHeight="1" x14ac:dyDescent="0.2">
      <c r="B266" s="539" t="s">
        <v>1945</v>
      </c>
      <c r="C266" s="932" t="s">
        <v>252</v>
      </c>
      <c r="D266" s="933"/>
      <c r="E266" s="932" t="s">
        <v>252</v>
      </c>
      <c r="F266" s="933"/>
      <c r="G266" s="932" t="s">
        <v>252</v>
      </c>
      <c r="H266" s="933"/>
      <c r="I266" s="932" t="s">
        <v>252</v>
      </c>
      <c r="J266" s="933"/>
      <c r="K266" s="932" t="s">
        <v>252</v>
      </c>
      <c r="L266" s="933"/>
      <c r="M266" s="932" t="s">
        <v>252</v>
      </c>
      <c r="N266" s="933"/>
      <c r="P266" s="488"/>
      <c r="S266" s="892" t="s">
        <v>2147</v>
      </c>
      <c r="T266" s="893"/>
      <c r="U266" s="893"/>
      <c r="V266" s="893"/>
      <c r="W266" s="893"/>
      <c r="X266" s="894"/>
      <c r="Y266" s="475"/>
      <c r="Z266" s="475"/>
      <c r="AA266" s="950" t="s">
        <v>2147</v>
      </c>
      <c r="AB266" s="951"/>
      <c r="AC266" s="951"/>
      <c r="AD266" s="951"/>
      <c r="AE266" s="951"/>
      <c r="AF266" s="952"/>
      <c r="AG266" s="475"/>
      <c r="AH266" s="895" t="s">
        <v>2147</v>
      </c>
      <c r="AI266" s="896"/>
      <c r="AJ266" s="896"/>
      <c r="AK266" s="896"/>
      <c r="AL266" s="896"/>
      <c r="AM266" s="897"/>
      <c r="AO266" s="892" t="s">
        <v>2147</v>
      </c>
      <c r="AP266" s="893"/>
      <c r="AQ266" s="893"/>
      <c r="AR266" s="893"/>
      <c r="AS266" s="894"/>
      <c r="AU266" s="892" t="s">
        <v>2147</v>
      </c>
      <c r="AV266" s="893"/>
      <c r="AW266" s="893"/>
      <c r="AX266" s="894"/>
      <c r="AZ266" s="892" t="s">
        <v>2147</v>
      </c>
      <c r="BA266" s="893"/>
      <c r="BB266" s="893"/>
      <c r="BC266" s="893"/>
      <c r="BD266" s="893"/>
      <c r="BE266" s="893"/>
      <c r="BF266" s="893"/>
      <c r="BG266" s="894"/>
      <c r="BI266" s="892" t="s">
        <v>2147</v>
      </c>
      <c r="BJ266" s="893"/>
      <c r="BK266" s="893"/>
      <c r="BL266" s="893"/>
      <c r="BM266" s="893"/>
      <c r="BN266" s="894"/>
    </row>
    <row r="267" spans="1:109" customFormat="1" ht="15" customHeight="1" x14ac:dyDescent="0.2">
      <c r="B267" s="146" t="s">
        <v>1576</v>
      </c>
      <c r="C267" s="925"/>
      <c r="D267" s="925"/>
      <c r="E267" s="925"/>
      <c r="F267" s="925"/>
      <c r="G267" s="925"/>
      <c r="H267" s="925"/>
      <c r="I267" s="925"/>
      <c r="J267" s="925"/>
      <c r="K267" s="925"/>
      <c r="L267" s="925"/>
      <c r="M267" s="925"/>
      <c r="N267" s="925"/>
      <c r="P267" s="489"/>
      <c r="S267" s="301">
        <f>IF(C267="",0,C267)</f>
        <v>0</v>
      </c>
      <c r="T267" s="301">
        <f>IF(AND(E267&lt;&gt;C267,E267&lt;&gt;""),E267,IF(OR(E268&lt;&gt;"",E269&lt;&gt;""),0,S267))</f>
        <v>0</v>
      </c>
      <c r="U267" s="301">
        <f>IF(AND(G267&lt;&gt;E267,G267&lt;&gt;""),G267,IF(OR(G268&lt;&gt;"",G269&lt;&gt;""),0,T267))</f>
        <v>0</v>
      </c>
      <c r="V267" s="301">
        <f>IF(AND(I267&lt;&gt;G267,I267&lt;&gt;""),I267,IF(OR(I268&lt;&gt;"",I269&lt;&gt;""),0,U267))</f>
        <v>0</v>
      </c>
      <c r="W267" s="301">
        <f>IF(AND(K267&lt;&gt;I267,K267&lt;&gt;""),K267,IF(OR(K268&lt;&gt;"",K269&lt;&gt;""),0,V267))</f>
        <v>0</v>
      </c>
      <c r="X267" s="301">
        <f>IF(AND(M267&lt;&gt;K267,M267&lt;&gt;""),M267,IF(OR(M268&lt;&gt;"",M269&lt;&gt;""),0,W267))</f>
        <v>0</v>
      </c>
      <c r="Z267" s="475"/>
      <c r="AA267" s="483">
        <f>IF(C267&gt;1,1,0)</f>
        <v>0</v>
      </c>
      <c r="AB267" s="301">
        <f t="shared" ref="AB267:AF269" si="42">IF(AND(S267&lt;&gt;T267,T267&gt;0),1,0)</f>
        <v>0</v>
      </c>
      <c r="AC267" s="301">
        <f t="shared" si="42"/>
        <v>0</v>
      </c>
      <c r="AD267" s="301">
        <f t="shared" si="42"/>
        <v>0</v>
      </c>
      <c r="AE267" s="301">
        <f t="shared" si="42"/>
        <v>0</v>
      </c>
      <c r="AF267" s="301">
        <f t="shared" si="42"/>
        <v>0</v>
      </c>
      <c r="AH267" s="478">
        <f>IF(S267=1,0,IF(S267=2,0.25,IF(S267=3,0.38,IF(S267=4,0.5,0))))</f>
        <v>0</v>
      </c>
      <c r="AI267" s="478">
        <f>IF(T267=1,0,IF(T267=2,0.23,IF(T267=3,0.35,IF(T267=4,0.45,0))))</f>
        <v>0</v>
      </c>
      <c r="AJ267" s="478">
        <f>IF(U267=1,0,IF(U267=2,0.2,IF(U267=3,0.3,IF(U267=4,0.39,0))))</f>
        <v>0</v>
      </c>
      <c r="AK267" s="478">
        <f>IF(V267=1,0,IF(V267=2,0.17,IF(V267=3,0.25,IF(V267=4,0.33,0))))</f>
        <v>0</v>
      </c>
      <c r="AL267" s="478">
        <f>IF(W267=1,0,IF(W267=2,0.13,IF(W267=3,0.19,IF(W267=4,0.24,0))))</f>
        <v>0</v>
      </c>
      <c r="AM267" s="478">
        <f>IF(X267=1,0,IF(X267=2,0.08,IF(X267=3,0.12,IF(X267=4,0.15,0))))</f>
        <v>0</v>
      </c>
      <c r="AN267" s="479"/>
      <c r="AO267" s="478">
        <f>IF(S267=1,0,IF(S267=2,0.23,IF(S267=3,0.35,IF(S267=4,0.45,0))))</f>
        <v>0</v>
      </c>
      <c r="AP267" s="478">
        <f>IF(T267=1,0,IF(T267=2,0.2,IF(T267=3,0.3,IF(T267=4,0.39,0))))</f>
        <v>0</v>
      </c>
      <c r="AQ267" s="478">
        <f>IF(U267=1,0,IF(U267=2,0.17,IF(U267=3,0.25,IF(U267=4,0.33,0))))</f>
        <v>0</v>
      </c>
      <c r="AR267" s="478">
        <f>IF(V267=1,0,IF(V267=2,0.13,IF(V267=3,0.19,IF(V267=4,0.24,0))))</f>
        <v>0</v>
      </c>
      <c r="AS267" s="478">
        <f>IF(W267=1,0,IF(W267=2,0.08,IF(W267=3,0.12,IF(W267=4,0.15,0))))</f>
        <v>0</v>
      </c>
      <c r="AU267" s="478">
        <f>IF(S267=1,0,IF(S267=2,0.2,IF(S267=3,0.3,IF(S267=4,0.39,0))))</f>
        <v>0</v>
      </c>
      <c r="AV267" s="478">
        <f>IF(T267=1,0,IF(T267=2,0.17,IF(T267=3,0.25,IF(T267=4,0.33,0))))</f>
        <v>0</v>
      </c>
      <c r="AW267" s="478">
        <f>IF(U267=1,0,IF(U267=2,0.13,IF(U267=3,0.19,IF(U267=4,0.24,0))))</f>
        <v>0</v>
      </c>
      <c r="AX267" s="478">
        <f>IF(V267=1,0,IF(V267=2,0.08,IF(V267=3,0.12,IF(V267=4,0.15,0))))</f>
        <v>0</v>
      </c>
      <c r="AZ267" s="478">
        <f>IF(S267=1,0,IF(S267=2,0.17,IF(S267=3,0.25,IF(S267=4,0.33,0))))</f>
        <v>0</v>
      </c>
      <c r="BA267" s="478">
        <f>IF(T267=1,0,IF(T267=2,0.13,IF(T267=3,0.19,IF(T267=4,0.24,0))))</f>
        <v>0</v>
      </c>
      <c r="BB267" s="478">
        <f>IF(U267=1,0,IF(U267=2,0.08,IF(U267=3,0.12,IF(U267=4,0.15,0))))</f>
        <v>0</v>
      </c>
      <c r="BD267" s="478">
        <f>IF(S267=1,0,IF(S267=2,0.13,IF(S267=3,0.19,IF(S267=4,0.24,0))))</f>
        <v>0</v>
      </c>
      <c r="BE267" s="478">
        <f>IF(T267=1,0,IF(T267=2,0.08,IF(T267=3,0.12,IF(T267=4,0.15,0))))</f>
        <v>0</v>
      </c>
      <c r="BG267" s="478">
        <f>IF(S267=1,0,IF(S267=2,0.08,IF(S267=3,0.12,IF(S267=4,0.15,0))))</f>
        <v>0</v>
      </c>
      <c r="BI267" s="478">
        <f>IF(AA267=0,0,IF(OR(AB267=1,AB268=1,AB269=1),AH267-AO267,IF(OR(AC267=1,AC268=1,AC269=1),AH267-AU267,IF(OR(AD267=1,AD268=1,AD269=1),AH267-AZ267,IF(OR(AE267=1,AE268=1,AE269=1),AH267-BD267,IF(OR(AF267=1,AF268=1,AF269=1),AH267-BG267,AH267))))))</f>
        <v>0</v>
      </c>
      <c r="BJ267" s="478">
        <f>IF(AB267=0,0,IF(OR(AC267=1,AC268=1,AC269=1),AI267-AP267,IF(OR(AD267=1,AD268=1,AD269=1),AI267-AV267,IF(OR(AE267=1,AE268=1,AE269=1),AI267-BA267,IF(OR(AF267=1,AF268=1,AF269=1),AI267-BE267,AI267)))))</f>
        <v>0</v>
      </c>
      <c r="BK267" s="478">
        <f>IF(AC267=0,0,IF(OR(AD267=1,AD268=1,AD269=1),AJ267-AQ267,IF(OR(AE267=1,AE268=1,AE269=1),AJ267-AW267,IF(OR(AF267=1,AF268=1,AF269=1),AJ267-BB267,AJ267))))</f>
        <v>0</v>
      </c>
      <c r="BL267" s="478">
        <f>IF(AD267=0,0,IF(OR(AE267=1,AE268=1,AE269=1),AK267-AR267,IF(OR(AF267=1,AF268=1,AF269=1),AK267-AX267,AK267)))</f>
        <v>0</v>
      </c>
      <c r="BM267" s="478">
        <f>IF(AE267=0,0,IF(OR(AF267=1,AF268=1,AF269=1),AL267-AS267,AL267))</f>
        <v>0</v>
      </c>
      <c r="BN267" s="478">
        <f>IF(AF267=0,0,AM267)</f>
        <v>0</v>
      </c>
      <c r="BP267" t="s">
        <v>253</v>
      </c>
      <c r="BR267" s="892" t="s">
        <v>2147</v>
      </c>
      <c r="BS267" s="893"/>
      <c r="BT267" s="893"/>
      <c r="BU267" s="893"/>
      <c r="BV267" s="893"/>
      <c r="BW267" s="893"/>
      <c r="BX267" s="893"/>
      <c r="BY267" s="893"/>
      <c r="BZ267" s="893"/>
      <c r="CA267" s="894"/>
    </row>
    <row r="268" spans="1:109" customFormat="1" ht="15" customHeight="1" x14ac:dyDescent="0.2">
      <c r="B268" s="301" t="s">
        <v>1579</v>
      </c>
      <c r="C268" s="925"/>
      <c r="D268" s="925"/>
      <c r="E268" s="925"/>
      <c r="F268" s="925"/>
      <c r="G268" s="925"/>
      <c r="H268" s="925"/>
      <c r="I268" s="925"/>
      <c r="J268" s="925"/>
      <c r="K268" s="925"/>
      <c r="L268" s="925"/>
      <c r="M268" s="925"/>
      <c r="N268" s="925"/>
      <c r="P268" s="495"/>
      <c r="S268" s="301">
        <f>IF(C268="",0,C268)</f>
        <v>0</v>
      </c>
      <c r="T268" s="301">
        <f>IF(E268&lt;&gt;C268,E268,IF(AND(E269&lt;&gt;C269,S267&gt;1),S267,0))</f>
        <v>0</v>
      </c>
      <c r="U268" s="301">
        <f>IF(G268&lt;&gt;E268,G268,IF(AND(G269&lt;&gt;E269,T267&gt;1),T267,0))</f>
        <v>0</v>
      </c>
      <c r="V268" s="301">
        <f>IF(I268&lt;&gt;G268,I268,IF(AND(I269&lt;&gt;G269,U267&gt;1),U267,0))</f>
        <v>0</v>
      </c>
      <c r="W268" s="301">
        <f>IF(K268&lt;&gt;I268,K268,IF(AND(K269&lt;&gt;I269,V267&gt;1),V267,0))</f>
        <v>0</v>
      </c>
      <c r="X268" s="301">
        <f>IF(M268&lt;&gt;K268,M268,IF(AND(M269&lt;&gt;K269,W267&gt;1),W267,0))</f>
        <v>0</v>
      </c>
      <c r="Z268" s="475"/>
      <c r="AA268" s="483">
        <f>IF(C268&gt;1,1,0)</f>
        <v>0</v>
      </c>
      <c r="AB268" s="301">
        <f t="shared" si="42"/>
        <v>0</v>
      </c>
      <c r="AC268" s="301">
        <f t="shared" si="42"/>
        <v>0</v>
      </c>
      <c r="AD268" s="301">
        <f t="shared" si="42"/>
        <v>0</v>
      </c>
      <c r="AE268" s="301">
        <f t="shared" si="42"/>
        <v>0</v>
      </c>
      <c r="AF268" s="301">
        <f t="shared" si="42"/>
        <v>0</v>
      </c>
      <c r="AH268" s="478">
        <f>IF(S268=1,0,IF(S268=2,0.17,IF(S268=3,0.25,IF(S268=4,0.35,0))))</f>
        <v>0</v>
      </c>
      <c r="AI268" s="478">
        <f>IF(T268=1,0,IF(T268=2,0.15,IF(T268=3,0.23,IF(T268=4,0.31,0))))</f>
        <v>0</v>
      </c>
      <c r="AJ268" s="478">
        <f>IF(U268=1,0,IF(U268=2,0.13,IF(U268=3,0.2,IF(U268=4,0.27,0))))</f>
        <v>0</v>
      </c>
      <c r="AK268" s="478">
        <f>IF(V268=1,0,IF(V268=2,0.11,IF(V268=3,0.17,IF(V268=4,0.22,0))))</f>
        <v>0</v>
      </c>
      <c r="AL268" s="478">
        <f>IF(W268=1,0,IF(W268=2,0.08,IF(W268=3,0.12,IF(W268=4,0.16,0))))</f>
        <v>0</v>
      </c>
      <c r="AM268" s="478">
        <f>IF(X268=1,0,IF(X268=2,0.05,IF(X268=3,0.07,IF(X268=4,0.1,0))))</f>
        <v>0</v>
      </c>
      <c r="AN268" s="479"/>
      <c r="AO268" s="478">
        <f>IF(S268=1,0,IF(S268=2,0.15,IF(S268=3,0.23,IF(S268=4,0.31,0))))</f>
        <v>0</v>
      </c>
      <c r="AP268" s="478">
        <f>IF(T268=1,0,IF(T268=2,0.13,IF(T268=3,0.2,IF(T268=4,0.27,0))))</f>
        <v>0</v>
      </c>
      <c r="AQ268" s="478">
        <f>IF(U268=1,0,IF(U268=2,0.11,IF(U268=3,0.17,IF(U268=4,0.22,0))))</f>
        <v>0</v>
      </c>
      <c r="AR268" s="478">
        <f>IF(V268=1,0,IF(V268=2,0.08,IF(V268=3,0.12,IF(V268=4,0.16,0))))</f>
        <v>0</v>
      </c>
      <c r="AS268" s="478">
        <f>IF(W268=1,0,IF(W268=2,0.05,IF(W268=3,0.07,IF(W268=4,0.1,0))))</f>
        <v>0</v>
      </c>
      <c r="AU268" s="478">
        <f>IF(S268=1,0,IF(S268=2,0.13,IF(S268=3,0.2,IF(S268=4,0.27,0))))</f>
        <v>0</v>
      </c>
      <c r="AV268" s="478">
        <f>IF(T268=1,0,IF(T268=2,0.11,IF(T268=3,0.17,IF(T268=4,0.22,0))))</f>
        <v>0</v>
      </c>
      <c r="AW268" s="478">
        <f>IF(U268=1,0,IF(U268=2,0.08,IF(U268=3,0.12,IF(U268=4,0.16,0))))</f>
        <v>0</v>
      </c>
      <c r="AX268" s="478">
        <f>IF(V268=1,0,IF(V268=2,0.05,IF(V268=3,0.07,IF(V268=4,0.1,0))))</f>
        <v>0</v>
      </c>
      <c r="AZ268" s="478">
        <f>IF(S268=1,0,IF(S268=2,0.11,IF(S268=3,0.17,IF(S268=4,0.22,0))))</f>
        <v>0</v>
      </c>
      <c r="BA268" s="478">
        <f>IF(T268=1,0,IF(T268=2,0.08,IF(T268=3,0.12,IF(T268=4,0.16,0))))</f>
        <v>0</v>
      </c>
      <c r="BB268" s="478">
        <f>IF(U268=1,0,IF(U268=2,0.05,IF(U268=3,0.07,IF(U268=4,0.1,0))))</f>
        <v>0</v>
      </c>
      <c r="BD268" s="478">
        <f>IF(S268=1,0,IF(S268=2,0.08,IF(S268=3,0.12,IF(S268=4,0.16,0))))</f>
        <v>0</v>
      </c>
      <c r="BE268" s="478">
        <f>IF(T268=1,0,IF(T268=2,0.05,IF(T268=3,0.07,IF(T268=4,0.1,0))))</f>
        <v>0</v>
      </c>
      <c r="BG268" s="478">
        <f>IF(S268=1,0,IF(S268=2,0.05,IF(S268=3,0.07,IF(S268=4,0.1,0))))</f>
        <v>0</v>
      </c>
      <c r="BI268" s="478">
        <f>IF(AA268=0,0,IF(OR(AB267=1,AB268=1),AH268-AO268,IF(OR(AC267=1,AC268=1),AH268-AU268,IF(OR(AD267=1,AD268=1),AH268-AZ268,IF(OR(AE267=1,AE268=1),AH268-BD268,IF(OR(AF267=1,AF268=1),AH268-BG268,AH268))))))</f>
        <v>0</v>
      </c>
      <c r="BJ268" s="478">
        <f>IF(AB268=0,0,IF(OR(AC267=1,AC268=1),AI268-AP268,IF(OR(AD267=1,AD268=1),AI268-AV268,IF(OR(AE267=1,AE268=1),AI268-BA268,IF(OR(AF267=1,AF268=1),AI268-BE268,AI268)))))</f>
        <v>0</v>
      </c>
      <c r="BK268" s="478">
        <f>IF(AC268=0,0,IF(OR(AD267=1,AD268=1),AJ268-AQ268,IF(OR(AE267=1,AE268=1),AJ268-AW268,IF(OR(AF267=1,AF268=1),AJ268-BB268,AJ268))))</f>
        <v>0</v>
      </c>
      <c r="BL268" s="478">
        <f>IF(AD268=0,0,IF(OR(AE267=1,AE268=1),AK268-AR268,IF(OR(AF267=1,AF268=1),AK268-AX268,AK268)))</f>
        <v>0</v>
      </c>
      <c r="BM268" s="478">
        <f>IF(AE268=0,0,IF(OR(AF267=1,AF268=1),AL268-AS268,AL268))</f>
        <v>0</v>
      </c>
      <c r="BN268" s="478">
        <f>IF(AF268=0,0,AM268)</f>
        <v>0</v>
      </c>
      <c r="BP268" s="484">
        <f>LARGE((BI267,BJ267,BK267,BL267,BM267,BN267,BI268,BJ268,BK268,BL268,BM268,BN268,BI269,BJ269,BK269,BL269,BM269,BN269),1)</f>
        <v>0</v>
      </c>
      <c r="BQ268" s="485">
        <f>LARGE((BI267,BJ267,BK267,BL267,BM267,BN267,BI268,BJ268,BK268,BL268,BM268,BN268,BI269,BJ269,BK269,BL269,BM269,BN269),2)</f>
        <v>0</v>
      </c>
      <c r="BR268" s="485">
        <f>LARGE((BI267,BJ267,BK267,BL267,BM267,BN267,BI268,BJ268,BK268,BL268,BM268,BN268,BI269,BJ269,BK269,BL269,BM269,BN269),3)</f>
        <v>0</v>
      </c>
      <c r="BS268" s="485">
        <f>LARGE((BI267,BJ267,BK267,BL267,BM267,BN267,BI268,BJ268,BK268,BL268,BM268,BN268,BI269,BJ269,BK269,BL269,BM269,BN269),4)</f>
        <v>0</v>
      </c>
      <c r="BT268" s="485">
        <f>LARGE((BI267,BJ267,BK267,BL267,BM267,BN267,BI268,BJ268,BK268,BL268,BM268,BN268,BI269,BJ269,BK269,BL269,BM269,BN269),5)</f>
        <v>0</v>
      </c>
      <c r="BU268" s="485">
        <f>LARGE((BI267,BJ267,BK267,BL267,BM267,BN267,BI268,BJ268,BK268,BL268,BM268,BN268,BI269,BJ269,BK269,BL269,BM269,BN269),6)</f>
        <v>0</v>
      </c>
      <c r="BV268" s="485">
        <f>LARGE((BI267,BJ267,BK267,BL267,BM267,BN267,BI268,BJ268,BK268,BL268,BM268,BN268,BI269,BJ269,BK269,BL269,BM269,BN269),7)</f>
        <v>0</v>
      </c>
      <c r="BW268" s="485">
        <f>LARGE((BI267,BJ267,BK267,BL267,BM267,BN267,BI268,BJ268,BK268,BL268,BM268,BN268,BI269,BJ269,BK269,BL269,BM269,BN269),8)</f>
        <v>0</v>
      </c>
      <c r="BX268" s="485">
        <f>LARGE((BI267,BJ267,BK267,BL267,BM267,BN267,BI268,BJ268,BK268,BL268,BM268,BN268,BI269,BJ269,BK269,BL269,BM269,BN269),9)</f>
        <v>0</v>
      </c>
      <c r="BY268" s="485">
        <f>LARGE((BI267,BJ267,BK267,BL267,BM267,BN267,BI268,BJ268,BK268,BL268,BM268,BN268,BI269,BJ269,BK269,BL269,BM269,BN269),10)</f>
        <v>0</v>
      </c>
      <c r="BZ268" s="485">
        <f>LARGE((BI267,BJ267,BK267,BL267,BM267,BN267,BI268,BJ268,BK268,BL268,BM268,BN268,BI269,BJ269,BK269,BL269,BM269,BN269),11)</f>
        <v>0</v>
      </c>
      <c r="CA268" s="485">
        <f>LARGE((BI267,BJ267,BK267,BL267,BM267,BN267,BI268,BJ268,BK268,BL268,BM268,BN268,BI269,BJ269,BK269,BL269,BM269,BN269),12)</f>
        <v>0</v>
      </c>
    </row>
    <row r="269" spans="1:109" customFormat="1" ht="15" customHeight="1" x14ac:dyDescent="0.2">
      <c r="B269" s="482" t="s">
        <v>1582</v>
      </c>
      <c r="C269" s="1001"/>
      <c r="D269" s="1001"/>
      <c r="E269" s="1001"/>
      <c r="F269" s="1001"/>
      <c r="G269" s="1001"/>
      <c r="H269" s="1001"/>
      <c r="I269" s="1001"/>
      <c r="J269" s="1001"/>
      <c r="K269" s="1001"/>
      <c r="L269" s="1001"/>
      <c r="M269" s="1001"/>
      <c r="N269" s="1001"/>
      <c r="P269" s="495"/>
      <c r="S269" s="301">
        <f>IF(C269="",0,C269)</f>
        <v>0</v>
      </c>
      <c r="T269" s="301">
        <f>IF(E269&lt;&gt;C269,E269,IF(AND(E268&lt;&gt;C268,S267&gt;1),S267,0))</f>
        <v>0</v>
      </c>
      <c r="U269" s="301">
        <f>IF(G269&lt;&gt;E269,G269,IF(AND(G268&lt;&gt;E268,T267&gt;1),T267,0))</f>
        <v>0</v>
      </c>
      <c r="V269" s="301">
        <f>IF(I269&lt;&gt;G269,I269,IF(AND(I268&lt;&gt;G268,U267&gt;1),U267,0))</f>
        <v>0</v>
      </c>
      <c r="W269" s="301">
        <f>IF(K269&lt;&gt;I269,K269,IF(AND(K268&lt;&gt;I268,V267&gt;1),V267,0))</f>
        <v>0</v>
      </c>
      <c r="X269" s="301">
        <f>IF(M269&lt;&gt;K269,M269,IF(AND(M268&lt;&gt;K268,W267&gt;1),W267,0))</f>
        <v>0</v>
      </c>
      <c r="AA269" s="483">
        <f>IF(C269&gt;1,1,0)</f>
        <v>0</v>
      </c>
      <c r="AB269" s="301">
        <f t="shared" si="42"/>
        <v>0</v>
      </c>
      <c r="AC269" s="301">
        <f t="shared" si="42"/>
        <v>0</v>
      </c>
      <c r="AD269" s="301">
        <f t="shared" si="42"/>
        <v>0</v>
      </c>
      <c r="AE269" s="301">
        <f t="shared" si="42"/>
        <v>0</v>
      </c>
      <c r="AF269" s="301">
        <f t="shared" si="42"/>
        <v>0</v>
      </c>
      <c r="AH269" s="478">
        <f>IF(S269=1,0,IF(S269=2,0.1,IF(S269=3,0.17,IF(S269=4,0.23,0))))</f>
        <v>0</v>
      </c>
      <c r="AI269" s="478">
        <f>IF(T269=1,0,IF(T269=2,0.09,IF(T269=3,0.15,IF(T269=4,0.2,0))))</f>
        <v>0</v>
      </c>
      <c r="AJ269" s="478">
        <f>IF(U269=1,0,IF(U269=2,0.08,IF(U269=3,0.13,IF(U269=4,0.17,0))))</f>
        <v>0</v>
      </c>
      <c r="AK269" s="478">
        <f>IF(V269=1,0,IF(V269=2,0.07,IF(V269=3,0.1,IF(V269=4,0.14,0))))</f>
        <v>0</v>
      </c>
      <c r="AL269" s="478">
        <f>IF(W269=1,0,IF(W269=2,0.05,IF(W269=3,0.08,IF(W269=4,0.1,0))))</f>
        <v>0</v>
      </c>
      <c r="AM269" s="478">
        <f>IF(X269=1,0,IF(X269=2,0.03,IF(X269=3,0.05,IF(X269=4,0.06,0))))</f>
        <v>0</v>
      </c>
      <c r="AN269" s="479"/>
      <c r="AO269" s="478">
        <f>IF(S269=1,0,IF(S269=2,0.09,IF(S269=3,0.15,IF(S269=4,0.2,0))))</f>
        <v>0</v>
      </c>
      <c r="AP269" s="478">
        <f>IF(T269=1,0,IF(T269=2,0.08,IF(T269=3,0.13,IF(T269=4,0.17,0))))</f>
        <v>0</v>
      </c>
      <c r="AQ269" s="478">
        <f>IF(U269=1,0,IF(U269=2,0.07,IF(U269=3,0.1,IF(U269=4,0.14,0))))</f>
        <v>0</v>
      </c>
      <c r="AR269" s="478">
        <f>IF(V269=1,0,IF(V269=2,0.05,IF(V269=3,0.08,IF(V269=4,0.1,0))))</f>
        <v>0</v>
      </c>
      <c r="AS269" s="478">
        <f>IF(W269=1,0,IF(W269=2,0.03,IF(W269=3,0.05,IF(W269=4,0.06,0))))</f>
        <v>0</v>
      </c>
      <c r="AU269" s="478">
        <f>IF(S269=1,0,IF(S269=2,0.08,IF(S269=3,0.13,IF(S269=4,0.17,0))))</f>
        <v>0</v>
      </c>
      <c r="AV269" s="478">
        <f>IF(T269=1,0,IF(T269=2,0.07,IF(T269=3,0.1,IF(T269=4,0.14,0))))</f>
        <v>0</v>
      </c>
      <c r="AW269" s="478">
        <f>IF(U269=1,0,IF(U269=2,0.05,IF(U269=3,0.08,IF(U269=4,0.1,0))))</f>
        <v>0</v>
      </c>
      <c r="AX269" s="478">
        <f>IF(V269=1,0,IF(V269=2,0.03,IF(V269=3,0.05,IF(V269=4,0.06,0))))</f>
        <v>0</v>
      </c>
      <c r="AZ269" s="478">
        <f>IF(S269=1,0,IF(S269=2,0.07,IF(S269=3,0.1,IF(S269=4,0.14,0))))</f>
        <v>0</v>
      </c>
      <c r="BA269" s="478">
        <f>IF(T269=1,0,IF(T269=2,0.05,IF(T269=3,0.08,IF(T269=4,0.1,0))))</f>
        <v>0</v>
      </c>
      <c r="BB269" s="478">
        <f>IF(U269=1,0,IF(U269=2,0.03,IF(U269=3,0.05,IF(U269=4,0.06,0))))</f>
        <v>0</v>
      </c>
      <c r="BD269" s="478">
        <f>IF(S269=1,0,IF(S269=2,0.05,IF(S269=3,0.08,IF(S269=4,0.1,0))))</f>
        <v>0</v>
      </c>
      <c r="BE269" s="478">
        <f>IF(T269=1,0,IF(T269=2,0.03,IF(T269=3,0.05,IF(T269=4,0.06,0))))</f>
        <v>0</v>
      </c>
      <c r="BG269" s="478">
        <f>IF(S269=1,0,IF(S269=2,0.03,IF(S269=3,0.05,IF(S269=4,0.06,0))))</f>
        <v>0</v>
      </c>
      <c r="BI269" s="478">
        <f>IF(AA269=0,0,IF(OR(AB267=1,AB269=1),AH269-AO269,IF(OR(AC267=1,AC269=1),AH269-AU269,IF(OR(AD267=1,AD269=1),AH269-AZ269,IF(OR(AE267=1,AE269=1),AH269-BD269,IF(OR(AF267=1,AF269=1),AH269-BG269,AH269))))))</f>
        <v>0</v>
      </c>
      <c r="BJ269" s="478">
        <f>IF(AB269=0,0,IF(OR(AC267=1,AC269=1),AI269-AP269,IF(OR(AD267=1,AD269=1),AI269-AV269,IF(OR(AE267=1,AE269=1),AI269-BA269,IF(OR(AF267=1,AF269=1),AI269-BE269,AI269)))))</f>
        <v>0</v>
      </c>
      <c r="BK269" s="478">
        <f>IF(AC269=0,0,IF(OR(AD267=1,AD269=1),AJ269-AQ269,IF(OR(AE267=1,AE269=1),AJ269-AW269,IF(OR(AF267=1,AF269=1),AJ269-BB269,AJ269))))</f>
        <v>0</v>
      </c>
      <c r="BL269" s="478">
        <f>IF(AD269=0,0,IF(OR(AE267=1,AE269=1),AK269-AR269,IF(OR(AF267=1,AF269=1),AK269-AX269,AK269)))</f>
        <v>0</v>
      </c>
      <c r="BM269" s="478">
        <f>IF(AE269=0,0,IF(OR(AF267=1,AF269=1),AL269-AS269,AL269))</f>
        <v>0</v>
      </c>
      <c r="BN269" s="478">
        <f>IF(AF269=0,0,AM269)</f>
        <v>0</v>
      </c>
      <c r="BP269" s="486">
        <f>ROUND(BP268+BQ268*(1-BP268),2)</f>
        <v>0</v>
      </c>
      <c r="BQ269" s="486">
        <f t="shared" ref="BQ269:BZ269" si="43">ROUND(BP269+BR268*(1-BP269),2)</f>
        <v>0</v>
      </c>
      <c r="BR269" s="486">
        <f t="shared" si="43"/>
        <v>0</v>
      </c>
      <c r="BS269" s="486">
        <f t="shared" si="43"/>
        <v>0</v>
      </c>
      <c r="BT269" s="486">
        <f t="shared" si="43"/>
        <v>0</v>
      </c>
      <c r="BU269" s="486">
        <f t="shared" si="43"/>
        <v>0</v>
      </c>
      <c r="BV269" s="486">
        <f t="shared" si="43"/>
        <v>0</v>
      </c>
      <c r="BW269" s="486">
        <f t="shared" si="43"/>
        <v>0</v>
      </c>
      <c r="BX269" s="486">
        <f t="shared" si="43"/>
        <v>0</v>
      </c>
      <c r="BY269" s="486">
        <f t="shared" si="43"/>
        <v>0</v>
      </c>
      <c r="BZ269" s="486">
        <f t="shared" si="43"/>
        <v>0</v>
      </c>
      <c r="CA269" s="483"/>
    </row>
    <row r="270" spans="1:109" customFormat="1" ht="15" customHeight="1" x14ac:dyDescent="0.2">
      <c r="B270" s="926" t="str">
        <f>IF(AD270=1,"ERROR: If radial or ulnar impairment is recorded, do not enter losses for 'both sides.'","")</f>
        <v/>
      </c>
      <c r="C270" s="927"/>
      <c r="D270" s="927"/>
      <c r="E270" s="927"/>
      <c r="F270" s="927"/>
      <c r="G270" s="927"/>
      <c r="H270" s="927"/>
      <c r="I270" s="927"/>
      <c r="J270" s="927"/>
      <c r="K270" s="927"/>
      <c r="L270" s="927"/>
      <c r="M270" s="927"/>
      <c r="N270" s="927"/>
      <c r="O270" s="928"/>
      <c r="P270" s="245">
        <f>IF(B270&lt;&gt;"","ERROR",BZ269)</f>
        <v>0</v>
      </c>
      <c r="S270" s="475"/>
      <c r="T270" s="475"/>
      <c r="U270" s="475"/>
      <c r="V270" s="475"/>
      <c r="W270" s="475"/>
      <c r="AA270" s="301">
        <f>SUM(AA267:AF267)</f>
        <v>0</v>
      </c>
      <c r="AB270" s="301">
        <f>SUM(AA268:AF268)</f>
        <v>0</v>
      </c>
      <c r="AC270" s="301">
        <f>SUM(AA269:AF269)</f>
        <v>0</v>
      </c>
      <c r="AD270" s="301">
        <f>IF(AND(AA270&gt;0,AB270&gt;0),1,IF(AND(AA270&gt;0,AC270&gt;0),1,0))</f>
        <v>0</v>
      </c>
      <c r="AE270" s="475"/>
      <c r="AF270" s="475"/>
    </row>
    <row r="271" spans="1:109" customFormat="1" ht="15" customHeight="1" x14ac:dyDescent="0.2">
      <c r="B271" s="350" t="s">
        <v>1208</v>
      </c>
      <c r="C271" s="474"/>
      <c r="D271" s="474"/>
      <c r="E271" s="474"/>
      <c r="F271" s="474"/>
      <c r="G271" s="474"/>
      <c r="H271" s="474"/>
      <c r="I271" s="474"/>
      <c r="J271" s="474"/>
      <c r="K271" s="474"/>
      <c r="L271" s="474"/>
      <c r="M271" s="474"/>
      <c r="N271" s="474"/>
      <c r="O271" s="491"/>
      <c r="P271" s="492"/>
      <c r="S271" s="475"/>
      <c r="T271" s="475"/>
      <c r="U271" s="475"/>
      <c r="V271" s="475"/>
      <c r="W271" s="475"/>
      <c r="AA271" s="475"/>
      <c r="AB271" s="475"/>
      <c r="AC271" s="475"/>
      <c r="AD271" s="475"/>
      <c r="AE271" s="475"/>
      <c r="AF271" s="475"/>
    </row>
    <row r="272" spans="1:109" customFormat="1" ht="15" customHeight="1" x14ac:dyDescent="0.2">
      <c r="B272" s="146" t="s">
        <v>1576</v>
      </c>
      <c r="C272" s="925"/>
      <c r="D272" s="925"/>
      <c r="E272" s="925"/>
      <c r="F272" s="925"/>
      <c r="G272" s="925"/>
      <c r="H272" s="925"/>
      <c r="I272" s="925"/>
      <c r="J272" s="925"/>
      <c r="K272" s="925"/>
      <c r="L272" s="925"/>
      <c r="M272" s="925"/>
      <c r="N272" s="925"/>
      <c r="P272" s="489"/>
      <c r="S272" s="301">
        <f>IF(C272="",0,C272)</f>
        <v>0</v>
      </c>
      <c r="T272" s="301">
        <f>IF(AND(E272&lt;&gt;C272,E272&lt;&gt;""),E272,IF(OR(E273&lt;&gt;"",E274&lt;&gt;""),0,S272))</f>
        <v>0</v>
      </c>
      <c r="U272" s="301">
        <f>IF(AND(G272&lt;&gt;E272,G272&lt;&gt;""),G272,IF(OR(G273&lt;&gt;"",G274&lt;&gt;""),0,T272))</f>
        <v>0</v>
      </c>
      <c r="V272" s="301">
        <f>IF(AND(I272&lt;&gt;G272,I272&lt;&gt;""),I272,IF(OR(I273&lt;&gt;"",I274&lt;&gt;""),0,U272))</f>
        <v>0</v>
      </c>
      <c r="W272" s="301">
        <f>IF(AND(K272&lt;&gt;I272,K272&lt;&gt;""),K272,IF(OR(K273&lt;&gt;"",K274&lt;&gt;""),0,V272))</f>
        <v>0</v>
      </c>
      <c r="X272" s="301">
        <f>IF(AND(M272&lt;&gt;K272,M272&lt;&gt;""),M272,IF(OR(M273&lt;&gt;"",M274&lt;&gt;""),0,W272))</f>
        <v>0</v>
      </c>
      <c r="Z272" s="475"/>
      <c r="AA272" s="483">
        <f>IF(C272&gt;1,1,0)</f>
        <v>0</v>
      </c>
      <c r="AB272" s="301">
        <f t="shared" ref="AB272:AF274" si="44">IF(AND(S272&lt;&gt;T272,T272&gt;0),1,0)</f>
        <v>0</v>
      </c>
      <c r="AC272" s="301">
        <f t="shared" si="44"/>
        <v>0</v>
      </c>
      <c r="AD272" s="301">
        <f t="shared" si="44"/>
        <v>0</v>
      </c>
      <c r="AE272" s="301">
        <f t="shared" si="44"/>
        <v>0</v>
      </c>
      <c r="AF272" s="301">
        <f t="shared" si="44"/>
        <v>0</v>
      </c>
      <c r="AH272" s="478">
        <f>IF(S272=1,0,IF(S272=2,0.25,IF(S272=3,0.38,IF(S272=4,0.5,0))))</f>
        <v>0</v>
      </c>
      <c r="AI272" s="478">
        <f>IF(T272=1,0,IF(T272=2,0.23,IF(T272=3,0.35,IF(T272=4,0.45,0))))</f>
        <v>0</v>
      </c>
      <c r="AJ272" s="478">
        <f>IF(U272=1,0,IF(U272=2,0.2,IF(U272=3,0.3,IF(U272=4,0.39,0))))</f>
        <v>0</v>
      </c>
      <c r="AK272" s="478">
        <f>IF(V272=1,0,IF(V272=2,0.17,IF(V272=3,0.25,IF(V272=4,0.33,0))))</f>
        <v>0</v>
      </c>
      <c r="AL272" s="478">
        <f>IF(W272=1,0,IF(W272=2,0.13,IF(W272=3,0.19,IF(W272=4,0.24,0))))</f>
        <v>0</v>
      </c>
      <c r="AM272" s="478">
        <f>IF(X272=1,0,IF(X272=2,0.08,IF(X272=3,0.12,IF(X272=4,0.15,0))))</f>
        <v>0</v>
      </c>
      <c r="AN272" s="479"/>
      <c r="AO272" s="478">
        <f>IF(S272=1,0,IF(S272=2,0.23,IF(S272=3,0.35,IF(S272=4,0.45,0))))</f>
        <v>0</v>
      </c>
      <c r="AP272" s="478">
        <f>IF(T272=1,0,IF(T272=2,0.2,IF(T272=3,0.3,IF(T272=4,0.39,0))))</f>
        <v>0</v>
      </c>
      <c r="AQ272" s="478">
        <f>IF(U272=1,0,IF(U272=2,0.17,IF(U272=3,0.25,IF(U272=4,0.33,0))))</f>
        <v>0</v>
      </c>
      <c r="AR272" s="478">
        <f>IF(V272=1,0,IF(V272=2,0.13,IF(V272=3,0.19,IF(V272=4,0.24,0))))</f>
        <v>0</v>
      </c>
      <c r="AS272" s="478">
        <f>IF(W272=1,0,IF(W272=2,0.08,IF(W272=3,0.12,IF(W272=4,0.15,0))))</f>
        <v>0</v>
      </c>
      <c r="AU272" s="478">
        <f>IF(S272=1,0,IF(S272=2,0.2,IF(S272=3,0.3,IF(S272=4,0.39,0))))</f>
        <v>0</v>
      </c>
      <c r="AV272" s="478">
        <f>IF(T272=1,0,IF(T272=2,0.17,IF(T272=3,0.25,IF(T272=4,0.33,0))))</f>
        <v>0</v>
      </c>
      <c r="AW272" s="478">
        <f>IF(U272=1,0,IF(U272=2,0.13,IF(U272=3,0.19,IF(U272=4,0.24,0))))</f>
        <v>0</v>
      </c>
      <c r="AX272" s="478">
        <f>IF(V272=1,0,IF(V272=2,0.08,IF(V272=3,0.12,IF(V272=4,0.15,0))))</f>
        <v>0</v>
      </c>
      <c r="AZ272" s="478">
        <f>IF(S272=1,0,IF(S272=2,0.17,IF(S272=3,0.25,IF(S272=4,0.33,0))))</f>
        <v>0</v>
      </c>
      <c r="BA272" s="478">
        <f>IF(T272=1,0,IF(T272=2,0.13,IF(T272=3,0.19,IF(T272=4,0.24,0))))</f>
        <v>0</v>
      </c>
      <c r="BB272" s="478">
        <f>IF(U272=1,0,IF(U272=2,0.08,IF(U272=3,0.12,IF(U272=4,0.15,0))))</f>
        <v>0</v>
      </c>
      <c r="BD272" s="478">
        <f>IF(S272=1,0,IF(S272=2,0.13,IF(S272=3,0.19,IF(S272=4,0.24,0))))</f>
        <v>0</v>
      </c>
      <c r="BE272" s="478">
        <f>IF(T272=1,0,IF(T272=2,0.08,IF(T272=3,0.12,IF(T272=4,0.15,0))))</f>
        <v>0</v>
      </c>
      <c r="BG272" s="478">
        <f>IF(S272=1,0,IF(S272=2,0.08,IF(S272=3,0.12,IF(S272=4,0.15,0))))</f>
        <v>0</v>
      </c>
      <c r="BI272" s="478">
        <f>IF(AA272=0,0,IF(OR(AB272=1,AB273=1,AB274=1),AH272-AO272,IF(OR(AC272=1,AC273=1,AC274=1),AH272-AU272,IF(OR(AD272=1,AD273=1,AD274=1),AH272-AZ272,IF(OR(AE272=1,AE273=1,AE274=1),AH272-BD272,IF(OR(AF272=1,AF273=1,AF274=1),AH272-BG272,AH272))))))</f>
        <v>0</v>
      </c>
      <c r="BJ272" s="478">
        <f>IF(AB272=0,0,IF(OR(AC272=1,AC273=1,AC274=1),AI272-AP272,IF(OR(AD272=1,AD273=1,AD274=1),AI272-AV272,IF(OR(AE272=1,AE273=1,AE274=1),AI272-BA272,IF(OR(AF272=1,AF273=1,AF274=1),AI272-BE272,AI272)))))</f>
        <v>0</v>
      </c>
      <c r="BK272" s="478">
        <f>IF(AC272=0,0,IF(OR(AD272=1,AD273=1,AD274=1),AJ272-AQ272,IF(OR(AE272=1,AE273=1,AE274=1),AJ272-AW272,IF(OR(AF272=1,AF273=1,AF274=1),AJ272-BB272,AJ272))))</f>
        <v>0</v>
      </c>
      <c r="BL272" s="478">
        <f>IF(AD272=0,0,IF(OR(AE272=1,AE273=1,AE274=1),AK272-AR272,IF(OR(AF272=1,AF273=1,AF274=1),AK272-AX272,AK272)))</f>
        <v>0</v>
      </c>
      <c r="BM272" s="478">
        <f>IF(AE272=0,0,IF(OR(AF272=1,AF273=1,AF274=1),AL272-AS272,AL272))</f>
        <v>0</v>
      </c>
      <c r="BN272" s="478">
        <f>IF(AF272=0,0,AM272)</f>
        <v>0</v>
      </c>
      <c r="BP272" t="s">
        <v>253</v>
      </c>
    </row>
    <row r="273" spans="1:109" customFormat="1" ht="15" customHeight="1" x14ac:dyDescent="0.2">
      <c r="B273" s="301" t="s">
        <v>1579</v>
      </c>
      <c r="C273" s="925"/>
      <c r="D273" s="925"/>
      <c r="E273" s="925"/>
      <c r="F273" s="925"/>
      <c r="G273" s="925"/>
      <c r="H273" s="925"/>
      <c r="I273" s="925"/>
      <c r="J273" s="925"/>
      <c r="K273" s="925"/>
      <c r="L273" s="925"/>
      <c r="M273" s="925"/>
      <c r="N273" s="925"/>
      <c r="P273" s="495"/>
      <c r="S273" s="301">
        <f>IF(C273="",0,C273)</f>
        <v>0</v>
      </c>
      <c r="T273" s="301">
        <f>IF(E273&lt;&gt;C273,E273,IF(AND(E274&lt;&gt;C274,S272&gt;1),S272,0))</f>
        <v>0</v>
      </c>
      <c r="U273" s="301">
        <f>IF(G273&lt;&gt;E273,G273,IF(AND(G274&lt;&gt;E274,T272&gt;1),T272,0))</f>
        <v>0</v>
      </c>
      <c r="V273" s="301">
        <f>IF(I273&lt;&gt;G273,I273,IF(AND(I274&lt;&gt;G274,U272&gt;1),U272,0))</f>
        <v>0</v>
      </c>
      <c r="W273" s="301">
        <f>IF(K273&lt;&gt;I273,K273,IF(AND(K274&lt;&gt;I274,V272&gt;1),V272,0))</f>
        <v>0</v>
      </c>
      <c r="X273" s="301">
        <f>IF(M273&lt;&gt;K273,M273,IF(AND(M274&lt;&gt;K274,W272&gt;1),W272,0))</f>
        <v>0</v>
      </c>
      <c r="Z273" s="475"/>
      <c r="AA273" s="483">
        <f>IF(C273&gt;1,1,0)</f>
        <v>0</v>
      </c>
      <c r="AB273" s="301">
        <f t="shared" si="44"/>
        <v>0</v>
      </c>
      <c r="AC273" s="301">
        <f t="shared" si="44"/>
        <v>0</v>
      </c>
      <c r="AD273" s="301">
        <f t="shared" si="44"/>
        <v>0</v>
      </c>
      <c r="AE273" s="301">
        <f t="shared" si="44"/>
        <v>0</v>
      </c>
      <c r="AF273" s="301">
        <f t="shared" si="44"/>
        <v>0</v>
      </c>
      <c r="AH273" s="478">
        <f>IF(S273=1,0,IF(S273=2,0.17,IF(S273=3,0.25,IF(S273=4,0.35,0))))</f>
        <v>0</v>
      </c>
      <c r="AI273" s="478">
        <f>IF(T273=1,0,IF(T273=2,0.15,IF(T273=3,0.23,IF(T273=4,0.31,0))))</f>
        <v>0</v>
      </c>
      <c r="AJ273" s="478">
        <f>IF(U273=1,0,IF(U273=2,0.13,IF(U273=3,0.2,IF(U273=4,0.27,0))))</f>
        <v>0</v>
      </c>
      <c r="AK273" s="478">
        <f>IF(V273=1,0,IF(V273=2,0.11,IF(V273=3,0.17,IF(V273=4,0.22,0))))</f>
        <v>0</v>
      </c>
      <c r="AL273" s="478">
        <f>IF(W273=1,0,IF(W273=2,0.08,IF(W273=3,0.12,IF(W273=4,0.16,0))))</f>
        <v>0</v>
      </c>
      <c r="AM273" s="478">
        <f>IF(X273=1,0,IF(X273=2,0.05,IF(X273=3,0.07,IF(X273=4,0.1,0))))</f>
        <v>0</v>
      </c>
      <c r="AN273" s="479"/>
      <c r="AO273" s="478">
        <f>IF(S273=1,0,IF(S273=2,0.15,IF(S273=3,0.23,IF(S273=4,0.31,0))))</f>
        <v>0</v>
      </c>
      <c r="AP273" s="478">
        <f>IF(T273=1,0,IF(T273=2,0.13,IF(T273=3,0.2,IF(T273=4,0.27,0))))</f>
        <v>0</v>
      </c>
      <c r="AQ273" s="478">
        <f>IF(U273=1,0,IF(U273=2,0.11,IF(U273=3,0.17,IF(U273=4,0.22,0))))</f>
        <v>0</v>
      </c>
      <c r="AR273" s="478">
        <f>IF(V273=1,0,IF(V273=2,0.08,IF(V273=3,0.12,IF(V273=4,0.16,0))))</f>
        <v>0</v>
      </c>
      <c r="AS273" s="478">
        <f>IF(W273=1,0,IF(W273=2,0.05,IF(W273=3,0.07,IF(W273=4,0.1,0))))</f>
        <v>0</v>
      </c>
      <c r="AU273" s="478">
        <f>IF(S273=1,0,IF(S273=2,0.13,IF(S273=3,0.2,IF(S273=4,0.27,0))))</f>
        <v>0</v>
      </c>
      <c r="AV273" s="478">
        <f>IF(T273=1,0,IF(T273=2,0.11,IF(T273=3,0.17,IF(T273=4,0.22,0))))</f>
        <v>0</v>
      </c>
      <c r="AW273" s="478">
        <f>IF(U273=1,0,IF(U273=2,0.08,IF(U273=3,0.12,IF(U273=4,0.16,0))))</f>
        <v>0</v>
      </c>
      <c r="AX273" s="478">
        <f>IF(V273=1,0,IF(V273=2,0.05,IF(V273=3,0.07,IF(V273=4,0.1,0))))</f>
        <v>0</v>
      </c>
      <c r="AZ273" s="478">
        <f>IF(S273=1,0,IF(S273=2,0.11,IF(S273=3,0.17,IF(S273=4,0.22,0))))</f>
        <v>0</v>
      </c>
      <c r="BA273" s="478">
        <f>IF(T273=1,0,IF(T273=2,0.08,IF(T273=3,0.12,IF(T273=4,0.16,0))))</f>
        <v>0</v>
      </c>
      <c r="BB273" s="478">
        <f>IF(U273=1,0,IF(U273=2,0.05,IF(U273=3,0.07,IF(U273=4,0.1,0))))</f>
        <v>0</v>
      </c>
      <c r="BD273" s="478">
        <f>IF(S273=1,0,IF(S273=2,0.08,IF(S273=3,0.12,IF(S273=4,0.16,0))))</f>
        <v>0</v>
      </c>
      <c r="BE273" s="478">
        <f>IF(T273=1,0,IF(T273=2,0.05,IF(T273=3,0.07,IF(T273=4,0.1,0))))</f>
        <v>0</v>
      </c>
      <c r="BG273" s="478">
        <f>IF(S273=1,0,IF(S273=2,0.05,IF(S273=3,0.07,IF(S273=4,0.1,0))))</f>
        <v>0</v>
      </c>
      <c r="BI273" s="478">
        <f>IF(AA273=0,0,IF(OR(AB272=1,AB273=1),AH273-AO273,IF(OR(AC272=1,AC273=1),AH273-AU273,IF(OR(AD272=1,AD273=1),AH273-AZ273,IF(OR(AE272=1,AE273=1),AH273-BD273,IF(OR(AF272=1,AF273=1),AH273-BG273,AH273))))))</f>
        <v>0</v>
      </c>
      <c r="BJ273" s="478">
        <f>IF(AB273=0,0,IF(OR(AC272=1,AC273=1),AI273-AP273,IF(OR(AD272=1,AD273=1),AI273-AV273,IF(OR(AE272=1,AE273=1),AI273-BA273,IF(OR(AF272=1,AF273=1),AI273-BE273,AI273)))))</f>
        <v>0</v>
      </c>
      <c r="BK273" s="478">
        <f>IF(AC273=0,0,IF(OR(AD272=1,AD273=1),AJ273-AQ273,IF(OR(AE272=1,AE273=1),AJ273-AW273,IF(OR(AF272=1,AF273=1),AJ273-BB273,AJ273))))</f>
        <v>0</v>
      </c>
      <c r="BL273" s="478">
        <f>IF(AD273=0,0,IF(OR(AE272=1,AE273=1),AK273-AR273,IF(OR(AF272=1,AF273=1),AK273-AX273,AK273)))</f>
        <v>0</v>
      </c>
      <c r="BM273" s="478">
        <f>IF(AE273=0,0,IF(OR(AF272=1,AF273=1),AL273-AS273,AL273))</f>
        <v>0</v>
      </c>
      <c r="BN273" s="478">
        <f>IF(AF273=0,0,AM273)</f>
        <v>0</v>
      </c>
      <c r="BP273" s="484">
        <f>LARGE((BI272,BJ272,BK272,BL272,BM272,BN272,BI273,BJ273,BK273,BL273,BM273,BN273,BI274,BJ274,BK274,BL274,BM274,BN274),1)</f>
        <v>0</v>
      </c>
      <c r="BQ273" s="485">
        <f>LARGE((BI272,BJ272,BK272,BL272,BM272,BN272,BI273,BJ273,BK273,BL273,BM273,BN273,BI274,BJ274,BK274,BL274,BM274,BN274),2)</f>
        <v>0</v>
      </c>
      <c r="BR273" s="485">
        <f>LARGE((BI272,BJ272,BK272,BL272,BM272,BN272,BI273,BJ273,BK273,BL273,BM273,BN273,BI274,BJ274,BK274,BL274,BM274,BN274),3)</f>
        <v>0</v>
      </c>
      <c r="BS273" s="485">
        <f>LARGE((BI272,BJ272,BK272,BL272,BM272,BN272,BI273,BJ273,BK273,BL273,BM273,BN273,BI274,BJ274,BK274,BL274,BM274,BN274),4)</f>
        <v>0</v>
      </c>
      <c r="BT273" s="485">
        <f>LARGE((BI272,BJ272,BK272,BL272,BM272,BN272,BI273,BJ273,BK273,BL273,BM273,BN273,BI274,BJ274,BK274,BL274,BM274,BN274),5)</f>
        <v>0</v>
      </c>
      <c r="BU273" s="485">
        <f>LARGE((BI272,BJ272,BK272,BL272,BM272,BN272,BI273,BJ273,BK273,BL273,BM273,BN273,BI274,BJ274,BK274,BL274,BM274,BN274),6)</f>
        <v>0</v>
      </c>
      <c r="BV273" s="485">
        <f>LARGE((BI272,BJ272,BK272,BL272,BM272,BN272,BI273,BJ273,BK273,BL273,BM273,BN273,BI274,BJ274,BK274,BL274,BM274,BN274),7)</f>
        <v>0</v>
      </c>
      <c r="BW273" s="485">
        <f>LARGE((BI272,BJ272,BK272,BL272,BM272,BN272,BI273,BJ273,BK273,BL273,BM273,BN273,BI274,BJ274,BK274,BL274,BM274,BN274),8)</f>
        <v>0</v>
      </c>
      <c r="BX273" s="485">
        <f>LARGE((BI272,BJ272,BK272,BL272,BM272,BN272,BI273,BJ273,BK273,BL273,BM273,BN273,BI274,BJ274,BK274,BL274,BM274,BN274),9)</f>
        <v>0</v>
      </c>
      <c r="BY273" s="485">
        <f>LARGE((BI272,BJ272,BK272,BL272,BM272,BN272,BI273,BJ273,BK273,BL273,BM273,BN273,BI274,BJ274,BK274,BL274,BM274,BN274),10)</f>
        <v>0</v>
      </c>
      <c r="BZ273" s="485">
        <f>LARGE((BI272,BJ272,BK272,BL272,BM272,BN272,BI273,BJ273,BK273,BL273,BM273,BN273,BI274,BJ274,BK274,BL274,BM274,BN274),11)</f>
        <v>0</v>
      </c>
      <c r="CA273" s="485">
        <f>LARGE((BI272,BJ272,BK272,BL272,BM272,BN272,BI273,BJ273,BK273,BL273,BM273,BN273,BI274,BJ274,BK274,BL274,BM274,BN274),12)</f>
        <v>0</v>
      </c>
    </row>
    <row r="274" spans="1:109" customFormat="1" ht="15" customHeight="1" x14ac:dyDescent="0.2">
      <c r="B274" s="482" t="s">
        <v>1582</v>
      </c>
      <c r="C274" s="1001"/>
      <c r="D274" s="1001"/>
      <c r="E274" s="1001"/>
      <c r="F274" s="1001"/>
      <c r="G274" s="1001"/>
      <c r="H274" s="1001"/>
      <c r="I274" s="1001"/>
      <c r="J274" s="1001"/>
      <c r="K274" s="1001"/>
      <c r="L274" s="1001"/>
      <c r="M274" s="1001"/>
      <c r="N274" s="1001"/>
      <c r="P274" s="495"/>
      <c r="S274" s="301">
        <f>IF(C274="",0,C274)</f>
        <v>0</v>
      </c>
      <c r="T274" s="301">
        <f>IF(E274&lt;&gt;C274,E274,IF(AND(E273&lt;&gt;C273,S272&gt;1),S272,0))</f>
        <v>0</v>
      </c>
      <c r="U274" s="301">
        <f>IF(G274&lt;&gt;E274,G274,IF(AND(G273&lt;&gt;E273,T272&gt;1),T272,0))</f>
        <v>0</v>
      </c>
      <c r="V274" s="301">
        <f>IF(I274&lt;&gt;G274,I274,IF(AND(I273&lt;&gt;G273,U272&gt;1),U272,0))</f>
        <v>0</v>
      </c>
      <c r="W274" s="301">
        <f>IF(K274&lt;&gt;I274,K274,IF(AND(K273&lt;&gt;I273,V272&gt;1),V272,0))</f>
        <v>0</v>
      </c>
      <c r="X274" s="301">
        <f>IF(M274&lt;&gt;K274,M274,IF(AND(M273&lt;&gt;K273,W272&gt;1),W272,0))</f>
        <v>0</v>
      </c>
      <c r="AA274" s="483">
        <f>IF(C274&gt;1,1,0)</f>
        <v>0</v>
      </c>
      <c r="AB274" s="301">
        <f t="shared" si="44"/>
        <v>0</v>
      </c>
      <c r="AC274" s="301">
        <f t="shared" si="44"/>
        <v>0</v>
      </c>
      <c r="AD274" s="301">
        <f t="shared" si="44"/>
        <v>0</v>
      </c>
      <c r="AE274" s="301">
        <f t="shared" si="44"/>
        <v>0</v>
      </c>
      <c r="AF274" s="301">
        <f t="shared" si="44"/>
        <v>0</v>
      </c>
      <c r="AH274" s="478">
        <f>IF(S274=1,0,IF(S274=2,0.1,IF(S274=3,0.17,IF(S274=4,0.23,0))))</f>
        <v>0</v>
      </c>
      <c r="AI274" s="478">
        <f>IF(T274=1,0,IF(T274=2,0.09,IF(T274=3,0.15,IF(T274=4,0.2,0))))</f>
        <v>0</v>
      </c>
      <c r="AJ274" s="478">
        <f>IF(U274=1,0,IF(U274=2,0.08,IF(U274=3,0.13,IF(U274=4,0.17,0))))</f>
        <v>0</v>
      </c>
      <c r="AK274" s="478">
        <f>IF(V274=1,0,IF(V274=2,0.07,IF(V274=3,0.1,IF(V274=4,0.14,0))))</f>
        <v>0</v>
      </c>
      <c r="AL274" s="478">
        <f>IF(W274=1,0,IF(W274=2,0.05,IF(W274=3,0.08,IF(W274=4,0.1,0))))</f>
        <v>0</v>
      </c>
      <c r="AM274" s="478">
        <f>IF(X274=1,0,IF(X274=2,0.03,IF(X274=3,0.05,IF(X274=4,0.06,0))))</f>
        <v>0</v>
      </c>
      <c r="AN274" s="479"/>
      <c r="AO274" s="478">
        <f>IF(S274=1,0,IF(S274=2,0.09,IF(S274=3,0.15,IF(S274=4,0.2,0))))</f>
        <v>0</v>
      </c>
      <c r="AP274" s="478">
        <f>IF(T274=1,0,IF(T274=2,0.08,IF(T274=3,0.13,IF(T274=4,0.17,0))))</f>
        <v>0</v>
      </c>
      <c r="AQ274" s="478">
        <f>IF(U274=1,0,IF(U274=2,0.07,IF(U274=3,0.1,IF(U274=4,0.14,0))))</f>
        <v>0</v>
      </c>
      <c r="AR274" s="478">
        <f>IF(V274=1,0,IF(V274=2,0.05,IF(V274=3,0.08,IF(V274=4,0.1,0))))</f>
        <v>0</v>
      </c>
      <c r="AS274" s="478">
        <f>IF(W274=1,0,IF(W274=2,0.03,IF(W274=3,0.05,IF(W274=4,0.06,0))))</f>
        <v>0</v>
      </c>
      <c r="AU274" s="478">
        <f>IF(S274=1,0,IF(S274=2,0.08,IF(S274=3,0.13,IF(S274=4,0.17,0))))</f>
        <v>0</v>
      </c>
      <c r="AV274" s="478">
        <f>IF(T274=1,0,IF(T274=2,0.07,IF(T274=3,0.1,IF(T274=4,0.14,0))))</f>
        <v>0</v>
      </c>
      <c r="AW274" s="478">
        <f>IF(U274=1,0,IF(U274=2,0.05,IF(U274=3,0.08,IF(U274=4,0.1,0))))</f>
        <v>0</v>
      </c>
      <c r="AX274" s="478">
        <f>IF(V274=1,0,IF(V274=2,0.03,IF(V274=3,0.05,IF(V274=4,0.06,0))))</f>
        <v>0</v>
      </c>
      <c r="AZ274" s="478">
        <f>IF(S274=1,0,IF(S274=2,0.07,IF(S274=3,0.1,IF(S274=4,0.14,0))))</f>
        <v>0</v>
      </c>
      <c r="BA274" s="478">
        <f>IF(T274=1,0,IF(T274=2,0.05,IF(T274=3,0.08,IF(T274=4,0.1,0))))</f>
        <v>0</v>
      </c>
      <c r="BB274" s="478">
        <f>IF(U274=1,0,IF(U274=2,0.03,IF(U274=3,0.05,IF(U274=4,0.06,0))))</f>
        <v>0</v>
      </c>
      <c r="BD274" s="478">
        <f>IF(S274=1,0,IF(S274=2,0.05,IF(S274=3,0.08,IF(S274=4,0.1,0))))</f>
        <v>0</v>
      </c>
      <c r="BE274" s="478">
        <f>IF(T274=1,0,IF(T274=2,0.03,IF(T274=3,0.05,IF(T274=4,0.06,0))))</f>
        <v>0</v>
      </c>
      <c r="BG274" s="478">
        <f>IF(S274=1,0,IF(S274=2,0.03,IF(S274=3,0.05,IF(S274=4,0.06,0))))</f>
        <v>0</v>
      </c>
      <c r="BI274" s="478">
        <f>IF(AA274=0,0,IF(OR(AB272=1,AB274=1),AH274-AO274,IF(OR(AC272=1,AC274=1),AH274-AU274,IF(OR(AD272=1,AD274=1),AH274-AZ274,IF(OR(AE272=1,AE274=1),AH274-BD274,IF(OR(AF272=1,AF274=1),AH274-BG274,AH274))))))</f>
        <v>0</v>
      </c>
      <c r="BJ274" s="478">
        <f>IF(AB274=0,0,IF(OR(AC272=1,AC274=1),AI274-AP274,IF(OR(AD272=1,AD274=1),AI274-AV274,IF(OR(AE272=1,AE274=1),AI274-BA274,IF(OR(AF272=1,AF274=1),AI274-BE274,AI274)))))</f>
        <v>0</v>
      </c>
      <c r="BK274" s="478">
        <f>IF(AC274=0,0,IF(OR(AD272=1,AD274=1),AJ274-AQ274,IF(OR(AE272=1,AE274=1),AJ274-AW274,IF(OR(AF272=1,AF274=1),AJ274-BB274,AJ274))))</f>
        <v>0</v>
      </c>
      <c r="BL274" s="478">
        <f>IF(AD274=0,0,IF(OR(AE272=1,AE274=1),AK274-AR274,IF(OR(AF272=1,AF274=1),AK274-AX274,AK274)))</f>
        <v>0</v>
      </c>
      <c r="BM274" s="478">
        <f>IF(AE274=0,0,IF(OR(AF272=1,AF274=1),AL274-AS274,AL274))</f>
        <v>0</v>
      </c>
      <c r="BN274" s="478">
        <f>IF(AF274=0,0,AM274)</f>
        <v>0</v>
      </c>
      <c r="BP274" s="486">
        <f>ROUND(BP273+BQ273*(1-BP273),2)</f>
        <v>0</v>
      </c>
      <c r="BQ274" s="486">
        <f t="shared" ref="BQ274:BZ274" si="45">ROUND(BP274+BR273*(1-BP274),2)</f>
        <v>0</v>
      </c>
      <c r="BR274" s="486">
        <f t="shared" si="45"/>
        <v>0</v>
      </c>
      <c r="BS274" s="486">
        <f t="shared" si="45"/>
        <v>0</v>
      </c>
      <c r="BT274" s="486">
        <f t="shared" si="45"/>
        <v>0</v>
      </c>
      <c r="BU274" s="486">
        <f t="shared" si="45"/>
        <v>0</v>
      </c>
      <c r="BV274" s="486">
        <f t="shared" si="45"/>
        <v>0</v>
      </c>
      <c r="BW274" s="486">
        <f t="shared" si="45"/>
        <v>0</v>
      </c>
      <c r="BX274" s="486">
        <f t="shared" si="45"/>
        <v>0</v>
      </c>
      <c r="BY274" s="486">
        <f t="shared" si="45"/>
        <v>0</v>
      </c>
      <c r="BZ274" s="486">
        <f t="shared" si="45"/>
        <v>0</v>
      </c>
      <c r="CA274" s="483"/>
    </row>
    <row r="275" spans="1:109" customFormat="1" ht="15" customHeight="1" x14ac:dyDescent="0.2">
      <c r="B275" s="926" t="str">
        <f>IF(AD275=1,"ERROR: If radial or ulnar impairment is recorded, do not enter losses for 'both sides.'","")</f>
        <v/>
      </c>
      <c r="C275" s="927"/>
      <c r="D275" s="927"/>
      <c r="E275" s="927"/>
      <c r="F275" s="927"/>
      <c r="G275" s="927"/>
      <c r="H275" s="927"/>
      <c r="I275" s="927"/>
      <c r="J275" s="927"/>
      <c r="K275" s="927"/>
      <c r="L275" s="927"/>
      <c r="M275" s="927"/>
      <c r="N275" s="927"/>
      <c r="O275" s="928"/>
      <c r="P275" s="245">
        <f>IF(B275&lt;&gt;"","ERROR",BZ274)</f>
        <v>0</v>
      </c>
      <c r="S275" s="475"/>
      <c r="T275" s="475"/>
      <c r="U275" s="475"/>
      <c r="V275" s="475"/>
      <c r="W275" s="475"/>
      <c r="AA275" s="301">
        <f>SUM(AA272:AF272)</f>
        <v>0</v>
      </c>
      <c r="AB275" s="301">
        <f>SUM(AA273:AF273)</f>
        <v>0</v>
      </c>
      <c r="AC275" s="301">
        <f>SUM(AA274:AF274)</f>
        <v>0</v>
      </c>
      <c r="AD275" s="301">
        <f>IF(AND(AA275&gt;0,AB275&gt;0),1,IF(AND(AA275&gt;0,AC275&gt;0),1,0))</f>
        <v>0</v>
      </c>
      <c r="AE275" s="475"/>
      <c r="AF275" s="475"/>
    </row>
    <row r="276" spans="1:109" ht="12" customHeight="1" x14ac:dyDescent="0.2">
      <c r="B276" s="176"/>
      <c r="C276" s="176"/>
      <c r="D276" s="176"/>
      <c r="E276" s="176"/>
      <c r="F276" s="176"/>
      <c r="G276" s="176"/>
      <c r="H276" s="176"/>
      <c r="I276" s="176"/>
      <c r="J276" s="176"/>
      <c r="K276" s="176"/>
      <c r="L276" s="176"/>
      <c r="M276" s="176"/>
      <c r="N276" s="176"/>
      <c r="O276" s="176"/>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row>
    <row r="277" spans="1:109" x14ac:dyDescent="0.2">
      <c r="B277" s="50" t="s">
        <v>1214</v>
      </c>
      <c r="C277" s="910" t="s">
        <v>1348</v>
      </c>
      <c r="D277" s="910"/>
      <c r="E277" s="910"/>
      <c r="F277" s="910"/>
      <c r="G277" s="910"/>
      <c r="H277" s="910" t="s">
        <v>1759</v>
      </c>
      <c r="I277" s="910"/>
      <c r="J277" s="910"/>
      <c r="K277" s="18"/>
      <c r="L277" s="910" t="s">
        <v>1215</v>
      </c>
      <c r="M277" s="910"/>
      <c r="N277" s="910"/>
      <c r="O277" s="910"/>
      <c r="P277" s="755">
        <f>V279</f>
        <v>0</v>
      </c>
      <c r="R277" s="10"/>
      <c r="S277" s="559" t="s">
        <v>1565</v>
      </c>
      <c r="T277" s="559" t="s">
        <v>1285</v>
      </c>
      <c r="U277" s="559" t="s">
        <v>1286</v>
      </c>
      <c r="V277" s="559" t="s">
        <v>1287</v>
      </c>
      <c r="AA277" s="10"/>
      <c r="AB277" s="10"/>
      <c r="AC277" s="10"/>
      <c r="AD277" s="10"/>
      <c r="AE277" s="10"/>
      <c r="AF277" s="10"/>
      <c r="AG277" s="10"/>
      <c r="AH277" s="10"/>
      <c r="AI277" s="10"/>
      <c r="AJ277" s="10"/>
      <c r="AK277" s="10"/>
      <c r="AL277" s="10"/>
      <c r="AM277" s="10"/>
      <c r="AN277" s="10"/>
      <c r="AO277" s="10"/>
      <c r="AP277" s="10"/>
      <c r="AQ277" s="10"/>
      <c r="AR277" s="10"/>
      <c r="AS277" s="10"/>
      <c r="AT277" s="10"/>
    </row>
    <row r="278" spans="1:109" ht="15" customHeight="1" x14ac:dyDescent="0.2">
      <c r="B278" s="146" t="s">
        <v>1268</v>
      </c>
      <c r="C278" s="922"/>
      <c r="D278" s="922"/>
      <c r="E278" s="922"/>
      <c r="F278" s="922"/>
      <c r="G278" s="922"/>
      <c r="H278" s="914">
        <f>IF(C278=$X$127,0.09,IF(C278=$Y$127,0.18,IF(C278=$Z$127,0.27,0)))</f>
        <v>0</v>
      </c>
      <c r="I278" s="914"/>
      <c r="J278" s="914"/>
      <c r="K278" s="146"/>
      <c r="L278" s="922"/>
      <c r="M278" s="922"/>
      <c r="N278" s="922"/>
      <c r="O278" s="21">
        <f>IF(H278&gt;=S278,H278-S278,0)</f>
        <v>0</v>
      </c>
      <c r="P278" s="755"/>
      <c r="R278" s="10"/>
      <c r="S278" s="147">
        <f>IF(L278=$Y$128,0.09,IF(L278=$Z$128,0.18,IF(L278=$AA$128,0.27,0)))</f>
        <v>0</v>
      </c>
      <c r="T278" s="147">
        <f>LARGE(O278:O280,1)</f>
        <v>0</v>
      </c>
      <c r="U278" s="544">
        <f>T278+T279*(1-T278)</f>
        <v>0</v>
      </c>
      <c r="V278" s="590">
        <f>ROUND(U278,2)</f>
        <v>0</v>
      </c>
      <c r="W278" s="863" t="s">
        <v>2147</v>
      </c>
      <c r="X278" s="863"/>
      <c r="Y278" s="863"/>
      <c r="Z278" s="863"/>
      <c r="AA278" s="10"/>
      <c r="AB278" s="10"/>
      <c r="AC278" s="10"/>
      <c r="AD278" s="10"/>
      <c r="AE278" s="10"/>
      <c r="AF278" s="10"/>
      <c r="AG278" s="10"/>
      <c r="AH278" s="10"/>
      <c r="AI278" s="10"/>
      <c r="AJ278" s="10"/>
      <c r="AK278" s="10"/>
      <c r="AL278" s="10"/>
      <c r="AM278" s="10"/>
      <c r="AN278" s="10"/>
      <c r="AO278" s="10"/>
      <c r="AP278" s="10"/>
      <c r="AQ278" s="10"/>
      <c r="AR278" s="10"/>
      <c r="AS278" s="10"/>
      <c r="AT278" s="10"/>
    </row>
    <row r="279" spans="1:109" ht="15" customHeight="1" x14ac:dyDescent="0.2">
      <c r="B279" s="50" t="s">
        <v>1269</v>
      </c>
      <c r="C279" s="922"/>
      <c r="D279" s="922"/>
      <c r="E279" s="922"/>
      <c r="F279" s="922"/>
      <c r="G279" s="922"/>
      <c r="H279" s="914">
        <f>IF(C279=$X$127,0.16,IF(C279=$Y$127,0.32,IF(C279=$Z$127,0.48,0)))</f>
        <v>0</v>
      </c>
      <c r="I279" s="914"/>
      <c r="J279" s="914"/>
      <c r="K279" s="146"/>
      <c r="L279" s="922"/>
      <c r="M279" s="922"/>
      <c r="N279" s="922"/>
      <c r="O279" s="21">
        <f>IF(H279&gt;=S279,H279-S279,0)</f>
        <v>0</v>
      </c>
      <c r="P279" s="755"/>
      <c r="R279" s="10"/>
      <c r="S279" s="147">
        <f>IF(L279=$Y$128,0.16,IF(L279=$Z$128,0.32,IF(L279=$AA$128,0.48,0)))</f>
        <v>0</v>
      </c>
      <c r="T279" s="147">
        <f>LARGE(O278:O280,2)</f>
        <v>0</v>
      </c>
      <c r="U279" s="544">
        <f>V278+T280*(1-V278)</f>
        <v>0</v>
      </c>
      <c r="V279" s="590">
        <f>ROUND(U279,2)</f>
        <v>0</v>
      </c>
      <c r="W279" s="50"/>
      <c r="X279" s="50" t="s">
        <v>1218</v>
      </c>
      <c r="Y279" s="50" t="s">
        <v>1219</v>
      </c>
      <c r="Z279" s="50" t="s">
        <v>1220</v>
      </c>
      <c r="AA279" s="50"/>
      <c r="AB279" s="10"/>
      <c r="AC279" s="10"/>
      <c r="AD279" s="10"/>
      <c r="AE279" s="10"/>
      <c r="AF279" s="10"/>
      <c r="AG279" s="10"/>
      <c r="AH279" s="10"/>
      <c r="AI279" s="10"/>
      <c r="AJ279" s="10"/>
      <c r="AK279" s="10"/>
      <c r="AL279" s="10"/>
      <c r="AM279" s="10"/>
      <c r="AN279" s="10"/>
      <c r="AO279" s="10"/>
      <c r="AP279" s="10"/>
      <c r="AQ279" s="10"/>
      <c r="AR279" s="10"/>
      <c r="AS279" s="10"/>
      <c r="AT279" s="10"/>
    </row>
    <row r="280" spans="1:109" ht="15" customHeight="1" x14ac:dyDescent="0.2">
      <c r="B280" s="50" t="s">
        <v>1270</v>
      </c>
      <c r="C280" s="922"/>
      <c r="D280" s="922"/>
      <c r="E280" s="922"/>
      <c r="F280" s="922"/>
      <c r="G280" s="922"/>
      <c r="H280" s="914">
        <f>IF(C280=$X$127,0.2,IF(C280=$Y$127,0.4,IF(C280=$Z$127,0.6,0)))</f>
        <v>0</v>
      </c>
      <c r="I280" s="914"/>
      <c r="J280" s="914"/>
      <c r="K280" s="146"/>
      <c r="L280" s="922"/>
      <c r="M280" s="922"/>
      <c r="N280" s="922"/>
      <c r="O280" s="21">
        <f>IF(H280&gt;=S280,H280-S280,0)</f>
        <v>0</v>
      </c>
      <c r="P280" s="755"/>
      <c r="R280" s="10"/>
      <c r="S280" s="147">
        <f>IF(L280=$Y$128,0.2,IF(L280=$Z$128,0.4,IF(L280=$AA$128,0.6,0)))</f>
        <v>0</v>
      </c>
      <c r="T280" s="147">
        <f>LARGE(O278:O280,3)</f>
        <v>0</v>
      </c>
      <c r="U280" s="10"/>
      <c r="V280" s="10"/>
      <c r="W280" s="50"/>
      <c r="X280" s="50" t="s">
        <v>510</v>
      </c>
      <c r="Y280" s="50" t="s">
        <v>899</v>
      </c>
      <c r="Z280" s="147" t="s">
        <v>1764</v>
      </c>
      <c r="AA280" s="50" t="s">
        <v>1639</v>
      </c>
      <c r="AB280" s="10"/>
      <c r="AC280" s="10"/>
      <c r="AD280" s="10"/>
      <c r="AE280" s="10"/>
      <c r="AF280" s="10"/>
      <c r="AG280" s="10"/>
      <c r="AH280" s="10"/>
      <c r="AI280" s="10"/>
      <c r="AJ280" s="10"/>
      <c r="AK280" s="10"/>
      <c r="AL280" s="10"/>
      <c r="AM280" s="10"/>
      <c r="AN280" s="10"/>
      <c r="AO280" s="10"/>
      <c r="AP280" s="10"/>
      <c r="AQ280" s="10"/>
      <c r="AR280" s="10"/>
      <c r="AS280" s="10"/>
      <c r="AT280" s="10"/>
    </row>
    <row r="281" spans="1:109" ht="12" customHeight="1" x14ac:dyDescent="0.2">
      <c r="B281" s="1003"/>
      <c r="C281" s="1003"/>
      <c r="D281" s="1003"/>
      <c r="E281" s="1003"/>
      <c r="F281" s="1003"/>
      <c r="G281" s="1003"/>
      <c r="H281" s="1003"/>
      <c r="I281" s="1003"/>
      <c r="J281" s="1003"/>
      <c r="K281" s="1003"/>
      <c r="L281" s="1003"/>
      <c r="M281" s="1003"/>
      <c r="N281" s="1003"/>
      <c r="O281" s="1003"/>
      <c r="P281" s="151"/>
      <c r="R281" s="10"/>
      <c r="S281" s="14"/>
      <c r="T281" s="14"/>
      <c r="U281" s="10"/>
      <c r="V281" s="10"/>
      <c r="W281" s="10"/>
      <c r="X281" s="10"/>
      <c r="Y281" s="10"/>
      <c r="Z281" s="14"/>
      <c r="AA281" s="10"/>
      <c r="AB281" s="10"/>
      <c r="AC281" s="10"/>
      <c r="AD281" s="10"/>
      <c r="AE281" s="10"/>
      <c r="AF281" s="10"/>
      <c r="AG281" s="10"/>
      <c r="AH281" s="10"/>
      <c r="AI281" s="10"/>
      <c r="AJ281" s="10"/>
      <c r="AK281" s="10"/>
      <c r="AL281" s="10"/>
      <c r="AM281" s="10"/>
      <c r="AN281" s="10"/>
      <c r="AO281" s="10"/>
      <c r="AP281" s="10"/>
      <c r="AQ281" s="10"/>
      <c r="AR281" s="10"/>
      <c r="AS281" s="10"/>
      <c r="AT281" s="10"/>
    </row>
    <row r="282" spans="1:109" ht="15" customHeight="1" x14ac:dyDescent="0.2">
      <c r="A282" s="15"/>
      <c r="B282" s="761" t="s">
        <v>952</v>
      </c>
      <c r="C282" s="937"/>
      <c r="D282" s="938"/>
      <c r="E282" s="742" t="s">
        <v>560</v>
      </c>
      <c r="F282" s="743"/>
      <c r="G282" s="743"/>
      <c r="H282" s="743"/>
      <c r="I282" s="743"/>
      <c r="J282" s="743"/>
      <c r="K282" s="743"/>
      <c r="L282" s="743"/>
      <c r="M282" s="743"/>
      <c r="N282" s="743"/>
      <c r="O282" s="744"/>
      <c r="P282" s="245">
        <f>IF(T282=1,0.15,0)</f>
        <v>0</v>
      </c>
      <c r="R282" s="947" t="s">
        <v>2147</v>
      </c>
      <c r="S282" s="561" t="b">
        <v>0</v>
      </c>
      <c r="T282" s="50">
        <f>IF(S282=TRUE,1,0)</f>
        <v>0</v>
      </c>
      <c r="U282" s="10"/>
      <c r="V282" s="10"/>
      <c r="W282" s="10"/>
      <c r="X282" s="10"/>
      <c r="Y282" s="10"/>
      <c r="Z282" s="10"/>
      <c r="AA282" s="10"/>
      <c r="AB282" s="10"/>
      <c r="AC282" s="10"/>
      <c r="AD282" s="10"/>
      <c r="AE282" s="10"/>
      <c r="AF282" s="10"/>
      <c r="AG282" s="10">
        <v>1E-4</v>
      </c>
      <c r="AH282" s="10"/>
      <c r="AI282" s="10"/>
      <c r="AJ282" s="10"/>
      <c r="AK282" s="10"/>
      <c r="AL282" s="10"/>
      <c r="AM282" s="10"/>
      <c r="AN282" s="10"/>
      <c r="AO282" s="10"/>
      <c r="AP282" s="10"/>
      <c r="AQ282" s="10"/>
      <c r="AR282" s="10"/>
      <c r="AS282" s="10"/>
      <c r="AT282" s="10"/>
    </row>
    <row r="283" spans="1:109" ht="15" customHeight="1" x14ac:dyDescent="0.2">
      <c r="B283" s="761"/>
      <c r="C283" s="937"/>
      <c r="D283" s="938"/>
      <c r="E283" s="742" t="s">
        <v>561</v>
      </c>
      <c r="F283" s="743"/>
      <c r="G283" s="743"/>
      <c r="H283" s="743"/>
      <c r="I283" s="743"/>
      <c r="J283" s="743"/>
      <c r="K283" s="743"/>
      <c r="L283" s="743"/>
      <c r="M283" s="743"/>
      <c r="N283" s="743"/>
      <c r="O283" s="744"/>
      <c r="P283" s="245">
        <f>IF(T283=1,0.25,0)</f>
        <v>0</v>
      </c>
      <c r="R283" s="947"/>
      <c r="S283" s="561" t="b">
        <v>0</v>
      </c>
      <c r="T283" s="50">
        <f>IF(S283=TRUE,1,0)</f>
        <v>0</v>
      </c>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row>
    <row r="284" spans="1:109" ht="15" customHeight="1" x14ac:dyDescent="0.2">
      <c r="B284" s="761"/>
      <c r="C284" s="937"/>
      <c r="D284" s="938"/>
      <c r="E284" s="742" t="s">
        <v>773</v>
      </c>
      <c r="F284" s="743"/>
      <c r="G284" s="743"/>
      <c r="H284" s="743"/>
      <c r="I284" s="743"/>
      <c r="J284" s="743"/>
      <c r="K284" s="743"/>
      <c r="L284" s="743"/>
      <c r="M284" s="743"/>
      <c r="N284" s="743"/>
      <c r="O284" s="744"/>
      <c r="P284" s="245">
        <f>IF(T284=1,0.23,0)</f>
        <v>0</v>
      </c>
      <c r="R284" s="947"/>
      <c r="S284" s="561" t="b">
        <v>0</v>
      </c>
      <c r="T284" s="50">
        <f>IF(S284=TRUE,1,0)</f>
        <v>0</v>
      </c>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row>
    <row r="285" spans="1:109" ht="12" customHeight="1" x14ac:dyDescent="0.2">
      <c r="B285" s="777"/>
      <c r="C285" s="777"/>
      <c r="D285" s="777"/>
      <c r="E285" s="777"/>
      <c r="F285" s="777"/>
      <c r="G285" s="777"/>
      <c r="H285" s="777"/>
      <c r="I285" s="777"/>
      <c r="J285" s="777"/>
      <c r="K285" s="777"/>
      <c r="L285" s="777"/>
      <c r="M285" s="777"/>
      <c r="N285" s="777"/>
      <c r="O285" s="777"/>
      <c r="P285" s="1"/>
      <c r="R285" s="10"/>
      <c r="S285" s="133"/>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row>
    <row r="286" spans="1:109" ht="15" customHeight="1" x14ac:dyDescent="0.2">
      <c r="B286" s="939" t="s">
        <v>1234</v>
      </c>
      <c r="C286" s="939"/>
      <c r="D286" s="939"/>
      <c r="E286" s="939"/>
      <c r="F286" s="939"/>
      <c r="G286" s="939"/>
      <c r="H286" s="939"/>
      <c r="I286" s="939"/>
      <c r="J286" s="939"/>
      <c r="K286" s="939"/>
      <c r="L286" s="939"/>
      <c r="M286" s="939"/>
      <c r="N286" s="939"/>
      <c r="O286" s="312"/>
      <c r="P286" s="21">
        <f>SUMIF(T286:X286,O286,T287:X287)</f>
        <v>0</v>
      </c>
      <c r="R286" s="949" t="s">
        <v>2147</v>
      </c>
      <c r="S286" s="949"/>
      <c r="T286" s="50" t="s">
        <v>1928</v>
      </c>
      <c r="U286" s="50" t="s">
        <v>1929</v>
      </c>
      <c r="V286" s="147" t="s">
        <v>1931</v>
      </c>
      <c r="W286" s="50" t="s">
        <v>929</v>
      </c>
      <c r="X286" s="147" t="s">
        <v>545</v>
      </c>
      <c r="Y286" s="10"/>
      <c r="Z286" s="50" t="s">
        <v>1928</v>
      </c>
      <c r="AA286" s="50" t="s">
        <v>1929</v>
      </c>
      <c r="AB286" s="147" t="s">
        <v>1931</v>
      </c>
      <c r="AC286" s="50" t="s">
        <v>929</v>
      </c>
      <c r="AD286" s="147" t="s">
        <v>545</v>
      </c>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row>
    <row r="287" spans="1:109" ht="15" customHeight="1" x14ac:dyDescent="0.2">
      <c r="B287" s="939" t="s">
        <v>1469</v>
      </c>
      <c r="C287" s="939"/>
      <c r="D287" s="939"/>
      <c r="E287" s="939"/>
      <c r="F287" s="939"/>
      <c r="G287" s="939"/>
      <c r="H287" s="939"/>
      <c r="I287" s="939"/>
      <c r="J287" s="939"/>
      <c r="K287" s="939"/>
      <c r="L287" s="939"/>
      <c r="M287" s="939"/>
      <c r="N287" s="939"/>
      <c r="O287" s="312"/>
      <c r="P287" s="21">
        <f>SUMIF(Z286:AD286,O287,Z287:AD287)</f>
        <v>0</v>
      </c>
      <c r="R287" s="949"/>
      <c r="S287" s="949"/>
      <c r="T287" s="147">
        <v>0.03</v>
      </c>
      <c r="U287" s="147">
        <v>0.15</v>
      </c>
      <c r="V287" s="147">
        <v>0.38</v>
      </c>
      <c r="W287" s="147">
        <v>0.68</v>
      </c>
      <c r="X287" s="147">
        <v>0.9</v>
      </c>
      <c r="Y287" s="10"/>
      <c r="Z287" s="147">
        <v>0.03</v>
      </c>
      <c r="AA287" s="147">
        <v>0.15</v>
      </c>
      <c r="AB287" s="147">
        <v>0.35</v>
      </c>
      <c r="AC287" s="147">
        <v>0.63</v>
      </c>
      <c r="AD287" s="147">
        <v>0.88</v>
      </c>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row>
    <row r="288" spans="1:109" ht="12" customHeight="1" x14ac:dyDescent="0.2">
      <c r="B288" s="777"/>
      <c r="C288" s="777"/>
      <c r="D288" s="777"/>
      <c r="E288" s="777"/>
      <c r="F288" s="777"/>
      <c r="G288" s="777"/>
      <c r="H288" s="777"/>
      <c r="I288" s="777"/>
      <c r="J288" s="777"/>
      <c r="K288" s="777"/>
      <c r="L288" s="777"/>
      <c r="M288" s="777"/>
      <c r="N288" s="777"/>
      <c r="O288" s="777"/>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row>
    <row r="289" spans="2:47" ht="27" customHeight="1" x14ac:dyDescent="0.2">
      <c r="B289" s="864" t="s">
        <v>1632</v>
      </c>
      <c r="C289" s="865"/>
      <c r="D289" s="865"/>
      <c r="E289" s="865"/>
      <c r="F289" s="866"/>
      <c r="G289" s="907" t="s">
        <v>1495</v>
      </c>
      <c r="H289" s="945"/>
      <c r="I289" s="945"/>
      <c r="J289" s="946"/>
      <c r="K289" s="967"/>
      <c r="L289" s="968"/>
      <c r="M289" s="968"/>
      <c r="N289" s="968"/>
      <c r="O289" s="969"/>
      <c r="P289" s="857">
        <f>U303</f>
        <v>0</v>
      </c>
      <c r="R289" s="146" t="s">
        <v>1826</v>
      </c>
      <c r="S289" s="50" t="s">
        <v>1285</v>
      </c>
      <c r="T289" s="50" t="s">
        <v>1286</v>
      </c>
      <c r="U289" s="50" t="s">
        <v>1287</v>
      </c>
      <c r="V289" s="944" t="s">
        <v>786</v>
      </c>
      <c r="W289" s="945"/>
      <c r="X289" s="946"/>
      <c r="Y289" s="50" t="s">
        <v>498</v>
      </c>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row>
    <row r="290" spans="2:47" ht="15" customHeight="1" x14ac:dyDescent="0.2">
      <c r="B290" s="941" t="s">
        <v>615</v>
      </c>
      <c r="C290" s="942"/>
      <c r="D290" s="943"/>
      <c r="E290" s="1069">
        <f>P234</f>
        <v>0</v>
      </c>
      <c r="F290" s="1091"/>
      <c r="G290" s="977"/>
      <c r="H290" s="977"/>
      <c r="I290" s="914">
        <f t="shared" ref="I290:I292" si="46">IF(AND(Y290&lt;0.01,Y290&gt;0),0.01,ROUND(Y290,2))</f>
        <v>0</v>
      </c>
      <c r="J290" s="914"/>
      <c r="K290" s="970"/>
      <c r="L290" s="971"/>
      <c r="M290" s="971"/>
      <c r="N290" s="971"/>
      <c r="O290" s="972"/>
      <c r="P290" s="961"/>
      <c r="R290" s="548">
        <f t="shared" ref="R290:R303" si="47">IF(I290&gt;0,I290,E290)</f>
        <v>0</v>
      </c>
      <c r="S290" s="147">
        <f>LARGE($R$290:$R$304,1)</f>
        <v>0</v>
      </c>
      <c r="T290" s="544">
        <f>S290+S291*(1-S290)</f>
        <v>0</v>
      </c>
      <c r="U290" s="548">
        <f t="shared" ref="U290:U303" si="48">ROUND(T290,2)</f>
        <v>0</v>
      </c>
      <c r="V290" s="50">
        <f>IF(E290&gt;0,1,0)</f>
        <v>0</v>
      </c>
      <c r="W290" s="566">
        <f>COUNTIF(V290:V304,1)</f>
        <v>0</v>
      </c>
      <c r="X290" s="566">
        <f>IF(AND(W290=0,W291&gt;0),1,IF(W290&gt;0,2,0))</f>
        <v>0</v>
      </c>
      <c r="Y290" s="291">
        <f t="shared" ref="Y290:Y302" si="49">E290*G290</f>
        <v>0</v>
      </c>
      <c r="AA290" s="10"/>
      <c r="AD290" s="10"/>
      <c r="AG290" s="10"/>
      <c r="AH290" s="10"/>
      <c r="AI290" s="10"/>
      <c r="AJ290" s="10"/>
      <c r="AK290" s="10"/>
      <c r="AL290" s="10"/>
      <c r="AM290" s="10"/>
      <c r="AN290" s="10"/>
      <c r="AO290" s="10"/>
      <c r="AP290" s="10"/>
      <c r="AQ290" s="10"/>
      <c r="AR290" s="10"/>
      <c r="AS290" s="10"/>
      <c r="AT290" s="10"/>
      <c r="AU290" s="10"/>
    </row>
    <row r="291" spans="2:47" ht="15" customHeight="1" x14ac:dyDescent="0.2">
      <c r="B291" s="742" t="s">
        <v>372</v>
      </c>
      <c r="C291" s="743"/>
      <c r="D291" s="744"/>
      <c r="E291" s="755">
        <f>P237</f>
        <v>0</v>
      </c>
      <c r="F291" s="755"/>
      <c r="G291" s="977"/>
      <c r="H291" s="977"/>
      <c r="I291" s="914">
        <f t="shared" ref="I291" si="50">IF(AND(Y291&lt;0.01,Y291&gt;0),0.01,ROUND(Y291,2))</f>
        <v>0</v>
      </c>
      <c r="J291" s="914"/>
      <c r="K291" s="970"/>
      <c r="L291" s="971"/>
      <c r="M291" s="971"/>
      <c r="N291" s="971"/>
      <c r="O291" s="972"/>
      <c r="P291" s="961"/>
      <c r="R291" s="548">
        <f t="shared" si="47"/>
        <v>0</v>
      </c>
      <c r="S291" s="147">
        <f>LARGE($R$290:$R$304,2)</f>
        <v>0</v>
      </c>
      <c r="T291" s="544">
        <f>U290+S292*(1-U290)</f>
        <v>0</v>
      </c>
      <c r="U291" s="548">
        <f t="shared" si="48"/>
        <v>0</v>
      </c>
      <c r="V291" s="50">
        <f>IF(E291&gt;0,2,0)</f>
        <v>0</v>
      </c>
      <c r="W291" s="566">
        <f>COUNTIF(V290:V304,2)</f>
        <v>0</v>
      </c>
      <c r="X291" s="10"/>
      <c r="Y291" s="291">
        <f t="shared" si="49"/>
        <v>0</v>
      </c>
      <c r="AA291" s="777"/>
      <c r="AB291" s="777"/>
      <c r="AC291" s="777"/>
      <c r="AD291" s="10"/>
      <c r="AG291" s="10"/>
      <c r="AH291" s="10"/>
      <c r="AI291" s="10"/>
      <c r="AJ291" s="10"/>
      <c r="AK291" s="10"/>
      <c r="AL291" s="10"/>
      <c r="AM291" s="10"/>
      <c r="AN291" s="10"/>
      <c r="AO291" s="10"/>
      <c r="AP291" s="10"/>
      <c r="AQ291" s="10"/>
      <c r="AR291" s="10"/>
      <c r="AS291" s="10"/>
      <c r="AT291" s="10"/>
      <c r="AU291" s="10"/>
    </row>
    <row r="292" spans="2:47" ht="15" customHeight="1" x14ac:dyDescent="0.2">
      <c r="B292" s="742" t="s">
        <v>1918</v>
      </c>
      <c r="C292" s="743"/>
      <c r="D292" s="744"/>
      <c r="E292" s="755">
        <f>IF(E615&gt;0,0,P241)</f>
        <v>0</v>
      </c>
      <c r="F292" s="755"/>
      <c r="G292" s="977"/>
      <c r="H292" s="977"/>
      <c r="I292" s="914">
        <f t="shared" si="46"/>
        <v>0</v>
      </c>
      <c r="J292" s="914"/>
      <c r="K292" s="970"/>
      <c r="L292" s="971"/>
      <c r="M292" s="971"/>
      <c r="N292" s="971"/>
      <c r="O292" s="972"/>
      <c r="P292" s="961"/>
      <c r="R292" s="548">
        <f t="shared" si="47"/>
        <v>0</v>
      </c>
      <c r="S292" s="147">
        <f>LARGE($R$290:$R$304,3)</f>
        <v>0</v>
      </c>
      <c r="T292" s="544">
        <f>U291+S293*(1-U291)</f>
        <v>0</v>
      </c>
      <c r="U292" s="548">
        <f t="shared" si="48"/>
        <v>0</v>
      </c>
      <c r="V292" s="50">
        <f t="shared" ref="V292:V304" si="51">IF(E292&gt;0,1,0)</f>
        <v>0</v>
      </c>
      <c r="W292" s="10"/>
      <c r="X292" s="10"/>
      <c r="Y292" s="291">
        <f t="shared" si="49"/>
        <v>0</v>
      </c>
      <c r="Z292" s="10"/>
      <c r="AA292" s="777"/>
      <c r="AB292" s="777"/>
      <c r="AC292" s="777"/>
      <c r="AD292" s="10"/>
      <c r="AG292" s="10"/>
      <c r="AH292" s="10"/>
      <c r="AI292" s="10"/>
      <c r="AJ292" s="10"/>
      <c r="AK292" s="10"/>
      <c r="AL292" s="10"/>
      <c r="AM292" s="10"/>
      <c r="AN292" s="10"/>
      <c r="AO292" s="10"/>
      <c r="AP292" s="10"/>
      <c r="AQ292" s="10"/>
      <c r="AR292" s="10"/>
      <c r="AS292" s="10"/>
      <c r="AT292" s="10"/>
      <c r="AU292" s="10"/>
    </row>
    <row r="293" spans="2:47" ht="15" customHeight="1" x14ac:dyDescent="0.2">
      <c r="B293" s="791" t="s">
        <v>1389</v>
      </c>
      <c r="C293" s="791"/>
      <c r="D293" s="791"/>
      <c r="E293" s="727">
        <f>P258</f>
        <v>0</v>
      </c>
      <c r="F293" s="729"/>
      <c r="G293" s="977"/>
      <c r="H293" s="977"/>
      <c r="I293" s="914">
        <f t="shared" ref="I293:I299" si="52">IF(AND(Y293&lt;0.01,Y293&gt;0),0.01,ROUND(Y293,2))</f>
        <v>0</v>
      </c>
      <c r="J293" s="914"/>
      <c r="K293" s="970"/>
      <c r="L293" s="971"/>
      <c r="M293" s="971"/>
      <c r="N293" s="971"/>
      <c r="O293" s="972"/>
      <c r="P293" s="961"/>
      <c r="R293" s="548">
        <f t="shared" si="47"/>
        <v>0</v>
      </c>
      <c r="S293" s="147">
        <f>LARGE($R$290:$R$304,4)</f>
        <v>0</v>
      </c>
      <c r="T293" s="544">
        <f t="shared" ref="T293:T303" si="53">U292+S294*(1-U292)</f>
        <v>0</v>
      </c>
      <c r="U293" s="548">
        <f t="shared" si="48"/>
        <v>0</v>
      </c>
      <c r="V293" s="50">
        <f t="shared" si="51"/>
        <v>0</v>
      </c>
      <c r="W293" s="10"/>
      <c r="X293" s="10"/>
      <c r="Y293" s="291">
        <f t="shared" si="49"/>
        <v>0</v>
      </c>
      <c r="Z293" s="597"/>
      <c r="AA293" s="777"/>
      <c r="AB293" s="777"/>
      <c r="AC293" s="777"/>
      <c r="AD293" s="10"/>
      <c r="AG293" s="10"/>
      <c r="AH293" s="10"/>
      <c r="AI293" s="10"/>
      <c r="AJ293" s="10"/>
      <c r="AK293" s="10"/>
      <c r="AL293" s="10"/>
      <c r="AM293" s="10"/>
      <c r="AN293" s="10"/>
      <c r="AO293" s="10"/>
      <c r="AP293" s="10"/>
      <c r="AQ293" s="10"/>
      <c r="AR293" s="10"/>
      <c r="AS293" s="10"/>
      <c r="AT293" s="10"/>
      <c r="AU293" s="10"/>
    </row>
    <row r="294" spans="2:47" ht="15" customHeight="1" x14ac:dyDescent="0.2">
      <c r="B294" s="742" t="s">
        <v>1390</v>
      </c>
      <c r="C294" s="743"/>
      <c r="D294" s="744"/>
      <c r="E294" s="727">
        <f>P259</f>
        <v>0</v>
      </c>
      <c r="F294" s="729"/>
      <c r="G294" s="977"/>
      <c r="H294" s="977"/>
      <c r="I294" s="914">
        <f t="shared" si="52"/>
        <v>0</v>
      </c>
      <c r="J294" s="914"/>
      <c r="K294" s="970"/>
      <c r="L294" s="971"/>
      <c r="M294" s="971"/>
      <c r="N294" s="971"/>
      <c r="O294" s="972"/>
      <c r="P294" s="961"/>
      <c r="R294" s="548">
        <f t="shared" si="47"/>
        <v>0</v>
      </c>
      <c r="S294" s="147">
        <f>LARGE($R$290:$R$304,5)</f>
        <v>0</v>
      </c>
      <c r="T294" s="544">
        <f t="shared" si="53"/>
        <v>0</v>
      </c>
      <c r="U294" s="548">
        <f t="shared" si="48"/>
        <v>0</v>
      </c>
      <c r="V294" s="50">
        <f t="shared" si="51"/>
        <v>0</v>
      </c>
      <c r="W294" s="10"/>
      <c r="X294" s="10"/>
      <c r="Y294" s="291">
        <f t="shared" si="49"/>
        <v>0</v>
      </c>
      <c r="Z294" s="597"/>
      <c r="AA294" s="777"/>
      <c r="AB294" s="777"/>
      <c r="AC294" s="777"/>
      <c r="AD294" s="10"/>
      <c r="AE294" s="10"/>
      <c r="AF294" s="10"/>
      <c r="AG294" s="10"/>
      <c r="AH294" s="10"/>
      <c r="AI294" s="10"/>
      <c r="AJ294" s="10"/>
      <c r="AK294" s="10"/>
      <c r="AL294" s="10"/>
      <c r="AM294" s="10"/>
      <c r="AN294" s="10"/>
      <c r="AO294" s="10"/>
      <c r="AP294" s="10"/>
      <c r="AQ294" s="10"/>
      <c r="AR294" s="10"/>
      <c r="AS294" s="10"/>
      <c r="AT294" s="10"/>
      <c r="AU294" s="10"/>
    </row>
    <row r="295" spans="2:47" ht="15" customHeight="1" x14ac:dyDescent="0.2">
      <c r="B295" s="742" t="s">
        <v>1391</v>
      </c>
      <c r="C295" s="743"/>
      <c r="D295" s="744"/>
      <c r="E295" s="727">
        <f>P260</f>
        <v>0</v>
      </c>
      <c r="F295" s="729"/>
      <c r="G295" s="977"/>
      <c r="H295" s="977"/>
      <c r="I295" s="914">
        <f t="shared" si="52"/>
        <v>0</v>
      </c>
      <c r="J295" s="914"/>
      <c r="K295" s="970"/>
      <c r="L295" s="971"/>
      <c r="M295" s="971"/>
      <c r="N295" s="971"/>
      <c r="O295" s="972"/>
      <c r="P295" s="961"/>
      <c r="R295" s="548">
        <f t="shared" si="47"/>
        <v>0</v>
      </c>
      <c r="S295" s="147">
        <f>LARGE($R$290:$R$304,6)</f>
        <v>0</v>
      </c>
      <c r="T295" s="544">
        <f t="shared" si="53"/>
        <v>0</v>
      </c>
      <c r="U295" s="548">
        <f t="shared" si="48"/>
        <v>0</v>
      </c>
      <c r="V295" s="50">
        <f t="shared" si="51"/>
        <v>0</v>
      </c>
      <c r="W295" s="10"/>
      <c r="X295" s="10"/>
      <c r="Y295" s="291">
        <f t="shared" si="49"/>
        <v>0</v>
      </c>
      <c r="Z295" s="597"/>
      <c r="AC295" s="10"/>
      <c r="AD295" s="10"/>
      <c r="AE295" s="10"/>
      <c r="AF295" s="10"/>
      <c r="AG295" s="10"/>
      <c r="AH295" s="10"/>
      <c r="AI295" s="10"/>
      <c r="AJ295" s="10"/>
      <c r="AK295" s="10"/>
      <c r="AL295" s="10"/>
      <c r="AM295" s="10"/>
      <c r="AN295" s="10"/>
      <c r="AO295" s="10"/>
      <c r="AP295" s="10"/>
      <c r="AQ295" s="10"/>
      <c r="AR295" s="10"/>
      <c r="AS295" s="10"/>
      <c r="AT295" s="10"/>
      <c r="AU295" s="10"/>
    </row>
    <row r="296" spans="2:47" ht="15" customHeight="1" x14ac:dyDescent="0.2">
      <c r="B296" s="742" t="s">
        <v>1392</v>
      </c>
      <c r="C296" s="743"/>
      <c r="D296" s="744"/>
      <c r="E296" s="727">
        <f>P261</f>
        <v>0</v>
      </c>
      <c r="F296" s="729"/>
      <c r="G296" s="977"/>
      <c r="H296" s="977"/>
      <c r="I296" s="914">
        <f t="shared" si="52"/>
        <v>0</v>
      </c>
      <c r="J296" s="914"/>
      <c r="K296" s="970"/>
      <c r="L296" s="971"/>
      <c r="M296" s="971"/>
      <c r="N296" s="971"/>
      <c r="O296" s="972"/>
      <c r="P296" s="961"/>
      <c r="R296" s="548">
        <f t="shared" si="47"/>
        <v>0</v>
      </c>
      <c r="S296" s="147">
        <f>LARGE($R$290:$R$304,7)</f>
        <v>0</v>
      </c>
      <c r="T296" s="544">
        <f t="shared" si="53"/>
        <v>0</v>
      </c>
      <c r="U296" s="548">
        <f t="shared" si="48"/>
        <v>0</v>
      </c>
      <c r="V296" s="50">
        <f t="shared" si="51"/>
        <v>0</v>
      </c>
      <c r="W296" s="10"/>
      <c r="X296" s="10"/>
      <c r="Y296" s="291">
        <f t="shared" si="49"/>
        <v>0</v>
      </c>
      <c r="Z296" s="597"/>
      <c r="AC296" s="10"/>
      <c r="AD296" s="10"/>
      <c r="AE296" s="10"/>
      <c r="AF296" s="10"/>
      <c r="AG296" s="10"/>
      <c r="AH296" s="10"/>
      <c r="AI296" s="10"/>
      <c r="AJ296" s="10"/>
      <c r="AK296" s="10"/>
      <c r="AL296" s="10"/>
      <c r="AM296" s="10"/>
      <c r="AN296" s="10"/>
      <c r="AO296" s="10"/>
      <c r="AP296" s="10"/>
      <c r="AQ296" s="10"/>
      <c r="AR296" s="10"/>
      <c r="AS296" s="10"/>
      <c r="AT296" s="10"/>
      <c r="AU296" s="10"/>
    </row>
    <row r="297" spans="2:47" ht="15" customHeight="1" x14ac:dyDescent="0.2">
      <c r="B297" s="742" t="s">
        <v>1945</v>
      </c>
      <c r="C297" s="743"/>
      <c r="D297" s="744"/>
      <c r="E297" s="755">
        <f>P270</f>
        <v>0</v>
      </c>
      <c r="F297" s="755"/>
      <c r="G297" s="977"/>
      <c r="H297" s="977"/>
      <c r="I297" s="914">
        <f t="shared" si="52"/>
        <v>0</v>
      </c>
      <c r="J297" s="914"/>
      <c r="K297" s="970"/>
      <c r="L297" s="971"/>
      <c r="M297" s="971"/>
      <c r="N297" s="971"/>
      <c r="O297" s="972"/>
      <c r="P297" s="961"/>
      <c r="R297" s="548">
        <f t="shared" si="47"/>
        <v>0</v>
      </c>
      <c r="S297" s="147">
        <f>LARGE($R$290:$R$304,8)</f>
        <v>0</v>
      </c>
      <c r="T297" s="544">
        <f t="shared" si="53"/>
        <v>0</v>
      </c>
      <c r="U297" s="548">
        <f t="shared" si="48"/>
        <v>0</v>
      </c>
      <c r="V297" s="50">
        <f t="shared" si="51"/>
        <v>0</v>
      </c>
      <c r="W297" s="10"/>
      <c r="X297" s="10"/>
      <c r="Y297" s="291">
        <f t="shared" si="49"/>
        <v>0</v>
      </c>
      <c r="Z297" s="597"/>
      <c r="AC297" s="10"/>
      <c r="AD297" s="10"/>
      <c r="AE297" s="10"/>
      <c r="AF297" s="10"/>
      <c r="AG297" s="10"/>
      <c r="AH297" s="10"/>
      <c r="AI297" s="10"/>
      <c r="AJ297" s="10"/>
      <c r="AK297" s="10"/>
      <c r="AL297" s="10"/>
      <c r="AM297" s="10"/>
      <c r="AN297" s="10"/>
      <c r="AO297" s="10"/>
      <c r="AP297" s="10"/>
      <c r="AQ297" s="10"/>
      <c r="AR297" s="10"/>
      <c r="AS297" s="10"/>
      <c r="AT297" s="10"/>
      <c r="AU297" s="10"/>
    </row>
    <row r="298" spans="2:47" ht="15" customHeight="1" x14ac:dyDescent="0.2">
      <c r="B298" s="742" t="s">
        <v>1208</v>
      </c>
      <c r="C298" s="743"/>
      <c r="D298" s="744"/>
      <c r="E298" s="755">
        <f>P275</f>
        <v>0</v>
      </c>
      <c r="F298" s="755"/>
      <c r="G298" s="977"/>
      <c r="H298" s="977"/>
      <c r="I298" s="914">
        <f t="shared" si="52"/>
        <v>0</v>
      </c>
      <c r="J298" s="914"/>
      <c r="K298" s="623"/>
      <c r="L298" s="624"/>
      <c r="M298" s="624"/>
      <c r="N298" s="624"/>
      <c r="O298" s="625"/>
      <c r="P298" s="961"/>
      <c r="R298" s="548">
        <f t="shared" si="47"/>
        <v>0</v>
      </c>
      <c r="S298" s="147">
        <f>LARGE($R$290:$R$304,9)</f>
        <v>0</v>
      </c>
      <c r="T298" s="544">
        <f t="shared" si="53"/>
        <v>0</v>
      </c>
      <c r="U298" s="548">
        <f t="shared" si="48"/>
        <v>0</v>
      </c>
      <c r="V298" s="50">
        <f t="shared" si="51"/>
        <v>0</v>
      </c>
      <c r="W298" s="10"/>
      <c r="X298" s="10"/>
      <c r="Y298" s="291">
        <f t="shared" si="49"/>
        <v>0</v>
      </c>
      <c r="Z298" s="73"/>
      <c r="AC298" s="10"/>
      <c r="AD298" s="10"/>
      <c r="AE298" s="10"/>
      <c r="AF298" s="10"/>
      <c r="AG298" s="10"/>
      <c r="AH298" s="10"/>
      <c r="AI298" s="10"/>
      <c r="AJ298" s="10"/>
      <c r="AK298" s="10"/>
      <c r="AL298" s="10"/>
      <c r="AM298" s="10"/>
      <c r="AN298" s="10"/>
      <c r="AO298" s="10"/>
      <c r="AP298" s="10"/>
      <c r="AQ298" s="10"/>
      <c r="AR298" s="10"/>
      <c r="AS298" s="10"/>
      <c r="AT298" s="10"/>
      <c r="AU298" s="10"/>
    </row>
    <row r="299" spans="2:47" ht="15" customHeight="1" x14ac:dyDescent="0.2">
      <c r="B299" s="742" t="s">
        <v>1214</v>
      </c>
      <c r="C299" s="743"/>
      <c r="D299" s="744"/>
      <c r="E299" s="755">
        <f>P277</f>
        <v>0</v>
      </c>
      <c r="F299" s="755"/>
      <c r="G299" s="977"/>
      <c r="H299" s="977"/>
      <c r="I299" s="914">
        <f t="shared" si="52"/>
        <v>0</v>
      </c>
      <c r="J299" s="914"/>
      <c r="K299" s="623"/>
      <c r="L299" s="624"/>
      <c r="M299" s="624"/>
      <c r="N299" s="624"/>
      <c r="O299" s="625"/>
      <c r="P299" s="961"/>
      <c r="R299" s="548">
        <f t="shared" si="47"/>
        <v>0</v>
      </c>
      <c r="S299" s="147">
        <f>LARGE($R$290:$R$304,10)</f>
        <v>0</v>
      </c>
      <c r="T299" s="544">
        <f t="shared" si="53"/>
        <v>0</v>
      </c>
      <c r="U299" s="548">
        <f t="shared" si="48"/>
        <v>0</v>
      </c>
      <c r="V299" s="50">
        <f t="shared" si="51"/>
        <v>0</v>
      </c>
      <c r="W299" s="10"/>
      <c r="X299" s="10"/>
      <c r="Y299" s="291">
        <f t="shared" si="49"/>
        <v>0</v>
      </c>
      <c r="Z299" s="73"/>
      <c r="AC299" s="10"/>
      <c r="AD299" s="10"/>
      <c r="AE299" s="10"/>
      <c r="AF299" s="10"/>
      <c r="AG299" s="10"/>
      <c r="AH299" s="10"/>
      <c r="AI299" s="10"/>
      <c r="AJ299" s="10"/>
      <c r="AK299" s="10"/>
      <c r="AL299" s="10"/>
      <c r="AM299" s="10"/>
      <c r="AN299" s="10"/>
      <c r="AO299" s="10"/>
      <c r="AP299" s="10"/>
      <c r="AQ299" s="10"/>
      <c r="AR299" s="10"/>
      <c r="AS299" s="10"/>
      <c r="AT299" s="10"/>
      <c r="AU299" s="10"/>
    </row>
    <row r="300" spans="2:47" ht="15" customHeight="1" x14ac:dyDescent="0.2">
      <c r="B300" s="742" t="s">
        <v>373</v>
      </c>
      <c r="C300" s="743"/>
      <c r="D300" s="744"/>
      <c r="E300" s="755">
        <f>P282</f>
        <v>0</v>
      </c>
      <c r="F300" s="755"/>
      <c r="G300" s="977"/>
      <c r="H300" s="977"/>
      <c r="I300" s="914">
        <f t="shared" ref="I300:I302" si="54">IF(AND(Y300&lt;0.01,Y300&gt;0),0.01,ROUND(Y300,2))</f>
        <v>0</v>
      </c>
      <c r="J300" s="914"/>
      <c r="K300" s="915" t="str">
        <f>IF(AND(P241&gt;0,E615&gt;0),"A value has been granted for motor loss. Additional impairment value is not allowed for reduced ROM in the same extremity.","")</f>
        <v/>
      </c>
      <c r="L300" s="916"/>
      <c r="M300" s="916"/>
      <c r="N300" s="916"/>
      <c r="O300" s="917"/>
      <c r="P300" s="961"/>
      <c r="R300" s="548">
        <f t="shared" si="47"/>
        <v>0</v>
      </c>
      <c r="S300" s="147">
        <f>LARGE($R$290:$R$304,11)</f>
        <v>0</v>
      </c>
      <c r="T300" s="544">
        <f t="shared" si="53"/>
        <v>0</v>
      </c>
      <c r="U300" s="548">
        <f t="shared" si="48"/>
        <v>0</v>
      </c>
      <c r="V300" s="50">
        <f t="shared" si="51"/>
        <v>0</v>
      </c>
      <c r="W300" s="10"/>
      <c r="X300" s="10"/>
      <c r="Y300" s="291">
        <f t="shared" si="49"/>
        <v>0</v>
      </c>
      <c r="Z300" s="73"/>
      <c r="AC300" s="10"/>
      <c r="AD300" s="10"/>
      <c r="AE300" s="10"/>
      <c r="AF300" s="10"/>
      <c r="AG300" s="10"/>
      <c r="AH300" s="10"/>
      <c r="AI300" s="10"/>
      <c r="AJ300" s="10"/>
      <c r="AK300" s="10"/>
      <c r="AL300" s="10"/>
      <c r="AM300" s="10"/>
      <c r="AN300" s="10"/>
      <c r="AO300" s="10"/>
      <c r="AP300" s="10"/>
      <c r="AQ300" s="10"/>
      <c r="AR300" s="10"/>
      <c r="AS300" s="10"/>
      <c r="AT300" s="10"/>
      <c r="AU300" s="10"/>
    </row>
    <row r="301" spans="2:47" ht="15" customHeight="1" x14ac:dyDescent="0.2">
      <c r="B301" s="742" t="s">
        <v>374</v>
      </c>
      <c r="C301" s="743"/>
      <c r="D301" s="744"/>
      <c r="E301" s="755">
        <f>P283</f>
        <v>0</v>
      </c>
      <c r="F301" s="755"/>
      <c r="G301" s="977"/>
      <c r="H301" s="977"/>
      <c r="I301" s="914">
        <f t="shared" si="54"/>
        <v>0</v>
      </c>
      <c r="J301" s="914"/>
      <c r="K301" s="915"/>
      <c r="L301" s="916"/>
      <c r="M301" s="916"/>
      <c r="N301" s="916"/>
      <c r="O301" s="917"/>
      <c r="P301" s="961"/>
      <c r="R301" s="548">
        <f t="shared" si="47"/>
        <v>0</v>
      </c>
      <c r="S301" s="147">
        <f>LARGE($R$290:$R$304,12)</f>
        <v>0</v>
      </c>
      <c r="T301" s="544">
        <f t="shared" si="53"/>
        <v>0</v>
      </c>
      <c r="U301" s="548">
        <f t="shared" si="48"/>
        <v>0</v>
      </c>
      <c r="V301" s="50">
        <f t="shared" si="51"/>
        <v>0</v>
      </c>
      <c r="W301" s="10"/>
      <c r="X301" s="10"/>
      <c r="Y301" s="291">
        <f t="shared" si="49"/>
        <v>0</v>
      </c>
      <c r="Z301" s="57"/>
      <c r="AC301" s="10"/>
      <c r="AD301" s="10"/>
      <c r="AE301" s="10"/>
      <c r="AF301" s="10"/>
      <c r="AG301" s="10"/>
      <c r="AH301" s="10"/>
      <c r="AI301" s="10"/>
      <c r="AJ301" s="10"/>
      <c r="AK301" s="10"/>
      <c r="AL301" s="10"/>
      <c r="AM301" s="10"/>
      <c r="AN301" s="10"/>
      <c r="AO301" s="10"/>
      <c r="AP301" s="10"/>
      <c r="AQ301" s="10"/>
      <c r="AR301" s="10"/>
      <c r="AS301" s="10"/>
      <c r="AT301" s="10"/>
      <c r="AU301" s="10"/>
    </row>
    <row r="302" spans="2:47" ht="15" customHeight="1" x14ac:dyDescent="0.2">
      <c r="B302" s="742" t="s">
        <v>792</v>
      </c>
      <c r="C302" s="743"/>
      <c r="D302" s="744"/>
      <c r="E302" s="755">
        <f>P284</f>
        <v>0</v>
      </c>
      <c r="F302" s="755"/>
      <c r="G302" s="977"/>
      <c r="H302" s="977"/>
      <c r="I302" s="914">
        <f t="shared" si="54"/>
        <v>0</v>
      </c>
      <c r="J302" s="914"/>
      <c r="K302" s="915"/>
      <c r="L302" s="916"/>
      <c r="M302" s="916"/>
      <c r="N302" s="916"/>
      <c r="O302" s="917"/>
      <c r="P302" s="961"/>
      <c r="R302" s="548">
        <f t="shared" si="47"/>
        <v>0</v>
      </c>
      <c r="S302" s="147">
        <f>LARGE($R$290:$R$304,13)</f>
        <v>0</v>
      </c>
      <c r="T302" s="544">
        <f t="shared" si="53"/>
        <v>0</v>
      </c>
      <c r="U302" s="548">
        <f t="shared" si="48"/>
        <v>0</v>
      </c>
      <c r="V302" s="50">
        <f t="shared" si="51"/>
        <v>0</v>
      </c>
      <c r="W302" s="10"/>
      <c r="X302" s="10"/>
      <c r="Y302" s="291">
        <f t="shared" si="49"/>
        <v>0</v>
      </c>
      <c r="Z302" s="57"/>
      <c r="AC302" s="10"/>
      <c r="AD302" s="10"/>
      <c r="AE302" s="10"/>
      <c r="AF302" s="10"/>
      <c r="AG302" s="10"/>
      <c r="AH302" s="10"/>
      <c r="AI302" s="10"/>
      <c r="AJ302" s="10"/>
      <c r="AK302" s="10"/>
      <c r="AL302" s="10"/>
      <c r="AM302" s="10"/>
      <c r="AN302" s="10"/>
      <c r="AO302" s="10"/>
      <c r="AP302" s="10"/>
      <c r="AQ302" s="10"/>
      <c r="AR302" s="10"/>
      <c r="AS302" s="10"/>
      <c r="AT302" s="10"/>
      <c r="AU302" s="10"/>
    </row>
    <row r="303" spans="2:47" ht="15" customHeight="1" x14ac:dyDescent="0.2">
      <c r="B303" s="742" t="s">
        <v>1419</v>
      </c>
      <c r="C303" s="743"/>
      <c r="D303" s="744"/>
      <c r="E303" s="755">
        <f>P286</f>
        <v>0</v>
      </c>
      <c r="F303" s="755"/>
      <c r="G303" s="977"/>
      <c r="H303" s="977"/>
      <c r="I303" s="914">
        <f>IF(AND(Y303&lt;0.01,Y303&gt;0),0.01,ROUND(Y303,2))</f>
        <v>0</v>
      </c>
      <c r="J303" s="914"/>
      <c r="K303" s="915"/>
      <c r="L303" s="916"/>
      <c r="M303" s="916"/>
      <c r="N303" s="916"/>
      <c r="O303" s="917"/>
      <c r="P303" s="961"/>
      <c r="R303" s="548">
        <f t="shared" si="47"/>
        <v>0</v>
      </c>
      <c r="S303" s="147">
        <f>LARGE($R$290:$R$304,14)</f>
        <v>0</v>
      </c>
      <c r="T303" s="544">
        <f t="shared" si="53"/>
        <v>0</v>
      </c>
      <c r="U303" s="548">
        <f t="shared" si="48"/>
        <v>0</v>
      </c>
      <c r="V303" s="50">
        <f t="shared" si="51"/>
        <v>0</v>
      </c>
      <c r="W303" s="10"/>
      <c r="X303" s="10"/>
      <c r="Y303" s="291">
        <f t="shared" ref="Y303:Y304" si="55">E303*G303</f>
        <v>0</v>
      </c>
      <c r="Z303" s="73"/>
      <c r="AA303" s="10"/>
      <c r="AB303" s="10"/>
      <c r="AC303" s="10"/>
      <c r="AD303" s="10"/>
      <c r="AE303" s="10"/>
      <c r="AF303" s="10"/>
      <c r="AG303" s="10"/>
      <c r="AH303" s="10"/>
      <c r="AI303" s="10"/>
      <c r="AJ303" s="10"/>
      <c r="AK303" s="10"/>
      <c r="AL303" s="10"/>
      <c r="AM303" s="10"/>
      <c r="AN303" s="10"/>
      <c r="AO303" s="10"/>
      <c r="AP303" s="10"/>
      <c r="AQ303" s="10"/>
      <c r="AR303" s="10"/>
      <c r="AS303" s="10"/>
      <c r="AT303" s="10"/>
      <c r="AU303" s="10"/>
    </row>
    <row r="304" spans="2:47" ht="15" customHeight="1" x14ac:dyDescent="0.2">
      <c r="B304" s="789" t="s">
        <v>1235</v>
      </c>
      <c r="C304" s="789"/>
      <c r="D304" s="789"/>
      <c r="E304" s="1022">
        <f>P287</f>
        <v>0</v>
      </c>
      <c r="F304" s="1022"/>
      <c r="G304" s="923"/>
      <c r="H304" s="923"/>
      <c r="I304" s="929">
        <f>IF(AND(Y304&lt;0.01,Y304&gt;0),0.01,ROUND(Y304,2))</f>
        <v>0</v>
      </c>
      <c r="J304" s="929"/>
      <c r="K304" s="918"/>
      <c r="L304" s="919"/>
      <c r="M304" s="919"/>
      <c r="N304" s="919"/>
      <c r="O304" s="920"/>
      <c r="P304" s="961"/>
      <c r="R304" s="548">
        <f>IF(I304&gt;0,I304,E304)</f>
        <v>0</v>
      </c>
      <c r="S304" s="147">
        <f>LARGE($R$290:$R$304,15)</f>
        <v>0</v>
      </c>
      <c r="T304" s="562"/>
      <c r="U304" s="548"/>
      <c r="V304" s="50">
        <f t="shared" si="51"/>
        <v>0</v>
      </c>
      <c r="W304" s="10"/>
      <c r="X304" s="10"/>
      <c r="Y304" s="291">
        <f t="shared" si="55"/>
        <v>0</v>
      </c>
      <c r="Z304" s="73"/>
      <c r="AA304" s="10"/>
      <c r="AB304" s="10"/>
      <c r="AC304" s="10"/>
      <c r="AD304" s="10"/>
      <c r="AE304" s="10"/>
      <c r="AF304" s="10"/>
      <c r="AG304" s="10"/>
      <c r="AH304" s="10"/>
      <c r="AI304" s="10"/>
      <c r="AJ304" s="10"/>
      <c r="AK304" s="10"/>
      <c r="AL304" s="10"/>
      <c r="AM304" s="10"/>
      <c r="AN304" s="10"/>
      <c r="AO304" s="10"/>
      <c r="AP304" s="10"/>
      <c r="AQ304" s="10"/>
      <c r="AR304" s="10"/>
      <c r="AS304" s="10"/>
      <c r="AT304" s="10"/>
      <c r="AU304" s="10"/>
    </row>
    <row r="305" spans="2:47" ht="15" customHeight="1" x14ac:dyDescent="0.2">
      <c r="B305" s="956" t="s">
        <v>1633</v>
      </c>
      <c r="C305" s="956"/>
      <c r="D305" s="956"/>
      <c r="E305" s="956"/>
      <c r="F305" s="956"/>
      <c r="G305" s="956"/>
      <c r="H305" s="956"/>
      <c r="I305" s="956"/>
      <c r="J305" s="956"/>
      <c r="K305" s="956"/>
      <c r="L305" s="956"/>
      <c r="M305" s="956"/>
      <c r="N305" s="956"/>
      <c r="O305" s="956"/>
      <c r="P305" s="962"/>
      <c r="R305" s="14"/>
      <c r="S305" s="142"/>
      <c r="T305" s="128"/>
      <c r="U305" s="10"/>
      <c r="V305" s="10"/>
      <c r="W305" s="10"/>
      <c r="X305" s="10"/>
      <c r="Y305" s="10"/>
      <c r="Z305" s="73"/>
      <c r="AA305" s="10"/>
      <c r="AB305" s="10"/>
      <c r="AC305" s="10"/>
      <c r="AD305" s="10"/>
      <c r="AE305" s="10"/>
      <c r="AF305" s="10"/>
      <c r="AG305" s="10"/>
      <c r="AH305" s="10"/>
      <c r="AI305" s="10"/>
      <c r="AJ305" s="10"/>
      <c r="AK305" s="10"/>
      <c r="AL305" s="10"/>
      <c r="AM305" s="10"/>
      <c r="AN305" s="10"/>
      <c r="AO305" s="10"/>
      <c r="AP305" s="10"/>
      <c r="AQ305" s="10"/>
      <c r="AR305" s="10"/>
      <c r="AS305" s="10"/>
      <c r="AT305" s="10"/>
      <c r="AU305" s="10"/>
    </row>
    <row r="306" spans="2:47" x14ac:dyDescent="0.2">
      <c r="B306" s="177"/>
      <c r="C306" s="177"/>
      <c r="D306" s="177"/>
      <c r="E306" s="177"/>
      <c r="F306" s="177"/>
      <c r="G306" s="177"/>
      <c r="H306" s="177"/>
      <c r="I306" s="177"/>
      <c r="J306" s="177"/>
      <c r="K306" s="177"/>
      <c r="L306" s="177"/>
      <c r="M306" s="177"/>
      <c r="N306" s="177"/>
      <c r="O306" s="177"/>
      <c r="P306" s="177"/>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row>
    <row r="307" spans="2:47" x14ac:dyDescent="0.2">
      <c r="B307" s="177"/>
      <c r="C307" s="177"/>
      <c r="D307" s="177"/>
      <c r="E307" s="177"/>
      <c r="F307" s="177"/>
      <c r="G307" s="177"/>
      <c r="H307" s="177"/>
      <c r="I307" s="177"/>
      <c r="J307" s="177"/>
      <c r="K307" s="177"/>
      <c r="L307" s="177"/>
      <c r="M307" s="177"/>
      <c r="N307" s="177"/>
      <c r="O307" s="177"/>
      <c r="P307" s="177"/>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row>
    <row r="308" spans="2:47" ht="18" customHeight="1" x14ac:dyDescent="0.2">
      <c r="B308" s="892" t="s">
        <v>1634</v>
      </c>
      <c r="C308" s="893"/>
      <c r="D308" s="893"/>
      <c r="E308" s="893"/>
      <c r="F308" s="893"/>
      <c r="G308" s="893"/>
      <c r="H308" s="893"/>
      <c r="I308" s="893"/>
      <c r="J308" s="893"/>
      <c r="K308" s="893"/>
      <c r="L308" s="893"/>
      <c r="M308" s="893"/>
      <c r="N308" s="893"/>
      <c r="O308" s="893"/>
      <c r="P308" s="894"/>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row>
    <row r="309" spans="2:47" ht="18" customHeight="1" x14ac:dyDescent="0.2">
      <c r="B309" s="776" t="s">
        <v>1635</v>
      </c>
      <c r="C309" s="776"/>
      <c r="D309" s="776"/>
      <c r="E309" s="776"/>
      <c r="F309" s="776"/>
      <c r="G309" s="776"/>
      <c r="H309" s="776"/>
      <c r="I309" s="776"/>
      <c r="J309" s="776"/>
      <c r="K309" s="776"/>
      <c r="L309" s="776"/>
      <c r="M309" s="776"/>
      <c r="N309" s="776"/>
      <c r="O309" s="776"/>
      <c r="P309" s="929">
        <f>SUMIF(S309:Y309,B310,S310:Y310)</f>
        <v>0</v>
      </c>
      <c r="R309" s="761" t="s">
        <v>1305</v>
      </c>
      <c r="S309" s="50" t="s">
        <v>511</v>
      </c>
      <c r="T309" s="552" t="s">
        <v>1306</v>
      </c>
      <c r="U309" s="50" t="s">
        <v>513</v>
      </c>
      <c r="V309" s="50" t="s">
        <v>1060</v>
      </c>
      <c r="W309" s="50" t="s">
        <v>1063</v>
      </c>
      <c r="X309" s="50" t="s">
        <v>702</v>
      </c>
      <c r="Y309" s="50" t="s">
        <v>577</v>
      </c>
      <c r="Z309" s="10"/>
      <c r="AA309" s="10"/>
      <c r="AB309" s="10"/>
      <c r="AC309" s="10"/>
      <c r="AD309" s="10"/>
      <c r="AE309" s="10"/>
      <c r="AF309" s="10"/>
      <c r="AG309" s="10"/>
      <c r="AH309" s="10"/>
      <c r="AI309" s="10"/>
      <c r="AJ309" s="10"/>
      <c r="AK309" s="14"/>
      <c r="AL309" s="14"/>
      <c r="AM309" s="14"/>
      <c r="AN309" s="14"/>
      <c r="AO309" s="14"/>
      <c r="AP309" s="10"/>
      <c r="AQ309" s="10"/>
      <c r="AR309" s="10"/>
      <c r="AS309" s="10"/>
      <c r="AT309" s="10"/>
    </row>
    <row r="310" spans="2:47" ht="15" customHeight="1" x14ac:dyDescent="0.2">
      <c r="B310" s="1012"/>
      <c r="C310" s="1012"/>
      <c r="D310" s="1012"/>
      <c r="E310" s="1012"/>
      <c r="F310" s="1012"/>
      <c r="G310" s="1012"/>
      <c r="H310" s="1012"/>
      <c r="I310" s="1012"/>
      <c r="J310" s="1012"/>
      <c r="K310" s="1012"/>
      <c r="L310" s="1012"/>
      <c r="M310" s="1012"/>
      <c r="N310" s="1012"/>
      <c r="O310" s="1012"/>
      <c r="P310" s="1072"/>
      <c r="R310" s="791"/>
      <c r="S310" s="548">
        <v>0</v>
      </c>
      <c r="T310" s="147">
        <v>0.1</v>
      </c>
      <c r="U310" s="147">
        <v>0.3</v>
      </c>
      <c r="V310" s="147">
        <v>0.5</v>
      </c>
      <c r="W310" s="147">
        <v>0.63</v>
      </c>
      <c r="X310" s="147">
        <v>0.75</v>
      </c>
      <c r="Y310" s="147">
        <v>1</v>
      </c>
      <c r="Z310" s="10"/>
      <c r="AA310" s="10"/>
      <c r="AB310" s="10"/>
      <c r="AC310" s="10"/>
      <c r="AD310" s="10"/>
      <c r="AE310" s="10"/>
      <c r="AF310" s="10"/>
      <c r="AG310" s="10"/>
      <c r="AH310" s="10"/>
      <c r="AI310" s="10"/>
      <c r="AJ310" s="10"/>
      <c r="AK310" s="10"/>
      <c r="AL310" s="10"/>
      <c r="AM310" s="10"/>
      <c r="AN310" s="10"/>
      <c r="AO310" s="10"/>
      <c r="AP310" s="10"/>
      <c r="AQ310" s="10"/>
      <c r="AR310" s="10"/>
      <c r="AS310" s="10"/>
      <c r="AT310" s="10"/>
    </row>
    <row r="311" spans="2:47" ht="15" customHeight="1" x14ac:dyDescent="0.2">
      <c r="B311" s="958" t="str">
        <f>IF(AND(P309&gt;0.1,B313=""),"Enter specific level of amputation or shortening below.","")</f>
        <v/>
      </c>
      <c r="C311" s="958"/>
      <c r="D311" s="958"/>
      <c r="E311" s="958"/>
      <c r="F311" s="958"/>
      <c r="G311" s="958"/>
      <c r="H311" s="958"/>
      <c r="I311" s="958"/>
      <c r="J311" s="958"/>
      <c r="K311" s="958"/>
      <c r="L311" s="958"/>
      <c r="M311" s="958"/>
      <c r="N311" s="958"/>
      <c r="O311" s="958"/>
      <c r="P311" s="958"/>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row>
    <row r="312" spans="2:47" ht="30" customHeight="1" x14ac:dyDescent="0.2">
      <c r="B312" s="761" t="s">
        <v>783</v>
      </c>
      <c r="C312" s="761"/>
      <c r="D312" s="761"/>
      <c r="E312" s="761"/>
      <c r="F312" s="761"/>
      <c r="G312" s="761"/>
      <c r="H312" s="761"/>
      <c r="I312" s="761"/>
      <c r="J312" s="761"/>
      <c r="K312" s="761"/>
      <c r="L312" s="761"/>
      <c r="M312" s="761"/>
      <c r="N312" s="761"/>
      <c r="O312" s="761"/>
      <c r="P312" s="929">
        <f>IF(P309=1,0,U14)</f>
        <v>0</v>
      </c>
      <c r="R312" s="514">
        <f>SUMIF(S312:AD312,B313,S313:AD313)</f>
        <v>0</v>
      </c>
      <c r="S312" s="50" t="s">
        <v>1166</v>
      </c>
      <c r="T312" s="50" t="s">
        <v>1167</v>
      </c>
      <c r="U312" s="50" t="s">
        <v>1168</v>
      </c>
      <c r="V312" s="50" t="s">
        <v>1169</v>
      </c>
      <c r="W312" s="50" t="s">
        <v>1883</v>
      </c>
      <c r="X312" s="50" t="s">
        <v>1884</v>
      </c>
      <c r="Y312" s="50" t="s">
        <v>659</v>
      </c>
      <c r="Z312" s="50" t="s">
        <v>660</v>
      </c>
      <c r="AA312" s="50" t="s">
        <v>661</v>
      </c>
      <c r="AB312" s="50" t="s">
        <v>662</v>
      </c>
      <c r="AC312" s="50" t="s">
        <v>663</v>
      </c>
      <c r="AD312" s="50" t="s">
        <v>664</v>
      </c>
      <c r="AE312" s="10"/>
      <c r="AF312" s="10"/>
      <c r="AG312" s="10"/>
      <c r="AH312" s="10"/>
      <c r="AI312" s="10"/>
      <c r="AJ312" s="10"/>
      <c r="AK312" s="10"/>
      <c r="AL312" s="10"/>
      <c r="AM312" s="10"/>
      <c r="AN312" s="10"/>
      <c r="AO312" s="10"/>
      <c r="AP312" s="10"/>
      <c r="AQ312" s="10"/>
      <c r="AR312" s="10"/>
      <c r="AS312" s="10"/>
      <c r="AT312" s="10"/>
    </row>
    <row r="313" spans="2:47" ht="15" customHeight="1" x14ac:dyDescent="0.2">
      <c r="B313" s="1012"/>
      <c r="C313" s="1012"/>
      <c r="D313" s="1012"/>
      <c r="E313" s="1012"/>
      <c r="F313" s="1012"/>
      <c r="G313" s="1012"/>
      <c r="H313" s="1012"/>
      <c r="I313" s="1012"/>
      <c r="J313" s="1012"/>
      <c r="K313" s="1012"/>
      <c r="L313" s="1012"/>
      <c r="M313" s="1012"/>
      <c r="N313" s="1012"/>
      <c r="O313" s="1012"/>
      <c r="P313" s="1071"/>
      <c r="R313" s="761" t="s">
        <v>665</v>
      </c>
      <c r="S313" s="147">
        <v>0</v>
      </c>
      <c r="T313" s="147">
        <v>0</v>
      </c>
      <c r="U313" s="147">
        <v>0</v>
      </c>
      <c r="V313" s="147">
        <v>0.05</v>
      </c>
      <c r="W313" s="147">
        <v>0.05</v>
      </c>
      <c r="X313" s="147">
        <v>0.05</v>
      </c>
      <c r="Y313" s="147">
        <v>0.05</v>
      </c>
      <c r="Z313" s="147">
        <v>0.1</v>
      </c>
      <c r="AA313" s="147">
        <v>0.15</v>
      </c>
      <c r="AB313" s="147">
        <v>0.15</v>
      </c>
      <c r="AC313" s="147">
        <v>0.15</v>
      </c>
      <c r="AD313" s="147">
        <v>0.2</v>
      </c>
      <c r="AE313" s="10"/>
      <c r="AF313" s="10"/>
      <c r="AG313" s="10"/>
      <c r="AH313" s="10"/>
      <c r="AI313" s="10"/>
      <c r="AJ313" s="10"/>
      <c r="AK313" s="10"/>
      <c r="AL313" s="10"/>
      <c r="AM313" s="10"/>
      <c r="AN313" s="10"/>
      <c r="AO313" s="10"/>
      <c r="AP313" s="10"/>
      <c r="AQ313" s="10"/>
      <c r="AR313" s="10"/>
      <c r="AS313" s="10"/>
      <c r="AT313" s="10"/>
    </row>
    <row r="314" spans="2:47" ht="18" customHeight="1" x14ac:dyDescent="0.2">
      <c r="B314" s="1013" t="s">
        <v>666</v>
      </c>
      <c r="C314" s="1014"/>
      <c r="D314" s="1014"/>
      <c r="E314" s="1014"/>
      <c r="F314" s="1014"/>
      <c r="G314" s="1014"/>
      <c r="H314" s="1014"/>
      <c r="I314" s="1014"/>
      <c r="J314" s="1014"/>
      <c r="K314" s="1014"/>
      <c r="L314" s="1014"/>
      <c r="M314" s="1014"/>
      <c r="N314" s="1014"/>
      <c r="O314" s="1015"/>
      <c r="P314" s="1072"/>
      <c r="R314" s="761"/>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row>
    <row r="315" spans="2:47" ht="12" customHeight="1" x14ac:dyDescent="0.2">
      <c r="B315" s="777"/>
      <c r="C315" s="777"/>
      <c r="D315" s="777"/>
      <c r="E315" s="777"/>
      <c r="F315" s="777"/>
      <c r="G315" s="777"/>
      <c r="H315" s="777"/>
      <c r="I315" s="777"/>
      <c r="J315" s="777"/>
      <c r="K315" s="777"/>
      <c r="L315" s="777"/>
      <c r="M315" s="777"/>
      <c r="N315" s="777"/>
      <c r="O315" s="777"/>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row>
    <row r="316" spans="2:47" ht="15" customHeight="1" x14ac:dyDescent="0.2">
      <c r="B316" s="910" t="s">
        <v>1563</v>
      </c>
      <c r="C316" s="910"/>
      <c r="D316" s="910"/>
      <c r="E316" s="910"/>
      <c r="F316" s="910"/>
      <c r="G316" s="910"/>
      <c r="H316" s="910"/>
      <c r="I316" s="910"/>
      <c r="J316" s="910"/>
      <c r="K316" s="910"/>
      <c r="L316" s="910"/>
      <c r="M316" s="910"/>
      <c r="N316" s="910"/>
      <c r="O316" s="910"/>
      <c r="P316" s="755">
        <f>IF(R329=1,"ERROR",AD328)</f>
        <v>0</v>
      </c>
      <c r="R316" s="10"/>
      <c r="S316" s="10"/>
      <c r="T316" s="761" t="s">
        <v>1238</v>
      </c>
      <c r="U316" s="761" t="s">
        <v>1238</v>
      </c>
      <c r="V316" s="10"/>
      <c r="W316" s="10"/>
      <c r="X316" s="10"/>
      <c r="Y316" s="10"/>
      <c r="Z316" s="10">
        <v>2</v>
      </c>
      <c r="AA316" s="10"/>
      <c r="AB316" s="10"/>
      <c r="AE316" s="10"/>
      <c r="AF316" s="10"/>
      <c r="AG316" s="10"/>
      <c r="AH316" s="10"/>
      <c r="AI316" s="10"/>
      <c r="AJ316" s="10"/>
      <c r="AK316" s="10"/>
      <c r="AL316" s="10"/>
      <c r="AM316" s="10"/>
      <c r="AN316" s="10"/>
      <c r="AO316" s="10"/>
      <c r="AP316" s="10"/>
      <c r="AQ316" s="10"/>
      <c r="AR316" s="10"/>
      <c r="AS316" s="10"/>
      <c r="AT316" s="10"/>
    </row>
    <row r="317" spans="2:47" ht="27" customHeight="1" x14ac:dyDescent="0.2">
      <c r="B317" s="18" t="s">
        <v>1634</v>
      </c>
      <c r="C317" s="910" t="s">
        <v>1564</v>
      </c>
      <c r="D317" s="910"/>
      <c r="E317" s="910"/>
      <c r="F317" s="910"/>
      <c r="G317" s="912" t="s">
        <v>1064</v>
      </c>
      <c r="H317" s="912"/>
      <c r="I317" s="912"/>
      <c r="J317" s="912"/>
      <c r="K317" s="910"/>
      <c r="L317" s="910"/>
      <c r="M317" s="910"/>
      <c r="N317" s="910"/>
      <c r="O317" s="910"/>
      <c r="P317" s="755"/>
      <c r="R317" s="10"/>
      <c r="S317" s="10"/>
      <c r="T317" s="948"/>
      <c r="U317" s="948"/>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row>
    <row r="318" spans="2:47" ht="18" customHeight="1" x14ac:dyDescent="0.2">
      <c r="B318" s="18"/>
      <c r="C318" s="910" t="s">
        <v>355</v>
      </c>
      <c r="D318" s="910"/>
      <c r="E318" s="910" t="s">
        <v>1759</v>
      </c>
      <c r="F318" s="910"/>
      <c r="G318" s="910" t="s">
        <v>355</v>
      </c>
      <c r="H318" s="910"/>
      <c r="I318" s="910" t="s">
        <v>1759</v>
      </c>
      <c r="J318" s="910"/>
      <c r="K318" s="910"/>
      <c r="L318" s="910"/>
      <c r="M318" s="910"/>
      <c r="N318" s="910"/>
      <c r="O318" s="910"/>
      <c r="P318" s="755"/>
      <c r="R318" s="10"/>
      <c r="S318" s="50" t="s">
        <v>1622</v>
      </c>
      <c r="T318" s="498" t="s">
        <v>1564</v>
      </c>
      <c r="U318" s="256" t="s">
        <v>1565</v>
      </c>
      <c r="V318" s="910" t="s">
        <v>1066</v>
      </c>
      <c r="W318" s="910"/>
      <c r="X318" s="910"/>
      <c r="Y318" s="910"/>
      <c r="AA318" s="10"/>
      <c r="AB318" s="10"/>
      <c r="AC318" s="10"/>
      <c r="AD318" s="10"/>
      <c r="AE318" s="10"/>
      <c r="AF318" s="10"/>
      <c r="AG318" s="10"/>
      <c r="AH318" s="10"/>
      <c r="AI318" s="10"/>
      <c r="AJ318" s="10"/>
      <c r="AK318" s="10"/>
      <c r="AL318" s="10"/>
      <c r="AM318" s="10"/>
      <c r="AN318" s="10"/>
      <c r="AO318" s="10"/>
      <c r="AP318" s="10"/>
      <c r="AQ318" s="10"/>
      <c r="AR318" s="10"/>
      <c r="AS318" s="10"/>
      <c r="AT318" s="10"/>
    </row>
    <row r="319" spans="2:47" ht="13.5" customHeight="1" x14ac:dyDescent="0.2">
      <c r="B319" s="146" t="s">
        <v>667</v>
      </c>
      <c r="C319" s="694"/>
      <c r="D319" s="694"/>
      <c r="E319" s="921">
        <f>UETable!BF51</f>
        <v>0</v>
      </c>
      <c r="F319" s="921"/>
      <c r="G319" s="694"/>
      <c r="H319" s="694"/>
      <c r="I319" s="936">
        <f>IF(C319="",0,IF(OR(C319&lt;=0,G319&lt;=0),E319,IF(G319&lt;C319,0,UETable!BK51)))</f>
        <v>0</v>
      </c>
      <c r="J319" s="936"/>
      <c r="K319" s="930" t="str">
        <f>IF(OR(C319="NA",G319="NA"),"",IF(AND(C319&lt;&gt;"",G319=""),"Enter contralateral or NA.",IF(AND(C319="",G319&lt;&gt;""),"Need data","")))</f>
        <v/>
      </c>
      <c r="L319" s="930"/>
      <c r="M319" s="930"/>
      <c r="N319" s="930"/>
      <c r="O319" s="930"/>
      <c r="P319" s="755"/>
      <c r="R319" s="131"/>
      <c r="S319" s="50">
        <v>70</v>
      </c>
      <c r="T319" s="566" t="str">
        <f>IF(OR(C319="",C319="NA"),"",IF(C319&gt;S319,S319,IF(C319&lt;0,0,C319)))</f>
        <v/>
      </c>
      <c r="U319" s="50" t="str">
        <f>IF(OR(G319="",G319="NA"),"",IF(G319&gt;S319,S319,IF(G319&lt;0,0,G319)))</f>
        <v/>
      </c>
      <c r="V319" s="553" t="str">
        <f>IF(Y319="","",ROUND(Y319,0))</f>
        <v/>
      </c>
      <c r="W319" s="910" t="s">
        <v>1184</v>
      </c>
      <c r="X319" s="910"/>
      <c r="Y319" s="554" t="str">
        <f>IF(T319="","",IF(OR(U319="",U319=0,U319&lt;T319),T319,(T319*70)/U319))</f>
        <v/>
      </c>
      <c r="Z319" s="10"/>
      <c r="AA319" s="10"/>
      <c r="AB319" s="10"/>
      <c r="AC319" s="10"/>
      <c r="AD319" s="10"/>
      <c r="AE319" s="10"/>
      <c r="AF319" s="10"/>
      <c r="AG319" s="10"/>
      <c r="AH319" s="10"/>
      <c r="AI319" s="10"/>
      <c r="AJ319" s="10"/>
      <c r="AK319" s="10"/>
      <c r="AL319" s="10"/>
      <c r="AM319" s="10"/>
      <c r="AN319" s="10"/>
      <c r="AO319" s="10"/>
      <c r="AP319" s="10"/>
      <c r="AQ319" s="10"/>
      <c r="AR319" s="10"/>
      <c r="AS319" s="10"/>
      <c r="AT319" s="10"/>
    </row>
    <row r="320" spans="2:47" ht="13.5" customHeight="1" x14ac:dyDescent="0.2">
      <c r="B320" s="146" t="s">
        <v>668</v>
      </c>
      <c r="C320" s="694"/>
      <c r="D320" s="694"/>
      <c r="E320" s="921">
        <f>UETable!BF52</f>
        <v>0</v>
      </c>
      <c r="F320" s="921"/>
      <c r="G320" s="694"/>
      <c r="H320" s="694"/>
      <c r="I320" s="936">
        <f>IF(C320="",0,IF(OR(C320&gt;=70,G320&gt;=70),E320,IF(G320&gt;C320,0,UETable!BK52)))</f>
        <v>0</v>
      </c>
      <c r="J320" s="936"/>
      <c r="K320" s="930" t="str">
        <f>IF(OR(C320="NA",G320="NA"),"",IF(AND(C320&lt;&gt;"",G320=""),"Enter contralateral or NA.",IF(AND(C320="",G320&lt;&gt;""),"Need data","")))</f>
        <v/>
      </c>
      <c r="L320" s="930"/>
      <c r="M320" s="930"/>
      <c r="N320" s="930"/>
      <c r="O320" s="930"/>
      <c r="P320" s="755"/>
      <c r="S320" s="50">
        <v>70</v>
      </c>
      <c r="T320" s="566" t="str">
        <f>IF(OR(C320="",C320="NA"),"",IF(C320&gt;S320,S320,IF(C320&lt;0,0,C320)))</f>
        <v/>
      </c>
      <c r="U320" s="50" t="str">
        <f>IF(OR(G320="",G320="NA"),"",IF(G320&gt;S320,S320,IF(G320&lt;0,0,G320)))</f>
        <v/>
      </c>
      <c r="V320" s="553" t="str">
        <f>IF(Y320="","",ROUND(Y320,0))</f>
        <v/>
      </c>
      <c r="W320" s="50">
        <f>IF(T320="",0,70-T320)</f>
        <v>0</v>
      </c>
      <c r="X320" s="50">
        <f>IF(U320="",0,70-U320)</f>
        <v>0</v>
      </c>
      <c r="Y320" s="554" t="str">
        <f>IF(T320="","",IF(OR(U320="",U320=0,U320&gt;T320),T320,70-(W320*70)/X320))</f>
        <v/>
      </c>
      <c r="Z320" s="10"/>
      <c r="AA320" s="10"/>
      <c r="AB320" s="10"/>
      <c r="AC320" s="10"/>
      <c r="AD320" s="10"/>
      <c r="AE320" s="10"/>
      <c r="AF320" s="10"/>
      <c r="AG320" s="10"/>
      <c r="AH320" s="10"/>
      <c r="AI320" s="10"/>
      <c r="AJ320" s="10"/>
      <c r="AK320" s="10"/>
      <c r="AL320" s="10"/>
      <c r="AM320" s="10"/>
      <c r="AN320" s="10"/>
      <c r="AO320" s="10"/>
      <c r="AP320" s="10"/>
      <c r="AQ320" s="10"/>
      <c r="AR320" s="10"/>
      <c r="AS320" s="10"/>
      <c r="AT320" s="10"/>
    </row>
    <row r="321" spans="1:109" ht="15" customHeight="1" x14ac:dyDescent="0.2">
      <c r="B321" s="146" t="s">
        <v>669</v>
      </c>
      <c r="C321" s="694"/>
      <c r="D321" s="694"/>
      <c r="E321" s="921">
        <f>IF(AND(C321&lt;&gt;"",C321&lt;&gt;"NA",C320&lt;&gt;"NA",C320&lt;&gt;""),"ERROR",IF(AND(C321&lt;&gt;"",C321&lt;&gt;"NA",C319&lt;&gt;"",C319&lt;&gt;"NA"),"ERROR",UETable!BF53))</f>
        <v>0</v>
      </c>
      <c r="F321" s="921"/>
      <c r="G321" s="930" t="str">
        <f>IF(AND(C321&lt;&gt;"",C321&lt;&gt;"NA",C320&lt;&gt;"NA",C320&lt;&gt;""),"ERROR: Cannot rate ROM and ankylosis.",IF(AND(C321&lt;&gt;"",C321&lt;&gt;"NA",C319&lt;&gt;"",C319&lt;&gt;"NA"),"ERROR: Cannot rate ROM and ankylosis.",""))</f>
        <v/>
      </c>
      <c r="H321" s="930"/>
      <c r="I321" s="930"/>
      <c r="J321" s="930"/>
      <c r="K321" s="930"/>
      <c r="L321" s="930"/>
      <c r="M321" s="930"/>
      <c r="N321" s="930"/>
      <c r="O321" s="930"/>
      <c r="P321" s="755"/>
      <c r="R321" s="131"/>
      <c r="S321" s="50">
        <v>70</v>
      </c>
      <c r="T321" s="566" t="str">
        <f>IF(OR(C321="",C321="NA"),"",IF(C321&gt;S321,S321,IF(C321&lt;0,0,C321)))</f>
        <v/>
      </c>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row>
    <row r="322" spans="1:109" x14ac:dyDescent="0.2">
      <c r="B322" s="979"/>
      <c r="C322" s="980"/>
      <c r="D322" s="980"/>
      <c r="E322" s="980"/>
      <c r="F322" s="980"/>
      <c r="G322" s="980"/>
      <c r="H322" s="980"/>
      <c r="I322" s="980"/>
      <c r="J322" s="981"/>
      <c r="K322" s="956" t="s">
        <v>1803</v>
      </c>
      <c r="L322" s="956"/>
      <c r="M322" s="956"/>
      <c r="N322" s="956"/>
      <c r="O322" s="65">
        <f>IF(E321="ERROR","ERROR",IF(R322&gt;1,1,R322))</f>
        <v>0</v>
      </c>
      <c r="P322" s="755"/>
      <c r="R322" s="193">
        <f>SUM(I319,I320,E321)</f>
        <v>0</v>
      </c>
      <c r="S322" s="5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row>
    <row r="323" spans="1:109" ht="13.5" customHeight="1" x14ac:dyDescent="0.2">
      <c r="B323" s="146" t="s">
        <v>670</v>
      </c>
      <c r="C323" s="694"/>
      <c r="D323" s="694"/>
      <c r="E323" s="921">
        <f>UETable!BF55</f>
        <v>0</v>
      </c>
      <c r="F323" s="921"/>
      <c r="G323" s="694"/>
      <c r="H323" s="694"/>
      <c r="I323" s="936">
        <f>IF(C323="",0,IF(OR(C323&lt;=0,G323&lt;=0),E323,IF(G323&lt;C323,0,UETable!BK55)))</f>
        <v>0</v>
      </c>
      <c r="J323" s="936"/>
      <c r="K323" s="930" t="str">
        <f>IF(OR(C323="NA",G323="NA"),"",IF(AND(C323&lt;&gt;"",G323=""),"Enter contralateral or NA.",IF(AND(C323="",G323&lt;&gt;""),"Need data","")))</f>
        <v/>
      </c>
      <c r="L323" s="930"/>
      <c r="M323" s="930"/>
      <c r="N323" s="930"/>
      <c r="O323" s="930"/>
      <c r="P323" s="755"/>
      <c r="R323" s="131"/>
      <c r="S323" s="50">
        <v>100</v>
      </c>
      <c r="T323" s="566" t="str">
        <f>IF(OR(C323="",C323="NA"),"",IF(C323&gt;S323,S323,IF(C323&lt;0,0,C323)))</f>
        <v/>
      </c>
      <c r="U323" s="50" t="str">
        <f>IF(OR(G323="",G323="NA"),"",IF(G323&gt;S323,S323,IF(G323&lt;0,0,G323)))</f>
        <v/>
      </c>
      <c r="V323" s="553" t="str">
        <f>IF(Y323="","",ROUND(Y323,0))</f>
        <v/>
      </c>
      <c r="W323" s="791" t="s">
        <v>1184</v>
      </c>
      <c r="X323" s="791"/>
      <c r="Y323" s="554" t="str">
        <f>IF(T323="","",IF(OR(U323="",U323=0,U323&lt;T323),T323,(T323*100)/U323))</f>
        <v/>
      </c>
      <c r="Z323" s="10"/>
      <c r="AA323" s="10"/>
      <c r="AB323" s="10"/>
      <c r="AC323" s="10"/>
      <c r="AD323" s="10"/>
      <c r="AE323" s="10"/>
      <c r="AF323" s="10"/>
      <c r="AG323" s="10"/>
      <c r="AH323" s="10"/>
      <c r="AI323" s="10"/>
      <c r="AJ323" s="10"/>
      <c r="AK323" s="10"/>
      <c r="AL323" s="10"/>
      <c r="AM323" s="10"/>
      <c r="AN323" s="10"/>
      <c r="AO323" s="10"/>
      <c r="AP323" s="10"/>
      <c r="AQ323" s="10"/>
      <c r="AR323" s="10"/>
      <c r="AS323" s="10"/>
      <c r="AT323" s="10"/>
    </row>
    <row r="324" spans="1:109" ht="13.5" customHeight="1" x14ac:dyDescent="0.2">
      <c r="B324" s="146" t="s">
        <v>671</v>
      </c>
      <c r="C324" s="694"/>
      <c r="D324" s="694"/>
      <c r="E324" s="921">
        <f>UETable!BF56</f>
        <v>0</v>
      </c>
      <c r="F324" s="921"/>
      <c r="G324" s="694"/>
      <c r="H324" s="694"/>
      <c r="I324" s="936">
        <f>IF(C324="",0,IF(OR(C324&gt;=100,G324&gt;=100),E324,IF(G324&gt;C324,0,UETable!BK56)))</f>
        <v>0</v>
      </c>
      <c r="J324" s="936"/>
      <c r="K324" s="930" t="str">
        <f>IF(OR(C324="NA",G324="NA"),"",IF(AND(C324&lt;&gt;"",G324=""),"Enter contralateral or NA.",IF(AND(C324="",G324&lt;&gt;""),"Need data","")))</f>
        <v/>
      </c>
      <c r="L324" s="930"/>
      <c r="M324" s="930"/>
      <c r="N324" s="930"/>
      <c r="O324" s="930"/>
      <c r="P324" s="755"/>
      <c r="S324" s="50">
        <v>100</v>
      </c>
      <c r="T324" s="566" t="str">
        <f>IF(OR(C324="",C324="NA"),"",IF(C324&gt;S324,S324,IF(C324&lt;0,0,C324)))</f>
        <v/>
      </c>
      <c r="U324" s="50" t="str">
        <f>IF(OR(G324="",G324="NA"),"",IF(G324&gt;S324,S324,IF(G324&lt;0,0,G324)))</f>
        <v/>
      </c>
      <c r="V324" s="553" t="str">
        <f>IF(Y324="","",ROUND(Y324,0))</f>
        <v/>
      </c>
      <c r="W324" s="50">
        <f>IF(T324="",0,100-T324)</f>
        <v>0</v>
      </c>
      <c r="X324" s="50">
        <f>IF(U324="",0,100-U324)</f>
        <v>0</v>
      </c>
      <c r="Y324" s="554" t="str">
        <f>IF(T324="","",IF(OR(U324="",U324=0,U324&gt;T324),T324,100-(W324*100)/X324))</f>
        <v/>
      </c>
      <c r="Z324" s="10"/>
      <c r="AA324" s="10"/>
      <c r="AB324" s="10"/>
      <c r="AC324" s="10"/>
      <c r="AD324" s="10"/>
      <c r="AE324" s="10"/>
      <c r="AF324" s="10"/>
      <c r="AG324" s="10"/>
      <c r="AH324" s="10"/>
      <c r="AI324" s="10"/>
      <c r="AJ324" s="10"/>
      <c r="AK324" s="10"/>
      <c r="AL324" s="10"/>
      <c r="AM324" s="10"/>
      <c r="AN324" s="10"/>
      <c r="AO324" s="10"/>
      <c r="AP324" s="10"/>
      <c r="AQ324" s="10"/>
      <c r="AR324" s="10"/>
      <c r="AS324" s="10"/>
      <c r="AT324" s="10"/>
    </row>
    <row r="325" spans="1:109" ht="15" customHeight="1" x14ac:dyDescent="0.2">
      <c r="B325" s="146" t="s">
        <v>672</v>
      </c>
      <c r="C325" s="694"/>
      <c r="D325" s="694"/>
      <c r="E325" s="921">
        <f>IF(AND(C325&lt;&gt;"",C325&lt;&gt;"NA",C324&lt;&gt;"NA",C324&lt;&gt;""),"ERROR",IF(AND(C325&lt;&gt;"",C325&lt;&gt;"NA",C323&lt;&gt;"",C323&lt;&gt;"NA"),"ERROR",UETable!BF57))</f>
        <v>0</v>
      </c>
      <c r="F325" s="921"/>
      <c r="G325" s="930" t="str">
        <f>IF(AND(C325&lt;&gt;"",C325&lt;&gt;"NA",C324&lt;&gt;"NA",C324&lt;&gt;""),"ERROR: Cannot rate ROM and ankylosis.",IF(AND(C325&lt;&gt;"",C325&lt;&gt;"NA",C323&lt;&gt;"",C323&lt;&gt;"NA"),"ERROR: Cannot rate ROM and ankylosis.",""))</f>
        <v/>
      </c>
      <c r="H325" s="930"/>
      <c r="I325" s="930"/>
      <c r="J325" s="930"/>
      <c r="K325" s="930"/>
      <c r="L325" s="930"/>
      <c r="M325" s="930"/>
      <c r="N325" s="930"/>
      <c r="O325" s="930"/>
      <c r="P325" s="755"/>
      <c r="R325" s="10"/>
      <c r="S325" s="50">
        <v>100</v>
      </c>
      <c r="T325" s="566" t="str">
        <f>IF(OR(C325="",C325="NA"),"",IF(C325&gt;S325,S325,IF(C325&lt;0,0,C325)))</f>
        <v/>
      </c>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row>
    <row r="326" spans="1:109" x14ac:dyDescent="0.2">
      <c r="B326" s="979"/>
      <c r="C326" s="980"/>
      <c r="D326" s="980"/>
      <c r="E326" s="980"/>
      <c r="F326" s="980"/>
      <c r="G326" s="980"/>
      <c r="H326" s="980"/>
      <c r="I326" s="980"/>
      <c r="J326" s="981"/>
      <c r="K326" s="956" t="s">
        <v>1803</v>
      </c>
      <c r="L326" s="956"/>
      <c r="M326" s="956"/>
      <c r="N326" s="956"/>
      <c r="O326" s="65">
        <f>IF(E325="ERROR","ERROR",IF(R326&gt;1,1,R326))</f>
        <v>0</v>
      </c>
      <c r="P326" s="755"/>
      <c r="R326" s="193">
        <f>SUM(I323,I324,E325)</f>
        <v>0</v>
      </c>
      <c r="S326" s="50"/>
      <c r="T326" s="10"/>
      <c r="U326" s="10"/>
      <c r="V326" s="10"/>
      <c r="W326" s="10"/>
      <c r="X326" s="10"/>
      <c r="Y326" s="10"/>
      <c r="Z326" s="10"/>
      <c r="AA326" s="146" t="s">
        <v>1287</v>
      </c>
      <c r="AB326" s="146" t="s">
        <v>1285</v>
      </c>
      <c r="AC326" s="50" t="s">
        <v>1286</v>
      </c>
      <c r="AD326" s="50" t="s">
        <v>1287</v>
      </c>
      <c r="AE326" s="10"/>
      <c r="AF326" s="10"/>
      <c r="AG326" s="10"/>
      <c r="AH326" s="10"/>
      <c r="AI326" s="10"/>
      <c r="AJ326" s="10"/>
      <c r="AK326" s="10"/>
      <c r="AL326" s="10"/>
      <c r="AM326" s="10"/>
      <c r="AN326" s="10"/>
      <c r="AO326" s="10"/>
      <c r="AP326" s="10"/>
      <c r="AQ326" s="10"/>
      <c r="AR326" s="10"/>
      <c r="AS326" s="10"/>
      <c r="AT326" s="10"/>
    </row>
    <row r="327" spans="1:109" ht="13.5" customHeight="1" x14ac:dyDescent="0.2">
      <c r="B327" s="146" t="s">
        <v>1546</v>
      </c>
      <c r="C327" s="694"/>
      <c r="D327" s="694"/>
      <c r="E327" s="921">
        <f>UETable!BF59</f>
        <v>0</v>
      </c>
      <c r="F327" s="921"/>
      <c r="G327" s="694"/>
      <c r="H327" s="694"/>
      <c r="I327" s="936">
        <f>IF(C327="",0,IF(OR(C327&lt;=0,G327&lt;=0),E327,IF(G327&lt;C327,0,UETable!BK59)))</f>
        <v>0</v>
      </c>
      <c r="J327" s="936"/>
      <c r="K327" s="930" t="str">
        <f>IF(OR(C327="NA",G327="NA"),"",IF(AND(C327&lt;&gt;"",G327=""),"Enter contralateral or NA.",IF(AND(C327="",G327&lt;&gt;""),"Need data","")))</f>
        <v/>
      </c>
      <c r="L327" s="930"/>
      <c r="M327" s="930"/>
      <c r="N327" s="930"/>
      <c r="O327" s="930"/>
      <c r="P327" s="755"/>
      <c r="R327" s="10"/>
      <c r="S327" s="50">
        <v>90</v>
      </c>
      <c r="T327" s="566" t="str">
        <f>IF(OR(C327="",C327="NA"),"",IF(C327&gt;S327,S327,IF(C327&lt;0,0,C327)))</f>
        <v/>
      </c>
      <c r="U327" s="50" t="str">
        <f>IF(OR(G327="",G327="NA"),"",IF(G327&gt;S327,S327,IF(G327&lt;0,0,G327)))</f>
        <v/>
      </c>
      <c r="V327" s="553" t="str">
        <f>IF(Y327="","",ROUND(Y327,0))</f>
        <v/>
      </c>
      <c r="W327" s="791" t="s">
        <v>1184</v>
      </c>
      <c r="X327" s="791"/>
      <c r="Y327" s="554" t="str">
        <f>IF(T327="","",IF(OR(U327="",U327=0,U327&lt;T327),T327,(T327*90)/U327))</f>
        <v/>
      </c>
      <c r="Z327" s="10"/>
      <c r="AA327" s="548">
        <f>IF(AND(O322&gt;0,O322&lt;0.01),0.01,ROUND(O322,2))</f>
        <v>0</v>
      </c>
      <c r="AB327" s="147">
        <f>LARGE(AA327:AA329,1)</f>
        <v>0</v>
      </c>
      <c r="AC327" s="548">
        <f>AB327+AB328*(1-AB327)</f>
        <v>0</v>
      </c>
      <c r="AD327" s="548">
        <f>ROUND(AC327,2)</f>
        <v>0</v>
      </c>
      <c r="AE327" s="10"/>
      <c r="AF327" s="10"/>
      <c r="AG327" s="10"/>
      <c r="AH327" s="10"/>
      <c r="AI327" s="10"/>
      <c r="AJ327" s="10"/>
      <c r="AK327" s="10"/>
      <c r="AL327" s="10"/>
      <c r="AM327" s="10"/>
      <c r="AN327" s="10"/>
      <c r="AO327" s="10"/>
      <c r="AP327" s="10"/>
      <c r="AQ327" s="10"/>
      <c r="AR327" s="10"/>
      <c r="AS327" s="10"/>
      <c r="AT327" s="10"/>
    </row>
    <row r="328" spans="1:109" ht="13.5" customHeight="1" x14ac:dyDescent="0.2">
      <c r="B328" s="146" t="s">
        <v>1547</v>
      </c>
      <c r="C328" s="694"/>
      <c r="D328" s="694"/>
      <c r="E328" s="921">
        <f>UETable!BF60</f>
        <v>0</v>
      </c>
      <c r="F328" s="921"/>
      <c r="G328" s="694"/>
      <c r="H328" s="694"/>
      <c r="I328" s="936">
        <f>IF(C328="",0,IF(OR(C328&gt;=90,G328&gt;=90),E328,IF(G328&gt;C328,0,UETable!BK60)))</f>
        <v>0</v>
      </c>
      <c r="J328" s="936"/>
      <c r="K328" s="930" t="str">
        <f>IF(OR(C328="NA",G328="NA"),"",IF(AND(C328&lt;&gt;"",G328=""),"Enter contralateral or NA.",IF(AND(C328="",G328&lt;&gt;""),"Need data","")))</f>
        <v/>
      </c>
      <c r="L328" s="930"/>
      <c r="M328" s="930"/>
      <c r="N328" s="930"/>
      <c r="O328" s="930"/>
      <c r="P328" s="755"/>
      <c r="R328" s="10"/>
      <c r="S328" s="50">
        <v>90</v>
      </c>
      <c r="T328" s="566" t="str">
        <f>IF(OR(C328="",C328="NA"),"",IF(C328&gt;S328,S328,IF(C328&lt;0,0,C328)))</f>
        <v/>
      </c>
      <c r="U328" s="50" t="str">
        <f>IF(OR(G328="",G328="NA"),"",IF(G328&gt;S328,S328,IF(G328&lt;0,0,G328)))</f>
        <v/>
      </c>
      <c r="V328" s="553" t="str">
        <f>IF(Y328="","",ROUND(Y328,0))</f>
        <v/>
      </c>
      <c r="W328" s="50">
        <f>IF(T328="",0,90-T328)</f>
        <v>0</v>
      </c>
      <c r="X328" s="50">
        <f>IF(U328="",0,90-U328)</f>
        <v>0</v>
      </c>
      <c r="Y328" s="554" t="str">
        <f>IF(T328="","",IF(OR(U328="",U328=0,U328&gt;T328),T328,90-(W328*90)/X328))</f>
        <v/>
      </c>
      <c r="Z328" s="10"/>
      <c r="AA328" s="548">
        <f>IF(AND(O326&gt;0,O326&lt;0.01),0.01,ROUND(O326,2))</f>
        <v>0</v>
      </c>
      <c r="AB328" s="147">
        <f>LARGE(AA327:AA329,2)</f>
        <v>0</v>
      </c>
      <c r="AC328" s="544">
        <f>AD327+AB329*(1-AD327)</f>
        <v>0</v>
      </c>
      <c r="AD328" s="548">
        <f>ROUND(AC328,2)</f>
        <v>0</v>
      </c>
      <c r="AE328" s="10"/>
      <c r="AF328" s="10"/>
      <c r="AG328" s="10"/>
      <c r="AH328" s="10"/>
      <c r="AI328" s="10"/>
      <c r="AJ328" s="10"/>
      <c r="AK328" s="10"/>
      <c r="AL328" s="10"/>
      <c r="AM328" s="10"/>
      <c r="AN328" s="10"/>
      <c r="AO328" s="10"/>
      <c r="AP328" s="10"/>
      <c r="AQ328" s="10"/>
      <c r="AR328" s="10"/>
      <c r="AS328" s="10"/>
      <c r="AT328" s="10"/>
    </row>
    <row r="329" spans="1:109" ht="15" customHeight="1" x14ac:dyDescent="0.2">
      <c r="B329" s="146" t="s">
        <v>629</v>
      </c>
      <c r="C329" s="694"/>
      <c r="D329" s="694"/>
      <c r="E329" s="921">
        <f>IF(AND(C329&lt;&gt;"",C329&lt;&gt;"NA",C328&lt;&gt;"NA",C328&lt;&gt;""),"ERROR",IF(AND(C329&lt;&gt;"",C329&lt;&gt;"NA",C327&lt;&gt;"",C327&lt;&gt;"NA"),"ERROR",UETable!BF61))</f>
        <v>0</v>
      </c>
      <c r="F329" s="921"/>
      <c r="G329" s="930" t="str">
        <f>IF(AND(C329&lt;&gt;"",C329&lt;&gt;"NA",C328&lt;&gt;"NA",C328&lt;&gt;""),"ERROR: Cannot rate ROM and ankylosis.",IF(AND(C329&lt;&gt;"",C329&lt;&gt;"NA",C327&lt;&gt;"",C327&lt;&gt;"NA"),"ERROR: Cannot rate ROM and ankylosis.",""))</f>
        <v/>
      </c>
      <c r="H329" s="930"/>
      <c r="I329" s="930"/>
      <c r="J329" s="930"/>
      <c r="K329" s="930"/>
      <c r="L329" s="930"/>
      <c r="M329" s="930"/>
      <c r="N329" s="930"/>
      <c r="O329" s="930"/>
      <c r="P329" s="755"/>
      <c r="R329" s="50">
        <f>IF(OR(O322="ERROR",O326="ERROR",O330="ERROR"),1,0)</f>
        <v>0</v>
      </c>
      <c r="S329" s="566">
        <v>90</v>
      </c>
      <c r="T329" s="566" t="str">
        <f>IF(OR(C329="",C329="NA"),"",IF(C329&gt;S329,S329,IF(C329&lt;0,0,C329)))</f>
        <v/>
      </c>
      <c r="U329" s="10"/>
      <c r="V329" s="10"/>
      <c r="W329" s="10"/>
      <c r="X329" s="10"/>
      <c r="Y329" s="10"/>
      <c r="Z329" s="10"/>
      <c r="AA329" s="548">
        <f>IF(AND(O330&gt;0,O330&lt;0.01),0.01,ROUND(O330,2))</f>
        <v>0</v>
      </c>
      <c r="AB329" s="147">
        <f>LARGE(AA327:AA329,3)</f>
        <v>0</v>
      </c>
      <c r="AE329" s="10"/>
      <c r="AF329" s="10"/>
      <c r="AG329" s="10"/>
      <c r="AH329" s="10"/>
      <c r="AI329" s="10"/>
      <c r="AJ329" s="10"/>
      <c r="AK329" s="10"/>
      <c r="AL329" s="10"/>
      <c r="AM329" s="10"/>
      <c r="AN329" s="10"/>
      <c r="AO329" s="10"/>
      <c r="AP329" s="10"/>
      <c r="AQ329" s="10"/>
      <c r="AR329" s="10"/>
      <c r="AS329" s="10"/>
      <c r="AT329" s="10"/>
    </row>
    <row r="330" spans="1:109" ht="12.75" customHeight="1" x14ac:dyDescent="0.2">
      <c r="B330" s="964"/>
      <c r="C330" s="965"/>
      <c r="D330" s="965"/>
      <c r="E330" s="965"/>
      <c r="F330" s="965"/>
      <c r="G330" s="965"/>
      <c r="H330" s="965"/>
      <c r="I330" s="966"/>
      <c r="J330" s="956" t="s">
        <v>1803</v>
      </c>
      <c r="K330" s="956"/>
      <c r="L330" s="956"/>
      <c r="M330" s="956"/>
      <c r="N330" s="956"/>
      <c r="O330" s="65">
        <f>IF(E329="ERROR","ERROR",IF(R330&gt;1,1,R330))</f>
        <v>0</v>
      </c>
      <c r="P330" s="755"/>
      <c r="R330" s="193">
        <f>SUM(I327,I328,E329)</f>
        <v>0</v>
      </c>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row>
    <row r="331" spans="1:109" ht="18" customHeight="1" x14ac:dyDescent="0.2">
      <c r="B331" s="918"/>
      <c r="C331" s="919"/>
      <c r="D331" s="919"/>
      <c r="E331" s="919"/>
      <c r="F331" s="919"/>
      <c r="G331" s="919"/>
      <c r="H331" s="919"/>
      <c r="I331" s="920"/>
      <c r="J331" s="956" t="s">
        <v>191</v>
      </c>
      <c r="K331" s="956"/>
      <c r="L331" s="956"/>
      <c r="M331" s="956"/>
      <c r="N331" s="956"/>
      <c r="O331" s="956"/>
      <c r="P331" s="755"/>
      <c r="R331" s="10"/>
      <c r="S331" s="10"/>
      <c r="T331" s="10"/>
      <c r="U331" s="10"/>
      <c r="V331" s="10"/>
      <c r="W331" s="10"/>
      <c r="X331" s="10"/>
      <c r="Y331" s="10"/>
      <c r="Z331" s="10"/>
      <c r="AB331" s="10"/>
      <c r="AC331" s="10"/>
      <c r="AD331" s="10"/>
      <c r="AE331" s="10"/>
      <c r="AF331" s="10"/>
      <c r="AG331" s="10"/>
      <c r="AH331" s="10"/>
      <c r="AI331" s="10"/>
      <c r="AJ331" s="10"/>
      <c r="AK331" s="10"/>
      <c r="AL331" s="10"/>
      <c r="AM331" s="10"/>
      <c r="AN331" s="10"/>
      <c r="AO331" s="10"/>
      <c r="AP331" s="10"/>
      <c r="AQ331" s="10"/>
      <c r="AR331" s="10"/>
      <c r="AS331" s="10"/>
      <c r="AT331" s="10"/>
    </row>
    <row r="332" spans="1:109" ht="12" customHeight="1" x14ac:dyDescent="0.2">
      <c r="B332" s="777"/>
      <c r="C332" s="777"/>
      <c r="D332" s="777"/>
      <c r="E332" s="777"/>
      <c r="F332" s="777"/>
      <c r="G332" s="777"/>
      <c r="H332" s="777"/>
      <c r="I332" s="777"/>
      <c r="J332" s="777"/>
      <c r="K332" s="777"/>
      <c r="L332" s="777"/>
      <c r="M332" s="777"/>
      <c r="N332" s="777"/>
      <c r="O332" s="777"/>
      <c r="R332" s="10"/>
      <c r="S332" s="863" t="s">
        <v>2147</v>
      </c>
      <c r="T332" s="863"/>
      <c r="U332" s="10"/>
      <c r="V332" s="10"/>
      <c r="W332" s="10"/>
      <c r="X332" s="10"/>
      <c r="Y332" s="10"/>
      <c r="Z332" s="10"/>
      <c r="AB332" s="10"/>
      <c r="AC332" s="10"/>
      <c r="AD332" s="10"/>
      <c r="AE332" s="10"/>
      <c r="AF332" s="10"/>
      <c r="AG332" s="10"/>
      <c r="AH332" s="10"/>
      <c r="AI332" s="10"/>
      <c r="AJ332" s="10"/>
      <c r="AK332" s="10"/>
      <c r="AL332" s="10"/>
      <c r="AM332" s="10"/>
      <c r="AN332" s="10"/>
      <c r="AO332" s="10"/>
      <c r="AP332" s="10"/>
      <c r="AQ332" s="10"/>
      <c r="AR332" s="10"/>
      <c r="AS332" s="10"/>
      <c r="AT332" s="10"/>
    </row>
    <row r="333" spans="1:109" ht="14.25" customHeight="1" x14ac:dyDescent="0.2">
      <c r="A333" s="15"/>
      <c r="B333" s="982" t="s">
        <v>955</v>
      </c>
      <c r="C333" s="983"/>
      <c r="D333" s="940"/>
      <c r="E333" s="940"/>
      <c r="F333" s="924" t="s">
        <v>1210</v>
      </c>
      <c r="G333" s="924"/>
      <c r="H333" s="924"/>
      <c r="I333" s="924"/>
      <c r="J333" s="924"/>
      <c r="K333" s="924"/>
      <c r="L333" s="924"/>
      <c r="M333" s="924"/>
      <c r="N333" s="924"/>
      <c r="O333" s="924"/>
      <c r="P333" s="82">
        <f>IF(T333=1,0.1,0)</f>
        <v>0</v>
      </c>
      <c r="R333" s="10"/>
      <c r="S333" s="546" t="b">
        <v>0</v>
      </c>
      <c r="T333" s="50">
        <f>IF(S333=TRUE,1,0)</f>
        <v>0</v>
      </c>
      <c r="W333" s="10"/>
      <c r="X333" s="10"/>
      <c r="Y333" s="10"/>
      <c r="Z333" s="10"/>
      <c r="AA333" s="10"/>
      <c r="AB333" s="10"/>
      <c r="AC333" s="10"/>
      <c r="AD333" s="10"/>
      <c r="AE333" s="10"/>
      <c r="AF333" s="10"/>
      <c r="AG333" s="10">
        <v>1E-4</v>
      </c>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row>
    <row r="334" spans="1:109" x14ac:dyDescent="0.2">
      <c r="B334" s="984"/>
      <c r="C334" s="985"/>
      <c r="D334" s="940"/>
      <c r="E334" s="940"/>
      <c r="F334" s="924" t="s">
        <v>1212</v>
      </c>
      <c r="G334" s="924"/>
      <c r="H334" s="924"/>
      <c r="I334" s="924"/>
      <c r="J334" s="924"/>
      <c r="K334" s="924"/>
      <c r="L334" s="924"/>
      <c r="M334" s="924"/>
      <c r="N334" s="924"/>
      <c r="O334" s="924"/>
      <c r="P334" s="82">
        <f>IF(T334=1,0.1,0)</f>
        <v>0</v>
      </c>
      <c r="R334" s="10"/>
      <c r="S334" s="546" t="b">
        <v>0</v>
      </c>
      <c r="T334" s="50">
        <f>IF(S334=TRUE,1,0)</f>
        <v>0</v>
      </c>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row>
    <row r="335" spans="1:109" x14ac:dyDescent="0.2">
      <c r="B335" s="984"/>
      <c r="C335" s="985"/>
      <c r="D335" s="940"/>
      <c r="E335" s="940"/>
      <c r="F335" s="924" t="s">
        <v>1211</v>
      </c>
      <c r="G335" s="924"/>
      <c r="H335" s="924"/>
      <c r="I335" s="924"/>
      <c r="J335" s="924"/>
      <c r="K335" s="924"/>
      <c r="L335" s="924"/>
      <c r="M335" s="924"/>
      <c r="N335" s="924"/>
      <c r="O335" s="924"/>
      <c r="P335" s="82">
        <f>IF(T335=1,0.1,0)</f>
        <v>0</v>
      </c>
      <c r="R335" s="10"/>
      <c r="S335" s="546" t="b">
        <v>0</v>
      </c>
      <c r="T335" s="50">
        <f>IF(S335=TRUE,1,0)</f>
        <v>0</v>
      </c>
      <c r="U335" s="134"/>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row>
    <row r="336" spans="1:109" x14ac:dyDescent="0.2">
      <c r="B336" s="986"/>
      <c r="C336" s="987"/>
      <c r="D336" s="940"/>
      <c r="E336" s="940"/>
      <c r="F336" s="924" t="s">
        <v>1213</v>
      </c>
      <c r="G336" s="924"/>
      <c r="H336" s="924"/>
      <c r="I336" s="924"/>
      <c r="J336" s="924"/>
      <c r="K336" s="924"/>
      <c r="L336" s="924"/>
      <c r="M336" s="924"/>
      <c r="N336" s="924"/>
      <c r="O336" s="924"/>
      <c r="P336" s="82">
        <f>IF(T336=1,0.1,0)</f>
        <v>0</v>
      </c>
      <c r="R336" s="10"/>
      <c r="S336" s="546" t="b">
        <v>0</v>
      </c>
      <c r="T336" s="50">
        <f>IF(S336=TRUE,1,0)</f>
        <v>0</v>
      </c>
      <c r="U336" s="134"/>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row>
    <row r="337" spans="2:79" ht="12" customHeight="1" x14ac:dyDescent="0.2">
      <c r="B337" s="777"/>
      <c r="C337" s="777"/>
      <c r="D337" s="777"/>
      <c r="E337" s="777"/>
      <c r="F337" s="777"/>
      <c r="G337" s="777"/>
      <c r="H337" s="777"/>
      <c r="I337" s="777"/>
      <c r="J337" s="777"/>
      <c r="K337" s="777"/>
      <c r="L337" s="777"/>
      <c r="M337" s="777"/>
      <c r="N337" s="777"/>
      <c r="O337" s="777"/>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row>
    <row r="338" spans="2:79" ht="12" customHeight="1" x14ac:dyDescent="0.2">
      <c r="B338" s="480"/>
      <c r="C338" s="978" t="s">
        <v>239</v>
      </c>
      <c r="D338" s="975"/>
      <c r="E338" s="976" t="s">
        <v>240</v>
      </c>
      <c r="F338" s="975"/>
      <c r="G338" s="350"/>
      <c r="H338" s="352"/>
      <c r="I338" s="974" t="s">
        <v>241</v>
      </c>
      <c r="J338" s="975"/>
      <c r="K338" s="472"/>
      <c r="L338" s="352"/>
      <c r="M338" s="976" t="s">
        <v>240</v>
      </c>
      <c r="N338" s="975"/>
      <c r="O338" s="351"/>
      <c r="P338" s="487"/>
      <c r="Z338" s="477"/>
      <c r="AE338" s="476"/>
      <c r="AF338" s="476"/>
      <c r="AG338" s="476"/>
      <c r="AH338" s="476"/>
      <c r="AI338" s="476"/>
      <c r="AJ338" s="476"/>
      <c r="AK338" s="476"/>
      <c r="AL338" s="476"/>
      <c r="AM338" s="476"/>
      <c r="AN338" s="476"/>
    </row>
    <row r="339" spans="2:79" ht="12" customHeight="1" x14ac:dyDescent="0.2">
      <c r="B339" s="481"/>
      <c r="C339" s="959" t="s">
        <v>242</v>
      </c>
      <c r="D339" s="960"/>
      <c r="E339" s="959" t="s">
        <v>243</v>
      </c>
      <c r="F339" s="960"/>
      <c r="G339" s="959" t="s">
        <v>244</v>
      </c>
      <c r="H339" s="960"/>
      <c r="I339" s="973" t="s">
        <v>245</v>
      </c>
      <c r="J339" s="960"/>
      <c r="K339" s="959" t="s">
        <v>246</v>
      </c>
      <c r="L339" s="960"/>
      <c r="M339" s="959" t="s">
        <v>247</v>
      </c>
      <c r="N339" s="960"/>
      <c r="P339" s="488"/>
      <c r="Z339" s="327"/>
      <c r="AE339" s="476"/>
      <c r="AF339" s="476"/>
      <c r="AG339" s="476"/>
      <c r="AH339" s="476"/>
      <c r="AI339" s="476"/>
      <c r="AJ339" s="476"/>
      <c r="AK339" s="476"/>
      <c r="AL339" s="476"/>
      <c r="AM339" s="476"/>
      <c r="AN339" s="476"/>
    </row>
    <row r="340" spans="2:79" ht="12" customHeight="1" x14ac:dyDescent="0.2">
      <c r="B340" s="481"/>
      <c r="C340" s="934" t="s">
        <v>248</v>
      </c>
      <c r="D340" s="935"/>
      <c r="E340" s="934" t="s">
        <v>249</v>
      </c>
      <c r="F340" s="935"/>
      <c r="G340" s="934" t="s">
        <v>250</v>
      </c>
      <c r="H340" s="935"/>
      <c r="I340" s="963" t="s">
        <v>251</v>
      </c>
      <c r="J340" s="935"/>
      <c r="K340" s="934" t="s">
        <v>250</v>
      </c>
      <c r="L340" s="935"/>
      <c r="M340" s="934" t="s">
        <v>249</v>
      </c>
      <c r="N340" s="935"/>
      <c r="P340" s="488"/>
      <c r="AH340" s="146">
        <v>1</v>
      </c>
      <c r="AI340" s="146">
        <v>2</v>
      </c>
      <c r="AJ340" s="146">
        <v>3</v>
      </c>
      <c r="AK340" s="146">
        <v>4</v>
      </c>
      <c r="AM340" s="476"/>
      <c r="AN340" s="476"/>
      <c r="AO340" s="476"/>
      <c r="AP340" s="476"/>
      <c r="AQ340" s="476"/>
      <c r="AR340" s="476"/>
      <c r="AS340" s="476"/>
      <c r="AT340" s="476"/>
      <c r="AU340" s="476"/>
      <c r="AV340" s="476"/>
    </row>
    <row r="341" spans="2:79" ht="12" customHeight="1" x14ac:dyDescent="0.2">
      <c r="B341" s="539" t="s">
        <v>1945</v>
      </c>
      <c r="C341" s="932" t="s">
        <v>252</v>
      </c>
      <c r="D341" s="933"/>
      <c r="E341" s="932" t="s">
        <v>252</v>
      </c>
      <c r="F341" s="933"/>
      <c r="G341" s="932" t="s">
        <v>252</v>
      </c>
      <c r="H341" s="933"/>
      <c r="I341" s="932" t="s">
        <v>252</v>
      </c>
      <c r="J341" s="933"/>
      <c r="K341" s="932" t="s">
        <v>252</v>
      </c>
      <c r="L341" s="933"/>
      <c r="M341" s="932" t="s">
        <v>252</v>
      </c>
      <c r="N341" s="933"/>
      <c r="P341" s="488"/>
      <c r="S341" s="892" t="s">
        <v>2147</v>
      </c>
      <c r="T341" s="893"/>
      <c r="U341" s="893"/>
      <c r="V341" s="893"/>
      <c r="W341" s="893"/>
      <c r="X341" s="894"/>
      <c r="Y341" s="475"/>
      <c r="Z341" s="475"/>
      <c r="AA341" s="950" t="s">
        <v>2147</v>
      </c>
      <c r="AB341" s="951"/>
      <c r="AC341" s="951"/>
      <c r="AD341" s="951"/>
      <c r="AE341" s="951"/>
      <c r="AF341" s="952"/>
      <c r="AG341" s="475"/>
      <c r="AH341" s="895" t="s">
        <v>2147</v>
      </c>
      <c r="AI341" s="896"/>
      <c r="AJ341" s="896"/>
      <c r="AK341" s="896"/>
      <c r="AL341" s="896"/>
      <c r="AM341" s="897"/>
      <c r="AO341" s="892" t="s">
        <v>2147</v>
      </c>
      <c r="AP341" s="893"/>
      <c r="AQ341" s="893"/>
      <c r="AR341" s="893"/>
      <c r="AS341" s="894"/>
      <c r="AU341" s="892" t="s">
        <v>2147</v>
      </c>
      <c r="AV341" s="893"/>
      <c r="AW341" s="893"/>
      <c r="AX341" s="894"/>
      <c r="AZ341" s="892" t="s">
        <v>2147</v>
      </c>
      <c r="BA341" s="893"/>
      <c r="BB341" s="893"/>
      <c r="BC341" s="893"/>
      <c r="BD341" s="893"/>
      <c r="BE341" s="893"/>
      <c r="BF341" s="893"/>
      <c r="BG341" s="894"/>
      <c r="BI341" s="892" t="s">
        <v>2147</v>
      </c>
      <c r="BJ341" s="893"/>
      <c r="BK341" s="893"/>
      <c r="BL341" s="893"/>
      <c r="BM341" s="893"/>
      <c r="BN341" s="894"/>
    </row>
    <row r="342" spans="2:79" customFormat="1" ht="15" customHeight="1" x14ac:dyDescent="0.2">
      <c r="B342" s="146" t="s">
        <v>1571</v>
      </c>
      <c r="C342" s="925"/>
      <c r="D342" s="925"/>
      <c r="E342" s="925"/>
      <c r="F342" s="925"/>
      <c r="G342" s="925"/>
      <c r="H342" s="925"/>
      <c r="I342" s="925"/>
      <c r="J342" s="925"/>
      <c r="K342" s="925"/>
      <c r="L342" s="925"/>
      <c r="M342" s="925"/>
      <c r="N342" s="925"/>
      <c r="P342" s="489"/>
      <c r="S342" s="301">
        <f>IF(C342="",0,C342)</f>
        <v>0</v>
      </c>
      <c r="T342" s="301">
        <f>IF(AND(E342&lt;&gt;C342,E342&lt;&gt;""),E342,IF(OR(E343&lt;&gt;"",E344&lt;&gt;""),0,S342))</f>
        <v>0</v>
      </c>
      <c r="U342" s="301">
        <f>IF(AND(G342&lt;&gt;E342,G342&lt;&gt;""),G342,IF(OR(G343&lt;&gt;"",G344&lt;&gt;""),0,T342))</f>
        <v>0</v>
      </c>
      <c r="V342" s="301">
        <f>IF(AND(I342&lt;&gt;G342,I342&lt;&gt;""),I342,IF(OR(I343&lt;&gt;"",I344&lt;&gt;""),0,U342))</f>
        <v>0</v>
      </c>
      <c r="W342" s="301">
        <f>IF(AND(K342&lt;&gt;I342,K342&lt;&gt;""),K342,IF(OR(K343&lt;&gt;"",K344&lt;&gt;""),0,V342))</f>
        <v>0</v>
      </c>
      <c r="X342" s="301">
        <f>IF(AND(M342&lt;&gt;K342,M342&lt;&gt;""),M342,IF(OR(M343&lt;&gt;"",M344&lt;&gt;""),0,W342))</f>
        <v>0</v>
      </c>
      <c r="Z342" s="475"/>
      <c r="AA342" s="483">
        <f>IF(C342&gt;1,1,0)</f>
        <v>0</v>
      </c>
      <c r="AB342" s="301">
        <f t="shared" ref="AB342:AF344" si="56">IF(AND(S342&lt;&gt;T342,T342&gt;0),1,0)</f>
        <v>0</v>
      </c>
      <c r="AC342" s="301">
        <f t="shared" si="56"/>
        <v>0</v>
      </c>
      <c r="AD342" s="301">
        <f t="shared" si="56"/>
        <v>0</v>
      </c>
      <c r="AE342" s="301">
        <f t="shared" si="56"/>
        <v>0</v>
      </c>
      <c r="AF342" s="301">
        <f t="shared" si="56"/>
        <v>0</v>
      </c>
      <c r="AH342" s="478">
        <f>IF(S342=1,0,IF(S342=2,0.25,IF(S342=3,0.38,IF(S342=4,0.5,0))))</f>
        <v>0</v>
      </c>
      <c r="AI342" s="478">
        <f>IF(T342=1,0,IF(T342=2,0.23,IF(T342=3,0.35,IF(T342=4,0.45,0))))</f>
        <v>0</v>
      </c>
      <c r="AJ342" s="478">
        <f>IF(U342=1,0,IF(U342=2,0.2,IF(U342=3,0.3,IF(U342=4,0.39,0))))</f>
        <v>0</v>
      </c>
      <c r="AK342" s="478">
        <f>IF(V342=1,0,IF(V342=2,0.17,IF(V342=3,0.25,IF(V342=4,0.33,0))))</f>
        <v>0</v>
      </c>
      <c r="AL342" s="478">
        <f>IF(W342=1,0,IF(W342=2,0.13,IF(W342=3,0.19,IF(W342=4,0.24,0))))</f>
        <v>0</v>
      </c>
      <c r="AM342" s="478">
        <f>IF(X342=1,0,IF(X342=2,0.08,IF(X342=3,0.12,IF(X342=4,0.15,0))))</f>
        <v>0</v>
      </c>
      <c r="AN342" s="479"/>
      <c r="AO342" s="478">
        <f>IF(S342=1,0,IF(S342=2,0.23,IF(S342=3,0.35,IF(S342=4,0.45,0))))</f>
        <v>0</v>
      </c>
      <c r="AP342" s="478">
        <f>IF(T342=1,0,IF(T342=2,0.2,IF(T342=3,0.3,IF(T342=4,0.39,0))))</f>
        <v>0</v>
      </c>
      <c r="AQ342" s="478">
        <f>IF(U342=1,0,IF(U342=2,0.17,IF(U342=3,0.25,IF(U342=4,0.33,0))))</f>
        <v>0</v>
      </c>
      <c r="AR342" s="478">
        <f>IF(V342=1,0,IF(V342=2,0.13,IF(V342=3,0.19,IF(V342=4,0.24,0))))</f>
        <v>0</v>
      </c>
      <c r="AS342" s="478">
        <f>IF(W342=1,0,IF(W342=2,0.08,IF(W342=3,0.12,IF(W342=4,0.15,0))))</f>
        <v>0</v>
      </c>
      <c r="AU342" s="478">
        <f>IF(S342=1,0,IF(S342=2,0.2,IF(S342=3,0.3,IF(S342=4,0.39,0))))</f>
        <v>0</v>
      </c>
      <c r="AV342" s="478">
        <f>IF(T342=1,0,IF(T342=2,0.17,IF(T342=3,0.25,IF(T342=4,0.33,0))))</f>
        <v>0</v>
      </c>
      <c r="AW342" s="478">
        <f>IF(U342=1,0,IF(U342=2,0.13,IF(U342=3,0.19,IF(U342=4,0.24,0))))</f>
        <v>0</v>
      </c>
      <c r="AX342" s="478">
        <f>IF(V342=1,0,IF(V342=2,0.08,IF(V342=3,0.12,IF(V342=4,0.15,0))))</f>
        <v>0</v>
      </c>
      <c r="AZ342" s="478">
        <f>IF(S342=1,0,IF(S342=2,0.17,IF(S342=3,0.25,IF(S342=4,0.33,0))))</f>
        <v>0</v>
      </c>
      <c r="BA342" s="478">
        <f>IF(T342=1,0,IF(T342=2,0.13,IF(T342=3,0.19,IF(T342=4,0.24,0))))</f>
        <v>0</v>
      </c>
      <c r="BB342" s="478">
        <f>IF(U342=1,0,IF(U342=2,0.08,IF(U342=3,0.12,IF(U342=4,0.15,0))))</f>
        <v>0</v>
      </c>
      <c r="BD342" s="478">
        <f>IF(S342=1,0,IF(S342=2,0.13,IF(S342=3,0.19,IF(S342=4,0.24,0))))</f>
        <v>0</v>
      </c>
      <c r="BE342" s="478">
        <f>IF(T342=1,0,IF(T342=2,0.08,IF(T342=3,0.12,IF(T342=4,0.15,0))))</f>
        <v>0</v>
      </c>
      <c r="BG342" s="478">
        <f>IF(S342=1,0,IF(S342=2,0.08,IF(S342=3,0.12,IF(S342=4,0.15,0))))</f>
        <v>0</v>
      </c>
      <c r="BI342" s="478">
        <f>IF(AA342=0,0,IF(OR(AB342=1,AB343=1,AB344=1),AH342-AO342,IF(OR(AC342=1,AC343=1,AC344=1),AH342-AU342,IF(OR(AD342=1,AD343=1,AD344=1),AH342-AZ342,IF(OR(AE342=1,AE343=1,AE344=1),AH342-BD342,IF(OR(AF342=1,AF343=1,AF344=1),AH342-BG342,AH342))))))</f>
        <v>0</v>
      </c>
      <c r="BJ342" s="478">
        <f>IF(AB342=0,0,IF(OR(AC342=1,AC343=1,AC344=1),AI342-AP342,IF(OR(AD342=1,AD343=1,AD344=1),AI342-AV342,IF(OR(AE342=1,AE343=1,AE344=1),AI342-BA342,IF(OR(AF342=1,AF343=1,AF344=1),AI342-BE342,AI342)))))</f>
        <v>0</v>
      </c>
      <c r="BK342" s="478">
        <f>IF(AC342=0,0,IF(OR(AD342=1,AD343=1,AD344=1),AJ342-AQ342,IF(OR(AE342=1,AE343=1,AE344=1),AJ342-AW342,IF(OR(AF342=1,AF343=1,AF344=1),AJ342-BB342,AJ342))))</f>
        <v>0</v>
      </c>
      <c r="BL342" s="478">
        <f>IF(AD342=0,0,IF(OR(AE342=1,AE343=1,AE344=1),AK342-AR342,IF(OR(AF342=1,AF343=1,AF344=1),AK342-AX342,AK342)))</f>
        <v>0</v>
      </c>
      <c r="BM342" s="478">
        <f>IF(AE342=0,0,IF(OR(AF342=1,AF343=1,AF344=1),AL342-AS342,AL342))</f>
        <v>0</v>
      </c>
      <c r="BN342" s="478">
        <f>IF(AF342=0,0,AM342)</f>
        <v>0</v>
      </c>
      <c r="BP342" t="s">
        <v>253</v>
      </c>
      <c r="BR342" s="892" t="s">
        <v>2147</v>
      </c>
      <c r="BS342" s="893"/>
      <c r="BT342" s="893"/>
      <c r="BU342" s="893"/>
      <c r="BV342" s="893"/>
      <c r="BW342" s="893"/>
      <c r="BX342" s="893"/>
      <c r="BY342" s="893"/>
      <c r="BZ342" s="893"/>
      <c r="CA342" s="894"/>
    </row>
    <row r="343" spans="2:79" customFormat="1" ht="15" customHeight="1" x14ac:dyDescent="0.2">
      <c r="B343" s="301" t="s">
        <v>1572</v>
      </c>
      <c r="C343" s="925"/>
      <c r="D343" s="925"/>
      <c r="E343" s="925"/>
      <c r="F343" s="925"/>
      <c r="G343" s="925"/>
      <c r="H343" s="925"/>
      <c r="I343" s="925"/>
      <c r="J343" s="925"/>
      <c r="K343" s="925"/>
      <c r="L343" s="925"/>
      <c r="M343" s="925"/>
      <c r="N343" s="925"/>
      <c r="P343" s="489"/>
      <c r="S343" s="301">
        <f>IF(C343="",0,C343)</f>
        <v>0</v>
      </c>
      <c r="T343" s="301">
        <f>IF(E343&lt;&gt;C343,E343,IF(AND(E344&lt;&gt;C344,S342&gt;1),S342,0))</f>
        <v>0</v>
      </c>
      <c r="U343" s="301">
        <f>IF(G343&lt;&gt;E343,G343,IF(AND(G344&lt;&gt;E344,T342&gt;1),T342,0))</f>
        <v>0</v>
      </c>
      <c r="V343" s="301">
        <f>IF(I343&lt;&gt;G343,I343,IF(AND(I344&lt;&gt;G344,U342&gt;1),U342,0))</f>
        <v>0</v>
      </c>
      <c r="W343" s="301">
        <f>IF(K343&lt;&gt;I343,K343,IF(AND(K344&lt;&gt;I344,V342&gt;1),V342,0))</f>
        <v>0</v>
      </c>
      <c r="X343" s="301">
        <f>IF(M343&lt;&gt;K343,M343,IF(AND(M344&lt;&gt;K344,W342&gt;1),W342,0))</f>
        <v>0</v>
      </c>
      <c r="Z343" s="475"/>
      <c r="AA343" s="483">
        <f>IF(C343&gt;1,1,0)</f>
        <v>0</v>
      </c>
      <c r="AB343" s="301">
        <f t="shared" si="56"/>
        <v>0</v>
      </c>
      <c r="AC343" s="301">
        <f t="shared" si="56"/>
        <v>0</v>
      </c>
      <c r="AD343" s="301">
        <f t="shared" si="56"/>
        <v>0</v>
      </c>
      <c r="AE343" s="301">
        <f t="shared" si="56"/>
        <v>0</v>
      </c>
      <c r="AF343" s="301">
        <f t="shared" si="56"/>
        <v>0</v>
      </c>
      <c r="AH343" s="478">
        <f>IF(S343=1,0,IF(S343=2,0.1,IF(S343=3,0.17,IF(S343=4,0.23,0))))</f>
        <v>0</v>
      </c>
      <c r="AI343" s="478">
        <f>IF(T343=1,0,IF(T343=2,0.09,IF(T343=3,0.15,IF(T343=4,0.2,0))))</f>
        <v>0</v>
      </c>
      <c r="AJ343" s="478">
        <f>IF(U343=1,0,IF(U343=2,0.08,IF(U343=3,0.13,IF(U343=4,0.17,0))))</f>
        <v>0</v>
      </c>
      <c r="AK343" s="478">
        <f>IF(V343=1,0,IF(V343=2,0.07,IF(V343=3,0.1,IF(V343=4,0.14,0))))</f>
        <v>0</v>
      </c>
      <c r="AL343" s="478">
        <f>IF(W343=1,0,IF(W343=2,0.05,IF(W343=3,0.08,IF(W343=4,0.1,0))))</f>
        <v>0</v>
      </c>
      <c r="AM343" s="478">
        <f>IF(X343=1,0,IF(X343=2,0.03,IF(X343=3,0.05,IF(X343=4,0.06,0))))</f>
        <v>0</v>
      </c>
      <c r="AN343" s="479"/>
      <c r="AO343" s="478">
        <f>IF(S343=1,0,IF(S343=2,0.09,IF(S343=3,0.15,IF(S343=4,0.2,0))))</f>
        <v>0</v>
      </c>
      <c r="AP343" s="478">
        <f>IF(T343=1,0,IF(T343=2,0.08,IF(T343=3,0.13,IF(T343=4,0.17,0))))</f>
        <v>0</v>
      </c>
      <c r="AQ343" s="478">
        <f>IF(U343=1,0,IF(U343=2,0.07,IF(U343=3,0.1,IF(U343=4,0.14,0))))</f>
        <v>0</v>
      </c>
      <c r="AR343" s="478">
        <f>IF(V343=1,0,IF(V343=2,0.05,IF(V343=3,0.08,IF(V343=4,0.1,0))))</f>
        <v>0</v>
      </c>
      <c r="AS343" s="478">
        <f>IF(W343=1,0,IF(W343=2,0.03,IF(W343=3,0.05,IF(W343=4,0.06,0))))</f>
        <v>0</v>
      </c>
      <c r="AU343" s="478">
        <f>IF(S343=1,0,IF(S343=2,0.08,IF(S343=3,0.13,IF(S343=4,0.17,0))))</f>
        <v>0</v>
      </c>
      <c r="AV343" s="478">
        <f>IF(T343=1,0,IF(T343=2,0.07,IF(T343=3,0.1,IF(T343=4,0.14,0))))</f>
        <v>0</v>
      </c>
      <c r="AW343" s="478">
        <f>IF(U343=1,0,IF(U343=2,0.05,IF(U343=3,0.08,IF(U343=4,0.1,0))))</f>
        <v>0</v>
      </c>
      <c r="AX343" s="478">
        <f>IF(V343=1,0,IF(V343=2,0.03,IF(V343=3,0.05,IF(V343=4,0.06,0))))</f>
        <v>0</v>
      </c>
      <c r="AZ343" s="478">
        <f>IF(S343=1,0,IF(S343=2,0.07,IF(S343=3,0.1,IF(S343=4,0.14,0))))</f>
        <v>0</v>
      </c>
      <c r="BA343" s="478">
        <f>IF(T343=1,0,IF(T343=2,0.05,IF(T343=3,0.08,IF(T343=4,0.1,0))))</f>
        <v>0</v>
      </c>
      <c r="BB343" s="478">
        <f>IF(U343=1,0,IF(U343=2,0.03,IF(U343=3,0.05,IF(U343=4,0.06,0))))</f>
        <v>0</v>
      </c>
      <c r="BD343" s="478">
        <f>IF(S343=1,0,IF(S343=2,0.05,IF(S343=3,0.08,IF(S343=4,0.1,0))))</f>
        <v>0</v>
      </c>
      <c r="BE343" s="478">
        <f>IF(T343=1,0,IF(T343=2,0.03,IF(T343=3,0.05,IF(T343=4,0.06,0))))</f>
        <v>0</v>
      </c>
      <c r="BG343" s="478">
        <f>IF(S343=1,0,IF(S343=2,0.03,IF(S343=3,0.05,IF(S343=4,0.06,0))))</f>
        <v>0</v>
      </c>
      <c r="BI343" s="478">
        <f>IF(AA343=0,0,IF(OR(AB342=1,AB343=1),AH343-AO343,IF(OR(AC342=1,AC343=1),AH343-AU343,IF(OR(AD342=1,AD343=1),AH343-AZ343,IF(OR(AE342=1,AE343=1),AH343-BD343,IF(OR(AF342=1,AF343=1),AH343-BG343,AH343))))))</f>
        <v>0</v>
      </c>
      <c r="BJ343" s="478">
        <f>IF(AB343=0,0,IF(OR(AC342=1,AC343=1),AI343-AP343,IF(OR(AD342=1,AD343=1),AI343-AV343,IF(OR(AE342=1,AE343=1),AI343-BA343,IF(OR(AF342=1,AF343=1),AI343-BE343,AI343)))))</f>
        <v>0</v>
      </c>
      <c r="BK343" s="478">
        <f>IF(AC343=0,0,IF(OR(AD342=1,AD343=1),AJ343-AQ343,IF(OR(AE342=1,AE343=1),AJ343-AW343,IF(OR(AF342=1,AF343=1),AJ343-BB343,AJ343))))</f>
        <v>0</v>
      </c>
      <c r="BL343" s="478">
        <f>IF(AD343=0,0,IF(OR(AE342=1,AE343=1),AK343-AR343,IF(OR(AF342=1,AF343=1),AK343-AX343,AK343)))</f>
        <v>0</v>
      </c>
      <c r="BM343" s="478">
        <f>IF(AE343=0,0,IF(OR(AF342=1,AF343=1),AL343-AS343,AL343))</f>
        <v>0</v>
      </c>
      <c r="BN343" s="478">
        <f>IF(AF343=0,0,AM343)</f>
        <v>0</v>
      </c>
      <c r="BP343" s="484">
        <f>LARGE((BI342,BJ342,BK342,BL342,BM342,BN342,BI343,BJ343,BK343,BL343,BM343,BN343,BI344,BJ344,BK344,BL344,BM344,BN344),1)</f>
        <v>0</v>
      </c>
      <c r="BQ343" s="485">
        <f>LARGE((BI342,BJ342,BK342,BL342,BM342,BN342,BI343,BJ343,BK343,BL343,BM343,BN343,BI344,BJ344,BK344,BL344,BM344,BN344),2)</f>
        <v>0</v>
      </c>
      <c r="BR343" s="485">
        <f>LARGE((BI342,BJ342,BK342,BL342,BM342,BN342,BI343,BJ343,BK343,BL343,BM343,BN343,BI344,BJ344,BK344,BL344,BM344,BN344),3)</f>
        <v>0</v>
      </c>
      <c r="BS343" s="485">
        <f>LARGE((BI342,BJ342,BK342,BL342,BM342,BN342,BI343,BJ343,BK343,BL343,BM343,BN343,BI344,BJ344,BK344,BL344,BM344,BN344),4)</f>
        <v>0</v>
      </c>
      <c r="BT343" s="485">
        <f>LARGE((BI342,BJ342,BK342,BL342,BM342,BN342,BI343,BJ343,BK343,BL343,BM343,BN343,BI344,BJ344,BK344,BL344,BM344,BN344),5)</f>
        <v>0</v>
      </c>
      <c r="BU343" s="485">
        <f>LARGE((BI342,BJ342,BK342,BL342,BM342,BN342,BI343,BJ343,BK343,BL343,BM343,BN343,BI344,BJ344,BK344,BL344,BM344,BN344),6)</f>
        <v>0</v>
      </c>
      <c r="BV343" s="485">
        <f>LARGE((BI342,BJ342,BK342,BL342,BM342,BN342,BI343,BJ343,BK343,BL343,BM343,BN343,BI344,BJ344,BK344,BL344,BM344,BN344),7)</f>
        <v>0</v>
      </c>
      <c r="BW343" s="485">
        <f>LARGE((BI342,BJ342,BK342,BL342,BM342,BN342,BI343,BJ343,BK343,BL343,BM343,BN343,BI344,BJ344,BK344,BL344,BM344,BN344),8)</f>
        <v>0</v>
      </c>
      <c r="BX343" s="485">
        <f>LARGE((BI342,BJ342,BK342,BL342,BM342,BN342,BI343,BJ343,BK343,BL343,BM343,BN343,BI344,BJ344,BK344,BL344,BM344,BN344),9)</f>
        <v>0</v>
      </c>
      <c r="BY343" s="485">
        <f>LARGE((BI342,BJ342,BK342,BL342,BM342,BN342,BI343,BJ343,BK343,BL343,BM343,BN343,BI344,BJ344,BK344,BL344,BM344,BN344),10)</f>
        <v>0</v>
      </c>
      <c r="BZ343" s="485">
        <f>LARGE((BI342,BJ342,BK342,BL342,BM342,BN342,BI343,BJ343,BK343,BL343,BM343,BN343,BI344,BJ344,BK344,BL344,BM344,BN344),11)</f>
        <v>0</v>
      </c>
      <c r="CA343" s="485">
        <f>LARGE((BI342,BJ342,BK342,BL342,BM342,BN342,BI343,BJ343,BK343,BL343,BM343,BN343,BI344,BJ344,BK344,BL344,BM344,BN344),12)</f>
        <v>0</v>
      </c>
    </row>
    <row r="344" spans="2:79" customFormat="1" ht="15" customHeight="1" x14ac:dyDescent="0.2">
      <c r="B344" s="482" t="s">
        <v>1573</v>
      </c>
      <c r="C344" s="1001"/>
      <c r="D344" s="1001"/>
      <c r="E344" s="1001"/>
      <c r="F344" s="1001"/>
      <c r="G344" s="1001"/>
      <c r="H344" s="1001"/>
      <c r="I344" s="1001"/>
      <c r="J344" s="1001"/>
      <c r="K344" s="1001"/>
      <c r="L344" s="1001"/>
      <c r="M344" s="1001"/>
      <c r="N344" s="1001"/>
      <c r="P344" s="495"/>
      <c r="S344" s="301">
        <f>IF(C344="",0,C344)</f>
        <v>0</v>
      </c>
      <c r="T344" s="301">
        <f>IF(E344&lt;&gt;C344,E344,IF(AND(E343&lt;&gt;C343,S342&gt;1),S342,0))</f>
        <v>0</v>
      </c>
      <c r="U344" s="301">
        <f>IF(G344&lt;&gt;E344,G344,IF(AND(G343&lt;&gt;E343,T342&gt;1),T342,0))</f>
        <v>0</v>
      </c>
      <c r="V344" s="301">
        <f>IF(I344&lt;&gt;G344,I344,IF(AND(I343&lt;&gt;G343,U342&gt;1),U342,0))</f>
        <v>0</v>
      </c>
      <c r="W344" s="301">
        <f>IF(K344&lt;&gt;I344,K344,IF(AND(K343&lt;&gt;I343,V342&gt;1),V342,0))</f>
        <v>0</v>
      </c>
      <c r="X344" s="301">
        <f>IF(M344&lt;&gt;K344,M344,IF(AND(M343&lt;&gt;K343,W342&gt;1),W342,0))</f>
        <v>0</v>
      </c>
      <c r="AA344" s="483">
        <f>IF(C344&gt;1,1,0)</f>
        <v>0</v>
      </c>
      <c r="AB344" s="301">
        <f t="shared" si="56"/>
        <v>0</v>
      </c>
      <c r="AC344" s="301">
        <f t="shared" si="56"/>
        <v>0</v>
      </c>
      <c r="AD344" s="301">
        <f t="shared" si="56"/>
        <v>0</v>
      </c>
      <c r="AE344" s="301">
        <f t="shared" si="56"/>
        <v>0</v>
      </c>
      <c r="AF344" s="301">
        <f t="shared" si="56"/>
        <v>0</v>
      </c>
      <c r="AH344" s="478">
        <f>IF(S344=1,0,IF(S344=2,0.17,IF(S344=3,0.25,IF(S344=4,0.35,0))))</f>
        <v>0</v>
      </c>
      <c r="AI344" s="478">
        <f>IF(T344=1,0,IF(T344=2,0.15,IF(T344=3,0.23,IF(T344=4,0.31,0))))</f>
        <v>0</v>
      </c>
      <c r="AJ344" s="478">
        <f>IF(U344=1,0,IF(U344=2,0.13,IF(U344=3,0.2,IF(U344=4,0.27,0))))</f>
        <v>0</v>
      </c>
      <c r="AK344" s="478">
        <f>IF(V344=1,0,IF(V344=2,0.11,IF(V344=3,0.17,IF(V344=4,0.22,0))))</f>
        <v>0</v>
      </c>
      <c r="AL344" s="478">
        <f>IF(W344=1,0,IF(W344=2,0.08,IF(W344=3,0.12,IF(W344=4,0.16,0))))</f>
        <v>0</v>
      </c>
      <c r="AM344" s="478">
        <f>IF(X344=1,0,IF(X344=2,0.05,IF(X344=3,0.07,IF(X344=4,0.1,0))))</f>
        <v>0</v>
      </c>
      <c r="AN344" s="479"/>
      <c r="AO344" s="478">
        <f>IF(S344=1,0,IF(S344=2,0.15,IF(S344=3,0.23,IF(S344=4,0.31,0))))</f>
        <v>0</v>
      </c>
      <c r="AP344" s="478">
        <f>IF(T344=1,0,IF(T344=2,0.13,IF(T344=3,0.2,IF(T344=4,0.27,0))))</f>
        <v>0</v>
      </c>
      <c r="AQ344" s="478">
        <f>IF(U344=1,0,IF(U344=2,0.11,IF(U344=3,0.17,IF(U344=4,0.22,0))))</f>
        <v>0</v>
      </c>
      <c r="AR344" s="478">
        <f>IF(V344=1,0,IF(V344=2,0.08,IF(V344=3,0.12,IF(V344=4,0.16,0))))</f>
        <v>0</v>
      </c>
      <c r="AS344" s="478">
        <f>IF(W344=1,0,IF(W344=2,0.05,IF(W344=3,0.07,IF(W344=4,0.1,0))))</f>
        <v>0</v>
      </c>
      <c r="AU344" s="478">
        <f>IF(S344=1,0,IF(S344=2,0.13,IF(S344=3,0.2,IF(S344=4,0.27,0))))</f>
        <v>0</v>
      </c>
      <c r="AV344" s="478">
        <f>IF(T344=1,0,IF(T344=2,0.11,IF(T344=3,0.17,IF(T344=4,0.22,0))))</f>
        <v>0</v>
      </c>
      <c r="AW344" s="478">
        <f>IF(U344=1,0,IF(U344=2,0.08,IF(U344=3,0.12,IF(U344=4,0.16,0))))</f>
        <v>0</v>
      </c>
      <c r="AX344" s="478">
        <f>IF(V344=1,0,IF(V344=2,0.05,IF(V344=3,0.07,IF(V344=4,0.1,0))))</f>
        <v>0</v>
      </c>
      <c r="AZ344" s="478">
        <f>IF(S344=1,0,IF(S344=2,0.11,IF(S344=3,0.17,IF(S344=4,0.22,0))))</f>
        <v>0</v>
      </c>
      <c r="BA344" s="478">
        <f>IF(T344=1,0,IF(T344=2,0.08,IF(T344=3,0.12,IF(T344=4,0.16,0))))</f>
        <v>0</v>
      </c>
      <c r="BB344" s="478">
        <f>IF(U344=1,0,IF(U344=2,0.05,IF(U344=3,0.07,IF(U344=4,0.1,0))))</f>
        <v>0</v>
      </c>
      <c r="BD344" s="478">
        <f>IF(S344=1,0,IF(S344=2,0.08,IF(S344=3,0.12,IF(S344=4,0.16,0))))</f>
        <v>0</v>
      </c>
      <c r="BE344" s="478">
        <f>IF(T344=1,0,IF(T344=2,0.05,IF(T344=3,0.07,IF(T344=4,0.1,0))))</f>
        <v>0</v>
      </c>
      <c r="BG344" s="478">
        <f>IF(S344=1,0,IF(S344=2,0.05,IF(S344=3,0.07,IF(S344=4,0.1,0))))</f>
        <v>0</v>
      </c>
      <c r="BI344" s="478">
        <f>IF(AA344=0,0,IF(OR(AB342=1,AB344=1),AH344-AO344,IF(OR(AC342=1,AC344=1),AH344-AU344,IF(OR(AD342=1,AD344=1),AH344-AZ344,IF(OR(AE342=1,AE344=1),AH344-BD344,IF(OR(AF342=1,AF344=1),AH344-BG344,AH344))))))</f>
        <v>0</v>
      </c>
      <c r="BJ344" s="478">
        <f>IF(AB344=0,0,IF(OR(AC342=1,AC344=1),AI344-AP344,IF(OR(AD342=1,AD344=1),AI344-AV344,IF(OR(AE342=1,AE344=1),AI344-BA344,IF(OR(AF342=1,AF344=1),AI344-BE344,AI344)))))</f>
        <v>0</v>
      </c>
      <c r="BK344" s="478">
        <f>IF(AC344=0,0,IF(OR(AD342=1,AD344=1),AJ344-AQ344,IF(OR(AE342=1,AE344=1),AJ344-AW344,IF(OR(AF342=1,AF344=1),AJ344-BB344,AJ344))))</f>
        <v>0</v>
      </c>
      <c r="BL344" s="478">
        <f>IF(AD344=0,0,IF(OR(AE342=1,AE344=1),AK344-AR344,IF(OR(AF342=1,AF344=1),AK344-AX344,AK344)))</f>
        <v>0</v>
      </c>
      <c r="BM344" s="478">
        <f>IF(AE344=0,0,IF(OR(AF342=1,AF344=1),AL344-AS344,AL344))</f>
        <v>0</v>
      </c>
      <c r="BN344" s="478">
        <f>IF(AF344=0,0,AM344)</f>
        <v>0</v>
      </c>
      <c r="BP344" s="486">
        <f>ROUND(BP343+BQ343*(1-BP343),2)</f>
        <v>0</v>
      </c>
      <c r="BQ344" s="486">
        <f t="shared" ref="BQ344:BZ344" si="57">ROUND(BP344+BR343*(1-BP344),2)</f>
        <v>0</v>
      </c>
      <c r="BR344" s="486">
        <f t="shared" si="57"/>
        <v>0</v>
      </c>
      <c r="BS344" s="486">
        <f t="shared" si="57"/>
        <v>0</v>
      </c>
      <c r="BT344" s="486">
        <f t="shared" si="57"/>
        <v>0</v>
      </c>
      <c r="BU344" s="486">
        <f t="shared" si="57"/>
        <v>0</v>
      </c>
      <c r="BV344" s="486">
        <f t="shared" si="57"/>
        <v>0</v>
      </c>
      <c r="BW344" s="486">
        <f t="shared" si="57"/>
        <v>0</v>
      </c>
      <c r="BX344" s="486">
        <f t="shared" si="57"/>
        <v>0</v>
      </c>
      <c r="BY344" s="486">
        <f t="shared" si="57"/>
        <v>0</v>
      </c>
      <c r="BZ344" s="486">
        <f t="shared" si="57"/>
        <v>0</v>
      </c>
      <c r="CA344" s="483"/>
    </row>
    <row r="345" spans="2:79" customFormat="1" ht="15" customHeight="1" x14ac:dyDescent="0.2">
      <c r="B345" s="1048" t="str">
        <f>IF(AD345=1,"ERROR: If radial or ulnar impairment is recorded, do not enter losses for 'both sides.'","")</f>
        <v/>
      </c>
      <c r="C345" s="1049"/>
      <c r="D345" s="1049"/>
      <c r="E345" s="1049"/>
      <c r="F345" s="1049"/>
      <c r="G345" s="1049"/>
      <c r="H345" s="1049"/>
      <c r="I345" s="1049"/>
      <c r="J345" s="1049"/>
      <c r="K345" s="1049"/>
      <c r="L345" s="1049"/>
      <c r="M345" s="1049"/>
      <c r="N345" s="1049"/>
      <c r="O345" s="1050"/>
      <c r="P345" s="473">
        <f>IF(B345&lt;&gt;"","ERROR",BZ344)</f>
        <v>0</v>
      </c>
      <c r="S345" s="475"/>
      <c r="T345" s="475"/>
      <c r="U345" s="475"/>
      <c r="V345" s="475"/>
      <c r="W345" s="475"/>
      <c r="AA345" s="301">
        <f>SUM(AA342:AF342)</f>
        <v>0</v>
      </c>
      <c r="AB345" s="301">
        <f>SUM(AA343:AF343)</f>
        <v>0</v>
      </c>
      <c r="AC345" s="301">
        <f>SUM(AA344:AF344)</f>
        <v>0</v>
      </c>
      <c r="AD345" s="301">
        <f>IF(AND(AA345&gt;0,AB345&gt;0),1,IF(AND(AA345&gt;0,AC345&gt;0),1,0))</f>
        <v>0</v>
      </c>
      <c r="AE345" s="475"/>
      <c r="AF345" s="475"/>
    </row>
    <row r="346" spans="2:79" customFormat="1" ht="15" customHeight="1" x14ac:dyDescent="0.2">
      <c r="B346" s="350" t="s">
        <v>1208</v>
      </c>
      <c r="C346" s="490"/>
      <c r="D346" s="490"/>
      <c r="E346" s="490"/>
      <c r="F346" s="490"/>
      <c r="G346" s="490"/>
      <c r="H346" s="490"/>
      <c r="I346" s="496"/>
      <c r="J346" s="490"/>
      <c r="K346" s="497"/>
      <c r="L346" s="497"/>
      <c r="M346" s="497"/>
      <c r="N346" s="497"/>
      <c r="O346" s="497"/>
      <c r="P346" s="487"/>
      <c r="S346" s="475"/>
      <c r="T346" s="475"/>
      <c r="U346" s="475"/>
      <c r="V346" s="475"/>
      <c r="W346" s="475"/>
      <c r="X346" s="475"/>
    </row>
    <row r="347" spans="2:79" customFormat="1" ht="15" customHeight="1" x14ac:dyDescent="0.2">
      <c r="B347" s="146" t="s">
        <v>1571</v>
      </c>
      <c r="C347" s="925"/>
      <c r="D347" s="925"/>
      <c r="E347" s="925"/>
      <c r="F347" s="925"/>
      <c r="G347" s="925"/>
      <c r="H347" s="925"/>
      <c r="I347" s="925"/>
      <c r="J347" s="925"/>
      <c r="K347" s="925"/>
      <c r="L347" s="925"/>
      <c r="M347" s="925"/>
      <c r="N347" s="925"/>
      <c r="O347" s="490"/>
      <c r="P347" s="493"/>
      <c r="S347" s="301">
        <f>IF(C347="",0,C347)</f>
        <v>0</v>
      </c>
      <c r="T347" s="301">
        <f>IF(AND(E347&lt;&gt;C347,E347&lt;&gt;""),E347,IF(OR(E348&lt;&gt;"",E349&lt;&gt;""),0,S347))</f>
        <v>0</v>
      </c>
      <c r="U347" s="301">
        <f>IF(AND(G347&lt;&gt;E347,G347&lt;&gt;""),G347,IF(OR(G348&lt;&gt;"",G349&lt;&gt;""),0,T347))</f>
        <v>0</v>
      </c>
      <c r="V347" s="301">
        <f>IF(AND(I347&lt;&gt;G347,I347&lt;&gt;""),I347,IF(OR(I348&lt;&gt;"",I349&lt;&gt;""),0,U347))</f>
        <v>0</v>
      </c>
      <c r="W347" s="301">
        <f>IF(AND(K347&lt;&gt;I347,K347&lt;&gt;""),K347,IF(OR(K348&lt;&gt;"",K349&lt;&gt;""),0,V347))</f>
        <v>0</v>
      </c>
      <c r="X347" s="301">
        <f>IF(AND(M347&lt;&gt;K347,M347&lt;&gt;""),M347,IF(OR(M348&lt;&gt;"",M349&lt;&gt;""),0,W347))</f>
        <v>0</v>
      </c>
      <c r="Z347" s="475"/>
      <c r="AA347" s="483">
        <f>IF(C347&gt;1,1,0)</f>
        <v>0</v>
      </c>
      <c r="AB347" s="301">
        <f t="shared" ref="AB347:AF349" si="58">IF(AND(S347&lt;&gt;T347,T347&gt;0),1,0)</f>
        <v>0</v>
      </c>
      <c r="AC347" s="301">
        <f t="shared" si="58"/>
        <v>0</v>
      </c>
      <c r="AD347" s="301">
        <f t="shared" si="58"/>
        <v>0</v>
      </c>
      <c r="AE347" s="301">
        <f t="shared" si="58"/>
        <v>0</v>
      </c>
      <c r="AF347" s="301">
        <f t="shared" si="58"/>
        <v>0</v>
      </c>
      <c r="AH347" s="478">
        <f>IF(S347=1,0,IF(S347=2,0.25,IF(S347=3,0.38,IF(S347=4,0.5,0))))</f>
        <v>0</v>
      </c>
      <c r="AI347" s="478">
        <f>IF(T347=1,0,IF(T347=2,0.23,IF(T347=3,0.35,IF(T347=4,0.45,0))))</f>
        <v>0</v>
      </c>
      <c r="AJ347" s="478">
        <f>IF(U347=1,0,IF(U347=2,0.2,IF(U347=3,0.3,IF(U347=4,0.39,0))))</f>
        <v>0</v>
      </c>
      <c r="AK347" s="478">
        <f>IF(V347=1,0,IF(V347=2,0.17,IF(V347=3,0.25,IF(V347=4,0.33,0))))</f>
        <v>0</v>
      </c>
      <c r="AL347" s="478">
        <f>IF(W347=1,0,IF(W347=2,0.13,IF(W347=3,0.19,IF(W347=4,0.24,0))))</f>
        <v>0</v>
      </c>
      <c r="AM347" s="478">
        <f>IF(X347=1,0,IF(X347=2,0.08,IF(X347=3,0.12,IF(X347=4,0.15,0))))</f>
        <v>0</v>
      </c>
      <c r="AN347" s="479"/>
      <c r="AO347" s="478">
        <f>IF(S347=1,0,IF(S347=2,0.23,IF(S347=3,0.35,IF(S347=4,0.45,0))))</f>
        <v>0</v>
      </c>
      <c r="AP347" s="478">
        <f>IF(T347=1,0,IF(T347=2,0.2,IF(T347=3,0.3,IF(T347=4,0.39,0))))</f>
        <v>0</v>
      </c>
      <c r="AQ347" s="478">
        <f>IF(U347=1,0,IF(U347=2,0.17,IF(U347=3,0.25,IF(U347=4,0.33,0))))</f>
        <v>0</v>
      </c>
      <c r="AR347" s="478">
        <f>IF(V347=1,0,IF(V347=2,0.13,IF(V347=3,0.19,IF(V347=4,0.24,0))))</f>
        <v>0</v>
      </c>
      <c r="AS347" s="478">
        <f>IF(W347=1,0,IF(W347=2,0.08,IF(W347=3,0.12,IF(W347=4,0.15,0))))</f>
        <v>0</v>
      </c>
      <c r="AU347" s="478">
        <f>IF(S347=1,0,IF(S347=2,0.2,IF(S347=3,0.3,IF(S347=4,0.39,0))))</f>
        <v>0</v>
      </c>
      <c r="AV347" s="478">
        <f>IF(T347=1,0,IF(T347=2,0.17,IF(T347=3,0.25,IF(T347=4,0.33,0))))</f>
        <v>0</v>
      </c>
      <c r="AW347" s="478">
        <f>IF(U347=1,0,IF(U347=2,0.13,IF(U347=3,0.19,IF(U347=4,0.24,0))))</f>
        <v>0</v>
      </c>
      <c r="AX347" s="478">
        <f>IF(V347=1,0,IF(V347=2,0.08,IF(V347=3,0.12,IF(V347=4,0.15,0))))</f>
        <v>0</v>
      </c>
      <c r="AZ347" s="478">
        <f>IF(S347=1,0,IF(S347=2,0.17,IF(S347=3,0.25,IF(S347=4,0.33,0))))</f>
        <v>0</v>
      </c>
      <c r="BA347" s="478">
        <f>IF(T347=1,0,IF(T347=2,0.13,IF(T347=3,0.19,IF(T347=4,0.24,0))))</f>
        <v>0</v>
      </c>
      <c r="BB347" s="478">
        <f>IF(U347=1,0,IF(U347=2,0.08,IF(U347=3,0.12,IF(U347=4,0.15,0))))</f>
        <v>0</v>
      </c>
      <c r="BD347" s="478">
        <f>IF(S347=1,0,IF(S347=2,0.13,IF(S347=3,0.19,IF(S347=4,0.24,0))))</f>
        <v>0</v>
      </c>
      <c r="BE347" s="478">
        <f>IF(T347=1,0,IF(T347=2,0.08,IF(T347=3,0.12,IF(T347=4,0.15,0))))</f>
        <v>0</v>
      </c>
      <c r="BG347" s="478">
        <f>IF(S347=1,0,IF(S347=2,0.08,IF(S347=3,0.12,IF(S347=4,0.15,0))))</f>
        <v>0</v>
      </c>
      <c r="BI347" s="478">
        <f>IF(AA347=0,0,IF(OR(AB347=1,AB348=1,AB349=1),AH347-AO347,IF(OR(AC347=1,AC348=1,AC349=1),AH347-AU347,IF(OR(AD347=1,AD348=1,AD349=1),AH347-AZ347,IF(OR(AE347=1,AE348=1,AE349=1),AH347-BD347,IF(OR(AF347=1,AF348=1,AF349=1),AH347-BG347,AH347))))))</f>
        <v>0</v>
      </c>
      <c r="BJ347" s="478">
        <f>IF(AB347=0,0,IF(OR(AC347=1,AC348=1,AC349=1),AI347-AP347,IF(OR(AD347=1,AD348=1,AD349=1),AI347-AV347,IF(OR(AE347=1,AE348=1,AE349=1),AI347-BA347,IF(OR(AF347=1,AF348=1,AF349=1),AI347-BE347,AI347)))))</f>
        <v>0</v>
      </c>
      <c r="BK347" s="478">
        <f>IF(AC347=0,0,IF(OR(AD347=1,AD348=1,AD349=1),AJ347-AQ347,IF(OR(AE347=1,AE348=1,AE349=1),AJ347-AW347,IF(OR(AF347=1,AF348=1,AF349=1),AJ347-BB347,AJ347))))</f>
        <v>0</v>
      </c>
      <c r="BL347" s="478">
        <f>IF(AD347=0,0,IF(OR(AE347=1,AE348=1,AE349=1),AK347-AR347,IF(OR(AF347=1,AF348=1,AF349=1),AK347-AX347,AK347)))</f>
        <v>0</v>
      </c>
      <c r="BM347" s="478">
        <f>IF(AE347=0,0,IF(OR(AF347=1,AF348=1,AF349=1),AL347-AS347,AL347))</f>
        <v>0</v>
      </c>
      <c r="BN347" s="478">
        <f>IF(AF347=0,0,AM347)</f>
        <v>0</v>
      </c>
      <c r="BP347" t="s">
        <v>253</v>
      </c>
    </row>
    <row r="348" spans="2:79" customFormat="1" ht="15" customHeight="1" x14ac:dyDescent="0.2">
      <c r="B348" s="301" t="s">
        <v>1572</v>
      </c>
      <c r="C348" s="925"/>
      <c r="D348" s="925"/>
      <c r="E348" s="925"/>
      <c r="F348" s="925"/>
      <c r="G348" s="925"/>
      <c r="H348" s="925"/>
      <c r="I348" s="925"/>
      <c r="J348" s="925"/>
      <c r="K348" s="925"/>
      <c r="L348" s="925"/>
      <c r="M348" s="925"/>
      <c r="N348" s="925"/>
      <c r="P348" s="494"/>
      <c r="S348" s="301">
        <f>IF(C348="",0,C348)</f>
        <v>0</v>
      </c>
      <c r="T348" s="301">
        <f>IF(E348&lt;&gt;C348,E348,IF(AND(E349&lt;&gt;C349,S347&gt;1),S347,0))</f>
        <v>0</v>
      </c>
      <c r="U348" s="301">
        <f>IF(G348&lt;&gt;E348,G348,IF(AND(G349&lt;&gt;E349,T347&gt;1),T347,0))</f>
        <v>0</v>
      </c>
      <c r="V348" s="301">
        <f>IF(I348&lt;&gt;G348,I348,IF(AND(I349&lt;&gt;G349,U347&gt;1),U347,0))</f>
        <v>0</v>
      </c>
      <c r="W348" s="301">
        <f>IF(K348&lt;&gt;I348,K348,IF(AND(K349&lt;&gt;I349,V347&gt;1),V347,0))</f>
        <v>0</v>
      </c>
      <c r="X348" s="301">
        <f>IF(M348&lt;&gt;K348,M348,IF(AND(M349&lt;&gt;K349,W347&gt;1),W347,0))</f>
        <v>0</v>
      </c>
      <c r="Z348" s="475"/>
      <c r="AA348" s="483">
        <f>IF(C348&gt;1,1,0)</f>
        <v>0</v>
      </c>
      <c r="AB348" s="301">
        <f t="shared" si="58"/>
        <v>0</v>
      </c>
      <c r="AC348" s="301">
        <f t="shared" si="58"/>
        <v>0</v>
      </c>
      <c r="AD348" s="301">
        <f t="shared" si="58"/>
        <v>0</v>
      </c>
      <c r="AE348" s="301">
        <f t="shared" si="58"/>
        <v>0</v>
      </c>
      <c r="AF348" s="301">
        <f t="shared" si="58"/>
        <v>0</v>
      </c>
      <c r="AH348" s="478">
        <f>IF(S348=1,0,IF(S348=2,0.1,IF(S348=3,0.17,IF(S348=4,0.23,0))))</f>
        <v>0</v>
      </c>
      <c r="AI348" s="478">
        <f>IF(T348=1,0,IF(T348=2,0.09,IF(T348=3,0.15,IF(T348=4,0.2,0))))</f>
        <v>0</v>
      </c>
      <c r="AJ348" s="478">
        <f>IF(U348=1,0,IF(U348=2,0.08,IF(U348=3,0.13,IF(U348=4,0.17,0))))</f>
        <v>0</v>
      </c>
      <c r="AK348" s="478">
        <f>IF(V348=1,0,IF(V348=2,0.07,IF(V348=3,0.1,IF(V348=4,0.14,0))))</f>
        <v>0</v>
      </c>
      <c r="AL348" s="478">
        <f>IF(W348=1,0,IF(W348=2,0.05,IF(W348=3,0.08,IF(W348=4,0.1,0))))</f>
        <v>0</v>
      </c>
      <c r="AM348" s="478">
        <f>IF(X348=1,0,IF(X348=2,0.03,IF(X348=3,0.05,IF(X348=4,0.06,0))))</f>
        <v>0</v>
      </c>
      <c r="AN348" s="479"/>
      <c r="AO348" s="478">
        <f>IF(S348=1,0,IF(S348=2,0.09,IF(S348=3,0.15,IF(S348=4,0.2,0))))</f>
        <v>0</v>
      </c>
      <c r="AP348" s="478">
        <f>IF(T348=1,0,IF(T348=2,0.08,IF(T348=3,0.13,IF(T348=4,0.17,0))))</f>
        <v>0</v>
      </c>
      <c r="AQ348" s="478">
        <f>IF(U348=1,0,IF(U348=2,0.07,IF(U348=3,0.1,IF(U348=4,0.14,0))))</f>
        <v>0</v>
      </c>
      <c r="AR348" s="478">
        <f>IF(V348=1,0,IF(V348=2,0.05,IF(V348=3,0.08,IF(V348=4,0.1,0))))</f>
        <v>0</v>
      </c>
      <c r="AS348" s="478">
        <f>IF(W348=1,0,IF(W348=2,0.03,IF(W348=3,0.05,IF(W348=4,0.06,0))))</f>
        <v>0</v>
      </c>
      <c r="AU348" s="478">
        <f>IF(S348=1,0,IF(S348=2,0.08,IF(S348=3,0.13,IF(S348=4,0.17,0))))</f>
        <v>0</v>
      </c>
      <c r="AV348" s="478">
        <f>IF(T348=1,0,IF(T348=2,0.07,IF(T348=3,0.1,IF(T348=4,0.14,0))))</f>
        <v>0</v>
      </c>
      <c r="AW348" s="478">
        <f>IF(U348=1,0,IF(U348=2,0.05,IF(U348=3,0.08,IF(U348=4,0.1,0))))</f>
        <v>0</v>
      </c>
      <c r="AX348" s="478">
        <f>IF(V348=1,0,IF(V348=2,0.03,IF(V348=3,0.05,IF(V348=4,0.06,0))))</f>
        <v>0</v>
      </c>
      <c r="AZ348" s="478">
        <f>IF(S348=1,0,IF(S348=2,0.07,IF(S348=3,0.1,IF(S348=4,0.14,0))))</f>
        <v>0</v>
      </c>
      <c r="BA348" s="478">
        <f>IF(T348=1,0,IF(T348=2,0.05,IF(T348=3,0.08,IF(T348=4,0.1,0))))</f>
        <v>0</v>
      </c>
      <c r="BB348" s="478">
        <f>IF(U348=1,0,IF(U348=2,0.03,IF(U348=3,0.05,IF(U348=4,0.06,0))))</f>
        <v>0</v>
      </c>
      <c r="BD348" s="478">
        <f>IF(S348=1,0,IF(S348=2,0.05,IF(S348=3,0.08,IF(S348=4,0.1,0))))</f>
        <v>0</v>
      </c>
      <c r="BE348" s="478">
        <f>IF(T348=1,0,IF(T348=2,0.03,IF(T348=3,0.05,IF(T348=4,0.06,0))))</f>
        <v>0</v>
      </c>
      <c r="BG348" s="478">
        <f>IF(S348=1,0,IF(S348=2,0.03,IF(S348=3,0.05,IF(S348=4,0.06,0))))</f>
        <v>0</v>
      </c>
      <c r="BI348" s="478">
        <f>IF(AA348=0,0,IF(OR(AB347=1,AB348=1),AH348-AO348,IF(OR(AC347=1,AC348=1),AH348-AU348,IF(OR(AD347=1,AD348=1),AH348-AZ348,IF(OR(AE347=1,AE348=1),AH348-BD348,IF(OR(AF347=1,AF348=1),AH348-BG348,AH348))))))</f>
        <v>0</v>
      </c>
      <c r="BJ348" s="478">
        <f>IF(AB348=0,0,IF(OR(AC347=1,AC348=1),AI348-AP348,IF(OR(AD347=1,AD348=1),AI348-AV348,IF(OR(AE347=1,AE348=1),AI348-BA348,IF(OR(AF347=1,AF348=1),AI348-BE348,AI348)))))</f>
        <v>0</v>
      </c>
      <c r="BK348" s="478">
        <f>IF(AC348=0,0,IF(OR(AD347=1,AD348=1),AJ348-AQ348,IF(OR(AE347=1,AE348=1),AJ348-AW348,IF(OR(AF347=1,AF348=1),AJ348-BB348,AJ348))))</f>
        <v>0</v>
      </c>
      <c r="BL348" s="478">
        <f>IF(AD348=0,0,IF(OR(AE347=1,AE348=1),AK348-AR348,IF(OR(AF347=1,AF348=1),AK348-AX348,AK348)))</f>
        <v>0</v>
      </c>
      <c r="BM348" s="478">
        <f>IF(AE348=0,0,IF(OR(AF347=1,AF348=1),AL348-AS348,AL348))</f>
        <v>0</v>
      </c>
      <c r="BN348" s="478">
        <f>IF(AF348=0,0,AM348)</f>
        <v>0</v>
      </c>
      <c r="BP348" s="484">
        <f>LARGE((BI347,BJ347,BK347,BL347,BM347,BN347,BI348,BJ348,BK348,BL348,BM348,BN348,BI349,BJ349,BK349,BL349,BM349,BN349),1)</f>
        <v>0</v>
      </c>
      <c r="BQ348" s="485">
        <f>LARGE((BI347,BJ347,BK347,BL347,BM347,BN347,BI348,BJ348,BK348,BL348,BM348,BN348,BI349,BJ349,BK349,BL349,BM349,BN349),2)</f>
        <v>0</v>
      </c>
      <c r="BR348" s="485">
        <f>LARGE((BI347,BJ347,BK347,BL347,BM347,BN347,BI348,BJ348,BK348,BL348,BM348,BN348,BI349,BJ349,BK349,BL349,BM349,BN349),3)</f>
        <v>0</v>
      </c>
      <c r="BS348" s="485">
        <f>LARGE((BI347,BJ347,BK347,BL347,BM347,BN347,BI348,BJ348,BK348,BL348,BM348,BN348,BI349,BJ349,BK349,BL349,BM349,BN349),4)</f>
        <v>0</v>
      </c>
      <c r="BT348" s="485">
        <f>LARGE((BI347,BJ347,BK347,BL347,BM347,BN347,BI348,BJ348,BK348,BL348,BM348,BN348,BI349,BJ349,BK349,BL349,BM349,BN349),5)</f>
        <v>0</v>
      </c>
      <c r="BU348" s="485">
        <f>LARGE((BI347,BJ347,BK347,BL347,BM347,BN347,BI348,BJ348,BK348,BL348,BM348,BN348,BI349,BJ349,BK349,BL349,BM349,BN349),6)</f>
        <v>0</v>
      </c>
      <c r="BV348" s="485">
        <f>LARGE((BI347,BJ347,BK347,BL347,BM347,BN347,BI348,BJ348,BK348,BL348,BM348,BN348,BI349,BJ349,BK349,BL349,BM349,BN349),7)</f>
        <v>0</v>
      </c>
      <c r="BW348" s="485">
        <f>LARGE((BI347,BJ347,BK347,BL347,BM347,BN347,BI348,BJ348,BK348,BL348,BM348,BN348,BI349,BJ349,BK349,BL349,BM349,BN349),8)</f>
        <v>0</v>
      </c>
      <c r="BX348" s="485">
        <f>LARGE((BI347,BJ347,BK347,BL347,BM347,BN347,BI348,BJ348,BK348,BL348,BM348,BN348,BI349,BJ349,BK349,BL349,BM349,BN349),9)</f>
        <v>0</v>
      </c>
      <c r="BY348" s="485">
        <f>LARGE((BI347,BJ347,BK347,BL347,BM347,BN347,BI348,BJ348,BK348,BL348,BM348,BN348,BI349,BJ349,BK349,BL349,BM349,BN349),10)</f>
        <v>0</v>
      </c>
      <c r="BZ348" s="485">
        <f>LARGE((BI347,BJ347,BK347,BL347,BM347,BN347,BI348,BJ348,BK348,BL348,BM348,BN348,BI349,BJ349,BK349,BL349,BM349,BN349),11)</f>
        <v>0</v>
      </c>
      <c r="CA348" s="485">
        <f>LARGE((BI347,BJ347,BK347,BL347,BM347,BN347,BI348,BJ348,BK348,BL348,BM348,BN348,BI349,BJ349,BK349,BL349,BM349,BN349),12)</f>
        <v>0</v>
      </c>
    </row>
    <row r="349" spans="2:79" customFormat="1" ht="15" customHeight="1" x14ac:dyDescent="0.2">
      <c r="B349" s="482" t="s">
        <v>1573</v>
      </c>
      <c r="C349" s="1001"/>
      <c r="D349" s="1001"/>
      <c r="E349" s="1001"/>
      <c r="F349" s="1001"/>
      <c r="G349" s="1001"/>
      <c r="H349" s="1001"/>
      <c r="I349" s="1001"/>
      <c r="J349" s="1001"/>
      <c r="K349" s="1001"/>
      <c r="L349" s="1001"/>
      <c r="M349" s="1001"/>
      <c r="N349" s="1001"/>
      <c r="P349" s="494"/>
      <c r="S349" s="301">
        <f>IF(C349="",0,C349)</f>
        <v>0</v>
      </c>
      <c r="T349" s="301">
        <f>IF(E349&lt;&gt;C349,E349,IF(AND(E348&lt;&gt;C348,S347&gt;1),S347,0))</f>
        <v>0</v>
      </c>
      <c r="U349" s="301">
        <f>IF(G349&lt;&gt;E349,G349,IF(AND(G348&lt;&gt;E348,T347&gt;1),T347,0))</f>
        <v>0</v>
      </c>
      <c r="V349" s="301">
        <f>IF(I349&lt;&gt;G349,I349,IF(AND(I348&lt;&gt;G348,U347&gt;1),U347,0))</f>
        <v>0</v>
      </c>
      <c r="W349" s="301">
        <f>IF(K349&lt;&gt;I349,K349,IF(AND(K348&lt;&gt;I348,V347&gt;1),V347,0))</f>
        <v>0</v>
      </c>
      <c r="X349" s="301">
        <f>IF(M349&lt;&gt;K349,M349,IF(AND(M348&lt;&gt;K348,W347&gt;1),W347,0))</f>
        <v>0</v>
      </c>
      <c r="AA349" s="483">
        <f>IF(C349&gt;1,1,0)</f>
        <v>0</v>
      </c>
      <c r="AB349" s="301">
        <f t="shared" si="58"/>
        <v>0</v>
      </c>
      <c r="AC349" s="301">
        <f t="shared" si="58"/>
        <v>0</v>
      </c>
      <c r="AD349" s="301">
        <f t="shared" si="58"/>
        <v>0</v>
      </c>
      <c r="AE349" s="301">
        <f t="shared" si="58"/>
        <v>0</v>
      </c>
      <c r="AF349" s="301">
        <f t="shared" si="58"/>
        <v>0</v>
      </c>
      <c r="AH349" s="478">
        <f>IF(S349=1,0,IF(S349=2,0.17,IF(S349=3,0.25,IF(S349=4,0.35,0))))</f>
        <v>0</v>
      </c>
      <c r="AI349" s="478">
        <f>IF(T349=1,0,IF(T349=2,0.15,IF(T349=3,0.23,IF(T349=4,0.31,0))))</f>
        <v>0</v>
      </c>
      <c r="AJ349" s="478">
        <f>IF(U349=1,0,IF(U349=2,0.13,IF(U349=3,0.2,IF(U349=4,0.27,0))))</f>
        <v>0</v>
      </c>
      <c r="AK349" s="478">
        <f>IF(V349=1,0,IF(V349=2,0.11,IF(V349=3,0.17,IF(V349=4,0.22,0))))</f>
        <v>0</v>
      </c>
      <c r="AL349" s="478">
        <f>IF(W349=1,0,IF(W349=2,0.08,IF(W349=3,0.12,IF(W349=4,0.16,0))))</f>
        <v>0</v>
      </c>
      <c r="AM349" s="478">
        <f>IF(X349=1,0,IF(X349=2,0.05,IF(X349=3,0.07,IF(X349=4,0.1,0))))</f>
        <v>0</v>
      </c>
      <c r="AN349" s="479"/>
      <c r="AO349" s="478">
        <f>IF(S349=1,0,IF(S349=2,0.15,IF(S349=3,0.23,IF(S349=4,0.31,0))))</f>
        <v>0</v>
      </c>
      <c r="AP349" s="478">
        <f>IF(T349=1,0,IF(T349=2,0.13,IF(T349=3,0.2,IF(T349=4,0.27,0))))</f>
        <v>0</v>
      </c>
      <c r="AQ349" s="478">
        <f>IF(U349=1,0,IF(U349=2,0.11,IF(U349=3,0.17,IF(U349=4,0.22,0))))</f>
        <v>0</v>
      </c>
      <c r="AR349" s="478">
        <f>IF(V349=1,0,IF(V349=2,0.08,IF(V349=3,0.12,IF(V349=4,0.16,0))))</f>
        <v>0</v>
      </c>
      <c r="AS349" s="478">
        <f>IF(W349=1,0,IF(W349=2,0.05,IF(W349=3,0.07,IF(W349=4,0.1,0))))</f>
        <v>0</v>
      </c>
      <c r="AU349" s="478">
        <f>IF(S349=1,0,IF(S349=2,0.13,IF(S349=3,0.2,IF(S349=4,0.27,0))))</f>
        <v>0</v>
      </c>
      <c r="AV349" s="478">
        <f>IF(T349=1,0,IF(T349=2,0.11,IF(T349=3,0.17,IF(T349=4,0.22,0))))</f>
        <v>0</v>
      </c>
      <c r="AW349" s="478">
        <f>IF(U349=1,0,IF(U349=2,0.08,IF(U349=3,0.12,IF(U349=4,0.16,0))))</f>
        <v>0</v>
      </c>
      <c r="AX349" s="478">
        <f>IF(V349=1,0,IF(V349=2,0.05,IF(V349=3,0.07,IF(V349=4,0.1,0))))</f>
        <v>0</v>
      </c>
      <c r="AZ349" s="478">
        <f>IF(S349=1,0,IF(S349=2,0.11,IF(S349=3,0.17,IF(S349=4,0.22,0))))</f>
        <v>0</v>
      </c>
      <c r="BA349" s="478">
        <f>IF(T349=1,0,IF(T349=2,0.08,IF(T349=3,0.12,IF(T349=4,0.16,0))))</f>
        <v>0</v>
      </c>
      <c r="BB349" s="478">
        <f>IF(U349=1,0,IF(U349=2,0.05,IF(U349=3,0.07,IF(U349=4,0.1,0))))</f>
        <v>0</v>
      </c>
      <c r="BD349" s="478">
        <f>IF(S349=1,0,IF(S349=2,0.08,IF(S349=3,0.12,IF(S349=4,0.16,0))))</f>
        <v>0</v>
      </c>
      <c r="BE349" s="478">
        <f>IF(T349=1,0,IF(T349=2,0.05,IF(T349=3,0.07,IF(T349=4,0.1,0))))</f>
        <v>0</v>
      </c>
      <c r="BG349" s="478">
        <f>IF(S349=1,0,IF(S349=2,0.05,IF(S349=3,0.07,IF(S349=4,0.1,0))))</f>
        <v>0</v>
      </c>
      <c r="BI349" s="478">
        <f>IF(AA349=0,0,IF(OR(AB347=1,AB349=1),AH349-AO349,IF(OR(AC347=1,AC349=1),AH349-AU349,IF(OR(AD347=1,AD349=1),AH349-AZ349,IF(OR(AE347=1,AE349=1),AH349-BD349,IF(OR(AF347=1,AF349=1),AH349-BG349,AH349))))))</f>
        <v>0</v>
      </c>
      <c r="BJ349" s="478">
        <f>IF(AB349=0,0,IF(OR(AC347=1,AC349=1),AI349-AP349,IF(OR(AD347=1,AD349=1),AI349-AV349,IF(OR(AE347=1,AE349=1),AI349-BA349,IF(OR(AF347=1,AF349=1),AI349-BE349,AI349)))))</f>
        <v>0</v>
      </c>
      <c r="BK349" s="478">
        <f>IF(AC349=0,0,IF(OR(AD347=1,AD349=1),AJ349-AQ349,IF(OR(AE347=1,AE349=1),AJ349-AW349,IF(OR(AF347=1,AF349=1),AJ349-BB349,AJ349))))</f>
        <v>0</v>
      </c>
      <c r="BL349" s="478">
        <f>IF(AD349=0,0,IF(OR(AE347=1,AE349=1),AK349-AR349,IF(OR(AF347=1,AF349=1),AK349-AX349,AK349)))</f>
        <v>0</v>
      </c>
      <c r="BM349" s="478">
        <f>IF(AE349=0,0,IF(OR(AF347=1,AF349=1),AL349-AS349,AL349))</f>
        <v>0</v>
      </c>
      <c r="BN349" s="478">
        <f>IF(AF349=0,0,AM349)</f>
        <v>0</v>
      </c>
      <c r="BP349" s="486">
        <f>ROUND(BP348+BQ348*(1-BP348),2)</f>
        <v>0</v>
      </c>
      <c r="BQ349" s="486">
        <f t="shared" ref="BQ349:BZ349" si="59">ROUND(BP349+BR348*(1-BP349),2)</f>
        <v>0</v>
      </c>
      <c r="BR349" s="486">
        <f t="shared" si="59"/>
        <v>0</v>
      </c>
      <c r="BS349" s="486">
        <f t="shared" si="59"/>
        <v>0</v>
      </c>
      <c r="BT349" s="486">
        <f t="shared" si="59"/>
        <v>0</v>
      </c>
      <c r="BU349" s="486">
        <f t="shared" si="59"/>
        <v>0</v>
      </c>
      <c r="BV349" s="486">
        <f t="shared" si="59"/>
        <v>0</v>
      </c>
      <c r="BW349" s="486">
        <f t="shared" si="59"/>
        <v>0</v>
      </c>
      <c r="BX349" s="486">
        <f t="shared" si="59"/>
        <v>0</v>
      </c>
      <c r="BY349" s="486">
        <f t="shared" si="59"/>
        <v>0</v>
      </c>
      <c r="BZ349" s="486">
        <f t="shared" si="59"/>
        <v>0</v>
      </c>
      <c r="CA349" s="483"/>
    </row>
    <row r="350" spans="2:79" customFormat="1" ht="15" customHeight="1" x14ac:dyDescent="0.2">
      <c r="B350" s="926" t="str">
        <f>IF(AD350=1,"ERROR: If radial or ulnar impairment is recorded, do not enter losses for 'both sides.'","")</f>
        <v/>
      </c>
      <c r="C350" s="927"/>
      <c r="D350" s="927"/>
      <c r="E350" s="927"/>
      <c r="F350" s="927"/>
      <c r="G350" s="927"/>
      <c r="H350" s="927"/>
      <c r="I350" s="927"/>
      <c r="J350" s="927"/>
      <c r="K350" s="927"/>
      <c r="L350" s="927"/>
      <c r="M350" s="927"/>
      <c r="N350" s="927"/>
      <c r="O350" s="928"/>
      <c r="P350" s="245">
        <f>IF(B350&lt;&gt;"","ERROR",BZ349)</f>
        <v>0</v>
      </c>
      <c r="S350" s="475"/>
      <c r="T350" s="475"/>
      <c r="U350" s="475"/>
      <c r="V350" s="475"/>
      <c r="W350" s="475"/>
      <c r="AA350" s="301">
        <f>SUM(AA347:AF347)</f>
        <v>0</v>
      </c>
      <c r="AB350" s="301">
        <f>SUM(AA348:AF348)</f>
        <v>0</v>
      </c>
      <c r="AC350" s="301">
        <f>SUM(AA349:AF349)</f>
        <v>0</v>
      </c>
      <c r="AD350" s="301">
        <f>IF(AND(AA350&gt;0,AB350&gt;0),1,IF(AND(AA350&gt;0,AC350&gt;0),1,0))</f>
        <v>0</v>
      </c>
      <c r="AE350" s="475"/>
      <c r="AF350" s="475"/>
    </row>
    <row r="351" spans="2:79" ht="12" customHeight="1" x14ac:dyDescent="0.2">
      <c r="B351" s="1"/>
      <c r="D351" s="1"/>
      <c r="E351" s="1"/>
      <c r="F351" s="1"/>
      <c r="G351" s="1"/>
      <c r="H351" s="1"/>
      <c r="I351" s="1"/>
      <c r="J351" s="1"/>
      <c r="K351" s="1"/>
      <c r="L351" s="1"/>
      <c r="M351" s="1"/>
      <c r="N351" s="1"/>
      <c r="O351" s="1"/>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row>
    <row r="352" spans="2:79" x14ac:dyDescent="0.2">
      <c r="B352" s="50" t="s">
        <v>1214</v>
      </c>
      <c r="C352" s="910" t="s">
        <v>1348</v>
      </c>
      <c r="D352" s="910"/>
      <c r="E352" s="910"/>
      <c r="F352" s="910"/>
      <c r="G352" s="910"/>
      <c r="H352" s="910" t="s">
        <v>1759</v>
      </c>
      <c r="I352" s="910"/>
      <c r="J352" s="910"/>
      <c r="K352" s="18"/>
      <c r="L352" s="910" t="s">
        <v>1215</v>
      </c>
      <c r="M352" s="910"/>
      <c r="N352" s="910"/>
      <c r="O352" s="910"/>
      <c r="P352" s="755">
        <f>V354</f>
        <v>0</v>
      </c>
      <c r="R352" s="10"/>
      <c r="S352" s="559" t="s">
        <v>1565</v>
      </c>
      <c r="T352" s="559" t="s">
        <v>1285</v>
      </c>
      <c r="U352" s="559" t="s">
        <v>1286</v>
      </c>
      <c r="V352" s="559" t="s">
        <v>1287</v>
      </c>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row>
    <row r="353" spans="1:109" ht="15" customHeight="1" x14ac:dyDescent="0.2">
      <c r="B353" s="146" t="s">
        <v>1227</v>
      </c>
      <c r="C353" s="922"/>
      <c r="D353" s="922"/>
      <c r="E353" s="922"/>
      <c r="F353" s="922"/>
      <c r="G353" s="922"/>
      <c r="H353" s="914">
        <f>IF(C353=$X$127,0.09,IF(C353=$Y$127,0.18,IF(C353=$Z$127,0.27,0)))</f>
        <v>0</v>
      </c>
      <c r="I353" s="914"/>
      <c r="J353" s="914"/>
      <c r="K353" s="146"/>
      <c r="L353" s="922"/>
      <c r="M353" s="922"/>
      <c r="N353" s="922"/>
      <c r="O353" s="21">
        <f>IF(H353&gt;=S353,H353-S353,0)</f>
        <v>0</v>
      </c>
      <c r="P353" s="755"/>
      <c r="R353" s="10"/>
      <c r="S353" s="147">
        <f>IF(L353=$Y$128,0.09,IF(L353=$Z$128,0.18,IF(L353=$AA$128,0.27,0)))</f>
        <v>0</v>
      </c>
      <c r="T353" s="147">
        <f>LARGE(O353:O355,1)</f>
        <v>0</v>
      </c>
      <c r="U353" s="544">
        <f>T353+T354*(1-T353)</f>
        <v>0</v>
      </c>
      <c r="V353" s="544">
        <f>ROUND(U353,2)</f>
        <v>0</v>
      </c>
      <c r="W353" s="863" t="s">
        <v>2147</v>
      </c>
      <c r="X353" s="863"/>
      <c r="Y353" s="863"/>
      <c r="Z353" s="863"/>
      <c r="AA353" s="10"/>
      <c r="AB353" s="10"/>
      <c r="AC353" s="10"/>
      <c r="AD353" s="10"/>
      <c r="AE353" s="10"/>
      <c r="AF353" s="10"/>
      <c r="AG353" s="10"/>
      <c r="AH353" s="10"/>
      <c r="AI353" s="10"/>
      <c r="AJ353" s="10"/>
      <c r="AK353" s="10"/>
      <c r="AL353" s="10"/>
      <c r="AM353" s="10"/>
      <c r="AN353" s="10"/>
      <c r="AO353" s="10"/>
      <c r="AP353" s="10"/>
      <c r="AQ353" s="10"/>
      <c r="AR353" s="10"/>
      <c r="AS353" s="10"/>
      <c r="AT353" s="10"/>
    </row>
    <row r="354" spans="1:109" ht="15" customHeight="1" x14ac:dyDescent="0.2">
      <c r="B354" s="50" t="s">
        <v>1228</v>
      </c>
      <c r="C354" s="922"/>
      <c r="D354" s="922"/>
      <c r="E354" s="922"/>
      <c r="F354" s="922"/>
      <c r="G354" s="922"/>
      <c r="H354" s="914">
        <f>IF(C354=$X$127,0.16,IF(C354=$Y$127,0.32,IF(C354=$Z$127,0.48,0)))</f>
        <v>0</v>
      </c>
      <c r="I354" s="914"/>
      <c r="J354" s="914"/>
      <c r="K354" s="146"/>
      <c r="L354" s="922"/>
      <c r="M354" s="922"/>
      <c r="N354" s="922"/>
      <c r="O354" s="21">
        <f>IF(H354&gt;=S354,H354-S354,0)</f>
        <v>0</v>
      </c>
      <c r="P354" s="755"/>
      <c r="R354" s="10"/>
      <c r="S354" s="147">
        <f>IF(L354=$Y$128,0.16,IF(L354=$Z$128,0.32,IF(L354=$AA$128,0.48,0)))</f>
        <v>0</v>
      </c>
      <c r="T354" s="147">
        <f>LARGE(O353:O355,2)</f>
        <v>0</v>
      </c>
      <c r="U354" s="544">
        <f>V353+T355*(1-V353)</f>
        <v>0</v>
      </c>
      <c r="V354" s="544">
        <f>ROUND(U354,2)</f>
        <v>0</v>
      </c>
      <c r="W354" s="50"/>
      <c r="X354" s="50" t="s">
        <v>1218</v>
      </c>
      <c r="Y354" s="50" t="s">
        <v>1219</v>
      </c>
      <c r="Z354" s="50" t="s">
        <v>1220</v>
      </c>
      <c r="AA354" s="50"/>
      <c r="AB354" s="10"/>
      <c r="AC354" s="10"/>
      <c r="AD354" s="10"/>
      <c r="AE354" s="10"/>
      <c r="AF354" s="10"/>
      <c r="AG354" s="10"/>
      <c r="AH354" s="10"/>
      <c r="AI354" s="10"/>
      <c r="AJ354" s="10"/>
      <c r="AK354" s="10"/>
      <c r="AL354" s="10"/>
      <c r="AM354" s="10"/>
      <c r="AN354" s="10"/>
      <c r="AO354" s="10"/>
      <c r="AP354" s="10"/>
      <c r="AQ354" s="10"/>
      <c r="AR354" s="10"/>
      <c r="AS354" s="10"/>
      <c r="AT354" s="10"/>
    </row>
    <row r="355" spans="1:109" ht="15" customHeight="1" x14ac:dyDescent="0.2">
      <c r="B355" s="50" t="s">
        <v>1229</v>
      </c>
      <c r="C355" s="922"/>
      <c r="D355" s="922"/>
      <c r="E355" s="922"/>
      <c r="F355" s="922"/>
      <c r="G355" s="922"/>
      <c r="H355" s="914">
        <f>IF(C355=$X$127,0.2,IF(C355=$Y$127,0.4,IF(C355=$Z$127,0.6,0)))</f>
        <v>0</v>
      </c>
      <c r="I355" s="914"/>
      <c r="J355" s="914"/>
      <c r="K355" s="146"/>
      <c r="L355" s="922"/>
      <c r="M355" s="922"/>
      <c r="N355" s="922"/>
      <c r="O355" s="21">
        <f>IF(H355&gt;=S355,H355-S355,0)</f>
        <v>0</v>
      </c>
      <c r="P355" s="755"/>
      <c r="R355" s="10"/>
      <c r="S355" s="147">
        <f>IF(L355=$Y$128,0.2,IF(L355=$Z$128,0.4,IF(L355=$AA$128,0.6,0)))</f>
        <v>0</v>
      </c>
      <c r="T355" s="147">
        <f>LARGE(O353:O355,3)</f>
        <v>0</v>
      </c>
      <c r="U355" s="50"/>
      <c r="V355" s="50"/>
      <c r="W355" s="50"/>
      <c r="X355" s="50" t="s">
        <v>510</v>
      </c>
      <c r="Y355" s="50" t="s">
        <v>899</v>
      </c>
      <c r="Z355" s="147" t="s">
        <v>1764</v>
      </c>
      <c r="AA355" s="50" t="s">
        <v>1639</v>
      </c>
      <c r="AB355" s="10"/>
      <c r="AC355" s="10"/>
      <c r="AD355" s="10"/>
      <c r="AE355" s="10"/>
      <c r="AF355" s="10"/>
      <c r="AG355" s="10"/>
      <c r="AH355" s="10"/>
      <c r="AI355" s="10"/>
      <c r="AJ355" s="10"/>
      <c r="AK355" s="10"/>
      <c r="AL355" s="10"/>
      <c r="AM355" s="10"/>
      <c r="AN355" s="10"/>
      <c r="AO355" s="10"/>
      <c r="AP355" s="10"/>
      <c r="AQ355" s="10"/>
      <c r="AR355" s="10"/>
      <c r="AS355" s="10"/>
      <c r="AT355" s="10"/>
    </row>
    <row r="356" spans="1:109" ht="12" customHeight="1" x14ac:dyDescent="0.2">
      <c r="B356" s="1003"/>
      <c r="C356" s="1003"/>
      <c r="D356" s="1003"/>
      <c r="E356" s="1003"/>
      <c r="F356" s="1003"/>
      <c r="G356" s="1003"/>
      <c r="H356" s="1003"/>
      <c r="I356" s="1003"/>
      <c r="J356" s="1003"/>
      <c r="K356" s="1003"/>
      <c r="L356" s="1003"/>
      <c r="M356" s="1003"/>
      <c r="N356" s="1003"/>
      <c r="O356" s="1003"/>
      <c r="P356" s="151"/>
      <c r="R356" s="10"/>
      <c r="S356" s="14"/>
      <c r="T356" s="14"/>
      <c r="U356" s="10"/>
      <c r="V356" s="10"/>
      <c r="W356" s="10"/>
      <c r="X356" s="10"/>
      <c r="Y356" s="10"/>
      <c r="Z356" s="14"/>
      <c r="AA356" s="10"/>
      <c r="AB356" s="10"/>
      <c r="AC356" s="10"/>
      <c r="AD356" s="10"/>
      <c r="AE356" s="10"/>
      <c r="AF356" s="10"/>
      <c r="AG356" s="10"/>
      <c r="AH356" s="10"/>
      <c r="AI356" s="10"/>
      <c r="AJ356" s="10"/>
      <c r="AK356" s="10"/>
      <c r="AL356" s="10"/>
      <c r="AM356" s="10"/>
      <c r="AN356" s="10"/>
      <c r="AO356" s="10"/>
      <c r="AP356" s="10"/>
      <c r="AQ356" s="10"/>
      <c r="AR356" s="10"/>
      <c r="AS356" s="10"/>
      <c r="AT356" s="10"/>
    </row>
    <row r="357" spans="1:109" ht="15" customHeight="1" x14ac:dyDescent="0.2">
      <c r="A357" s="15"/>
      <c r="B357" s="761" t="s">
        <v>952</v>
      </c>
      <c r="C357" s="937"/>
      <c r="D357" s="938"/>
      <c r="E357" s="742" t="s">
        <v>560</v>
      </c>
      <c r="F357" s="743"/>
      <c r="G357" s="743"/>
      <c r="H357" s="743"/>
      <c r="I357" s="743"/>
      <c r="J357" s="743"/>
      <c r="K357" s="743"/>
      <c r="L357" s="743"/>
      <c r="M357" s="743"/>
      <c r="N357" s="743"/>
      <c r="O357" s="744"/>
      <c r="P357" s="245">
        <f>IF(T357=1,0.15,0)</f>
        <v>0</v>
      </c>
      <c r="R357" s="947" t="s">
        <v>2147</v>
      </c>
      <c r="S357" s="561" t="b">
        <v>0</v>
      </c>
      <c r="T357" s="50">
        <f>IF(S357=TRUE,1,0)</f>
        <v>0</v>
      </c>
      <c r="U357" s="10"/>
      <c r="V357" s="10"/>
      <c r="W357" s="10"/>
      <c r="X357" s="10"/>
      <c r="Y357" s="10"/>
      <c r="Z357" s="10"/>
      <c r="AA357" s="10"/>
      <c r="AB357" s="10"/>
      <c r="AC357" s="10"/>
      <c r="AD357" s="10"/>
      <c r="AE357" s="10"/>
      <c r="AF357" s="10"/>
      <c r="AG357" s="10">
        <v>1E-4</v>
      </c>
      <c r="AH357" s="10"/>
      <c r="AI357" s="10"/>
      <c r="AJ357" s="10"/>
      <c r="AK357" s="10"/>
      <c r="AL357" s="10"/>
      <c r="AM357" s="10"/>
      <c r="AN357" s="10"/>
      <c r="AO357" s="10"/>
      <c r="AP357" s="10"/>
      <c r="AQ357" s="10"/>
      <c r="AR357" s="10"/>
      <c r="AS357" s="10"/>
      <c r="AT357" s="10"/>
    </row>
    <row r="358" spans="1:109" ht="15" customHeight="1" x14ac:dyDescent="0.2">
      <c r="B358" s="761"/>
      <c r="C358" s="937"/>
      <c r="D358" s="938"/>
      <c r="E358" s="742" t="s">
        <v>561</v>
      </c>
      <c r="F358" s="743"/>
      <c r="G358" s="743"/>
      <c r="H358" s="743"/>
      <c r="I358" s="743"/>
      <c r="J358" s="743"/>
      <c r="K358" s="743"/>
      <c r="L358" s="743"/>
      <c r="M358" s="743"/>
      <c r="N358" s="743"/>
      <c r="O358" s="744"/>
      <c r="P358" s="245">
        <f>IF(T358=1,0.25,0)</f>
        <v>0</v>
      </c>
      <c r="R358" s="947"/>
      <c r="S358" s="561" t="b">
        <v>0</v>
      </c>
      <c r="T358" s="50">
        <f>IF(S358=TRUE,1,0)</f>
        <v>0</v>
      </c>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row>
    <row r="359" spans="1:109" ht="15" customHeight="1" x14ac:dyDescent="0.2">
      <c r="B359" s="761"/>
      <c r="C359" s="937"/>
      <c r="D359" s="938"/>
      <c r="E359" s="742" t="s">
        <v>773</v>
      </c>
      <c r="F359" s="743"/>
      <c r="G359" s="743"/>
      <c r="H359" s="743"/>
      <c r="I359" s="743"/>
      <c r="J359" s="743"/>
      <c r="K359" s="743"/>
      <c r="L359" s="743"/>
      <c r="M359" s="743"/>
      <c r="N359" s="743"/>
      <c r="O359" s="744"/>
      <c r="P359" s="245">
        <f>IF(T359=1,0.23,0)</f>
        <v>0</v>
      </c>
      <c r="R359" s="947"/>
      <c r="S359" s="561" t="b">
        <v>0</v>
      </c>
      <c r="T359" s="50">
        <f>IF(S359=TRUE,1,0)</f>
        <v>0</v>
      </c>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row>
    <row r="360" spans="1:109" ht="12" customHeight="1" x14ac:dyDescent="0.2">
      <c r="B360" s="777"/>
      <c r="C360" s="777"/>
      <c r="D360" s="777"/>
      <c r="E360" s="777"/>
      <c r="F360" s="777"/>
      <c r="G360" s="777"/>
      <c r="H360" s="777"/>
      <c r="I360" s="777"/>
      <c r="J360" s="777"/>
      <c r="K360" s="777"/>
      <c r="L360" s="777"/>
      <c r="M360" s="777"/>
      <c r="N360" s="777"/>
      <c r="O360" s="777"/>
      <c r="P360" s="1"/>
      <c r="R360" s="10"/>
      <c r="S360" s="133"/>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row>
    <row r="361" spans="1:109" ht="15" customHeight="1" x14ac:dyDescent="0.2">
      <c r="B361" s="939" t="s">
        <v>1230</v>
      </c>
      <c r="C361" s="939"/>
      <c r="D361" s="939"/>
      <c r="E361" s="939"/>
      <c r="F361" s="939"/>
      <c r="G361" s="939"/>
      <c r="H361" s="939"/>
      <c r="I361" s="939"/>
      <c r="J361" s="939"/>
      <c r="K361" s="939"/>
      <c r="L361" s="939"/>
      <c r="M361" s="939"/>
      <c r="N361" s="939"/>
      <c r="O361" s="312"/>
      <c r="P361" s="21">
        <f>SUMIF(T361:X361,O361,T362:X362)</f>
        <v>0</v>
      </c>
      <c r="R361" s="949" t="s">
        <v>2147</v>
      </c>
      <c r="S361" s="949"/>
      <c r="T361" s="50" t="s">
        <v>1928</v>
      </c>
      <c r="U361" s="50" t="s">
        <v>1929</v>
      </c>
      <c r="V361" s="147" t="s">
        <v>1931</v>
      </c>
      <c r="W361" s="50" t="s">
        <v>929</v>
      </c>
      <c r="X361" s="147" t="s">
        <v>545</v>
      </c>
      <c r="Y361" s="10"/>
      <c r="Z361" s="50" t="s">
        <v>1928</v>
      </c>
      <c r="AA361" s="50" t="s">
        <v>1929</v>
      </c>
      <c r="AB361" s="147" t="s">
        <v>1931</v>
      </c>
      <c r="AC361" s="50" t="s">
        <v>929</v>
      </c>
      <c r="AD361" s="147" t="s">
        <v>545</v>
      </c>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row>
    <row r="362" spans="1:109" ht="15" customHeight="1" x14ac:dyDescent="0.2">
      <c r="B362" s="939" t="s">
        <v>1469</v>
      </c>
      <c r="C362" s="939"/>
      <c r="D362" s="939"/>
      <c r="E362" s="939"/>
      <c r="F362" s="939"/>
      <c r="G362" s="939"/>
      <c r="H362" s="939"/>
      <c r="I362" s="939"/>
      <c r="J362" s="939"/>
      <c r="K362" s="939"/>
      <c r="L362" s="939"/>
      <c r="M362" s="939"/>
      <c r="N362" s="939"/>
      <c r="O362" s="312"/>
      <c r="P362" s="21">
        <f>SUMIF(Z361:AD361,O362,Z362:AD362)</f>
        <v>0</v>
      </c>
      <c r="R362" s="949"/>
      <c r="S362" s="949"/>
      <c r="T362" s="147">
        <v>0.03</v>
      </c>
      <c r="U362" s="147">
        <v>0.15</v>
      </c>
      <c r="V362" s="147">
        <v>0.38</v>
      </c>
      <c r="W362" s="147">
        <v>0.68</v>
      </c>
      <c r="X362" s="147">
        <v>0.9</v>
      </c>
      <c r="Y362" s="10"/>
      <c r="Z362" s="147">
        <v>0.03</v>
      </c>
      <c r="AA362" s="147">
        <v>0.15</v>
      </c>
      <c r="AB362" s="147">
        <v>0.35</v>
      </c>
      <c r="AC362" s="147">
        <v>0.63</v>
      </c>
      <c r="AD362" s="147">
        <v>0.88</v>
      </c>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row>
    <row r="363" spans="1:109" ht="12" customHeight="1" x14ac:dyDescent="0.2">
      <c r="B363" s="777"/>
      <c r="C363" s="777"/>
      <c r="D363" s="777"/>
      <c r="E363" s="777"/>
      <c r="F363" s="777"/>
      <c r="G363" s="777"/>
      <c r="H363" s="777"/>
      <c r="I363" s="777"/>
      <c r="J363" s="777"/>
      <c r="K363" s="777"/>
      <c r="L363" s="777"/>
      <c r="M363" s="777"/>
      <c r="N363" s="777"/>
      <c r="O363" s="777"/>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row>
    <row r="364" spans="1:109" ht="27" customHeight="1" x14ac:dyDescent="0.2">
      <c r="B364" s="864" t="s">
        <v>1231</v>
      </c>
      <c r="C364" s="865"/>
      <c r="D364" s="865"/>
      <c r="E364" s="865"/>
      <c r="F364" s="866"/>
      <c r="G364" s="907" t="s">
        <v>1495</v>
      </c>
      <c r="H364" s="945"/>
      <c r="I364" s="945"/>
      <c r="J364" s="946"/>
      <c r="K364" s="967"/>
      <c r="L364" s="968"/>
      <c r="M364" s="968"/>
      <c r="N364" s="968"/>
      <c r="O364" s="969"/>
      <c r="P364" s="755">
        <f>U378</f>
        <v>0</v>
      </c>
      <c r="R364" s="146" t="s">
        <v>1826</v>
      </c>
      <c r="S364" s="50" t="s">
        <v>1285</v>
      </c>
      <c r="T364" s="50" t="s">
        <v>1286</v>
      </c>
      <c r="U364" s="50" t="s">
        <v>1287</v>
      </c>
      <c r="V364" s="944" t="s">
        <v>786</v>
      </c>
      <c r="W364" s="945"/>
      <c r="X364" s="946"/>
      <c r="Y364" s="50" t="s">
        <v>498</v>
      </c>
      <c r="Z364" s="10"/>
      <c r="AA364" s="10"/>
      <c r="AB364" s="10"/>
      <c r="AC364" s="10"/>
      <c r="AD364" s="10"/>
      <c r="AE364" s="10"/>
      <c r="AF364" s="10"/>
      <c r="AG364" s="10"/>
      <c r="AH364" s="10"/>
      <c r="AI364" s="10"/>
      <c r="AJ364" s="10"/>
      <c r="AK364" s="10"/>
      <c r="AL364" s="10"/>
      <c r="AM364" s="10"/>
      <c r="AN364" s="10"/>
      <c r="AO364" s="10"/>
      <c r="AP364" s="10"/>
      <c r="AQ364" s="10"/>
      <c r="AR364" s="10"/>
      <c r="AS364" s="10"/>
      <c r="AT364" s="10"/>
    </row>
    <row r="365" spans="1:109" ht="15" customHeight="1" x14ac:dyDescent="0.2">
      <c r="B365" s="791" t="s">
        <v>615</v>
      </c>
      <c r="C365" s="791"/>
      <c r="D365" s="791"/>
      <c r="E365" s="755">
        <f>P309</f>
        <v>0</v>
      </c>
      <c r="F365" s="755"/>
      <c r="G365" s="977"/>
      <c r="H365" s="977"/>
      <c r="I365" s="914">
        <f t="shared" ref="I365:I367" si="60">IF(AND(Y365&lt;0.01,Y365&gt;0),0.01,ROUND(Y365,2))</f>
        <v>0</v>
      </c>
      <c r="J365" s="914"/>
      <c r="K365" s="970"/>
      <c r="L365" s="971"/>
      <c r="M365" s="971"/>
      <c r="N365" s="971"/>
      <c r="O365" s="972"/>
      <c r="P365" s="755"/>
      <c r="R365" s="548">
        <f t="shared" ref="R365:R378" si="61">IF(I365&gt;0,I365,E365)</f>
        <v>0</v>
      </c>
      <c r="S365" s="147">
        <f>LARGE($R$365:$R$379,1)</f>
        <v>0</v>
      </c>
      <c r="T365" s="544">
        <f>S365+S366*(1-S365)</f>
        <v>0</v>
      </c>
      <c r="U365" s="548">
        <f t="shared" ref="U365:U378" si="62">ROUND(T365,2)</f>
        <v>0</v>
      </c>
      <c r="V365" s="50">
        <f>IF(E365&gt;0,1,0)</f>
        <v>0</v>
      </c>
      <c r="W365" s="50">
        <f>COUNTIF(V365:V379,1)</f>
        <v>0</v>
      </c>
      <c r="X365" s="50">
        <f>IF(AND(W365=0,W366&gt;0),1,IF(W365&gt;0,2,0))</f>
        <v>0</v>
      </c>
      <c r="Y365" s="291">
        <f t="shared" ref="Y365:Y367" si="63">E365*G365</f>
        <v>0</v>
      </c>
      <c r="AA365" s="10"/>
      <c r="AC365" s="10"/>
      <c r="AD365" s="10"/>
      <c r="AG365" s="10"/>
      <c r="AH365" s="10"/>
      <c r="AI365" s="10"/>
      <c r="AJ365" s="10"/>
      <c r="AK365" s="10"/>
      <c r="AL365" s="10"/>
      <c r="AM365" s="10"/>
      <c r="AN365" s="10"/>
      <c r="AO365" s="10"/>
      <c r="AP365" s="10"/>
      <c r="AQ365" s="10"/>
      <c r="AR365" s="10"/>
      <c r="AS365" s="10"/>
      <c r="AT365" s="10"/>
    </row>
    <row r="366" spans="1:109" ht="15" customHeight="1" x14ac:dyDescent="0.2">
      <c r="B366" s="791" t="s">
        <v>372</v>
      </c>
      <c r="C366" s="791"/>
      <c r="D366" s="791"/>
      <c r="E366" s="755">
        <f>P312</f>
        <v>0</v>
      </c>
      <c r="F366" s="755"/>
      <c r="G366" s="977"/>
      <c r="H366" s="977"/>
      <c r="I366" s="914">
        <f t="shared" ref="I366" si="64">IF(AND(Y366&lt;0.01,Y366&gt;0),0.01,ROUND(Y366,2))</f>
        <v>0</v>
      </c>
      <c r="J366" s="914"/>
      <c r="K366" s="970"/>
      <c r="L366" s="971"/>
      <c r="M366" s="971"/>
      <c r="N366" s="971"/>
      <c r="O366" s="972"/>
      <c r="P366" s="755"/>
      <c r="R366" s="548">
        <f t="shared" si="61"/>
        <v>0</v>
      </c>
      <c r="S366" s="147">
        <f>LARGE($R$365:$R$379,2)</f>
        <v>0</v>
      </c>
      <c r="T366" s="544">
        <f>U365+S367*(1-U365)</f>
        <v>0</v>
      </c>
      <c r="U366" s="548">
        <f t="shared" si="62"/>
        <v>0</v>
      </c>
      <c r="V366" s="50">
        <f>IF(E366&gt;0,2,0)</f>
        <v>0</v>
      </c>
      <c r="W366" s="566">
        <f>COUNTIF(V365:V379,2)</f>
        <v>0</v>
      </c>
      <c r="X366" s="10"/>
      <c r="Y366" s="291">
        <f t="shared" si="63"/>
        <v>0</v>
      </c>
      <c r="AA366" s="777"/>
      <c r="AB366" s="777"/>
      <c r="AC366" s="777"/>
      <c r="AD366" s="10"/>
      <c r="AG366" s="10"/>
      <c r="AH366" s="10"/>
      <c r="AI366" s="10"/>
      <c r="AJ366" s="10"/>
      <c r="AK366" s="10"/>
      <c r="AL366" s="10"/>
      <c r="AM366" s="10"/>
      <c r="AN366" s="10"/>
      <c r="AO366" s="10"/>
      <c r="AP366" s="10"/>
      <c r="AQ366" s="10"/>
      <c r="AR366" s="10"/>
      <c r="AS366" s="10"/>
      <c r="AT366" s="10"/>
    </row>
    <row r="367" spans="1:109" ht="15" customHeight="1" x14ac:dyDescent="0.2">
      <c r="B367" s="791" t="s">
        <v>1918</v>
      </c>
      <c r="C367" s="791"/>
      <c r="D367" s="791"/>
      <c r="E367" s="755">
        <f>IF(E615&gt;0,0,P316)</f>
        <v>0</v>
      </c>
      <c r="F367" s="755"/>
      <c r="G367" s="977"/>
      <c r="H367" s="977"/>
      <c r="I367" s="914">
        <f t="shared" si="60"/>
        <v>0</v>
      </c>
      <c r="J367" s="914"/>
      <c r="K367" s="970"/>
      <c r="L367" s="971"/>
      <c r="M367" s="971"/>
      <c r="N367" s="971"/>
      <c r="O367" s="972"/>
      <c r="P367" s="755"/>
      <c r="R367" s="548">
        <f t="shared" si="61"/>
        <v>0</v>
      </c>
      <c r="S367" s="147">
        <f>LARGE($R$365:$R$379,3)</f>
        <v>0</v>
      </c>
      <c r="T367" s="544">
        <f>U366+S368*(1-U366)</f>
        <v>0</v>
      </c>
      <c r="U367" s="548">
        <f t="shared" si="62"/>
        <v>0</v>
      </c>
      <c r="V367" s="50">
        <f t="shared" ref="V367:V379" si="65">IF(E367&gt;0,1,0)</f>
        <v>0</v>
      </c>
      <c r="W367" s="10"/>
      <c r="X367" s="10"/>
      <c r="Y367" s="291">
        <f t="shared" si="63"/>
        <v>0</v>
      </c>
      <c r="Z367" s="10"/>
      <c r="AA367" s="777"/>
      <c r="AB367" s="777"/>
      <c r="AC367" s="777"/>
      <c r="AD367" s="10"/>
      <c r="AG367" s="10"/>
      <c r="AH367" s="10"/>
      <c r="AI367" s="10"/>
      <c r="AJ367" s="10"/>
      <c r="AK367" s="10"/>
      <c r="AL367" s="10"/>
      <c r="AM367" s="10"/>
      <c r="AN367" s="10"/>
      <c r="AO367" s="10"/>
      <c r="AP367" s="10"/>
      <c r="AQ367" s="10"/>
      <c r="AR367" s="10"/>
      <c r="AS367" s="10"/>
      <c r="AT367" s="10"/>
    </row>
    <row r="368" spans="1:109" ht="15" customHeight="1" x14ac:dyDescent="0.2">
      <c r="B368" s="791" t="s">
        <v>1389</v>
      </c>
      <c r="C368" s="791"/>
      <c r="D368" s="791"/>
      <c r="E368" s="755">
        <f>P333</f>
        <v>0</v>
      </c>
      <c r="F368" s="755"/>
      <c r="G368" s="977"/>
      <c r="H368" s="977"/>
      <c r="I368" s="914">
        <f t="shared" ref="I368:I374" si="66">IF(AND(Y368&lt;0.01,Y368&gt;0),0.01,ROUND(Y368,2))</f>
        <v>0</v>
      </c>
      <c r="J368" s="914"/>
      <c r="K368" s="970"/>
      <c r="L368" s="971"/>
      <c r="M368" s="971"/>
      <c r="N368" s="971"/>
      <c r="O368" s="972"/>
      <c r="P368" s="755"/>
      <c r="R368" s="548">
        <f t="shared" si="61"/>
        <v>0</v>
      </c>
      <c r="S368" s="147">
        <f>LARGE($R$365:$R$379,4)</f>
        <v>0</v>
      </c>
      <c r="T368" s="544">
        <f t="shared" ref="T368:T378" si="67">U367+S369*(1-U367)</f>
        <v>0</v>
      </c>
      <c r="U368" s="548">
        <f t="shared" si="62"/>
        <v>0</v>
      </c>
      <c r="V368" s="50">
        <f t="shared" si="65"/>
        <v>0</v>
      </c>
      <c r="W368" s="10"/>
      <c r="X368" s="10"/>
      <c r="Y368" s="291">
        <f>E368*G368</f>
        <v>0</v>
      </c>
      <c r="Z368" s="597"/>
      <c r="AA368" s="777"/>
      <c r="AB368" s="777"/>
      <c r="AC368" s="777"/>
      <c r="AD368" s="10"/>
      <c r="AG368" s="10"/>
      <c r="AH368" s="10"/>
      <c r="AI368" s="10"/>
      <c r="AJ368" s="10"/>
      <c r="AK368" s="10"/>
      <c r="AL368" s="10"/>
      <c r="AM368" s="10"/>
      <c r="AN368" s="10"/>
      <c r="AO368" s="10"/>
      <c r="AP368" s="10"/>
      <c r="AQ368" s="10"/>
      <c r="AR368" s="10"/>
      <c r="AS368" s="10"/>
      <c r="AT368" s="10"/>
    </row>
    <row r="369" spans="2:46" ht="15" customHeight="1" x14ac:dyDescent="0.2">
      <c r="B369" s="742" t="s">
        <v>1390</v>
      </c>
      <c r="C369" s="743"/>
      <c r="D369" s="744"/>
      <c r="E369" s="755">
        <f>P334</f>
        <v>0</v>
      </c>
      <c r="F369" s="755"/>
      <c r="G369" s="977"/>
      <c r="H369" s="977"/>
      <c r="I369" s="914">
        <f t="shared" si="66"/>
        <v>0</v>
      </c>
      <c r="J369" s="914"/>
      <c r="K369" s="970"/>
      <c r="L369" s="971"/>
      <c r="M369" s="971"/>
      <c r="N369" s="971"/>
      <c r="O369" s="972"/>
      <c r="P369" s="755"/>
      <c r="R369" s="548">
        <f t="shared" si="61"/>
        <v>0</v>
      </c>
      <c r="S369" s="147">
        <f>LARGE($R$365:$R$379,5)</f>
        <v>0</v>
      </c>
      <c r="T369" s="544">
        <f t="shared" si="67"/>
        <v>0</v>
      </c>
      <c r="U369" s="548">
        <f t="shared" si="62"/>
        <v>0</v>
      </c>
      <c r="V369" s="50">
        <f t="shared" si="65"/>
        <v>0</v>
      </c>
      <c r="W369" s="10"/>
      <c r="X369" s="10"/>
      <c r="Y369" s="291">
        <f t="shared" ref="Y369:Y379" si="68">E369*G369</f>
        <v>0</v>
      </c>
      <c r="Z369" s="597"/>
      <c r="AA369" s="777"/>
      <c r="AB369" s="777"/>
      <c r="AC369" s="777"/>
      <c r="AD369" s="10"/>
      <c r="AE369" s="10"/>
      <c r="AF369" s="10"/>
      <c r="AG369" s="10"/>
      <c r="AH369" s="10"/>
      <c r="AI369" s="10"/>
      <c r="AJ369" s="10"/>
      <c r="AK369" s="10"/>
      <c r="AL369" s="10"/>
      <c r="AM369" s="10"/>
      <c r="AN369" s="10"/>
      <c r="AO369" s="10"/>
      <c r="AP369" s="10"/>
      <c r="AQ369" s="10"/>
      <c r="AR369" s="10"/>
      <c r="AS369" s="10"/>
      <c r="AT369" s="10"/>
    </row>
    <row r="370" spans="2:46" ht="15" customHeight="1" x14ac:dyDescent="0.2">
      <c r="B370" s="742" t="s">
        <v>1391</v>
      </c>
      <c r="C370" s="743"/>
      <c r="D370" s="744"/>
      <c r="E370" s="755">
        <f>P335</f>
        <v>0</v>
      </c>
      <c r="F370" s="755"/>
      <c r="G370" s="977"/>
      <c r="H370" s="977"/>
      <c r="I370" s="914">
        <f t="shared" si="66"/>
        <v>0</v>
      </c>
      <c r="J370" s="914"/>
      <c r="K370" s="970"/>
      <c r="L370" s="971"/>
      <c r="M370" s="971"/>
      <c r="N370" s="971"/>
      <c r="O370" s="972"/>
      <c r="P370" s="755"/>
      <c r="R370" s="548">
        <f t="shared" si="61"/>
        <v>0</v>
      </c>
      <c r="S370" s="147">
        <f>LARGE($R$365:$R$379,6)</f>
        <v>0</v>
      </c>
      <c r="T370" s="544">
        <f t="shared" si="67"/>
        <v>0</v>
      </c>
      <c r="U370" s="548">
        <f t="shared" si="62"/>
        <v>0</v>
      </c>
      <c r="V370" s="50">
        <f t="shared" si="65"/>
        <v>0</v>
      </c>
      <c r="W370" s="10"/>
      <c r="X370" s="10"/>
      <c r="Y370" s="291">
        <f t="shared" si="68"/>
        <v>0</v>
      </c>
      <c r="Z370" s="597"/>
      <c r="AC370" s="10"/>
      <c r="AD370" s="10"/>
      <c r="AE370" s="10"/>
      <c r="AF370" s="10"/>
      <c r="AG370" s="10"/>
      <c r="AH370" s="10"/>
      <c r="AI370" s="10"/>
      <c r="AJ370" s="10"/>
      <c r="AK370" s="10"/>
      <c r="AL370" s="10"/>
      <c r="AM370" s="10"/>
      <c r="AN370" s="10"/>
      <c r="AO370" s="10"/>
      <c r="AP370" s="10"/>
      <c r="AQ370" s="10"/>
      <c r="AR370" s="10"/>
      <c r="AS370" s="10"/>
      <c r="AT370" s="10"/>
    </row>
    <row r="371" spans="2:46" ht="15" customHeight="1" x14ac:dyDescent="0.2">
      <c r="B371" s="742" t="s">
        <v>1392</v>
      </c>
      <c r="C371" s="743"/>
      <c r="D371" s="744"/>
      <c r="E371" s="755">
        <f>P336</f>
        <v>0</v>
      </c>
      <c r="F371" s="755"/>
      <c r="G371" s="977"/>
      <c r="H371" s="977"/>
      <c r="I371" s="914">
        <f t="shared" si="66"/>
        <v>0</v>
      </c>
      <c r="J371" s="914"/>
      <c r="K371" s="970"/>
      <c r="L371" s="971"/>
      <c r="M371" s="971"/>
      <c r="N371" s="971"/>
      <c r="O371" s="972"/>
      <c r="P371" s="755"/>
      <c r="R371" s="548">
        <f t="shared" si="61"/>
        <v>0</v>
      </c>
      <c r="S371" s="147">
        <f>LARGE($R$365:$R$379,7)</f>
        <v>0</v>
      </c>
      <c r="T371" s="544">
        <f t="shared" si="67"/>
        <v>0</v>
      </c>
      <c r="U371" s="548">
        <f t="shared" si="62"/>
        <v>0</v>
      </c>
      <c r="V371" s="50">
        <f t="shared" si="65"/>
        <v>0</v>
      </c>
      <c r="W371" s="10"/>
      <c r="X371" s="10"/>
      <c r="Y371" s="291">
        <f t="shared" si="68"/>
        <v>0</v>
      </c>
      <c r="Z371" s="597"/>
      <c r="AC371" s="10"/>
      <c r="AD371" s="10"/>
      <c r="AE371" s="10"/>
      <c r="AF371" s="10"/>
      <c r="AG371" s="10"/>
      <c r="AH371" s="10"/>
      <c r="AI371" s="10"/>
      <c r="AJ371" s="10"/>
      <c r="AK371" s="10"/>
      <c r="AL371" s="10"/>
      <c r="AM371" s="10"/>
      <c r="AN371" s="10"/>
      <c r="AO371" s="10"/>
      <c r="AP371" s="10"/>
      <c r="AQ371" s="10"/>
      <c r="AR371" s="10"/>
      <c r="AS371" s="10"/>
      <c r="AT371" s="10"/>
    </row>
    <row r="372" spans="2:46" ht="15" customHeight="1" x14ac:dyDescent="0.2">
      <c r="B372" s="791" t="s">
        <v>1945</v>
      </c>
      <c r="C372" s="791"/>
      <c r="D372" s="791"/>
      <c r="E372" s="755">
        <f>P345</f>
        <v>0</v>
      </c>
      <c r="F372" s="755"/>
      <c r="G372" s="977"/>
      <c r="H372" s="977"/>
      <c r="I372" s="914">
        <f t="shared" si="66"/>
        <v>0</v>
      </c>
      <c r="J372" s="914"/>
      <c r="K372" s="970"/>
      <c r="L372" s="971"/>
      <c r="M372" s="971"/>
      <c r="N372" s="971"/>
      <c r="O372" s="972"/>
      <c r="P372" s="755"/>
      <c r="R372" s="548">
        <f t="shared" si="61"/>
        <v>0</v>
      </c>
      <c r="S372" s="147">
        <f>LARGE($R$365:$R$379,8)</f>
        <v>0</v>
      </c>
      <c r="T372" s="544">
        <f t="shared" si="67"/>
        <v>0</v>
      </c>
      <c r="U372" s="548">
        <f t="shared" si="62"/>
        <v>0</v>
      </c>
      <c r="V372" s="50">
        <f t="shared" si="65"/>
        <v>0</v>
      </c>
      <c r="W372" s="10"/>
      <c r="X372" s="10"/>
      <c r="Y372" s="291">
        <f t="shared" si="68"/>
        <v>0</v>
      </c>
      <c r="Z372" s="597"/>
      <c r="AC372" s="10"/>
      <c r="AD372" s="10"/>
      <c r="AE372" s="10"/>
      <c r="AF372" s="10"/>
      <c r="AG372" s="10"/>
      <c r="AH372" s="10"/>
      <c r="AI372" s="10"/>
      <c r="AJ372" s="10"/>
      <c r="AK372" s="10"/>
      <c r="AL372" s="10"/>
      <c r="AM372" s="10"/>
      <c r="AN372" s="10"/>
      <c r="AO372" s="10"/>
      <c r="AP372" s="10"/>
      <c r="AQ372" s="10"/>
      <c r="AR372" s="10"/>
      <c r="AS372" s="10"/>
      <c r="AT372" s="10"/>
    </row>
    <row r="373" spans="2:46" ht="15" customHeight="1" x14ac:dyDescent="0.2">
      <c r="B373" s="791" t="s">
        <v>1208</v>
      </c>
      <c r="C373" s="791"/>
      <c r="D373" s="791"/>
      <c r="E373" s="755">
        <f>P350</f>
        <v>0</v>
      </c>
      <c r="F373" s="755"/>
      <c r="G373" s="977"/>
      <c r="H373" s="977"/>
      <c r="I373" s="914">
        <f t="shared" si="66"/>
        <v>0</v>
      </c>
      <c r="J373" s="914"/>
      <c r="K373" s="623"/>
      <c r="L373" s="624"/>
      <c r="M373" s="624"/>
      <c r="N373" s="624"/>
      <c r="O373" s="625"/>
      <c r="P373" s="755"/>
      <c r="R373" s="548">
        <f t="shared" si="61"/>
        <v>0</v>
      </c>
      <c r="S373" s="147">
        <f>LARGE($R$365:$R$379,9)</f>
        <v>0</v>
      </c>
      <c r="T373" s="544">
        <f t="shared" si="67"/>
        <v>0</v>
      </c>
      <c r="U373" s="548">
        <f t="shared" si="62"/>
        <v>0</v>
      </c>
      <c r="V373" s="50">
        <f t="shared" si="65"/>
        <v>0</v>
      </c>
      <c r="W373" s="10"/>
      <c r="X373" s="10"/>
      <c r="Y373" s="291">
        <f t="shared" si="68"/>
        <v>0</v>
      </c>
      <c r="Z373" s="73"/>
      <c r="AC373" s="10"/>
      <c r="AD373" s="10"/>
      <c r="AE373" s="10"/>
      <c r="AF373" s="10"/>
      <c r="AG373" s="10"/>
      <c r="AH373" s="10"/>
      <c r="AI373" s="10"/>
      <c r="AJ373" s="10"/>
      <c r="AK373" s="10"/>
      <c r="AL373" s="10"/>
      <c r="AM373" s="10"/>
      <c r="AN373" s="10"/>
      <c r="AO373" s="10"/>
      <c r="AP373" s="10"/>
      <c r="AQ373" s="10"/>
      <c r="AR373" s="10"/>
      <c r="AS373" s="10"/>
      <c r="AT373" s="10"/>
    </row>
    <row r="374" spans="2:46" ht="15" customHeight="1" x14ac:dyDescent="0.2">
      <c r="B374" s="791" t="s">
        <v>1214</v>
      </c>
      <c r="C374" s="791"/>
      <c r="D374" s="791"/>
      <c r="E374" s="755">
        <f>P352</f>
        <v>0</v>
      </c>
      <c r="F374" s="755"/>
      <c r="G374" s="977"/>
      <c r="H374" s="977"/>
      <c r="I374" s="914">
        <f t="shared" si="66"/>
        <v>0</v>
      </c>
      <c r="J374" s="914"/>
      <c r="K374" s="623"/>
      <c r="L374" s="624"/>
      <c r="M374" s="624"/>
      <c r="N374" s="624"/>
      <c r="O374" s="625"/>
      <c r="P374" s="755"/>
      <c r="R374" s="548">
        <f t="shared" si="61"/>
        <v>0</v>
      </c>
      <c r="S374" s="147">
        <f>LARGE($R$365:$R$379,10)</f>
        <v>0</v>
      </c>
      <c r="T374" s="544">
        <f t="shared" si="67"/>
        <v>0</v>
      </c>
      <c r="U374" s="548">
        <f t="shared" si="62"/>
        <v>0</v>
      </c>
      <c r="V374" s="50">
        <f t="shared" si="65"/>
        <v>0</v>
      </c>
      <c r="W374" s="10"/>
      <c r="X374" s="10"/>
      <c r="Y374" s="291">
        <f t="shared" si="68"/>
        <v>0</v>
      </c>
      <c r="Z374" s="73"/>
      <c r="AC374" s="10"/>
      <c r="AD374" s="10"/>
      <c r="AE374" s="10"/>
      <c r="AF374" s="10"/>
      <c r="AG374" s="10"/>
      <c r="AH374" s="10"/>
      <c r="AI374" s="10"/>
      <c r="AJ374" s="10"/>
      <c r="AK374" s="10"/>
      <c r="AL374" s="10"/>
      <c r="AM374" s="10"/>
      <c r="AN374" s="10"/>
      <c r="AO374" s="10"/>
      <c r="AP374" s="10"/>
      <c r="AQ374" s="10"/>
      <c r="AR374" s="10"/>
      <c r="AS374" s="10"/>
      <c r="AT374" s="10"/>
    </row>
    <row r="375" spans="2:46" ht="15" customHeight="1" x14ac:dyDescent="0.2">
      <c r="B375" s="791" t="s">
        <v>373</v>
      </c>
      <c r="C375" s="791"/>
      <c r="D375" s="791"/>
      <c r="E375" s="755">
        <f>P357</f>
        <v>0</v>
      </c>
      <c r="F375" s="755"/>
      <c r="G375" s="977"/>
      <c r="H375" s="977"/>
      <c r="I375" s="914">
        <f t="shared" ref="I375:I377" si="69">IF(AND(Y375&lt;0.01,Y375&gt;0),0.01,ROUND(Y375,2))</f>
        <v>0</v>
      </c>
      <c r="J375" s="914"/>
      <c r="K375" s="915" t="str">
        <f>IF(AND(P316&gt;0,E615&gt;0),"A value has been granted for motor loss. Additional impairment value is not allowed for reduced ROM in the same extremity.","")</f>
        <v/>
      </c>
      <c r="L375" s="916"/>
      <c r="M375" s="916"/>
      <c r="N375" s="916"/>
      <c r="O375" s="917"/>
      <c r="P375" s="755"/>
      <c r="R375" s="548">
        <f t="shared" si="61"/>
        <v>0</v>
      </c>
      <c r="S375" s="147">
        <f>LARGE($R$365:$R$379,11)</f>
        <v>0</v>
      </c>
      <c r="T375" s="544">
        <f t="shared" si="67"/>
        <v>0</v>
      </c>
      <c r="U375" s="548">
        <f t="shared" si="62"/>
        <v>0</v>
      </c>
      <c r="V375" s="50">
        <f t="shared" si="65"/>
        <v>0</v>
      </c>
      <c r="W375" s="10"/>
      <c r="X375" s="10"/>
      <c r="Y375" s="291">
        <f t="shared" si="68"/>
        <v>0</v>
      </c>
      <c r="Z375" s="73"/>
      <c r="AC375" s="10"/>
      <c r="AD375" s="10"/>
      <c r="AE375" s="10"/>
      <c r="AF375" s="10"/>
      <c r="AG375" s="10"/>
      <c r="AH375" s="10"/>
      <c r="AI375" s="10"/>
      <c r="AJ375" s="10"/>
      <c r="AK375" s="10"/>
      <c r="AL375" s="10"/>
      <c r="AM375" s="10"/>
      <c r="AN375" s="10"/>
      <c r="AO375" s="10"/>
      <c r="AP375" s="10"/>
      <c r="AQ375" s="10"/>
      <c r="AR375" s="10"/>
      <c r="AS375" s="10"/>
      <c r="AT375" s="10"/>
    </row>
    <row r="376" spans="2:46" ht="15" customHeight="1" x14ac:dyDescent="0.2">
      <c r="B376" s="791" t="s">
        <v>374</v>
      </c>
      <c r="C376" s="791"/>
      <c r="D376" s="791"/>
      <c r="E376" s="755">
        <f>P358</f>
        <v>0</v>
      </c>
      <c r="F376" s="755"/>
      <c r="G376" s="977"/>
      <c r="H376" s="977"/>
      <c r="I376" s="914">
        <f t="shared" si="69"/>
        <v>0</v>
      </c>
      <c r="J376" s="914"/>
      <c r="K376" s="915"/>
      <c r="L376" s="916"/>
      <c r="M376" s="916"/>
      <c r="N376" s="916"/>
      <c r="O376" s="917"/>
      <c r="P376" s="755"/>
      <c r="R376" s="548">
        <f t="shared" si="61"/>
        <v>0</v>
      </c>
      <c r="S376" s="147">
        <f>LARGE($R$365:$R$379,12)</f>
        <v>0</v>
      </c>
      <c r="T376" s="544">
        <f t="shared" si="67"/>
        <v>0</v>
      </c>
      <c r="U376" s="548">
        <f t="shared" si="62"/>
        <v>0</v>
      </c>
      <c r="V376" s="50">
        <f t="shared" si="65"/>
        <v>0</v>
      </c>
      <c r="W376" s="10"/>
      <c r="X376" s="10"/>
      <c r="Y376" s="291">
        <f t="shared" si="68"/>
        <v>0</v>
      </c>
      <c r="Z376" s="57"/>
      <c r="AC376" s="10"/>
      <c r="AD376" s="10"/>
      <c r="AE376" s="10"/>
      <c r="AF376" s="10"/>
      <c r="AG376" s="10"/>
      <c r="AH376" s="10"/>
      <c r="AI376" s="10"/>
      <c r="AJ376" s="10"/>
      <c r="AK376" s="10"/>
      <c r="AL376" s="10"/>
      <c r="AM376" s="10"/>
      <c r="AN376" s="10"/>
      <c r="AO376" s="10"/>
      <c r="AP376" s="10"/>
      <c r="AQ376" s="10"/>
      <c r="AR376" s="10"/>
      <c r="AS376" s="10"/>
      <c r="AT376" s="10"/>
    </row>
    <row r="377" spans="2:46" ht="15" customHeight="1" x14ac:dyDescent="0.2">
      <c r="B377" s="791" t="s">
        <v>792</v>
      </c>
      <c r="C377" s="791"/>
      <c r="D377" s="791"/>
      <c r="E377" s="755">
        <f>P359</f>
        <v>0</v>
      </c>
      <c r="F377" s="755"/>
      <c r="G377" s="977"/>
      <c r="H377" s="977"/>
      <c r="I377" s="914">
        <f t="shared" si="69"/>
        <v>0</v>
      </c>
      <c r="J377" s="914"/>
      <c r="K377" s="915"/>
      <c r="L377" s="916"/>
      <c r="M377" s="916"/>
      <c r="N377" s="916"/>
      <c r="O377" s="917"/>
      <c r="P377" s="755"/>
      <c r="R377" s="548">
        <f t="shared" si="61"/>
        <v>0</v>
      </c>
      <c r="S377" s="147">
        <f>LARGE($R$365:$R$379,13)</f>
        <v>0</v>
      </c>
      <c r="T377" s="544">
        <f t="shared" si="67"/>
        <v>0</v>
      </c>
      <c r="U377" s="548">
        <f t="shared" si="62"/>
        <v>0</v>
      </c>
      <c r="V377" s="50">
        <f t="shared" si="65"/>
        <v>0</v>
      </c>
      <c r="W377" s="10"/>
      <c r="X377" s="10"/>
      <c r="Y377" s="291">
        <f t="shared" si="68"/>
        <v>0</v>
      </c>
      <c r="Z377" s="57"/>
      <c r="AC377" s="10"/>
      <c r="AD377" s="10"/>
      <c r="AE377" s="10"/>
      <c r="AF377" s="10"/>
      <c r="AG377" s="10"/>
      <c r="AH377" s="10"/>
      <c r="AI377" s="10"/>
      <c r="AJ377" s="10"/>
      <c r="AK377" s="10"/>
      <c r="AL377" s="10"/>
      <c r="AM377" s="10"/>
      <c r="AN377" s="10"/>
      <c r="AO377" s="10"/>
      <c r="AP377" s="10"/>
      <c r="AQ377" s="10"/>
      <c r="AR377" s="10"/>
      <c r="AS377" s="10"/>
      <c r="AT377" s="10"/>
    </row>
    <row r="378" spans="2:46" ht="15" customHeight="1" x14ac:dyDescent="0.2">
      <c r="B378" s="791" t="s">
        <v>1419</v>
      </c>
      <c r="C378" s="791"/>
      <c r="D378" s="791"/>
      <c r="E378" s="755">
        <f>P361</f>
        <v>0</v>
      </c>
      <c r="F378" s="755"/>
      <c r="G378" s="977"/>
      <c r="H378" s="977"/>
      <c r="I378" s="914">
        <f>IF(AND(Y378&lt;0.01,Y378&gt;0),0.01,ROUND(Y378,2))</f>
        <v>0</v>
      </c>
      <c r="J378" s="914"/>
      <c r="K378" s="915"/>
      <c r="L378" s="916"/>
      <c r="M378" s="916"/>
      <c r="N378" s="916"/>
      <c r="O378" s="917"/>
      <c r="P378" s="755"/>
      <c r="R378" s="548">
        <f t="shared" si="61"/>
        <v>0</v>
      </c>
      <c r="S378" s="147">
        <f>LARGE($R$365:$R$379,14)</f>
        <v>0</v>
      </c>
      <c r="T378" s="544">
        <f t="shared" si="67"/>
        <v>0</v>
      </c>
      <c r="U378" s="548">
        <f t="shared" si="62"/>
        <v>0</v>
      </c>
      <c r="V378" s="50">
        <f t="shared" si="65"/>
        <v>0</v>
      </c>
      <c r="W378" s="10"/>
      <c r="X378" s="10"/>
      <c r="Y378" s="291">
        <f t="shared" si="68"/>
        <v>0</v>
      </c>
      <c r="Z378" s="73"/>
      <c r="AA378" s="10"/>
      <c r="AB378" s="10"/>
      <c r="AC378" s="10"/>
      <c r="AD378" s="10"/>
      <c r="AE378" s="10"/>
      <c r="AF378" s="10"/>
      <c r="AG378" s="10"/>
      <c r="AH378" s="10"/>
      <c r="AI378" s="10"/>
      <c r="AJ378" s="10"/>
      <c r="AK378" s="10"/>
      <c r="AL378" s="10"/>
      <c r="AM378" s="10"/>
      <c r="AN378" s="10"/>
      <c r="AO378" s="10"/>
      <c r="AP378" s="10"/>
      <c r="AQ378" s="10"/>
      <c r="AR378" s="10"/>
      <c r="AS378" s="10"/>
      <c r="AT378" s="10"/>
    </row>
    <row r="379" spans="2:46" ht="15" customHeight="1" x14ac:dyDescent="0.2">
      <c r="B379" s="789" t="s">
        <v>1235</v>
      </c>
      <c r="C379" s="789"/>
      <c r="D379" s="789"/>
      <c r="E379" s="857">
        <f>P362</f>
        <v>0</v>
      </c>
      <c r="F379" s="857"/>
      <c r="G379" s="923"/>
      <c r="H379" s="923"/>
      <c r="I379" s="929">
        <f>IF(AND(Y379&lt;0.01,Y379&gt;0),0.01,ROUND(Y379,2))</f>
        <v>0</v>
      </c>
      <c r="J379" s="929"/>
      <c r="K379" s="918"/>
      <c r="L379" s="919"/>
      <c r="M379" s="919"/>
      <c r="N379" s="919"/>
      <c r="O379" s="920"/>
      <c r="P379" s="755"/>
      <c r="R379" s="548">
        <f>IF(I379&gt;0,I379,E379)</f>
        <v>0</v>
      </c>
      <c r="S379" s="147">
        <f>LARGE($R$365:$R$379,15)</f>
        <v>0</v>
      </c>
      <c r="T379" s="562"/>
      <c r="U379" s="548"/>
      <c r="V379" s="50">
        <f t="shared" si="65"/>
        <v>0</v>
      </c>
      <c r="W379" s="10"/>
      <c r="X379" s="10"/>
      <c r="Y379" s="291">
        <f t="shared" si="68"/>
        <v>0</v>
      </c>
      <c r="Z379" s="73"/>
      <c r="AA379" s="10"/>
      <c r="AB379" s="10"/>
      <c r="AC379" s="10"/>
      <c r="AD379" s="10"/>
      <c r="AE379" s="10"/>
      <c r="AF379" s="10"/>
      <c r="AG379" s="10"/>
      <c r="AH379" s="10"/>
      <c r="AI379" s="10"/>
      <c r="AJ379" s="10"/>
      <c r="AK379" s="10"/>
      <c r="AL379" s="10"/>
      <c r="AM379" s="10"/>
      <c r="AN379" s="10"/>
      <c r="AO379" s="10"/>
      <c r="AP379" s="10"/>
      <c r="AQ379" s="10"/>
      <c r="AR379" s="10"/>
      <c r="AS379" s="10"/>
      <c r="AT379" s="10"/>
    </row>
    <row r="380" spans="2:46" ht="15" customHeight="1" x14ac:dyDescent="0.2">
      <c r="B380" s="956" t="s">
        <v>1232</v>
      </c>
      <c r="C380" s="956"/>
      <c r="D380" s="956"/>
      <c r="E380" s="956"/>
      <c r="F380" s="956"/>
      <c r="G380" s="956"/>
      <c r="H380" s="956"/>
      <c r="I380" s="956"/>
      <c r="J380" s="956"/>
      <c r="K380" s="956"/>
      <c r="L380" s="956"/>
      <c r="M380" s="956"/>
      <c r="N380" s="956"/>
      <c r="O380" s="956"/>
      <c r="P380" s="755"/>
      <c r="R380" s="14"/>
      <c r="S380" s="142"/>
      <c r="T380" s="128"/>
      <c r="U380" s="10"/>
      <c r="V380" s="10"/>
      <c r="W380" s="10"/>
      <c r="X380" s="10"/>
      <c r="Y380" s="10"/>
      <c r="Z380" s="73"/>
      <c r="AA380" s="10"/>
      <c r="AB380" s="10"/>
      <c r="AC380" s="10"/>
      <c r="AD380" s="10"/>
      <c r="AE380" s="10"/>
      <c r="AF380" s="10"/>
      <c r="AG380" s="10"/>
      <c r="AH380" s="10"/>
      <c r="AI380" s="10"/>
      <c r="AJ380" s="10"/>
      <c r="AK380" s="10"/>
      <c r="AL380" s="10"/>
      <c r="AM380" s="10"/>
      <c r="AN380" s="10"/>
      <c r="AO380" s="10"/>
      <c r="AP380" s="10"/>
      <c r="AQ380" s="10"/>
      <c r="AR380" s="10"/>
      <c r="AS380" s="10"/>
      <c r="AT380" s="10"/>
    </row>
    <row r="381" spans="2:46" ht="15" customHeight="1" x14ac:dyDescent="0.2">
      <c r="B381" s="1"/>
      <c r="D381" s="1"/>
      <c r="E381" s="1"/>
      <c r="F381" s="1"/>
      <c r="G381" s="1"/>
      <c r="H381" s="1"/>
      <c r="I381" s="1"/>
      <c r="J381" s="1"/>
      <c r="K381" s="1"/>
      <c r="L381" s="1"/>
      <c r="M381" s="1"/>
      <c r="N381" s="1"/>
      <c r="O381" s="1"/>
      <c r="P381" s="1"/>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row>
    <row r="382" spans="2:46" ht="15" customHeight="1" x14ac:dyDescent="0.2">
      <c r="B382" s="1"/>
      <c r="D382" s="1"/>
      <c r="E382" s="1"/>
      <c r="F382" s="1"/>
      <c r="G382" s="1"/>
      <c r="H382" s="1"/>
      <c r="I382" s="1"/>
      <c r="J382" s="1"/>
      <c r="K382" s="1"/>
      <c r="L382" s="1"/>
      <c r="M382" s="1"/>
      <c r="N382" s="1"/>
      <c r="O382" s="1"/>
      <c r="P382" s="1"/>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row>
    <row r="383" spans="2:46" ht="18" customHeight="1" x14ac:dyDescent="0.2">
      <c r="B383" s="895" t="s">
        <v>1233</v>
      </c>
      <c r="C383" s="1106"/>
      <c r="D383" s="1106"/>
      <c r="E383" s="1106"/>
      <c r="F383" s="1106"/>
      <c r="G383" s="1106"/>
      <c r="H383" s="1106"/>
      <c r="I383" s="1106"/>
      <c r="J383" s="1106"/>
      <c r="K383" s="1106"/>
      <c r="L383" s="1106"/>
      <c r="M383" s="1106"/>
      <c r="N383" s="1106"/>
      <c r="O383" s="1106"/>
      <c r="P383" s="1107"/>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row>
    <row r="384" spans="2:46" ht="18" customHeight="1" x14ac:dyDescent="0.2">
      <c r="B384" s="791" t="s">
        <v>1455</v>
      </c>
      <c r="C384" s="791"/>
      <c r="D384" s="791"/>
      <c r="E384" s="791"/>
      <c r="F384" s="791"/>
      <c r="G384" s="791"/>
      <c r="H384" s="791"/>
      <c r="I384" s="791"/>
      <c r="J384" s="791"/>
      <c r="K384" s="791"/>
      <c r="L384" s="791"/>
      <c r="M384" s="791"/>
      <c r="N384" s="791"/>
      <c r="O384" s="791"/>
      <c r="P384" s="146"/>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row>
    <row r="385" spans="1:46" ht="21" customHeight="1" x14ac:dyDescent="0.2">
      <c r="A385" s="15"/>
      <c r="B385" s="1002"/>
      <c r="C385" s="1002"/>
      <c r="D385" s="1002"/>
      <c r="E385" s="1002"/>
      <c r="F385" s="1002"/>
      <c r="G385" s="1002"/>
      <c r="H385" s="1002"/>
      <c r="I385" s="1002"/>
      <c r="J385" s="1002"/>
      <c r="K385" s="1002"/>
      <c r="L385" s="1002"/>
      <c r="M385" s="1002"/>
      <c r="N385" s="1002"/>
      <c r="O385" s="1002"/>
      <c r="P385" s="21">
        <f>IF(R385&gt;1,1,0)</f>
        <v>0</v>
      </c>
      <c r="R385" s="591">
        <v>1</v>
      </c>
      <c r="S385" s="147"/>
      <c r="T385" s="14"/>
      <c r="U385" s="10"/>
      <c r="V385" s="14"/>
      <c r="W385" s="143">
        <v>1E-4</v>
      </c>
      <c r="X385" s="14"/>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row>
    <row r="386" spans="1:46" ht="18" customHeight="1" x14ac:dyDescent="0.2">
      <c r="A386" s="15"/>
      <c r="B386" s="791" t="s">
        <v>1591</v>
      </c>
      <c r="C386" s="791"/>
      <c r="D386" s="791"/>
      <c r="E386" s="791"/>
      <c r="F386" s="1002"/>
      <c r="G386" s="1002"/>
      <c r="H386" s="791" t="s">
        <v>701</v>
      </c>
      <c r="I386" s="791"/>
      <c r="J386" s="791"/>
      <c r="K386" s="791"/>
      <c r="L386" s="791"/>
      <c r="M386" s="791"/>
      <c r="N386" s="791"/>
      <c r="O386" s="791"/>
      <c r="P386" s="21">
        <f>IF($P$385&gt;0,0,IF(S386=1,0.1,0))</f>
        <v>0</v>
      </c>
      <c r="R386" s="546" t="b">
        <v>0</v>
      </c>
      <c r="S386" s="571">
        <f>IF(R386=TRUE,1,0)</f>
        <v>0</v>
      </c>
      <c r="T386" s="10"/>
      <c r="U386" s="10"/>
      <c r="V386" s="10"/>
      <c r="W386" s="10">
        <v>1E-4</v>
      </c>
      <c r="X386" s="10"/>
      <c r="Y386" s="135"/>
      <c r="Z386" s="724"/>
      <c r="AA386" s="724"/>
      <c r="AB386" s="724"/>
      <c r="AC386" s="10"/>
      <c r="AD386" s="10"/>
      <c r="AE386" s="10"/>
      <c r="AF386" s="10"/>
      <c r="AG386" s="10"/>
      <c r="AH386" s="10"/>
      <c r="AI386" s="94"/>
      <c r="AJ386" s="10"/>
      <c r="AK386" s="10"/>
      <c r="AL386" s="10"/>
      <c r="AM386" s="10"/>
      <c r="AN386" s="10"/>
      <c r="AO386" s="10"/>
      <c r="AP386" s="10"/>
      <c r="AQ386" s="10"/>
      <c r="AR386" s="10"/>
      <c r="AS386" s="10"/>
      <c r="AT386" s="10"/>
    </row>
    <row r="387" spans="1:46" ht="18" customHeight="1" x14ac:dyDescent="0.2">
      <c r="B387" s="1086" t="str">
        <f>IF(AND(P385=1,T389&gt;0),"ERROR: Hand loss has occurred proximal to the metacarpals. Uncheck boxes at left.","")</f>
        <v/>
      </c>
      <c r="C387" s="1086"/>
      <c r="D387" s="1086"/>
      <c r="E387" s="1086"/>
      <c r="F387" s="1002"/>
      <c r="G387" s="1002"/>
      <c r="H387" s="791" t="s">
        <v>1239</v>
      </c>
      <c r="I387" s="791"/>
      <c r="J387" s="791"/>
      <c r="K387" s="791"/>
      <c r="L387" s="791"/>
      <c r="M387" s="791"/>
      <c r="N387" s="791"/>
      <c r="O387" s="791"/>
      <c r="P387" s="21">
        <f>IF($P$385&gt;0,0,IF(S387=1,0.1,0))</f>
        <v>0</v>
      </c>
      <c r="R387" s="546" t="b">
        <v>0</v>
      </c>
      <c r="S387" s="571">
        <f>IF(R387=TRUE,1,0)</f>
        <v>0</v>
      </c>
      <c r="T387" s="50" t="s">
        <v>1240</v>
      </c>
      <c r="U387" s="10"/>
      <c r="V387" s="10"/>
      <c r="W387" s="10"/>
      <c r="X387" s="10"/>
      <c r="Y387" s="135"/>
      <c r="Z387" s="10"/>
      <c r="AA387" s="10"/>
      <c r="AB387" s="10"/>
      <c r="AC387" s="10"/>
      <c r="AD387" s="10"/>
      <c r="AE387" s="10"/>
      <c r="AF387" s="10"/>
      <c r="AG387" s="10"/>
      <c r="AH387" s="10"/>
      <c r="AI387" s="94"/>
      <c r="AJ387" s="10"/>
      <c r="AK387" s="10"/>
      <c r="AL387" s="10"/>
      <c r="AM387" s="10"/>
      <c r="AN387" s="10"/>
      <c r="AO387" s="10"/>
      <c r="AP387" s="10"/>
      <c r="AQ387" s="10"/>
      <c r="AR387" s="10"/>
      <c r="AS387" s="10"/>
      <c r="AT387" s="10"/>
    </row>
    <row r="388" spans="1:46" ht="18" customHeight="1" x14ac:dyDescent="0.2">
      <c r="B388" s="1086"/>
      <c r="C388" s="1086"/>
      <c r="D388" s="1086"/>
      <c r="E388" s="1086"/>
      <c r="F388" s="1002"/>
      <c r="G388" s="1002"/>
      <c r="H388" s="791" t="s">
        <v>1241</v>
      </c>
      <c r="I388" s="791"/>
      <c r="J388" s="791"/>
      <c r="K388" s="791"/>
      <c r="L388" s="791"/>
      <c r="M388" s="791"/>
      <c r="N388" s="791"/>
      <c r="O388" s="791"/>
      <c r="P388" s="21">
        <f>IF($P$385&gt;0,0,IF(S388=1,0.1,0))</f>
        <v>0</v>
      </c>
      <c r="R388" s="546" t="b">
        <v>0</v>
      </c>
      <c r="S388" s="571">
        <f>IF(R388=TRUE,1,0)</f>
        <v>0</v>
      </c>
      <c r="T388" s="50" t="s">
        <v>1242</v>
      </c>
      <c r="U388" s="10"/>
      <c r="V388" s="10"/>
      <c r="W388" s="10"/>
      <c r="X388" s="10"/>
      <c r="Y388" s="135"/>
      <c r="Z388" s="10"/>
      <c r="AA388" s="10"/>
      <c r="AB388" s="10"/>
      <c r="AC388" s="10"/>
      <c r="AD388" s="10"/>
      <c r="AE388" s="10"/>
      <c r="AF388" s="10"/>
      <c r="AG388" s="10"/>
      <c r="AH388" s="10"/>
      <c r="AI388" s="94"/>
      <c r="AJ388" s="10"/>
      <c r="AK388" s="10"/>
      <c r="AL388" s="10"/>
      <c r="AM388" s="10"/>
      <c r="AN388" s="10"/>
      <c r="AO388" s="10"/>
      <c r="AP388" s="10"/>
      <c r="AQ388" s="10"/>
      <c r="AR388" s="10"/>
      <c r="AS388" s="10"/>
      <c r="AT388" s="10"/>
    </row>
    <row r="389" spans="1:46" ht="18" customHeight="1" x14ac:dyDescent="0.2">
      <c r="B389" s="1086"/>
      <c r="C389" s="1086"/>
      <c r="D389" s="1086"/>
      <c r="E389" s="1086"/>
      <c r="F389" s="1002"/>
      <c r="G389" s="1002"/>
      <c r="H389" s="791" t="s">
        <v>1243</v>
      </c>
      <c r="I389" s="791"/>
      <c r="J389" s="791"/>
      <c r="K389" s="791"/>
      <c r="L389" s="791"/>
      <c r="M389" s="791"/>
      <c r="N389" s="791"/>
      <c r="O389" s="791"/>
      <c r="P389" s="21">
        <f>IF($P$385&gt;0,0,IF(S389=1,0.1,0))</f>
        <v>0</v>
      </c>
      <c r="R389" s="546" t="b">
        <v>0</v>
      </c>
      <c r="S389" s="571">
        <f>IF(R389=TRUE,1,0)</f>
        <v>0</v>
      </c>
      <c r="T389" s="50">
        <f>IF(OR(S386=1,S387=1,S388=1,S389=1,S390=1),1,0)</f>
        <v>0</v>
      </c>
      <c r="U389" s="10"/>
      <c r="V389" s="10"/>
      <c r="W389" s="10"/>
      <c r="X389" s="10"/>
      <c r="Y389" s="135"/>
      <c r="Z389" s="10"/>
      <c r="AA389" s="10"/>
      <c r="AB389" s="10"/>
      <c r="AC389" s="10"/>
      <c r="AD389" s="10"/>
      <c r="AE389" s="10"/>
      <c r="AF389" s="10"/>
      <c r="AG389" s="10"/>
      <c r="AH389" s="10"/>
      <c r="AI389" s="94"/>
      <c r="AJ389" s="10"/>
      <c r="AK389" s="10"/>
      <c r="AL389" s="10"/>
      <c r="AM389" s="10"/>
      <c r="AN389" s="10"/>
      <c r="AO389" s="10"/>
      <c r="AP389" s="10"/>
      <c r="AQ389" s="10"/>
      <c r="AR389" s="10"/>
      <c r="AS389" s="10"/>
      <c r="AT389" s="10"/>
    </row>
    <row r="390" spans="1:46" ht="18" customHeight="1" x14ac:dyDescent="0.2">
      <c r="B390" s="1086"/>
      <c r="C390" s="1086"/>
      <c r="D390" s="1086"/>
      <c r="E390" s="1086"/>
      <c r="F390" s="1002"/>
      <c r="G390" s="1002"/>
      <c r="H390" s="791" t="s">
        <v>878</v>
      </c>
      <c r="I390" s="791"/>
      <c r="J390" s="791"/>
      <c r="K390" s="791"/>
      <c r="L390" s="791"/>
      <c r="M390" s="791"/>
      <c r="N390" s="791"/>
      <c r="O390" s="791"/>
      <c r="P390" s="21">
        <f>IF($P$385&gt;0,0,IF(S390=1,0.1,0))</f>
        <v>0</v>
      </c>
      <c r="R390" s="546" t="b">
        <v>0</v>
      </c>
      <c r="S390" s="571">
        <f>IF(R390=TRUE,1,0)</f>
        <v>0</v>
      </c>
      <c r="T390" s="10"/>
      <c r="U390" s="10"/>
      <c r="V390" s="10"/>
      <c r="W390" s="10"/>
      <c r="X390" s="10"/>
      <c r="Y390" s="135"/>
      <c r="Z390" s="10"/>
      <c r="AA390" s="10"/>
      <c r="AB390" s="10"/>
      <c r="AC390" s="10"/>
      <c r="AD390" s="10"/>
      <c r="AE390" s="10"/>
      <c r="AF390" s="10"/>
      <c r="AG390" s="10"/>
      <c r="AH390" s="10"/>
      <c r="AI390" s="94"/>
      <c r="AJ390" s="10"/>
      <c r="AK390" s="10"/>
      <c r="AL390" s="10"/>
      <c r="AM390" s="10"/>
      <c r="AN390" s="10"/>
      <c r="AO390" s="10"/>
      <c r="AP390" s="10"/>
      <c r="AQ390" s="10"/>
      <c r="AR390" s="10"/>
      <c r="AS390" s="10"/>
      <c r="AT390" s="10"/>
    </row>
    <row r="391" spans="1:46" ht="12" customHeight="1" x14ac:dyDescent="0.2">
      <c r="B391" s="777"/>
      <c r="C391" s="777"/>
      <c r="D391" s="777"/>
      <c r="E391" s="777"/>
      <c r="F391" s="777"/>
      <c r="G391" s="777"/>
      <c r="H391" s="777"/>
      <c r="I391" s="777"/>
      <c r="J391" s="777"/>
      <c r="K391" s="777"/>
      <c r="L391" s="777"/>
      <c r="M391" s="777"/>
      <c r="N391" s="777"/>
      <c r="O391" s="777"/>
      <c r="P391" s="1"/>
      <c r="R391" s="10"/>
      <c r="S391" s="10"/>
      <c r="T391" s="10"/>
      <c r="U391" s="10"/>
      <c r="V391" s="10"/>
      <c r="W391" s="10"/>
      <c r="X391" s="10"/>
      <c r="Y391" s="10"/>
      <c r="Z391" s="10"/>
      <c r="AA391" s="10"/>
      <c r="AB391" s="10"/>
      <c r="AC391" s="10"/>
      <c r="AD391" s="10"/>
      <c r="AE391" s="10"/>
      <c r="AF391" s="10"/>
      <c r="AG391" s="10"/>
      <c r="AH391" s="10"/>
      <c r="AI391" s="94"/>
      <c r="AJ391" s="10"/>
      <c r="AK391" s="10"/>
      <c r="AL391" s="10"/>
      <c r="AM391" s="10"/>
      <c r="AN391" s="10"/>
      <c r="AO391" s="10"/>
      <c r="AP391" s="10"/>
      <c r="AQ391" s="10"/>
      <c r="AR391" s="10"/>
      <c r="AS391" s="10"/>
      <c r="AT391" s="10"/>
    </row>
    <row r="392" spans="1:46" ht="18" customHeight="1" x14ac:dyDescent="0.2">
      <c r="B392" s="910" t="s">
        <v>1563</v>
      </c>
      <c r="C392" s="910"/>
      <c r="D392" s="910"/>
      <c r="E392" s="910"/>
      <c r="F392" s="910"/>
      <c r="G392" s="910"/>
      <c r="H392" s="910"/>
      <c r="I392" s="910"/>
      <c r="J392" s="910"/>
      <c r="K392" s="910"/>
      <c r="L392" s="910"/>
      <c r="M392" s="910"/>
      <c r="N392" s="910"/>
      <c r="O392" s="910"/>
      <c r="P392" s="830"/>
      <c r="R392" s="10"/>
      <c r="S392" s="10"/>
      <c r="T392" s="907" t="s">
        <v>2141</v>
      </c>
      <c r="U392" s="908"/>
      <c r="V392" s="10"/>
      <c r="W392" s="10"/>
      <c r="X392" s="10"/>
      <c r="Y392" s="10"/>
      <c r="Z392" s="10"/>
      <c r="AA392" s="10"/>
      <c r="AB392" s="10"/>
      <c r="AC392" s="10"/>
      <c r="AD392" s="10"/>
      <c r="AE392" s="10"/>
      <c r="AF392" s="10"/>
      <c r="AG392" s="10"/>
      <c r="AH392" s="10"/>
      <c r="AI392" s="10"/>
      <c r="AJ392" s="761" t="s">
        <v>678</v>
      </c>
      <c r="AK392" s="761" t="s">
        <v>679</v>
      </c>
      <c r="AL392" s="761" t="s">
        <v>879</v>
      </c>
      <c r="AM392" s="761" t="s">
        <v>880</v>
      </c>
      <c r="AN392" s="10"/>
      <c r="AO392" s="10"/>
      <c r="AP392" s="10"/>
      <c r="AQ392" s="10"/>
      <c r="AR392" s="10"/>
      <c r="AS392" s="10"/>
      <c r="AT392" s="10"/>
    </row>
    <row r="393" spans="1:46" ht="27" customHeight="1" x14ac:dyDescent="0.2">
      <c r="B393" s="18" t="s">
        <v>881</v>
      </c>
      <c r="C393" s="910" t="s">
        <v>1564</v>
      </c>
      <c r="D393" s="910"/>
      <c r="E393" s="910"/>
      <c r="F393" s="910"/>
      <c r="G393" s="912" t="s">
        <v>882</v>
      </c>
      <c r="H393" s="912"/>
      <c r="I393" s="912"/>
      <c r="J393" s="912"/>
      <c r="K393" s="910"/>
      <c r="L393" s="910"/>
      <c r="M393" s="910"/>
      <c r="N393" s="910"/>
      <c r="O393" s="910"/>
      <c r="P393" s="831"/>
      <c r="R393" s="10"/>
      <c r="S393" s="50" t="s">
        <v>1622</v>
      </c>
      <c r="T393" s="127" t="s">
        <v>1564</v>
      </c>
      <c r="U393" s="127" t="s">
        <v>1565</v>
      </c>
      <c r="V393" s="944" t="s">
        <v>1066</v>
      </c>
      <c r="W393" s="945"/>
      <c r="X393" s="945"/>
      <c r="Y393" s="946"/>
      <c r="Z393" s="10"/>
      <c r="AA393" s="10"/>
      <c r="AB393" s="10"/>
      <c r="AC393" s="10"/>
      <c r="AD393" s="10"/>
      <c r="AE393" s="10"/>
      <c r="AF393" s="10"/>
      <c r="AG393" s="10"/>
      <c r="AH393" s="10"/>
      <c r="AI393" s="10"/>
      <c r="AJ393" s="761"/>
      <c r="AK393" s="761"/>
      <c r="AL393" s="761"/>
      <c r="AM393" s="761"/>
      <c r="AN393" s="10"/>
      <c r="AO393" s="10"/>
      <c r="AP393" s="10"/>
      <c r="AQ393" s="10"/>
      <c r="AR393" s="10"/>
      <c r="AS393" s="10"/>
      <c r="AT393" s="10"/>
    </row>
    <row r="394" spans="1:46" ht="13.5" customHeight="1" x14ac:dyDescent="0.2">
      <c r="B394" s="146" t="s">
        <v>883</v>
      </c>
      <c r="C394" s="730"/>
      <c r="D394" s="820"/>
      <c r="E394" s="921">
        <f>UETable!BF64</f>
        <v>0</v>
      </c>
      <c r="F394" s="921"/>
      <c r="G394" s="730"/>
      <c r="H394" s="820"/>
      <c r="I394" s="936">
        <f>IF(C394="",0,IF(OR(C394&lt;=0,G394&lt;=0),E394,IF(G394&lt;C394,0,UETable!BK64)))</f>
        <v>0</v>
      </c>
      <c r="J394" s="936"/>
      <c r="K394" s="930" t="str">
        <f>IF(OR(C394="NA",G394="NA"),"",IF(AND(C394&lt;&gt;"",G394=""),"Enter contralateral or NA.",IF(AND(C394="",G394&lt;&gt;""),"Need data","")))</f>
        <v/>
      </c>
      <c r="L394" s="930"/>
      <c r="M394" s="930"/>
      <c r="N394" s="930"/>
      <c r="O394" s="930"/>
      <c r="P394" s="831"/>
      <c r="R394" s="10"/>
      <c r="S394" s="50">
        <v>15</v>
      </c>
      <c r="T394" s="50" t="str">
        <f>IF(OR(C394="",C394="NA"),"",IF(C394&gt;S394,S394,IF(C394&lt;0,0,C394)))</f>
        <v/>
      </c>
      <c r="U394" s="50" t="str">
        <f>IF(OR(G394="",G394="NA"),"",IF(G394&gt;S394,S394,IF(G394&lt;0,0,G394)))</f>
        <v/>
      </c>
      <c r="V394" s="553" t="str">
        <f>IF(Y394="","",ROUND(Y394,0))</f>
        <v/>
      </c>
      <c r="W394" s="1134"/>
      <c r="X394" s="1135"/>
      <c r="Y394" s="554" t="str">
        <f>IF(T394="","",IF(OR(U394="",U394=0,U394&lt;T394),T394,(T394*15)/U394))</f>
        <v/>
      </c>
      <c r="Z394" s="10"/>
      <c r="AA394" s="10"/>
      <c r="AB394" s="10"/>
      <c r="AC394" s="10"/>
      <c r="AD394" s="10"/>
      <c r="AE394" s="10"/>
      <c r="AF394" s="10"/>
      <c r="AG394" s="10"/>
      <c r="AH394" s="10"/>
      <c r="AI394" s="10"/>
      <c r="AJ394" s="761"/>
      <c r="AK394" s="761"/>
      <c r="AL394" s="761"/>
      <c r="AM394" s="761"/>
      <c r="AN394" s="10"/>
      <c r="AO394" s="10"/>
      <c r="AP394" s="10"/>
      <c r="AQ394" s="10"/>
      <c r="AR394" s="10"/>
      <c r="AS394" s="10"/>
      <c r="AT394" s="10"/>
    </row>
    <row r="395" spans="1:46" ht="13.5" customHeight="1" x14ac:dyDescent="0.2">
      <c r="B395" s="146" t="s">
        <v>884</v>
      </c>
      <c r="C395" s="730"/>
      <c r="D395" s="820"/>
      <c r="E395" s="921">
        <f>UETable!BF65</f>
        <v>0</v>
      </c>
      <c r="F395" s="921"/>
      <c r="G395" s="730"/>
      <c r="H395" s="820"/>
      <c r="I395" s="936">
        <f>IF(C395="",0,IF(OR(C395&lt;=0,G395&lt;=0),E395,IF(G395&lt;C395,0,UETable!BK65)))</f>
        <v>0</v>
      </c>
      <c r="J395" s="936"/>
      <c r="K395" s="930" t="str">
        <f>IF(OR(C395="NA",G395="NA"),"",IF(AND(C395&lt;&gt;"",G395=""),"Enter contralateral or NA.",IF(AND(C395="",G395&lt;&gt;""),"Need data","")))</f>
        <v/>
      </c>
      <c r="L395" s="930"/>
      <c r="M395" s="930"/>
      <c r="N395" s="930"/>
      <c r="O395" s="930"/>
      <c r="P395" s="831"/>
      <c r="R395" s="10"/>
      <c r="S395" s="50">
        <v>30</v>
      </c>
      <c r="T395" s="50" t="str">
        <f>IF(OR(C395="",C395="NA"),"",IF(C395&gt;S395,S395,IF(C395&lt;0,0,C395)))</f>
        <v/>
      </c>
      <c r="U395" s="50" t="str">
        <f>IF(OR(G395="",G395="NA"),"",IF(G395&gt;S395,S395,IF(G395&lt;0,0,G395)))</f>
        <v/>
      </c>
      <c r="V395" s="553" t="str">
        <f>IF(Y395="","",ROUND(Y395,0))</f>
        <v/>
      </c>
      <c r="W395" s="1065"/>
      <c r="X395" s="1136"/>
      <c r="Y395" s="554" t="str">
        <f>IF(T395="","",IF(OR(U395="",U395=0,U395&lt;T395),T395,(T395*30)/U395))</f>
        <v/>
      </c>
      <c r="Z395" s="10"/>
      <c r="AA395" s="10"/>
      <c r="AB395" s="61"/>
      <c r="AC395" s="192">
        <f>MAX(E396,E397)</f>
        <v>0</v>
      </c>
      <c r="AD395" s="791" t="s">
        <v>1902</v>
      </c>
      <c r="AE395" s="791"/>
      <c r="AF395" s="791"/>
      <c r="AG395" s="791"/>
      <c r="AH395" s="10"/>
      <c r="AI395" s="10"/>
      <c r="AJ395" s="761"/>
      <c r="AK395" s="761"/>
      <c r="AL395" s="761"/>
      <c r="AM395" s="761"/>
      <c r="AN395" s="10"/>
      <c r="AO395" s="10"/>
      <c r="AP395" s="10"/>
      <c r="AQ395" s="10"/>
      <c r="AR395" s="10"/>
      <c r="AS395" s="10"/>
      <c r="AT395" s="10"/>
    </row>
    <row r="396" spans="1:46" ht="13.5" customHeight="1" x14ac:dyDescent="0.2">
      <c r="B396" s="146" t="s">
        <v>885</v>
      </c>
      <c r="C396" s="730"/>
      <c r="D396" s="820"/>
      <c r="E396" s="921">
        <f>IF(AND($AJ$396=1,$AK$396=1),"ERROR",UETable!BF66)</f>
        <v>0</v>
      </c>
      <c r="F396" s="921"/>
      <c r="G396" s="1110" t="str">
        <f>IF(AND($AK$396=1,$AJ$396=1),"Cannot rate ROM and ankylosis.",IF(AND($E$396&gt;0,$E$397&gt;0),"Multiple ankylosis values; use higher value only.",""))</f>
        <v/>
      </c>
      <c r="H396" s="1110"/>
      <c r="I396" s="1110"/>
      <c r="J396" s="1110"/>
      <c r="K396" s="1110"/>
      <c r="L396" s="1110"/>
      <c r="M396" s="1110"/>
      <c r="N396" s="1110"/>
      <c r="O396" s="1110"/>
      <c r="P396" s="831"/>
      <c r="R396" s="10"/>
      <c r="S396" s="50">
        <v>15</v>
      </c>
      <c r="T396" s="50" t="str">
        <f>IF(OR(C396="",C396="NA"),"",IF(C396&gt;S396,S396,IF(C396&lt;0,0,C396)))</f>
        <v/>
      </c>
      <c r="U396" s="10"/>
      <c r="V396" s="944" t="s">
        <v>2142</v>
      </c>
      <c r="W396" s="945"/>
      <c r="X396" s="945"/>
      <c r="Y396" s="946"/>
      <c r="AB396" s="10"/>
      <c r="AC396" s="193">
        <f>IF(AND(AJ396=1,AK396=1),"ERROR",I394+I395+AC395)</f>
        <v>0</v>
      </c>
      <c r="AD396" s="50" t="s">
        <v>886</v>
      </c>
      <c r="AE396" s="50"/>
      <c r="AF396" s="50"/>
      <c r="AG396" s="50"/>
      <c r="AH396" s="10"/>
      <c r="AI396" s="10"/>
      <c r="AJ396" s="50">
        <f>IF(OR(V397=1,W397=1),1,0)</f>
        <v>0</v>
      </c>
      <c r="AK396" s="50">
        <f>IF(OR(X397=1,Y397=1),1,0)</f>
        <v>0</v>
      </c>
      <c r="AL396" s="50">
        <f>SUM(V397,W397)</f>
        <v>0</v>
      </c>
      <c r="AM396" s="50">
        <f>IF(AL396=1,1,0)</f>
        <v>0</v>
      </c>
      <c r="AN396" s="10"/>
      <c r="AO396" s="10"/>
      <c r="AP396" s="10"/>
      <c r="AQ396" s="10"/>
      <c r="AR396" s="10"/>
      <c r="AS396" s="10"/>
      <c r="AT396" s="10"/>
    </row>
    <row r="397" spans="1:46" ht="13.5" customHeight="1" x14ac:dyDescent="0.2">
      <c r="B397" s="146" t="s">
        <v>887</v>
      </c>
      <c r="C397" s="730"/>
      <c r="D397" s="820"/>
      <c r="E397" s="921">
        <f>IF(AND($AJ$396=1,$AK$396=1),"ERROR",UETable!BF67)</f>
        <v>0</v>
      </c>
      <c r="F397" s="921"/>
      <c r="G397" s="1110" t="str">
        <f>IF(AND($AK$396=1,$AJ$396=1),"Cannot rate ROM and ankylosis.",IF(AND($E$396&gt;0,$E$397&gt;0),"Multiple ankylosis values; use higher value only.",""))</f>
        <v/>
      </c>
      <c r="H397" s="1110"/>
      <c r="I397" s="1110"/>
      <c r="J397" s="1110"/>
      <c r="K397" s="1110"/>
      <c r="L397" s="1110"/>
      <c r="M397" s="1110"/>
      <c r="N397" s="1110"/>
      <c r="O397" s="1110"/>
      <c r="P397" s="832"/>
      <c r="R397" s="10"/>
      <c r="S397" s="50">
        <v>30</v>
      </c>
      <c r="T397" s="50" t="str">
        <f>IF(OR(C397="",C397="NA"),"",IF(C397&gt;S397,S397,IF(C397&lt;0,0,C397)))</f>
        <v/>
      </c>
      <c r="U397" s="10"/>
      <c r="V397" s="50">
        <f>IF(AND(C394&lt;&gt;"",C394&lt;&gt;"NA"),1,0)</f>
        <v>0</v>
      </c>
      <c r="W397" s="50">
        <f>IF(AND(C395&lt;&gt;"",C395&lt;&gt;"NA"),1,0)</f>
        <v>0</v>
      </c>
      <c r="X397" s="50">
        <f>IF(AND(C396&lt;&gt;"",C396&lt;&gt;"NA"),1,0)</f>
        <v>0</v>
      </c>
      <c r="Y397" s="50">
        <f>IF(AND(C397&lt;&gt;"",C397&lt;&gt;"NA"),1,0)</f>
        <v>0</v>
      </c>
      <c r="Z397" s="10"/>
      <c r="AA397" s="10"/>
      <c r="AB397" s="10"/>
      <c r="AC397" s="10"/>
      <c r="AD397" s="10"/>
      <c r="AE397" s="10"/>
      <c r="AF397" s="10"/>
      <c r="AG397" s="10"/>
      <c r="AH397" s="10"/>
      <c r="AI397" s="10"/>
      <c r="AJ397" s="10"/>
      <c r="AK397" s="10"/>
      <c r="AL397" s="10"/>
      <c r="AM397" s="10"/>
      <c r="AN397" s="10"/>
      <c r="AO397" s="10"/>
      <c r="AP397" s="10"/>
      <c r="AQ397" s="10"/>
      <c r="AR397" s="10"/>
      <c r="AS397" s="10"/>
      <c r="AT397" s="10"/>
    </row>
    <row r="398" spans="1:46" ht="13.5" customHeight="1" x14ac:dyDescent="0.2">
      <c r="B398" s="1006" t="s">
        <v>888</v>
      </c>
      <c r="C398" s="1007"/>
      <c r="D398" s="1007"/>
      <c r="E398" s="1007"/>
      <c r="F398" s="1007"/>
      <c r="G398" s="1007"/>
      <c r="H398" s="1007"/>
      <c r="I398" s="1007"/>
      <c r="J398" s="1007"/>
      <c r="K398" s="1007"/>
      <c r="L398" s="1007"/>
      <c r="M398" s="1007"/>
      <c r="N398" s="1007"/>
      <c r="O398" s="1008"/>
      <c r="P398" s="296">
        <f>IF(AND(AJ396=1,AK396=1),"ERROR",IF(AND(AC396&gt;0,AC396&lt;0.01),0.01,ROUND(AC396,2)))</f>
        <v>0</v>
      </c>
      <c r="R398" s="136"/>
      <c r="S398" s="576"/>
      <c r="T398" s="10"/>
      <c r="U398" s="10"/>
      <c r="V398" s="10"/>
      <c r="W398" s="10"/>
      <c r="X398" s="10"/>
      <c r="Y398" s="189"/>
      <c r="Z398" s="10"/>
      <c r="AA398" s="10"/>
      <c r="AB398" s="10"/>
      <c r="AC398" s="10"/>
      <c r="AD398" s="10"/>
      <c r="AE398" s="10"/>
      <c r="AF398" s="10"/>
      <c r="AG398" s="10"/>
      <c r="AH398" s="10"/>
      <c r="AI398" s="10"/>
      <c r="AJ398" s="10"/>
      <c r="AK398" s="10"/>
      <c r="AL398" s="10"/>
      <c r="AM398" s="10"/>
      <c r="AN398" s="10"/>
      <c r="AO398" s="10"/>
      <c r="AP398" s="10"/>
      <c r="AQ398" s="10"/>
      <c r="AR398" s="10"/>
      <c r="AS398" s="10"/>
      <c r="AT398" s="10"/>
    </row>
    <row r="399" spans="1:46" ht="27" customHeight="1" x14ac:dyDescent="0.2">
      <c r="B399" s="18" t="s">
        <v>889</v>
      </c>
      <c r="C399" s="910" t="s">
        <v>1564</v>
      </c>
      <c r="D399" s="910"/>
      <c r="E399" s="910"/>
      <c r="F399" s="910"/>
      <c r="G399" s="912" t="s">
        <v>882</v>
      </c>
      <c r="H399" s="912"/>
      <c r="I399" s="912"/>
      <c r="J399" s="912"/>
      <c r="K399" s="910"/>
      <c r="L399" s="910"/>
      <c r="M399" s="910"/>
      <c r="N399" s="910"/>
      <c r="O399" s="910"/>
      <c r="P399" s="830"/>
      <c r="R399" s="10"/>
      <c r="S399" s="569"/>
      <c r="T399" s="10"/>
      <c r="U399" s="10"/>
      <c r="V399" s="10"/>
      <c r="W399" s="10"/>
      <c r="X399" s="10"/>
      <c r="Y399" s="189"/>
      <c r="Z399" s="10"/>
      <c r="AA399" s="10"/>
      <c r="AB399" s="10"/>
      <c r="AC399" s="10"/>
      <c r="AD399" s="10"/>
      <c r="AE399" s="10"/>
      <c r="AF399" s="10"/>
      <c r="AG399" s="10"/>
      <c r="AH399" s="10"/>
      <c r="AI399" s="10"/>
      <c r="AJ399" s="10"/>
      <c r="AK399" s="10"/>
      <c r="AL399" s="10"/>
      <c r="AM399" s="10"/>
      <c r="AN399" s="10"/>
      <c r="AO399" s="10"/>
      <c r="AP399" s="10"/>
      <c r="AQ399" s="10"/>
      <c r="AR399" s="10"/>
      <c r="AS399" s="10"/>
      <c r="AT399" s="10"/>
    </row>
    <row r="400" spans="1:46" ht="13.5" customHeight="1" x14ac:dyDescent="0.2">
      <c r="B400" s="147" t="s">
        <v>890</v>
      </c>
      <c r="C400" s="694"/>
      <c r="D400" s="694"/>
      <c r="E400" s="921">
        <f>UETable!BF70</f>
        <v>0</v>
      </c>
      <c r="F400" s="921"/>
      <c r="G400" s="694"/>
      <c r="H400" s="694"/>
      <c r="I400" s="936">
        <f>IF(C400="",0,IF(OR(C400&lt;=0,G400&lt;=0),E400,IF(G400&lt;C400,0,UETable!BK70)))</f>
        <v>0</v>
      </c>
      <c r="J400" s="936"/>
      <c r="K400" s="930" t="str">
        <f>IF(OR(C400="NA",G400="NA"),"",IF(AND(C400&lt;&gt;"",G400=""),"Enter contralateral or NA.",IF(AND(C400="",G400&lt;&gt;""),"Need data","")))</f>
        <v/>
      </c>
      <c r="L400" s="930"/>
      <c r="M400" s="930"/>
      <c r="N400" s="930"/>
      <c r="O400" s="930"/>
      <c r="P400" s="831"/>
      <c r="R400" s="10"/>
      <c r="S400" s="50">
        <v>60</v>
      </c>
      <c r="T400" s="50" t="str">
        <f t="shared" ref="T400:T407" si="70">IF(OR(C400="",C400="NA"),"",IF(C400&gt;S400,S400,IF(C400&lt;0,0,C400)))</f>
        <v/>
      </c>
      <c r="U400" s="50" t="str">
        <f>IF(OR(G400="",G400="NA"),"",IF(G400&gt;S400,S400,IF(G400&lt;0,0,G400)))</f>
        <v/>
      </c>
      <c r="V400" s="553" t="str">
        <f>IF(Y400="","",ROUND(Y400,0))</f>
        <v/>
      </c>
      <c r="W400" s="783"/>
      <c r="X400" s="783"/>
      <c r="Y400" s="554" t="str">
        <f>IF(T400="","",IF(OR(U400="",U400=0,U400&lt;T400),T400,(T400*60)/U400))</f>
        <v/>
      </c>
      <c r="Z400" s="10"/>
      <c r="AA400" s="10"/>
      <c r="AB400" s="10"/>
      <c r="AC400" s="10"/>
      <c r="AD400" s="10"/>
      <c r="AE400" s="10"/>
      <c r="AF400" s="10"/>
      <c r="AG400" s="10"/>
      <c r="AH400" s="10"/>
      <c r="AJ400" s="791" t="s">
        <v>2291</v>
      </c>
      <c r="AK400" s="791"/>
      <c r="AL400" s="791"/>
      <c r="AM400" s="791"/>
      <c r="AN400" s="10"/>
      <c r="AO400" s="10"/>
      <c r="AP400" s="10"/>
      <c r="AQ400" s="10"/>
      <c r="AR400" s="10"/>
      <c r="AS400" s="10"/>
      <c r="AT400" s="10"/>
    </row>
    <row r="401" spans="1:46" ht="13.5" customHeight="1" x14ac:dyDescent="0.2">
      <c r="B401" s="147" t="s">
        <v>1187</v>
      </c>
      <c r="C401" s="694"/>
      <c r="D401" s="694"/>
      <c r="E401" s="921">
        <f>IF(AND($AJ$407=1,$AK$407=1),"ERROR",UETable!BF71)</f>
        <v>0</v>
      </c>
      <c r="F401" s="921"/>
      <c r="G401" s="930" t="str">
        <f>IF(AND($AK$407=1,$AJ$407=1),"Cannot rate ROM and ankylosis.",IF($AN$407&gt;1,"Multiple ankylosis values; use highest value only.",""))</f>
        <v/>
      </c>
      <c r="H401" s="930"/>
      <c r="I401" s="930"/>
      <c r="J401" s="930"/>
      <c r="K401" s="930"/>
      <c r="L401" s="930"/>
      <c r="M401" s="930"/>
      <c r="N401" s="930"/>
      <c r="O401" s="930"/>
      <c r="P401" s="831"/>
      <c r="R401" s="10"/>
      <c r="S401" s="50">
        <v>60</v>
      </c>
      <c r="T401" s="50" t="str">
        <f t="shared" si="70"/>
        <v/>
      </c>
      <c r="U401" s="10"/>
      <c r="V401" s="61"/>
      <c r="W401" s="10"/>
      <c r="X401" s="10"/>
      <c r="Y401" s="577"/>
      <c r="Z401" s="10"/>
      <c r="AA401" s="10"/>
      <c r="AB401" s="61"/>
      <c r="AC401" s="10"/>
      <c r="AD401" s="10"/>
      <c r="AE401" s="10"/>
      <c r="AF401" s="10"/>
      <c r="AG401" s="10"/>
      <c r="AH401" s="10"/>
      <c r="AI401" s="10"/>
      <c r="AJ401" s="791" t="s">
        <v>2290</v>
      </c>
      <c r="AK401" s="791"/>
      <c r="AL401" s="791"/>
      <c r="AM401" s="791"/>
      <c r="AN401" s="10"/>
      <c r="AO401" s="10"/>
      <c r="AP401" s="10"/>
      <c r="AQ401" s="10"/>
      <c r="AR401" s="10"/>
      <c r="AS401" s="10"/>
      <c r="AT401" s="10"/>
    </row>
    <row r="402" spans="1:46" ht="13.5" customHeight="1" x14ac:dyDescent="0.2">
      <c r="B402" s="147" t="s">
        <v>892</v>
      </c>
      <c r="C402" s="694"/>
      <c r="D402" s="694"/>
      <c r="E402" s="921">
        <f>UETable!BF72</f>
        <v>0</v>
      </c>
      <c r="F402" s="921"/>
      <c r="G402" s="694"/>
      <c r="H402" s="694"/>
      <c r="I402" s="936">
        <f>IF(C402="",0,IF(OR(C402&lt;=0,G402&lt;=0),E402,IF(G402&lt;C402,0,UETable!BK72)))</f>
        <v>0</v>
      </c>
      <c r="J402" s="936"/>
      <c r="K402" s="930" t="str">
        <f>IF(OR(C402="NA",G402="NA"),"",IF(AND(C402&lt;&gt;"",G402=""),"Enter contralateral or NA.",IF(AND(C402="",G402&lt;&gt;""),"Need data","")))</f>
        <v/>
      </c>
      <c r="L402" s="930"/>
      <c r="M402" s="930"/>
      <c r="N402" s="930"/>
      <c r="O402" s="930"/>
      <c r="P402" s="831"/>
      <c r="R402" s="10"/>
      <c r="S402" s="50">
        <v>70</v>
      </c>
      <c r="T402" s="50" t="str">
        <f t="shared" si="70"/>
        <v/>
      </c>
      <c r="U402" s="50" t="str">
        <f>IF(OR(G402="",G402="NA"),"",IF(G402&gt;S402,S402,IF(G402&lt;0,0,G402)))</f>
        <v/>
      </c>
      <c r="V402" s="553" t="str">
        <f>IF(Y402="","",ROUND(Y402,0))</f>
        <v/>
      </c>
      <c r="W402" s="10"/>
      <c r="X402" s="10"/>
      <c r="Y402" s="554" t="str">
        <f>IF(T402="","",IF(OR(U402="",U402=0,U402&lt;T402),T402,(T402*70)/U402))</f>
        <v/>
      </c>
      <c r="Z402" s="10"/>
      <c r="AA402" s="10"/>
      <c r="AB402" s="10"/>
      <c r="AC402" s="10"/>
      <c r="AD402" s="10"/>
      <c r="AE402" s="10"/>
      <c r="AF402" s="10"/>
      <c r="AG402" s="10"/>
      <c r="AH402" s="10"/>
      <c r="AI402" s="10"/>
      <c r="AJ402" s="10"/>
      <c r="AK402" s="10"/>
      <c r="AL402" s="10"/>
      <c r="AM402" s="10"/>
      <c r="AN402" s="10"/>
      <c r="AO402" s="10"/>
      <c r="AP402" s="10"/>
      <c r="AQ402" s="10"/>
      <c r="AR402" s="10"/>
      <c r="AS402" s="10"/>
      <c r="AT402" s="10"/>
    </row>
    <row r="403" spans="1:46" ht="13.5" customHeight="1" x14ac:dyDescent="0.2">
      <c r="B403" s="147" t="s">
        <v>1185</v>
      </c>
      <c r="C403" s="694"/>
      <c r="D403" s="694"/>
      <c r="E403" s="921">
        <f>IF(AND($AJ$407=1,$AK$407=1),"ERROR",UETable!BF73)</f>
        <v>0</v>
      </c>
      <c r="F403" s="921"/>
      <c r="G403" s="930" t="str">
        <f>IF(AND($AK$407=1,$AJ$407=1),"Cannot rate ROM and ankylosis.",IF($AN$407&gt;1,"Multiple ankylosis values; use highest value only.",""))</f>
        <v/>
      </c>
      <c r="H403" s="930"/>
      <c r="I403" s="930"/>
      <c r="J403" s="930"/>
      <c r="K403" s="930"/>
      <c r="L403" s="930"/>
      <c r="M403" s="930"/>
      <c r="N403" s="930"/>
      <c r="O403" s="930"/>
      <c r="P403" s="831"/>
      <c r="R403" s="10"/>
      <c r="S403" s="50">
        <v>70</v>
      </c>
      <c r="T403" s="50" t="str">
        <f t="shared" si="70"/>
        <v/>
      </c>
      <c r="U403" s="10"/>
      <c r="V403" s="10"/>
      <c r="W403" s="10"/>
      <c r="X403" s="10"/>
      <c r="Y403" s="189"/>
      <c r="Z403" s="10"/>
      <c r="AA403" s="10"/>
      <c r="AB403" s="10"/>
      <c r="AC403" s="192">
        <f>MAX(E401,E403,E405,E407)</f>
        <v>0</v>
      </c>
      <c r="AD403" s="791" t="s">
        <v>1902</v>
      </c>
      <c r="AE403" s="791"/>
      <c r="AF403" s="791"/>
      <c r="AG403" s="791"/>
      <c r="AH403" s="10"/>
      <c r="AI403" s="10"/>
      <c r="AJ403" s="761" t="s">
        <v>678</v>
      </c>
      <c r="AK403" s="761" t="s">
        <v>679</v>
      </c>
      <c r="AL403" s="761" t="s">
        <v>879</v>
      </c>
      <c r="AM403" s="761" t="s">
        <v>880</v>
      </c>
      <c r="AN403" s="912" t="s">
        <v>2289</v>
      </c>
      <c r="AO403" s="10"/>
      <c r="AP403" s="10"/>
      <c r="AQ403" s="10"/>
      <c r="AR403" s="10"/>
      <c r="AS403" s="10"/>
      <c r="AT403" s="10"/>
    </row>
    <row r="404" spans="1:46" ht="13.5" customHeight="1" x14ac:dyDescent="0.2">
      <c r="B404" s="146" t="s">
        <v>893</v>
      </c>
      <c r="C404" s="694"/>
      <c r="D404" s="694"/>
      <c r="E404" s="921">
        <f>UETable!BF74</f>
        <v>0</v>
      </c>
      <c r="F404" s="921"/>
      <c r="G404" s="694"/>
      <c r="H404" s="694"/>
      <c r="I404" s="936">
        <f>IF(C404="",0,IF(OR(C404&lt;=0,G404&lt;=0),E404,IF(G404&lt;C404,0,UETable!BK74)))</f>
        <v>0</v>
      </c>
      <c r="J404" s="936"/>
      <c r="K404" s="930" t="str">
        <f>IF(OR(C404="NA",G404="NA"),"",IF(AND(C404&lt;&gt;"",G404=""),"Enter contralateral or NA.",IF(AND(C404="",G404&lt;&gt;""),"Need data","")))</f>
        <v/>
      </c>
      <c r="L404" s="930"/>
      <c r="M404" s="930"/>
      <c r="N404" s="930"/>
      <c r="O404" s="930"/>
      <c r="P404" s="831"/>
      <c r="R404" s="10"/>
      <c r="S404" s="50">
        <v>20</v>
      </c>
      <c r="T404" s="50" t="str">
        <f t="shared" si="70"/>
        <v/>
      </c>
      <c r="U404" s="50" t="str">
        <f>IF(OR(G404="",G404="NA"),"",IF(G404&gt;S404,S404,IF(G404&lt;0,0,G404)))</f>
        <v/>
      </c>
      <c r="V404" s="553" t="str">
        <f>IF(Y404="","",ROUND(Y404,0))</f>
        <v/>
      </c>
      <c r="W404" s="10"/>
      <c r="X404" s="10"/>
      <c r="Y404" s="554" t="str">
        <f>IF(T404="","",IF(OR(U404="",U404=0,U404&lt;T404),T404,(T404*20)/U404))</f>
        <v/>
      </c>
      <c r="Z404" s="10"/>
      <c r="AA404" s="10"/>
      <c r="AB404" s="10"/>
      <c r="AC404" s="581">
        <f>IF(AND(AJ407=1,AK407=1),"ERROR",SUM(I400,I402,I404,I406,AC403))</f>
        <v>0</v>
      </c>
      <c r="AD404" s="791" t="s">
        <v>891</v>
      </c>
      <c r="AE404" s="791"/>
      <c r="AF404" s="791"/>
      <c r="AG404" s="791"/>
      <c r="AH404" s="39"/>
      <c r="AI404" s="10"/>
      <c r="AJ404" s="761"/>
      <c r="AK404" s="761"/>
      <c r="AL404" s="761"/>
      <c r="AM404" s="761"/>
      <c r="AN404" s="912"/>
      <c r="AO404" s="10"/>
      <c r="AP404" s="10"/>
      <c r="AQ404" s="10"/>
      <c r="AR404" s="10"/>
      <c r="AS404" s="10"/>
      <c r="AT404" s="10"/>
    </row>
    <row r="405" spans="1:46" ht="13.5" customHeight="1" x14ac:dyDescent="0.2">
      <c r="B405" s="146" t="s">
        <v>894</v>
      </c>
      <c r="C405" s="694"/>
      <c r="D405" s="694"/>
      <c r="E405" s="921">
        <f>IF(AND($AJ$407=1,$AK$407=1),"ERROR",UETable!BF75)</f>
        <v>0</v>
      </c>
      <c r="F405" s="921"/>
      <c r="G405" s="930" t="str">
        <f>IF(AND($AK$407=1,$AJ$407=1),"Cannot rate ROM and ankylosis.",IF($AN$407&gt;1,"Multiple ankylosis values; use highest value only.",""))</f>
        <v/>
      </c>
      <c r="H405" s="930"/>
      <c r="I405" s="930"/>
      <c r="J405" s="930"/>
      <c r="K405" s="930"/>
      <c r="L405" s="930"/>
      <c r="M405" s="930"/>
      <c r="N405" s="930"/>
      <c r="O405" s="930"/>
      <c r="P405" s="831"/>
      <c r="R405" s="10"/>
      <c r="S405" s="50">
        <v>20</v>
      </c>
      <c r="T405" s="50" t="str">
        <f t="shared" si="70"/>
        <v/>
      </c>
      <c r="U405" s="10"/>
      <c r="V405" s="10"/>
      <c r="W405" s="10"/>
      <c r="X405" s="10"/>
      <c r="Y405" s="189"/>
      <c r="Z405" s="10"/>
      <c r="AA405" s="10"/>
      <c r="AB405" s="10"/>
      <c r="AC405" s="10"/>
      <c r="AD405" s="10"/>
      <c r="AE405" s="10"/>
      <c r="AF405" s="10"/>
      <c r="AG405" s="10"/>
      <c r="AH405" s="39"/>
      <c r="AI405" s="10"/>
      <c r="AJ405" s="761"/>
      <c r="AK405" s="761"/>
      <c r="AL405" s="761"/>
      <c r="AM405" s="761"/>
      <c r="AN405" s="912"/>
      <c r="AO405" s="10"/>
      <c r="AP405" s="10"/>
      <c r="AQ405" s="10"/>
      <c r="AR405" s="10"/>
      <c r="AS405" s="10"/>
      <c r="AT405" s="10"/>
    </row>
    <row r="406" spans="1:46" ht="13.5" customHeight="1" x14ac:dyDescent="0.2">
      <c r="B406" s="146" t="s">
        <v>895</v>
      </c>
      <c r="C406" s="694"/>
      <c r="D406" s="694"/>
      <c r="E406" s="921">
        <f>UETable!BF76</f>
        <v>0</v>
      </c>
      <c r="F406" s="921"/>
      <c r="G406" s="694"/>
      <c r="H406" s="694"/>
      <c r="I406" s="936">
        <f>IF(C406="",0,IF(OR(C406&lt;=0,G406&lt;=0),E406,IF(G406&lt;C406,0,UETable!BK76)))</f>
        <v>0</v>
      </c>
      <c r="J406" s="936"/>
      <c r="K406" s="930" t="str">
        <f>IF(OR(C406="NA",G406="NA"),"",IF(AND(C406&lt;&gt;"",G406=""),"Enter contralateral or NA.",IF(AND(C406="",G406&lt;&gt;""),"Need data","")))</f>
        <v/>
      </c>
      <c r="L406" s="930"/>
      <c r="M406" s="930"/>
      <c r="N406" s="930"/>
      <c r="O406" s="930"/>
      <c r="P406" s="831"/>
      <c r="R406" s="10"/>
      <c r="S406" s="50">
        <v>30</v>
      </c>
      <c r="T406" s="50" t="str">
        <f t="shared" si="70"/>
        <v/>
      </c>
      <c r="U406" s="50" t="str">
        <f>IF(OR(G406="",G406="NA"),"",IF(G406&gt;S406,S406,IF(G406&lt;0,0,G406)))</f>
        <v/>
      </c>
      <c r="V406" s="553" t="str">
        <f>IF(Y406="","",ROUND(Y406,0))</f>
        <v/>
      </c>
      <c r="W406" s="568"/>
      <c r="X406" s="568"/>
      <c r="Y406" s="554" t="str">
        <f>IF(T406="","",IF(OR(U406="",U406=0,U406&lt;T406),T406,(T406*30)/U406))</f>
        <v/>
      </c>
      <c r="Z406" s="10"/>
      <c r="AA406" s="10"/>
      <c r="AB406" s="10"/>
      <c r="AC406" s="10"/>
      <c r="AD406" s="10"/>
      <c r="AE406" s="10"/>
      <c r="AF406" s="10"/>
      <c r="AG406" s="10"/>
      <c r="AH406" s="39"/>
      <c r="AI406" s="10"/>
      <c r="AJ406" s="761"/>
      <c r="AK406" s="761"/>
      <c r="AL406" s="761"/>
      <c r="AM406" s="761"/>
      <c r="AN406" s="912"/>
      <c r="AO406" s="10"/>
      <c r="AP406" s="10"/>
      <c r="AQ406" s="10"/>
      <c r="AR406" s="10"/>
      <c r="AS406" s="10"/>
      <c r="AT406" s="10"/>
    </row>
    <row r="407" spans="1:46" ht="13.5" customHeight="1" x14ac:dyDescent="0.2">
      <c r="B407" s="146" t="s">
        <v>896</v>
      </c>
      <c r="C407" s="694"/>
      <c r="D407" s="694"/>
      <c r="E407" s="921">
        <f>IF(AND($AJ$407=1,$AK$407=1),"ERROR",UETable!BF77)</f>
        <v>0</v>
      </c>
      <c r="F407" s="921"/>
      <c r="G407" s="930" t="str">
        <f>IF(AND($AK$407=1,$AJ$407=1),"Cannot rate ROM and ankylosis.",IF($AN$407&gt;1,"Multiple ankylosis values; use highest value only.",""))</f>
        <v/>
      </c>
      <c r="H407" s="930"/>
      <c r="I407" s="930"/>
      <c r="J407" s="930"/>
      <c r="K407" s="930"/>
      <c r="L407" s="930"/>
      <c r="M407" s="930"/>
      <c r="N407" s="930"/>
      <c r="O407" s="930"/>
      <c r="P407" s="832"/>
      <c r="R407" s="10"/>
      <c r="S407" s="50">
        <v>30</v>
      </c>
      <c r="T407" s="50" t="str">
        <f t="shared" si="70"/>
        <v/>
      </c>
      <c r="U407" s="10"/>
      <c r="V407" s="944" t="s">
        <v>2142</v>
      </c>
      <c r="W407" s="945"/>
      <c r="X407" s="945"/>
      <c r="Y407" s="945"/>
      <c r="Z407" s="945"/>
      <c r="AA407" s="945"/>
      <c r="AB407" s="945"/>
      <c r="AC407" s="946"/>
      <c r="AF407" s="10"/>
      <c r="AH407" s="10"/>
      <c r="AI407" s="10"/>
      <c r="AJ407" s="50">
        <f>IF(OR(V408=1,X408=1,Z408=1,AB408=1),1,0)</f>
        <v>0</v>
      </c>
      <c r="AK407" s="50">
        <f>IF(OR(W408=1,Y408=1,AA408=1,AC408=1),1,0)</f>
        <v>0</v>
      </c>
      <c r="AL407" s="50">
        <f>SUM(V408,X408,Z408,AB408)</f>
        <v>0</v>
      </c>
      <c r="AM407" s="50">
        <f>IF(OR(AL407=1,AL407=2,AL407=3),1,0)</f>
        <v>0</v>
      </c>
      <c r="AN407" s="50">
        <f>SUM(W408,Y408,AA408,AC408)</f>
        <v>0</v>
      </c>
      <c r="AO407" s="10"/>
      <c r="AP407" s="10"/>
      <c r="AQ407" s="10"/>
      <c r="AR407" s="10"/>
      <c r="AS407" s="10"/>
      <c r="AT407" s="10"/>
    </row>
    <row r="408" spans="1:46" ht="13.5" customHeight="1" x14ac:dyDescent="0.2">
      <c r="B408" s="1006" t="s">
        <v>499</v>
      </c>
      <c r="C408" s="1007"/>
      <c r="D408" s="1007"/>
      <c r="E408" s="1007"/>
      <c r="F408" s="1007"/>
      <c r="G408" s="1007"/>
      <c r="H408" s="1007"/>
      <c r="I408" s="1007"/>
      <c r="J408" s="1007"/>
      <c r="K408" s="1007"/>
      <c r="L408" s="1007"/>
      <c r="M408" s="1007"/>
      <c r="N408" s="1007"/>
      <c r="O408" s="1008"/>
      <c r="P408" s="296">
        <f>IF(AND(AJ407=1,AK407=1),"ERROR",IF(AND(AC404&gt;0,AC404&lt;0.01),0.01,ROUND(AC404,2)))</f>
        <v>0</v>
      </c>
      <c r="R408" s="136"/>
      <c r="S408" s="128"/>
      <c r="T408" s="10"/>
      <c r="U408" s="10"/>
      <c r="V408" s="50">
        <f>IF(AND(C400&lt;&gt;"",C400&lt;&gt;"NA"),1,0)</f>
        <v>0</v>
      </c>
      <c r="W408" s="50">
        <f>IF(AND(C401&lt;&gt;"",C401&lt;&gt;"NA"),1,0)</f>
        <v>0</v>
      </c>
      <c r="X408" s="50">
        <f>IF(AND(C402&lt;&gt;"",C402&lt;&gt;"NA"),1,0)</f>
        <v>0</v>
      </c>
      <c r="Y408" s="50">
        <f>IF(AND(C403&lt;&gt;"",C403&lt;&gt;"NA"),1,0)</f>
        <v>0</v>
      </c>
      <c r="Z408" s="50">
        <f>IF(AND(C404&lt;&gt;"",C404&lt;&gt;"NA"),1,0)</f>
        <v>0</v>
      </c>
      <c r="AA408" s="50">
        <f>IF(AND(C405&lt;&gt;"",C405&lt;&gt;"NA"),1,0)</f>
        <v>0</v>
      </c>
      <c r="AB408" s="50">
        <f>IF(AND(C406&lt;&gt;"",C406&lt;&gt;"NA"),1,0)</f>
        <v>0</v>
      </c>
      <c r="AC408" s="50">
        <f>IF(AND(C407&lt;&gt;"",C407&lt;&gt;"NA"),1,0)</f>
        <v>0</v>
      </c>
      <c r="AD408" s="10"/>
      <c r="AE408" s="10"/>
      <c r="AF408" s="10"/>
      <c r="AG408" s="10"/>
      <c r="AH408" s="10"/>
      <c r="AI408" s="10"/>
      <c r="AJ408" s="10"/>
      <c r="AK408" s="10"/>
      <c r="AL408" s="10"/>
      <c r="AM408" s="10"/>
      <c r="AN408" s="10"/>
      <c r="AO408" s="10"/>
      <c r="AP408" s="10"/>
      <c r="AQ408" s="10"/>
      <c r="AR408" s="10"/>
      <c r="AS408" s="10"/>
      <c r="AT408" s="10"/>
    </row>
    <row r="409" spans="1:46" ht="12" customHeight="1" x14ac:dyDescent="0.2">
      <c r="B409" s="777"/>
      <c r="C409" s="777"/>
      <c r="D409" s="777"/>
      <c r="E409" s="777"/>
      <c r="F409" s="777"/>
      <c r="G409" s="777"/>
      <c r="H409" s="777"/>
      <c r="I409" s="777"/>
      <c r="J409" s="777"/>
      <c r="K409" s="777"/>
      <c r="L409" s="777"/>
      <c r="M409" s="777"/>
      <c r="N409" s="777"/>
      <c r="O409" s="777"/>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row>
    <row r="410" spans="1:46" ht="12" customHeight="1" x14ac:dyDescent="0.2">
      <c r="B410" s="777"/>
      <c r="C410" s="777"/>
      <c r="D410" s="777"/>
      <c r="E410" s="777"/>
      <c r="F410" s="777"/>
      <c r="G410" s="777"/>
      <c r="H410" s="777"/>
      <c r="I410" s="777"/>
      <c r="J410" s="777"/>
      <c r="K410" s="777"/>
      <c r="L410" s="777"/>
      <c r="M410" s="777"/>
      <c r="N410" s="777"/>
      <c r="O410" s="777"/>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row>
    <row r="411" spans="1:46" ht="18" customHeight="1" x14ac:dyDescent="0.2">
      <c r="B411" s="910" t="s">
        <v>1946</v>
      </c>
      <c r="C411" s="910"/>
      <c r="D411" s="910"/>
      <c r="E411" s="910"/>
      <c r="F411" s="910"/>
      <c r="G411" s="910"/>
      <c r="H411" s="910"/>
      <c r="I411" s="910"/>
      <c r="J411" s="910"/>
      <c r="K411" s="910"/>
      <c r="L411" s="910"/>
      <c r="M411" s="910"/>
      <c r="N411" s="910"/>
      <c r="O411" s="910"/>
      <c r="P411" s="1042"/>
      <c r="R411" s="128"/>
      <c r="S411" s="1023" t="s">
        <v>2143</v>
      </c>
      <c r="T411" s="1023"/>
      <c r="U411" s="50" t="s">
        <v>1285</v>
      </c>
      <c r="V411" s="50" t="s">
        <v>1286</v>
      </c>
      <c r="W411" s="50" t="s">
        <v>1287</v>
      </c>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row>
    <row r="412" spans="1:46" ht="19.5" customHeight="1" x14ac:dyDescent="0.2">
      <c r="A412" s="15"/>
      <c r="B412" s="50" t="s">
        <v>1525</v>
      </c>
      <c r="C412" s="1002"/>
      <c r="D412" s="1002"/>
      <c r="E412" s="1002"/>
      <c r="F412" s="1002"/>
      <c r="G412" s="1002"/>
      <c r="H412" s="1002"/>
      <c r="I412" s="1002"/>
      <c r="J412" s="1002"/>
      <c r="K412" s="1002"/>
      <c r="L412" s="1002"/>
      <c r="M412" s="1002"/>
      <c r="N412" s="1002"/>
      <c r="O412" s="1002"/>
      <c r="P412" s="1043"/>
      <c r="R412" s="10"/>
      <c r="S412" s="574">
        <v>1</v>
      </c>
      <c r="T412" s="514">
        <f>IF(S412=2,0.11,IF(S412=3,0.15,0))</f>
        <v>0</v>
      </c>
      <c r="U412" s="514">
        <f>LARGE(T412:T413,1)</f>
        <v>0</v>
      </c>
      <c r="V412" s="544">
        <f>U412+U413*(1-U412)</f>
        <v>0</v>
      </c>
      <c r="W412" s="548">
        <f>ROUND(V412,2)</f>
        <v>0</v>
      </c>
      <c r="X412" s="10"/>
      <c r="Y412" s="10"/>
      <c r="Z412" s="10">
        <v>1E-4</v>
      </c>
      <c r="AA412" s="10"/>
      <c r="AB412" s="10"/>
      <c r="AC412" s="10"/>
      <c r="AD412" s="10"/>
      <c r="AE412" s="10"/>
      <c r="AF412" s="10"/>
      <c r="AG412" s="10"/>
      <c r="AH412" s="10"/>
      <c r="AI412" s="10"/>
      <c r="AJ412" s="10"/>
      <c r="AK412" s="10"/>
      <c r="AL412" s="10"/>
      <c r="AM412" s="10"/>
      <c r="AN412" s="10"/>
      <c r="AO412" s="10"/>
      <c r="AP412" s="10"/>
      <c r="AQ412" s="10"/>
      <c r="AR412" s="10"/>
      <c r="AS412" s="10"/>
      <c r="AT412" s="10"/>
    </row>
    <row r="413" spans="1:46" ht="19.5" customHeight="1" x14ac:dyDescent="0.2">
      <c r="B413" s="50" t="s">
        <v>1526</v>
      </c>
      <c r="C413" s="1002"/>
      <c r="D413" s="1002"/>
      <c r="E413" s="1002"/>
      <c r="F413" s="1002"/>
      <c r="G413" s="1002"/>
      <c r="H413" s="1002"/>
      <c r="I413" s="1002"/>
      <c r="J413" s="1002"/>
      <c r="K413" s="1002"/>
      <c r="L413" s="1002"/>
      <c r="M413" s="1002"/>
      <c r="N413" s="1002"/>
      <c r="O413" s="1002"/>
      <c r="P413" s="245">
        <f>W412</f>
        <v>0</v>
      </c>
      <c r="R413" s="10"/>
      <c r="S413" s="574">
        <v>1</v>
      </c>
      <c r="T413" s="514">
        <f>IF(S413=2,0.05,IF(S413=3,0.07,0))</f>
        <v>0</v>
      </c>
      <c r="U413" s="514">
        <f>LARGE(T412:T413,2)</f>
        <v>0</v>
      </c>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row>
    <row r="414" spans="1:46" ht="18" customHeight="1" x14ac:dyDescent="0.2">
      <c r="B414" s="910" t="s">
        <v>1527</v>
      </c>
      <c r="C414" s="910"/>
      <c r="D414" s="910"/>
      <c r="E414" s="910"/>
      <c r="F414" s="910"/>
      <c r="G414" s="910"/>
      <c r="H414" s="910"/>
      <c r="I414" s="910"/>
      <c r="J414" s="910"/>
      <c r="K414" s="910"/>
      <c r="L414" s="910"/>
      <c r="M414" s="910"/>
      <c r="N414" s="910"/>
      <c r="O414" s="910"/>
      <c r="P414" s="1042"/>
      <c r="R414" s="128"/>
      <c r="S414" s="1023" t="s">
        <v>2143</v>
      </c>
      <c r="T414" s="1023"/>
      <c r="U414" s="50" t="s">
        <v>1285</v>
      </c>
      <c r="V414" s="50" t="s">
        <v>1286</v>
      </c>
      <c r="W414" s="50" t="s">
        <v>1287</v>
      </c>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row>
    <row r="415" spans="1:46" ht="19.5" customHeight="1" x14ac:dyDescent="0.2">
      <c r="A415" s="15"/>
      <c r="B415" s="50" t="s">
        <v>1525</v>
      </c>
      <c r="C415" s="1002"/>
      <c r="D415" s="1002"/>
      <c r="E415" s="1002"/>
      <c r="F415" s="1002"/>
      <c r="G415" s="1002"/>
      <c r="H415" s="1002"/>
      <c r="I415" s="1002"/>
      <c r="J415" s="1002"/>
      <c r="K415" s="1002"/>
      <c r="L415" s="1002"/>
      <c r="M415" s="1002"/>
      <c r="N415" s="1002"/>
      <c r="O415" s="1002"/>
      <c r="P415" s="1043"/>
      <c r="R415" s="10"/>
      <c r="S415" s="574">
        <v>1</v>
      </c>
      <c r="T415" s="514">
        <f>IF(S415=2,0.11,IF(S415=3,0.15,0))</f>
        <v>0</v>
      </c>
      <c r="U415" s="514">
        <f>LARGE(T415:T416,1)</f>
        <v>0</v>
      </c>
      <c r="V415" s="544">
        <f>U415+U416*(1-U415)</f>
        <v>0</v>
      </c>
      <c r="W415" s="548">
        <f>ROUND(V415,2)</f>
        <v>0</v>
      </c>
      <c r="X415" s="10"/>
      <c r="Y415" s="10"/>
      <c r="Z415" s="10">
        <v>1E-4</v>
      </c>
      <c r="AA415" s="10"/>
      <c r="AB415" s="10"/>
      <c r="AC415" s="10"/>
      <c r="AD415" s="10"/>
      <c r="AE415" s="10"/>
      <c r="AF415" s="10"/>
      <c r="AG415" s="10"/>
      <c r="AH415" s="10"/>
      <c r="AI415" s="10"/>
      <c r="AJ415" s="10"/>
      <c r="AK415" s="10"/>
      <c r="AL415" s="10"/>
      <c r="AM415" s="10"/>
      <c r="AN415" s="10"/>
      <c r="AO415" s="10"/>
      <c r="AP415" s="10"/>
      <c r="AQ415" s="10"/>
      <c r="AR415" s="10"/>
      <c r="AS415" s="10"/>
      <c r="AT415" s="10"/>
    </row>
    <row r="416" spans="1:46" ht="19.5" customHeight="1" x14ac:dyDescent="0.2">
      <c r="B416" s="50" t="s">
        <v>1526</v>
      </c>
      <c r="C416" s="1002"/>
      <c r="D416" s="1002"/>
      <c r="E416" s="1002"/>
      <c r="F416" s="1002"/>
      <c r="G416" s="1002"/>
      <c r="H416" s="1002"/>
      <c r="I416" s="1002"/>
      <c r="J416" s="1002"/>
      <c r="K416" s="1002"/>
      <c r="L416" s="1002"/>
      <c r="M416" s="1002"/>
      <c r="N416" s="1002"/>
      <c r="O416" s="1002"/>
      <c r="P416" s="245">
        <f>W415</f>
        <v>0</v>
      </c>
      <c r="R416" s="10"/>
      <c r="S416" s="574">
        <v>1</v>
      </c>
      <c r="T416" s="514">
        <f>IF(S416=2,0.05,IF(S416=3,0.07,0))</f>
        <v>0</v>
      </c>
      <c r="U416" s="514">
        <f>LARGE(T415:T416,2)</f>
        <v>0</v>
      </c>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row>
    <row r="417" spans="1:46" ht="12" customHeight="1" x14ac:dyDescent="0.2">
      <c r="B417" s="777"/>
      <c r="C417" s="777"/>
      <c r="D417" s="777"/>
      <c r="E417" s="777"/>
      <c r="F417" s="777"/>
      <c r="G417" s="777"/>
      <c r="H417" s="777"/>
      <c r="I417" s="777"/>
      <c r="J417" s="777"/>
      <c r="K417" s="777"/>
      <c r="L417" s="777"/>
      <c r="M417" s="777"/>
      <c r="N417" s="777"/>
      <c r="O417" s="777"/>
      <c r="P417" s="8"/>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row>
    <row r="418" spans="1:46" x14ac:dyDescent="0.2">
      <c r="B418" s="50" t="s">
        <v>1214</v>
      </c>
      <c r="C418" s="910" t="s">
        <v>1348</v>
      </c>
      <c r="D418" s="910"/>
      <c r="E418" s="910"/>
      <c r="F418" s="910"/>
      <c r="G418" s="910"/>
      <c r="H418" s="910" t="s">
        <v>1759</v>
      </c>
      <c r="I418" s="910"/>
      <c r="J418" s="910"/>
      <c r="K418" s="18"/>
      <c r="L418" s="910" t="s">
        <v>1215</v>
      </c>
      <c r="M418" s="910"/>
      <c r="N418" s="910"/>
      <c r="O418" s="910"/>
      <c r="P418" s="146"/>
      <c r="R418" s="10"/>
      <c r="S418" s="910" t="s">
        <v>2144</v>
      </c>
      <c r="T418" s="910"/>
      <c r="U418" s="863" t="s">
        <v>2147</v>
      </c>
      <c r="V418" s="863"/>
      <c r="W418" s="863"/>
      <c r="X418" s="863"/>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row>
    <row r="419" spans="1:46" x14ac:dyDescent="0.2">
      <c r="B419" s="146" t="s">
        <v>195</v>
      </c>
      <c r="C419" s="922"/>
      <c r="D419" s="922"/>
      <c r="E419" s="922"/>
      <c r="F419" s="922"/>
      <c r="G419" s="922"/>
      <c r="H419" s="914">
        <f>IF(C419=$U$419,0.15,IF(C419=$V$419,0.3,IF(C419=$W$419,0.45,0)))</f>
        <v>0</v>
      </c>
      <c r="I419" s="914"/>
      <c r="J419" s="914"/>
      <c r="K419" s="146"/>
      <c r="L419" s="694"/>
      <c r="M419" s="694"/>
      <c r="N419" s="694"/>
      <c r="O419" s="21">
        <f>IF(H419&gt;=S419,H419-S419,0)</f>
        <v>0</v>
      </c>
      <c r="P419" s="245">
        <f>O419</f>
        <v>0</v>
      </c>
      <c r="R419" s="10"/>
      <c r="S419" s="147">
        <f>IF(L419=$V$420,0.15,IF(L419=$W$420,0.3,IF(L419=$X$420,0.45,0)))</f>
        <v>0</v>
      </c>
      <c r="T419" s="10"/>
      <c r="U419" s="50" t="s">
        <v>1218</v>
      </c>
      <c r="V419" s="50" t="s">
        <v>1219</v>
      </c>
      <c r="W419" s="50" t="s">
        <v>1220</v>
      </c>
      <c r="X419" s="5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row>
    <row r="420" spans="1:46" x14ac:dyDescent="0.2">
      <c r="B420" s="146" t="s">
        <v>889</v>
      </c>
      <c r="C420" s="922"/>
      <c r="D420" s="922"/>
      <c r="E420" s="922"/>
      <c r="F420" s="922"/>
      <c r="G420" s="922"/>
      <c r="H420" s="914">
        <f>IF(C420=$U$419,0.15,IF(C420=$V$419,0.3,IF(C420=$W$419,0.45,0)))</f>
        <v>0</v>
      </c>
      <c r="I420" s="914"/>
      <c r="J420" s="914"/>
      <c r="K420" s="146"/>
      <c r="L420" s="694"/>
      <c r="M420" s="694"/>
      <c r="N420" s="694"/>
      <c r="O420" s="21">
        <f>IF(H420&gt;=S420,H420-S420,0)</f>
        <v>0</v>
      </c>
      <c r="P420" s="245">
        <f>O420</f>
        <v>0</v>
      </c>
      <c r="R420" s="10"/>
      <c r="S420" s="147">
        <f>IF(L420=$V$420,0.15,IF(L420=$W$420,0.3,IF(L420=$X$420,0.45,0)))</f>
        <v>0</v>
      </c>
      <c r="T420" s="10"/>
      <c r="U420" s="50" t="s">
        <v>510</v>
      </c>
      <c r="V420" s="50" t="s">
        <v>899</v>
      </c>
      <c r="W420" s="147" t="s">
        <v>1764</v>
      </c>
      <c r="X420" s="50" t="s">
        <v>1639</v>
      </c>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row>
    <row r="421" spans="1:46" ht="12" customHeight="1" x14ac:dyDescent="0.2">
      <c r="B421" s="777"/>
      <c r="C421" s="777"/>
      <c r="D421" s="777"/>
      <c r="E421" s="777"/>
      <c r="F421" s="777"/>
      <c r="G421" s="777"/>
      <c r="H421" s="777"/>
      <c r="I421" s="777"/>
      <c r="J421" s="777"/>
      <c r="K421" s="777"/>
      <c r="L421" s="777"/>
      <c r="M421" s="777"/>
      <c r="N421" s="777"/>
      <c r="O421" s="777"/>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row>
    <row r="422" spans="1:46" ht="18" customHeight="1" x14ac:dyDescent="0.2">
      <c r="A422" s="15"/>
      <c r="B422" s="756" t="s">
        <v>776</v>
      </c>
      <c r="C422" s="757"/>
      <c r="D422" s="757"/>
      <c r="E422" s="757"/>
      <c r="F422" s="758"/>
      <c r="G422" s="1002"/>
      <c r="H422" s="1002"/>
      <c r="I422" s="791" t="s">
        <v>777</v>
      </c>
      <c r="J422" s="791"/>
      <c r="K422" s="791"/>
      <c r="L422" s="791"/>
      <c r="M422" s="791"/>
      <c r="N422" s="791"/>
      <c r="O422" s="791"/>
      <c r="P422" s="245">
        <f>IF(T422=1,0.1,0)</f>
        <v>0</v>
      </c>
      <c r="R422" s="1105" t="s">
        <v>2147</v>
      </c>
      <c r="S422" s="546" t="b">
        <v>0</v>
      </c>
      <c r="T422" s="50">
        <f>IF(S422=TRUE,1,0)</f>
        <v>0</v>
      </c>
      <c r="U422" s="10"/>
      <c r="V422" s="10"/>
      <c r="W422" s="10"/>
      <c r="X422" s="10"/>
      <c r="Y422" s="10"/>
      <c r="Z422" s="10">
        <v>1E-4</v>
      </c>
      <c r="AA422" s="10"/>
      <c r="AB422" s="10"/>
      <c r="AC422" s="10"/>
      <c r="AD422" s="10"/>
      <c r="AE422" s="10"/>
      <c r="AF422" s="10"/>
      <c r="AG422" s="10"/>
      <c r="AH422" s="10"/>
      <c r="AI422" s="10"/>
      <c r="AJ422" s="10"/>
      <c r="AK422" s="10"/>
      <c r="AL422" s="10"/>
      <c r="AM422" s="10"/>
      <c r="AN422" s="10"/>
      <c r="AO422" s="10"/>
      <c r="AP422" s="10"/>
      <c r="AQ422" s="10"/>
      <c r="AR422" s="10"/>
      <c r="AS422" s="10"/>
      <c r="AT422" s="10"/>
    </row>
    <row r="423" spans="1:46" ht="18" customHeight="1" x14ac:dyDescent="0.2">
      <c r="B423" s="756" t="s">
        <v>776</v>
      </c>
      <c r="C423" s="757"/>
      <c r="D423" s="757"/>
      <c r="E423" s="757"/>
      <c r="F423" s="758"/>
      <c r="G423" s="1002"/>
      <c r="H423" s="1002"/>
      <c r="I423" s="791" t="s">
        <v>778</v>
      </c>
      <c r="J423" s="791"/>
      <c r="K423" s="791"/>
      <c r="L423" s="791"/>
      <c r="M423" s="791"/>
      <c r="N423" s="791"/>
      <c r="O423" s="791"/>
      <c r="P423" s="245">
        <f>IF(T423=1,0.1,0)</f>
        <v>0</v>
      </c>
      <c r="R423" s="1105"/>
      <c r="S423" s="592" t="b">
        <v>0</v>
      </c>
      <c r="T423" s="50">
        <f>IF(S423=TRUE,1,0)</f>
        <v>0</v>
      </c>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row>
    <row r="424" spans="1:46" ht="11.25" customHeight="1" x14ac:dyDescent="0.2">
      <c r="B424" s="697"/>
      <c r="C424" s="697"/>
      <c r="D424" s="697"/>
      <c r="E424" s="697"/>
      <c r="F424" s="697"/>
      <c r="G424" s="697"/>
      <c r="H424" s="697"/>
      <c r="I424" s="697"/>
      <c r="J424" s="697"/>
      <c r="K424" s="697"/>
      <c r="L424" s="697"/>
      <c r="M424" s="697"/>
      <c r="N424" s="697"/>
      <c r="O424" s="697"/>
      <c r="P424" s="8"/>
      <c r="R424" s="10"/>
      <c r="S424" s="14"/>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row>
    <row r="425" spans="1:46" ht="18" customHeight="1" x14ac:dyDescent="0.2">
      <c r="B425" s="910" t="s">
        <v>197</v>
      </c>
      <c r="C425" s="910"/>
      <c r="D425" s="910"/>
      <c r="E425" s="910"/>
      <c r="F425" s="910"/>
      <c r="G425" s="910"/>
      <c r="H425" s="910"/>
      <c r="I425" s="910"/>
      <c r="J425" s="910"/>
      <c r="K425" s="910"/>
      <c r="L425" s="910"/>
      <c r="M425" s="910"/>
      <c r="N425" s="910"/>
      <c r="O425" s="944"/>
      <c r="P425" s="146"/>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row>
    <row r="426" spans="1:46" ht="21" customHeight="1" x14ac:dyDescent="0.2">
      <c r="B426" s="791" t="s">
        <v>198</v>
      </c>
      <c r="C426" s="791"/>
      <c r="D426" s="791"/>
      <c r="E426" s="791"/>
      <c r="F426" s="791"/>
      <c r="G426" s="312"/>
      <c r="H426" s="944" t="s">
        <v>213</v>
      </c>
      <c r="I426" s="945"/>
      <c r="J426" s="945"/>
      <c r="K426" s="945"/>
      <c r="L426" s="945"/>
      <c r="M426" s="945"/>
      <c r="N426" s="945"/>
      <c r="O426" s="946"/>
      <c r="P426" s="21">
        <f>IF(G426=1,0.05,IF(G426=2,0.1,IF(G426=3,0.15,IF(G426=4,0.2,IF(G426=5,0.25,IF(G426&gt;5,0.3,0))))))</f>
        <v>0</v>
      </c>
      <c r="R426" s="10"/>
      <c r="S426" s="50" t="s">
        <v>1695</v>
      </c>
      <c r="T426" s="553">
        <v>1</v>
      </c>
      <c r="U426" s="553">
        <v>2</v>
      </c>
      <c r="V426" s="578">
        <v>3</v>
      </c>
      <c r="W426" s="553">
        <v>4</v>
      </c>
      <c r="X426" s="578">
        <v>5</v>
      </c>
      <c r="Y426" s="553">
        <v>6</v>
      </c>
      <c r="Z426" s="553">
        <v>7</v>
      </c>
      <c r="AA426" s="553">
        <v>8</v>
      </c>
      <c r="AH426" s="10"/>
      <c r="AI426" s="10"/>
      <c r="AR426" s="10"/>
      <c r="AS426" s="10"/>
      <c r="AT426" s="10"/>
    </row>
    <row r="427" spans="1:46" ht="21" customHeight="1" x14ac:dyDescent="0.2">
      <c r="B427" s="998" t="s">
        <v>2278</v>
      </c>
      <c r="C427" s="944" t="s">
        <v>2270</v>
      </c>
      <c r="D427" s="945"/>
      <c r="E427" s="945"/>
      <c r="F427" s="946"/>
      <c r="G427" s="730"/>
      <c r="H427" s="877"/>
      <c r="I427" s="877"/>
      <c r="J427" s="877"/>
      <c r="K427" s="877"/>
      <c r="L427" s="877"/>
      <c r="M427" s="877"/>
      <c r="N427" s="877"/>
      <c r="O427" s="820"/>
      <c r="P427" s="21">
        <f>IF(OR(S427=1,S427=2),0.05,0)</f>
        <v>0</v>
      </c>
      <c r="R427" s="1103" t="s">
        <v>2287</v>
      </c>
      <c r="S427" s="546">
        <v>3</v>
      </c>
      <c r="T427" s="10"/>
      <c r="U427" s="10"/>
      <c r="V427" s="10"/>
      <c r="W427" s="10"/>
      <c r="X427" s="10"/>
      <c r="Y427" s="10"/>
      <c r="Z427" s="10"/>
      <c r="AA427" s="10"/>
      <c r="AB427" s="14"/>
      <c r="AC427" s="10"/>
      <c r="AD427" s="14"/>
      <c r="AE427" s="10"/>
      <c r="AF427" s="14"/>
      <c r="AG427" s="10"/>
      <c r="AH427" s="10"/>
      <c r="AI427" s="10"/>
      <c r="AJ427" s="10"/>
      <c r="AK427" s="10"/>
      <c r="AL427" s="10"/>
      <c r="AM427" s="10"/>
      <c r="AN427" s="10"/>
      <c r="AO427" s="10"/>
      <c r="AP427" s="10"/>
      <c r="AQ427" s="10"/>
      <c r="AR427" s="10"/>
      <c r="AS427" s="10"/>
      <c r="AT427" s="10"/>
    </row>
    <row r="428" spans="1:46" ht="21" customHeight="1" x14ac:dyDescent="0.2">
      <c r="B428" s="999"/>
      <c r="C428" s="944" t="s">
        <v>2271</v>
      </c>
      <c r="D428" s="945"/>
      <c r="E428" s="945"/>
      <c r="F428" s="946"/>
      <c r="G428" s="730"/>
      <c r="H428" s="877"/>
      <c r="I428" s="877"/>
      <c r="J428" s="877"/>
      <c r="K428" s="877"/>
      <c r="L428" s="877"/>
      <c r="M428" s="877"/>
      <c r="N428" s="877"/>
      <c r="O428" s="820"/>
      <c r="P428" s="21">
        <f t="shared" ref="P428:P434" si="71">IF(OR(S428=1,S428=2),0.05,0)</f>
        <v>0</v>
      </c>
      <c r="R428" s="1103"/>
      <c r="S428" s="546">
        <v>3</v>
      </c>
      <c r="T428" s="10"/>
      <c r="U428" s="10"/>
      <c r="V428" s="10"/>
      <c r="W428" s="10"/>
      <c r="X428" s="10"/>
      <c r="Y428" s="10"/>
      <c r="Z428" s="10"/>
      <c r="AA428" s="10"/>
      <c r="AB428" s="14"/>
      <c r="AC428" s="10"/>
      <c r="AD428" s="14"/>
      <c r="AE428" s="10"/>
      <c r="AF428" s="14"/>
      <c r="AG428" s="10"/>
      <c r="AH428" s="10"/>
      <c r="AI428" s="10"/>
      <c r="AJ428" s="10"/>
      <c r="AK428" s="10"/>
      <c r="AL428" s="10"/>
      <c r="AM428" s="10"/>
      <c r="AN428" s="10"/>
      <c r="AO428" s="10"/>
      <c r="AP428" s="10"/>
      <c r="AQ428" s="10"/>
      <c r="AR428" s="10"/>
      <c r="AS428" s="10"/>
      <c r="AT428" s="10"/>
    </row>
    <row r="429" spans="1:46" ht="21" customHeight="1" x14ac:dyDescent="0.2">
      <c r="B429" s="999"/>
      <c r="C429" s="944" t="s">
        <v>2272</v>
      </c>
      <c r="D429" s="945"/>
      <c r="E429" s="945"/>
      <c r="F429" s="946"/>
      <c r="G429" s="730"/>
      <c r="H429" s="877"/>
      <c r="I429" s="877"/>
      <c r="J429" s="877"/>
      <c r="K429" s="877"/>
      <c r="L429" s="877"/>
      <c r="M429" s="877"/>
      <c r="N429" s="877"/>
      <c r="O429" s="820"/>
      <c r="P429" s="21">
        <f t="shared" si="71"/>
        <v>0</v>
      </c>
      <c r="R429" s="1103"/>
      <c r="S429" s="546">
        <v>3</v>
      </c>
      <c r="T429" s="10"/>
      <c r="U429" s="10"/>
      <c r="V429" s="10"/>
      <c r="W429" s="10"/>
      <c r="X429" s="10"/>
      <c r="Y429" s="10"/>
      <c r="Z429" s="10"/>
      <c r="AA429" s="10"/>
      <c r="AB429" s="14"/>
      <c r="AC429" s="10"/>
      <c r="AD429" s="14"/>
      <c r="AE429" s="10"/>
      <c r="AF429" s="14"/>
      <c r="AG429" s="10"/>
      <c r="AH429" s="10"/>
      <c r="AI429" s="10"/>
      <c r="AJ429" s="10"/>
      <c r="AK429" s="10"/>
      <c r="AL429" s="10"/>
      <c r="AM429" s="10"/>
      <c r="AN429" s="10"/>
      <c r="AO429" s="10"/>
      <c r="AP429" s="10"/>
      <c r="AQ429" s="10"/>
      <c r="AR429" s="10"/>
      <c r="AS429" s="10"/>
      <c r="AT429" s="10"/>
    </row>
    <row r="430" spans="1:46" ht="21" customHeight="1" x14ac:dyDescent="0.2">
      <c r="B430" s="999"/>
      <c r="C430" s="944" t="s">
        <v>2273</v>
      </c>
      <c r="D430" s="945"/>
      <c r="E430" s="945"/>
      <c r="F430" s="946"/>
      <c r="G430" s="730"/>
      <c r="H430" s="877"/>
      <c r="I430" s="877"/>
      <c r="J430" s="877"/>
      <c r="K430" s="877"/>
      <c r="L430" s="877"/>
      <c r="M430" s="877"/>
      <c r="N430" s="877"/>
      <c r="O430" s="820"/>
      <c r="P430" s="21">
        <f t="shared" si="71"/>
        <v>0</v>
      </c>
      <c r="R430" s="1103"/>
      <c r="S430" s="546">
        <v>3</v>
      </c>
      <c r="T430" s="10"/>
      <c r="U430" s="10"/>
      <c r="V430" s="10"/>
      <c r="W430" s="10"/>
      <c r="X430" s="10"/>
      <c r="Y430" s="10"/>
      <c r="Z430" s="10"/>
      <c r="AA430" s="10"/>
      <c r="AB430" s="14"/>
      <c r="AC430" s="10"/>
      <c r="AD430" s="14"/>
      <c r="AE430" s="10"/>
      <c r="AF430" s="14"/>
      <c r="AG430" s="10"/>
      <c r="AH430" s="10"/>
      <c r="AI430" s="10"/>
      <c r="AJ430" s="10"/>
      <c r="AK430" s="10"/>
      <c r="AL430" s="10"/>
      <c r="AM430" s="10"/>
      <c r="AN430" s="10"/>
      <c r="AO430" s="10"/>
      <c r="AP430" s="10"/>
      <c r="AQ430" s="10"/>
      <c r="AR430" s="10"/>
      <c r="AS430" s="10"/>
      <c r="AT430" s="10"/>
    </row>
    <row r="431" spans="1:46" ht="21" customHeight="1" x14ac:dyDescent="0.2">
      <c r="B431" s="999"/>
      <c r="C431" s="944" t="s">
        <v>2274</v>
      </c>
      <c r="D431" s="945"/>
      <c r="E431" s="945"/>
      <c r="F431" s="946"/>
      <c r="G431" s="730"/>
      <c r="H431" s="877"/>
      <c r="I431" s="877"/>
      <c r="J431" s="877"/>
      <c r="K431" s="877"/>
      <c r="L431" s="877"/>
      <c r="M431" s="877"/>
      <c r="N431" s="877"/>
      <c r="O431" s="820"/>
      <c r="P431" s="21">
        <f t="shared" si="71"/>
        <v>0</v>
      </c>
      <c r="R431" s="1103"/>
      <c r="S431" s="546">
        <v>3</v>
      </c>
      <c r="T431" s="10"/>
      <c r="U431" s="10"/>
      <c r="V431" s="10"/>
      <c r="W431" s="10"/>
      <c r="X431" s="10"/>
      <c r="Y431" s="10"/>
      <c r="Z431" s="10"/>
      <c r="AA431" s="10"/>
      <c r="AB431" s="14"/>
      <c r="AC431" s="10"/>
      <c r="AD431" s="14"/>
      <c r="AE431" s="10"/>
      <c r="AF431" s="14"/>
      <c r="AG431" s="10"/>
      <c r="AH431" s="10"/>
      <c r="AI431" s="10"/>
      <c r="AJ431" s="10"/>
      <c r="AK431" s="10"/>
      <c r="AL431" s="10"/>
      <c r="AM431" s="10"/>
      <c r="AN431" s="10"/>
      <c r="AO431" s="10"/>
      <c r="AP431" s="10"/>
      <c r="AQ431" s="10"/>
      <c r="AR431" s="10"/>
      <c r="AS431" s="10"/>
      <c r="AT431" s="10"/>
    </row>
    <row r="432" spans="1:46" ht="21" customHeight="1" x14ac:dyDescent="0.2">
      <c r="B432" s="999"/>
      <c r="C432" s="944" t="s">
        <v>2275</v>
      </c>
      <c r="D432" s="945"/>
      <c r="E432" s="945"/>
      <c r="F432" s="946"/>
      <c r="G432" s="730"/>
      <c r="H432" s="877"/>
      <c r="I432" s="877"/>
      <c r="J432" s="877"/>
      <c r="K432" s="877"/>
      <c r="L432" s="877"/>
      <c r="M432" s="877"/>
      <c r="N432" s="877"/>
      <c r="O432" s="820"/>
      <c r="P432" s="21">
        <f t="shared" si="71"/>
        <v>0</v>
      </c>
      <c r="R432" s="1103"/>
      <c r="S432" s="546">
        <v>3</v>
      </c>
      <c r="T432" s="10"/>
      <c r="U432" s="10"/>
      <c r="V432" s="10"/>
      <c r="W432" s="10"/>
      <c r="X432" s="10"/>
      <c r="Y432" s="10"/>
      <c r="Z432" s="10"/>
      <c r="AA432" s="10"/>
      <c r="AB432" s="14"/>
      <c r="AC432" s="10"/>
      <c r="AD432" s="14"/>
      <c r="AE432" s="10"/>
      <c r="AF432" s="14"/>
      <c r="AG432" s="10"/>
      <c r="AH432" s="10"/>
      <c r="AI432" s="10"/>
      <c r="AJ432" s="10"/>
      <c r="AK432" s="10"/>
      <c r="AL432" s="10"/>
      <c r="AM432" s="10"/>
      <c r="AN432" s="10"/>
      <c r="AO432" s="10"/>
      <c r="AP432" s="10"/>
      <c r="AQ432" s="10"/>
      <c r="AR432" s="10"/>
      <c r="AS432" s="10"/>
      <c r="AT432" s="10"/>
    </row>
    <row r="433" spans="2:46" ht="21" customHeight="1" x14ac:dyDescent="0.2">
      <c r="B433" s="999"/>
      <c r="C433" s="944" t="s">
        <v>2276</v>
      </c>
      <c r="D433" s="945"/>
      <c r="E433" s="945"/>
      <c r="F433" s="946"/>
      <c r="G433" s="730"/>
      <c r="H433" s="877"/>
      <c r="I433" s="877"/>
      <c r="J433" s="877"/>
      <c r="K433" s="877"/>
      <c r="L433" s="877"/>
      <c r="M433" s="877"/>
      <c r="N433" s="877"/>
      <c r="O433" s="820"/>
      <c r="P433" s="21">
        <f t="shared" si="71"/>
        <v>0</v>
      </c>
      <c r="R433" s="1103"/>
      <c r="S433" s="546">
        <v>3</v>
      </c>
      <c r="T433" s="10"/>
      <c r="U433" s="10"/>
      <c r="V433" s="10"/>
      <c r="W433" s="10"/>
      <c r="X433" s="10"/>
      <c r="Y433" s="10"/>
      <c r="Z433" s="10"/>
      <c r="AA433" s="10"/>
      <c r="AB433" s="14"/>
      <c r="AC433" s="10"/>
      <c r="AD433" s="14"/>
      <c r="AE433" s="10"/>
      <c r="AF433" s="14"/>
      <c r="AG433" s="10"/>
      <c r="AH433" s="10"/>
      <c r="AI433" s="10"/>
      <c r="AJ433" s="10"/>
      <c r="AK433" s="10"/>
      <c r="AL433" s="10"/>
      <c r="AM433" s="10"/>
      <c r="AN433" s="10"/>
      <c r="AO433" s="10"/>
      <c r="AP433" s="10"/>
      <c r="AQ433" s="10"/>
      <c r="AR433" s="10"/>
      <c r="AS433" s="10"/>
      <c r="AT433" s="10"/>
    </row>
    <row r="434" spans="2:46" ht="21" customHeight="1" x14ac:dyDescent="0.2">
      <c r="B434" s="1000"/>
      <c r="C434" s="944" t="s">
        <v>2277</v>
      </c>
      <c r="D434" s="945"/>
      <c r="E434" s="945"/>
      <c r="F434" s="946"/>
      <c r="G434" s="730"/>
      <c r="H434" s="877"/>
      <c r="I434" s="877"/>
      <c r="J434" s="877"/>
      <c r="K434" s="877"/>
      <c r="L434" s="877"/>
      <c r="M434" s="877"/>
      <c r="N434" s="877"/>
      <c r="O434" s="820"/>
      <c r="P434" s="21">
        <f t="shared" si="71"/>
        <v>0</v>
      </c>
      <c r="R434" s="1103"/>
      <c r="S434" s="546">
        <v>3</v>
      </c>
      <c r="T434" s="10"/>
      <c r="U434" s="10"/>
      <c r="V434" s="10"/>
      <c r="W434" s="10"/>
      <c r="X434" s="10"/>
      <c r="Y434" s="10"/>
      <c r="Z434" s="10"/>
      <c r="AA434" s="10"/>
      <c r="AB434" s="14"/>
      <c r="AC434" s="10"/>
      <c r="AD434" s="14"/>
      <c r="AE434" s="10"/>
      <c r="AF434" s="14"/>
      <c r="AG434" s="10"/>
      <c r="AH434" s="10"/>
      <c r="AI434" s="10"/>
      <c r="AJ434" s="10"/>
      <c r="AK434" s="10"/>
      <c r="AL434" s="10"/>
      <c r="AM434" s="10"/>
      <c r="AN434" s="10"/>
      <c r="AO434" s="10"/>
      <c r="AP434" s="10"/>
      <c r="AQ434" s="10"/>
      <c r="AR434" s="10"/>
      <c r="AS434" s="10"/>
      <c r="AT434" s="10"/>
    </row>
    <row r="435" spans="2:46" ht="15" customHeight="1" x14ac:dyDescent="0.2">
      <c r="B435" s="791" t="s">
        <v>1505</v>
      </c>
      <c r="C435" s="791"/>
      <c r="D435" s="791"/>
      <c r="E435" s="791"/>
      <c r="F435" s="791"/>
      <c r="G435" s="694"/>
      <c r="H435" s="694"/>
      <c r="I435" s="694"/>
      <c r="J435" s="694"/>
      <c r="K435" s="694"/>
      <c r="L435" s="694"/>
      <c r="M435" s="694"/>
      <c r="N435" s="694"/>
      <c r="O435" s="304"/>
      <c r="P435" s="21">
        <f>IF(G435="Resection with replacement",0.05,IF(G435="Resection without replacement",0.1,0))</f>
        <v>0</v>
      </c>
      <c r="R435" s="953" t="s">
        <v>2147</v>
      </c>
      <c r="S435" s="50" t="s">
        <v>1520</v>
      </c>
      <c r="T435" s="50" t="s">
        <v>1504</v>
      </c>
      <c r="U435" s="10"/>
      <c r="V435" s="10"/>
      <c r="W435" s="10"/>
      <c r="X435" s="10"/>
      <c r="Y435" s="10"/>
      <c r="Z435" s="14"/>
      <c r="AA435" s="14"/>
      <c r="AB435" s="14"/>
      <c r="AC435" s="14"/>
      <c r="AD435" s="14"/>
      <c r="AE435" s="14"/>
      <c r="AF435" s="14"/>
      <c r="AG435" s="14"/>
      <c r="AH435" s="10"/>
      <c r="AI435" s="10"/>
      <c r="AJ435" s="14"/>
      <c r="AK435" s="14"/>
      <c r="AL435" s="10"/>
      <c r="AM435" s="10"/>
      <c r="AN435" s="10"/>
      <c r="AO435" s="10"/>
      <c r="AP435" s="10"/>
      <c r="AQ435" s="10"/>
      <c r="AR435" s="10"/>
      <c r="AS435" s="10"/>
      <c r="AT435" s="10"/>
    </row>
    <row r="436" spans="2:46" ht="15" customHeight="1" x14ac:dyDescent="0.2">
      <c r="B436" s="742" t="s">
        <v>1122</v>
      </c>
      <c r="C436" s="743"/>
      <c r="D436" s="743"/>
      <c r="E436" s="743"/>
      <c r="F436" s="744"/>
      <c r="G436" s="730"/>
      <c r="H436" s="877"/>
      <c r="I436" s="877"/>
      <c r="J436" s="877"/>
      <c r="K436" s="877"/>
      <c r="L436" s="877"/>
      <c r="M436" s="877"/>
      <c r="N436" s="820"/>
      <c r="O436" s="146"/>
      <c r="P436" s="21">
        <f>IF(G436="Yes",0.06,0)</f>
        <v>0</v>
      </c>
      <c r="R436" s="953"/>
      <c r="S436" s="50" t="s">
        <v>1123</v>
      </c>
      <c r="T436" s="50" t="s">
        <v>1124</v>
      </c>
      <c r="U436" s="10"/>
      <c r="V436" s="10"/>
      <c r="W436" s="10"/>
      <c r="X436" s="10"/>
      <c r="Y436" s="10"/>
      <c r="Z436" s="14"/>
      <c r="AA436" s="14"/>
      <c r="AB436" s="14"/>
      <c r="AC436" s="14"/>
      <c r="AD436" s="14"/>
      <c r="AE436" s="14"/>
      <c r="AF436" s="14"/>
      <c r="AG436" s="14"/>
      <c r="AH436" s="10"/>
      <c r="AI436" s="10"/>
      <c r="AJ436" s="14"/>
      <c r="AK436" s="14"/>
      <c r="AL436" s="10"/>
      <c r="AM436" s="10"/>
      <c r="AN436" s="10"/>
      <c r="AO436" s="10"/>
      <c r="AP436" s="10"/>
      <c r="AQ436" s="10"/>
      <c r="AR436" s="10"/>
      <c r="AS436" s="10"/>
      <c r="AT436" s="10"/>
    </row>
    <row r="437" spans="2:46" ht="12" customHeight="1" x14ac:dyDescent="0.2">
      <c r="B437" s="777"/>
      <c r="C437" s="777"/>
      <c r="D437" s="777"/>
      <c r="E437" s="777"/>
      <c r="F437" s="777"/>
      <c r="G437" s="777"/>
      <c r="H437" s="777"/>
      <c r="I437" s="777"/>
      <c r="J437" s="777"/>
      <c r="K437" s="777"/>
      <c r="L437" s="777"/>
      <c r="M437" s="777"/>
      <c r="N437" s="777"/>
      <c r="O437" s="777"/>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row>
    <row r="438" spans="2:46" ht="15" customHeight="1" x14ac:dyDescent="0.2">
      <c r="B438" s="443" t="s">
        <v>797</v>
      </c>
      <c r="C438" s="351"/>
      <c r="D438" s="351"/>
      <c r="E438" s="351"/>
      <c r="F438" s="352"/>
      <c r="G438" s="761" t="s">
        <v>1506</v>
      </c>
      <c r="H438" s="761"/>
      <c r="I438" s="761"/>
      <c r="J438" s="761"/>
      <c r="K438" s="761"/>
      <c r="L438" s="730"/>
      <c r="M438" s="877"/>
      <c r="N438" s="820"/>
      <c r="O438" s="21">
        <f>SUMIF(T438:X438,L438,T439:X439)</f>
        <v>0</v>
      </c>
      <c r="P438" s="1046"/>
      <c r="R438" s="954" t="s">
        <v>2145</v>
      </c>
      <c r="S438" s="954"/>
      <c r="T438" s="50" t="s">
        <v>1928</v>
      </c>
      <c r="U438" s="50" t="s">
        <v>1929</v>
      </c>
      <c r="V438" s="147" t="s">
        <v>1931</v>
      </c>
      <c r="W438" s="50" t="s">
        <v>929</v>
      </c>
      <c r="X438" s="147" t="s">
        <v>545</v>
      </c>
      <c r="AC438" s="10"/>
      <c r="AD438" s="10"/>
      <c r="AE438" s="10"/>
      <c r="AF438" s="10"/>
      <c r="AG438" s="10"/>
      <c r="AH438" s="10"/>
      <c r="AI438" s="10"/>
      <c r="AJ438" s="10"/>
      <c r="AK438" s="10"/>
      <c r="AL438" s="10"/>
      <c r="AM438" s="10"/>
      <c r="AN438" s="10"/>
      <c r="AO438" s="10"/>
      <c r="AP438" s="10"/>
      <c r="AQ438" s="10"/>
      <c r="AR438" s="10"/>
      <c r="AS438" s="10"/>
      <c r="AT438" s="10"/>
    </row>
    <row r="439" spans="2:46" ht="15" customHeight="1" x14ac:dyDescent="0.2">
      <c r="B439" s="444"/>
      <c r="C439" s="445"/>
      <c r="D439" s="445"/>
      <c r="E439" s="445"/>
      <c r="F439" s="450"/>
      <c r="G439" s="761" t="s">
        <v>1507</v>
      </c>
      <c r="H439" s="761"/>
      <c r="I439" s="761"/>
      <c r="J439" s="761"/>
      <c r="K439" s="761"/>
      <c r="L439" s="730"/>
      <c r="M439" s="877"/>
      <c r="N439" s="820"/>
      <c r="O439" s="21">
        <f>SUMIF(T438:X438,L439,T439:X439)</f>
        <v>0</v>
      </c>
      <c r="P439" s="1047"/>
      <c r="R439" s="954"/>
      <c r="S439" s="954"/>
      <c r="T439" s="147">
        <v>0.03</v>
      </c>
      <c r="U439" s="147">
        <v>0.15</v>
      </c>
      <c r="V439" s="147">
        <v>0.38</v>
      </c>
      <c r="W439" s="147">
        <v>0.68</v>
      </c>
      <c r="X439" s="147">
        <v>0.9</v>
      </c>
      <c r="AC439" s="10"/>
      <c r="AD439" s="10"/>
      <c r="AE439" s="10"/>
      <c r="AF439" s="10"/>
      <c r="AG439" s="10"/>
      <c r="AH439" s="10"/>
      <c r="AI439" s="10"/>
      <c r="AJ439" s="10"/>
      <c r="AK439" s="10"/>
      <c r="AL439" s="10"/>
      <c r="AM439" s="10"/>
      <c r="AN439" s="10"/>
      <c r="AO439" s="10"/>
      <c r="AP439" s="10"/>
      <c r="AQ439" s="10"/>
      <c r="AR439" s="10"/>
      <c r="AS439" s="10"/>
      <c r="AT439" s="10"/>
    </row>
    <row r="440" spans="2:46" ht="18" customHeight="1" x14ac:dyDescent="0.2">
      <c r="B440" s="761" t="s">
        <v>1621</v>
      </c>
      <c r="C440" s="761"/>
      <c r="D440" s="761"/>
      <c r="E440" s="761"/>
      <c r="F440" s="761"/>
      <c r="G440" s="761"/>
      <c r="H440" s="761"/>
      <c r="I440" s="761"/>
      <c r="J440" s="761"/>
      <c r="K440" s="761"/>
      <c r="L440" s="761"/>
      <c r="M440" s="761"/>
      <c r="N440" s="761"/>
      <c r="O440" s="761"/>
      <c r="P440" s="245">
        <f>MAX(O438,O439)</f>
        <v>0</v>
      </c>
      <c r="R440" s="954"/>
      <c r="S440" s="954"/>
      <c r="T440" s="10"/>
      <c r="U440" s="10"/>
      <c r="V440" s="10"/>
      <c r="W440" s="10"/>
      <c r="X440" s="189"/>
      <c r="AC440" s="10"/>
      <c r="AD440" s="10"/>
      <c r="AE440" s="10"/>
      <c r="AF440" s="10"/>
      <c r="AG440" s="10"/>
      <c r="AH440" s="10"/>
      <c r="AI440" s="10"/>
      <c r="AJ440" s="10"/>
      <c r="AK440" s="10"/>
      <c r="AL440" s="10"/>
      <c r="AM440" s="10"/>
      <c r="AN440" s="10"/>
      <c r="AO440" s="10"/>
      <c r="AP440" s="10"/>
      <c r="AQ440" s="10"/>
      <c r="AR440" s="10"/>
      <c r="AS440" s="10"/>
      <c r="AT440" s="10"/>
    </row>
    <row r="441" spans="2:46" ht="10.5" customHeight="1" x14ac:dyDescent="0.2">
      <c r="B441" s="777"/>
      <c r="C441" s="777"/>
      <c r="D441" s="777"/>
      <c r="E441" s="777"/>
      <c r="F441" s="777"/>
      <c r="G441" s="777"/>
      <c r="H441" s="777"/>
      <c r="I441" s="777"/>
      <c r="J441" s="777"/>
      <c r="K441" s="777"/>
      <c r="L441" s="777"/>
      <c r="M441" s="777"/>
      <c r="N441" s="777"/>
      <c r="O441" s="777"/>
      <c r="P441" s="1"/>
      <c r="R441" s="954"/>
      <c r="S441" s="954"/>
      <c r="T441" s="10"/>
      <c r="U441" s="10"/>
      <c r="V441" s="10"/>
      <c r="W441" s="10"/>
      <c r="X441" s="189"/>
      <c r="Z441" s="10"/>
      <c r="AA441" s="10"/>
      <c r="AB441" s="10"/>
      <c r="AC441" s="10"/>
      <c r="AD441" s="10"/>
      <c r="AE441" s="10"/>
      <c r="AF441" s="10"/>
      <c r="AG441" s="10"/>
      <c r="AH441" s="10"/>
      <c r="AI441" s="10"/>
      <c r="AJ441" s="10"/>
      <c r="AK441" s="10"/>
      <c r="AL441" s="10"/>
      <c r="AM441" s="10"/>
      <c r="AN441" s="10"/>
      <c r="AO441" s="10"/>
      <c r="AP441" s="10"/>
      <c r="AQ441" s="10"/>
      <c r="AR441" s="10"/>
      <c r="AS441" s="10"/>
      <c r="AT441" s="10"/>
    </row>
    <row r="442" spans="2:46" ht="15" customHeight="1" x14ac:dyDescent="0.2">
      <c r="B442" s="1075" t="s">
        <v>1236</v>
      </c>
      <c r="C442" s="1076"/>
      <c r="D442" s="1076"/>
      <c r="E442" s="1076"/>
      <c r="F442" s="1077"/>
      <c r="G442" s="761" t="s">
        <v>1623</v>
      </c>
      <c r="H442" s="761"/>
      <c r="I442" s="761"/>
      <c r="J442" s="761"/>
      <c r="K442" s="761"/>
      <c r="L442" s="730"/>
      <c r="M442" s="877"/>
      <c r="N442" s="820"/>
      <c r="O442" s="21">
        <f>SUMIF(T442:X442,L442,T443:X443)</f>
        <v>0</v>
      </c>
      <c r="P442" s="1046"/>
      <c r="R442" s="954"/>
      <c r="S442" s="954"/>
      <c r="T442" s="50" t="s">
        <v>1928</v>
      </c>
      <c r="U442" s="50" t="s">
        <v>1929</v>
      </c>
      <c r="V442" s="147" t="s">
        <v>1931</v>
      </c>
      <c r="W442" s="50" t="s">
        <v>929</v>
      </c>
      <c r="X442" s="147" t="s">
        <v>545</v>
      </c>
      <c r="AC442" s="10"/>
      <c r="AD442" s="10"/>
      <c r="AE442" s="10"/>
      <c r="AF442" s="10"/>
      <c r="AG442" s="10"/>
      <c r="AH442" s="10"/>
      <c r="AI442" s="10"/>
      <c r="AJ442" s="10"/>
      <c r="AK442" s="10"/>
      <c r="AL442" s="10"/>
      <c r="AM442" s="10"/>
      <c r="AN442" s="10"/>
      <c r="AO442" s="10"/>
      <c r="AP442" s="10"/>
      <c r="AQ442" s="10"/>
      <c r="AR442" s="10"/>
      <c r="AS442" s="10"/>
      <c r="AT442" s="10"/>
    </row>
    <row r="443" spans="2:46" ht="15" customHeight="1" x14ac:dyDescent="0.2">
      <c r="B443" s="1078"/>
      <c r="C443" s="1079"/>
      <c r="D443" s="1079"/>
      <c r="E443" s="1079"/>
      <c r="F443" s="1080"/>
      <c r="G443" s="761" t="s">
        <v>1624</v>
      </c>
      <c r="H443" s="761"/>
      <c r="I443" s="761"/>
      <c r="J443" s="761"/>
      <c r="K443" s="761"/>
      <c r="L443" s="730"/>
      <c r="M443" s="877"/>
      <c r="N443" s="820"/>
      <c r="O443" s="21">
        <f>SUMIF(T442:X442,L443,T443:X443)</f>
        <v>0</v>
      </c>
      <c r="P443" s="1047"/>
      <c r="R443" s="954"/>
      <c r="S443" s="954"/>
      <c r="T443" s="147">
        <v>0.03</v>
      </c>
      <c r="U443" s="147">
        <v>0.15</v>
      </c>
      <c r="V443" s="147">
        <v>0.35</v>
      </c>
      <c r="W443" s="147">
        <v>0.63</v>
      </c>
      <c r="X443" s="147">
        <v>0.88</v>
      </c>
      <c r="AC443" s="10"/>
      <c r="AD443" s="10"/>
      <c r="AE443" s="10"/>
      <c r="AF443" s="10"/>
      <c r="AG443" s="10"/>
      <c r="AH443" s="10"/>
      <c r="AI443" s="10"/>
      <c r="AJ443" s="10"/>
      <c r="AK443" s="10"/>
      <c r="AL443" s="10"/>
      <c r="AM443" s="10"/>
      <c r="AN443" s="10"/>
      <c r="AO443" s="10"/>
      <c r="AP443" s="10"/>
      <c r="AQ443" s="10"/>
      <c r="AR443" s="10"/>
      <c r="AS443" s="10"/>
      <c r="AT443" s="10"/>
    </row>
    <row r="444" spans="2:46" ht="18" customHeight="1" x14ac:dyDescent="0.2">
      <c r="B444" s="756" t="s">
        <v>1621</v>
      </c>
      <c r="C444" s="757"/>
      <c r="D444" s="757"/>
      <c r="E444" s="757"/>
      <c r="F444" s="757"/>
      <c r="G444" s="757"/>
      <c r="H444" s="757"/>
      <c r="I444" s="757"/>
      <c r="J444" s="757"/>
      <c r="K444" s="757"/>
      <c r="L444" s="757"/>
      <c r="M444" s="757"/>
      <c r="N444" s="757"/>
      <c r="O444" s="758"/>
      <c r="P444" s="245">
        <f>MAX(O442,O443)</f>
        <v>0</v>
      </c>
      <c r="R444" s="10"/>
      <c r="S444" s="10"/>
      <c r="T444" s="10"/>
      <c r="U444" s="10"/>
      <c r="V444" s="10"/>
      <c r="W444" s="10"/>
      <c r="X444" s="10"/>
      <c r="AC444" s="10"/>
      <c r="AD444" s="10"/>
      <c r="AE444" s="10"/>
      <c r="AF444" s="10"/>
      <c r="AG444" s="10"/>
      <c r="AH444" s="10"/>
      <c r="AI444" s="10"/>
      <c r="AJ444" s="10"/>
      <c r="AK444" s="10"/>
      <c r="AL444" s="10"/>
      <c r="AM444" s="10"/>
      <c r="AN444" s="10"/>
      <c r="AO444" s="10"/>
      <c r="AP444" s="10"/>
      <c r="AQ444" s="10"/>
      <c r="AR444" s="10"/>
      <c r="AS444" s="10"/>
      <c r="AT444" s="10"/>
    </row>
    <row r="445" spans="2:46" ht="12" customHeight="1" x14ac:dyDescent="0.2">
      <c r="B445" s="697"/>
      <c r="C445" s="697"/>
      <c r="D445" s="697"/>
      <c r="E445" s="697"/>
      <c r="F445" s="697"/>
      <c r="G445" s="697"/>
      <c r="H445" s="697"/>
      <c r="I445" s="697"/>
      <c r="J445" s="697"/>
      <c r="K445" s="697"/>
      <c r="L445" s="697"/>
      <c r="M445" s="697"/>
      <c r="N445" s="697"/>
      <c r="O445" s="697"/>
      <c r="P445" s="8"/>
      <c r="R445" s="10"/>
      <c r="S445" s="10"/>
      <c r="T445" s="10"/>
      <c r="U445" s="10"/>
      <c r="V445" s="10"/>
      <c r="W445" s="10"/>
      <c r="X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row>
    <row r="446" spans="2:46" ht="18" customHeight="1" x14ac:dyDescent="0.2">
      <c r="B446" s="912" t="s">
        <v>1476</v>
      </c>
      <c r="C446" s="912"/>
      <c r="D446" s="912"/>
      <c r="E446" s="912"/>
      <c r="F446" s="912"/>
      <c r="G446" s="912"/>
      <c r="H446" s="912"/>
      <c r="I446" s="912"/>
      <c r="J446" s="912"/>
      <c r="K446" s="912"/>
      <c r="L446" s="912"/>
      <c r="M446" s="912"/>
      <c r="N446" s="912"/>
      <c r="O446" s="912"/>
      <c r="P446" s="912"/>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row>
    <row r="447" spans="2:46" ht="114" customHeight="1" x14ac:dyDescent="0.2">
      <c r="B447" s="761" t="s">
        <v>1739</v>
      </c>
      <c r="C447" s="761"/>
      <c r="D447" s="761"/>
      <c r="E447" s="761"/>
      <c r="F447" s="761"/>
      <c r="G447" s="761"/>
      <c r="H447" s="761"/>
      <c r="I447" s="761"/>
      <c r="J447" s="761"/>
      <c r="K447" s="761"/>
      <c r="L447" s="761"/>
      <c r="M447" s="761"/>
      <c r="N447" s="761"/>
      <c r="O447" s="761"/>
      <c r="P447" s="761"/>
      <c r="R447" s="127" t="s">
        <v>2146</v>
      </c>
      <c r="S447" s="50" t="s">
        <v>1901</v>
      </c>
      <c r="T447" s="552" t="s">
        <v>811</v>
      </c>
      <c r="U447" s="552" t="s">
        <v>812</v>
      </c>
      <c r="V447" s="552" t="s">
        <v>813</v>
      </c>
      <c r="W447" s="552" t="s">
        <v>814</v>
      </c>
      <c r="X447" s="50" t="s">
        <v>815</v>
      </c>
      <c r="Y447" s="552" t="s">
        <v>816</v>
      </c>
      <c r="Z447" s="552" t="s">
        <v>817</v>
      </c>
      <c r="AA447" s="552" t="s">
        <v>818</v>
      </c>
      <c r="AB447" s="552" t="s">
        <v>819</v>
      </c>
      <c r="AC447" s="552" t="s">
        <v>820</v>
      </c>
      <c r="AD447" s="552" t="s">
        <v>1648</v>
      </c>
      <c r="AE447" s="552" t="s">
        <v>1649</v>
      </c>
      <c r="AF447" s="552" t="s">
        <v>1650</v>
      </c>
      <c r="AG447" s="552" t="s">
        <v>1651</v>
      </c>
      <c r="AH447" s="552" t="s">
        <v>1652</v>
      </c>
      <c r="AI447" s="10"/>
      <c r="AJ447" s="10"/>
      <c r="AK447" s="10"/>
      <c r="AL447" s="10"/>
      <c r="AM447" s="10"/>
      <c r="AN447" s="10"/>
      <c r="AO447" s="10"/>
      <c r="AP447" s="10"/>
      <c r="AQ447" s="10"/>
      <c r="AR447" s="10"/>
      <c r="AS447" s="10"/>
      <c r="AT447" s="10"/>
    </row>
    <row r="448" spans="2:46" ht="15" customHeight="1" x14ac:dyDescent="0.2">
      <c r="B448" s="910"/>
      <c r="C448" s="910"/>
      <c r="D448" s="910"/>
      <c r="E448" s="910"/>
      <c r="F448" s="910"/>
      <c r="G448" s="910"/>
      <c r="H448" s="910"/>
      <c r="I448" s="910"/>
      <c r="J448" s="910"/>
      <c r="K448" s="910"/>
      <c r="L448" s="912" t="s">
        <v>1653</v>
      </c>
      <c r="M448" s="1081" t="s">
        <v>1654</v>
      </c>
      <c r="N448" s="1081"/>
      <c r="O448" s="1081"/>
      <c r="P448" s="1081"/>
      <c r="R448" s="146" t="s">
        <v>2147</v>
      </c>
      <c r="S448" s="548">
        <v>0</v>
      </c>
      <c r="T448" s="147">
        <v>0</v>
      </c>
      <c r="U448" s="147">
        <v>0.05</v>
      </c>
      <c r="V448" s="147">
        <v>0.1</v>
      </c>
      <c r="W448" s="147">
        <v>0.2</v>
      </c>
      <c r="X448" s="147">
        <v>0.3</v>
      </c>
      <c r="Y448" s="147">
        <v>0.4</v>
      </c>
      <c r="Z448" s="147">
        <v>0.5</v>
      </c>
      <c r="AA448" s="147">
        <v>0.6</v>
      </c>
      <c r="AB448" s="147">
        <v>0.7</v>
      </c>
      <c r="AC448" s="147">
        <v>0.75</v>
      </c>
      <c r="AD448" s="147">
        <v>0.8</v>
      </c>
      <c r="AE448" s="147">
        <v>0.85</v>
      </c>
      <c r="AF448" s="147">
        <v>0.9</v>
      </c>
      <c r="AG448" s="147">
        <v>0.95</v>
      </c>
      <c r="AH448" s="147">
        <v>1</v>
      </c>
      <c r="AI448" s="10"/>
      <c r="AJ448" s="10"/>
      <c r="AK448" s="10"/>
      <c r="AL448" s="10"/>
      <c r="AM448" s="10"/>
      <c r="AN448" s="10"/>
      <c r="AO448" s="10"/>
      <c r="AP448" s="10"/>
      <c r="AQ448" s="10"/>
      <c r="AR448" s="10"/>
      <c r="AS448" s="10"/>
      <c r="AT448" s="10"/>
    </row>
    <row r="449" spans="1:109" ht="15" customHeight="1" x14ac:dyDescent="0.2">
      <c r="B449" s="256" t="s">
        <v>1655</v>
      </c>
      <c r="C449" s="912" t="s">
        <v>1477</v>
      </c>
      <c r="D449" s="912"/>
      <c r="E449" s="912"/>
      <c r="F449" s="912"/>
      <c r="G449" s="912"/>
      <c r="H449" s="912"/>
      <c r="I449" s="912"/>
      <c r="J449" s="912"/>
      <c r="K449" s="912"/>
      <c r="L449" s="912"/>
      <c r="M449" s="912" t="s">
        <v>1656</v>
      </c>
      <c r="N449" s="912"/>
      <c r="O449" s="19" t="s">
        <v>1657</v>
      </c>
      <c r="P449" s="19" t="s">
        <v>1658</v>
      </c>
      <c r="R449" s="1109" t="s">
        <v>2149</v>
      </c>
      <c r="S449" s="1109"/>
      <c r="T449" s="147" t="s">
        <v>1656</v>
      </c>
      <c r="U449" s="147" t="s">
        <v>1565</v>
      </c>
      <c r="V449" s="147" t="s">
        <v>1659</v>
      </c>
      <c r="W449" s="147" t="s">
        <v>1660</v>
      </c>
      <c r="X449" s="147" t="s">
        <v>1661</v>
      </c>
      <c r="Y449" s="14"/>
      <c r="Z449" s="147" t="s">
        <v>1478</v>
      </c>
      <c r="AA449" s="147" t="s">
        <v>1285</v>
      </c>
      <c r="AB449" s="147" t="s">
        <v>1287</v>
      </c>
      <c r="AC449" s="147" t="s">
        <v>1286</v>
      </c>
      <c r="AD449" s="147" t="s">
        <v>1287</v>
      </c>
      <c r="AE449" s="365" t="s">
        <v>1479</v>
      </c>
      <c r="AF449" s="365" t="s">
        <v>1287</v>
      </c>
      <c r="AG449" s="50" t="s">
        <v>1285</v>
      </c>
      <c r="AH449" s="50" t="s">
        <v>1286</v>
      </c>
      <c r="AI449" s="50" t="s">
        <v>1287</v>
      </c>
      <c r="AJ449" s="10"/>
      <c r="AK449" s="10"/>
      <c r="AL449" s="10"/>
      <c r="AM449" s="10"/>
      <c r="AN449" s="10"/>
      <c r="AO449" s="10"/>
      <c r="AP449" s="10"/>
      <c r="AQ449" s="10"/>
      <c r="AR449" s="10"/>
      <c r="AS449" s="10"/>
      <c r="AT449" s="10"/>
    </row>
    <row r="450" spans="1:109" ht="15" customHeight="1" x14ac:dyDescent="0.2">
      <c r="A450" s="15"/>
      <c r="B450" s="912"/>
      <c r="C450" s="912"/>
      <c r="D450" s="912"/>
      <c r="E450" s="366"/>
      <c r="F450" s="912" t="s">
        <v>1480</v>
      </c>
      <c r="G450" s="912"/>
      <c r="H450" s="912"/>
      <c r="I450" s="912"/>
      <c r="J450" s="912"/>
      <c r="K450" s="912"/>
      <c r="L450" s="82">
        <f>IF(S450=0,0,0.3)</f>
        <v>0</v>
      </c>
      <c r="M450" s="1005"/>
      <c r="N450" s="1005"/>
      <c r="O450" s="86"/>
      <c r="P450" s="291">
        <f>IF(OR(L450=0,M450=""),0,X450)</f>
        <v>0</v>
      </c>
      <c r="R450" s="579" t="b">
        <v>0</v>
      </c>
      <c r="S450" s="571">
        <f>IF(R450=TRUE,1,0)</f>
        <v>0</v>
      </c>
      <c r="T450" s="581">
        <f>SUMIF($T$447:$AH$447,M450,$T$448:$AH$448)</f>
        <v>0</v>
      </c>
      <c r="U450" s="581">
        <f>SUMIF($S$447:$AH$447,O450,$S$448:$AH$448)</f>
        <v>0</v>
      </c>
      <c r="V450" s="581">
        <f>L450*T450</f>
        <v>0</v>
      </c>
      <c r="W450" s="581">
        <f>L450*U450</f>
        <v>0</v>
      </c>
      <c r="X450" s="581">
        <f>(IF(V450-W450&lt;=0,0,V450-W450))</f>
        <v>0</v>
      </c>
      <c r="Y450" s="14"/>
      <c r="Z450" s="581">
        <f>P481</f>
        <v>0</v>
      </c>
      <c r="AA450" s="581">
        <f>LARGE($Z$450:$Z$452,1)</f>
        <v>0</v>
      </c>
      <c r="AB450" s="581">
        <f>ROUND(AA450,2)</f>
        <v>0</v>
      </c>
      <c r="AC450" s="544">
        <f>AB450+AB451*(1-AB450)</f>
        <v>0</v>
      </c>
      <c r="AD450" s="582">
        <f>ROUND(AC450,2)</f>
        <v>0</v>
      </c>
      <c r="AE450" s="581">
        <f>P450</f>
        <v>0</v>
      </c>
      <c r="AF450" s="147">
        <f>ROUND(AE450,2)</f>
        <v>0</v>
      </c>
      <c r="AG450" s="147">
        <f>LARGE($AF$450:$AF$458,1)</f>
        <v>0</v>
      </c>
      <c r="AH450" s="544">
        <f>AG450+AG451*(1-AG450)</f>
        <v>0</v>
      </c>
      <c r="AI450" s="581">
        <f>ROUND(AH450,2)</f>
        <v>0</v>
      </c>
      <c r="AJ450" s="10"/>
      <c r="AK450" s="10"/>
      <c r="AL450" s="10"/>
      <c r="AM450" s="10"/>
      <c r="AN450" s="10"/>
      <c r="AO450" s="10"/>
      <c r="AP450" s="10"/>
      <c r="AQ450" s="10"/>
      <c r="AR450" s="10"/>
      <c r="AS450" s="10"/>
      <c r="AT450" s="10"/>
    </row>
    <row r="451" spans="1:109" ht="15" customHeight="1" x14ac:dyDescent="0.2">
      <c r="B451" s="912"/>
      <c r="C451" s="912"/>
      <c r="D451" s="912"/>
      <c r="E451" s="366"/>
      <c r="F451" s="912" t="s">
        <v>1481</v>
      </c>
      <c r="G451" s="912"/>
      <c r="H451" s="912"/>
      <c r="I451" s="912"/>
      <c r="J451" s="912"/>
      <c r="K451" s="912"/>
      <c r="L451" s="82">
        <f>IF(S451=0,0,0.35)</f>
        <v>0</v>
      </c>
      <c r="M451" s="1005"/>
      <c r="N451" s="1005"/>
      <c r="O451" s="86"/>
      <c r="P451" s="291">
        <f>IF(OR(L451=0,M451=""),0,X451)</f>
        <v>0</v>
      </c>
      <c r="R451" s="579" t="b">
        <v>0</v>
      </c>
      <c r="S451" s="571">
        <f>IF(R451=TRUE,1,0)</f>
        <v>0</v>
      </c>
      <c r="T451" s="581">
        <f>SUMIF($T$447:$AH$447,M451,$T$448:$AH$448)</f>
        <v>0</v>
      </c>
      <c r="U451" s="581">
        <f>SUMIF($S$447:$AH$447,O451,$S$448:$AH$448)</f>
        <v>0</v>
      </c>
      <c r="V451" s="581">
        <f>L451*T451</f>
        <v>0</v>
      </c>
      <c r="W451" s="581">
        <f>L451*U451</f>
        <v>0</v>
      </c>
      <c r="X451" s="581">
        <f>(IF(V451-W451&lt;=0,0,V451-W451))</f>
        <v>0</v>
      </c>
      <c r="Y451" s="14"/>
      <c r="Z451" s="581">
        <f>P496</f>
        <v>0</v>
      </c>
      <c r="AA451" s="581">
        <f>LARGE($Z$450:$Z$452,2)</f>
        <v>0</v>
      </c>
      <c r="AB451" s="581">
        <f>ROUND(AA451,2)</f>
        <v>0</v>
      </c>
      <c r="AC451" s="544">
        <f>AD450+AB452*(1-AD450)</f>
        <v>0</v>
      </c>
      <c r="AD451" s="582">
        <f>ROUND(AC451,2)</f>
        <v>0</v>
      </c>
      <c r="AE451" s="581">
        <f>P451</f>
        <v>0</v>
      </c>
      <c r="AF451" s="147">
        <f>ROUND(AE451,2)</f>
        <v>0</v>
      </c>
      <c r="AG451" s="147">
        <f>LARGE($AF$450:$AF$458,2)</f>
        <v>0</v>
      </c>
      <c r="AH451" s="544">
        <f>AI450+AG452*(1-AI450)</f>
        <v>0</v>
      </c>
      <c r="AI451" s="581">
        <f>ROUND(AH451,2)</f>
        <v>0</v>
      </c>
      <c r="AJ451" s="10"/>
      <c r="AK451" s="10"/>
      <c r="AL451" s="10"/>
      <c r="AM451" s="10"/>
      <c r="AN451" s="10"/>
      <c r="AO451" s="10"/>
      <c r="AP451" s="10"/>
      <c r="AQ451" s="10"/>
      <c r="AR451" s="10"/>
      <c r="AS451" s="10"/>
      <c r="AT451" s="10"/>
    </row>
    <row r="452" spans="1:109" ht="15" customHeight="1" x14ac:dyDescent="0.2">
      <c r="B452" s="912"/>
      <c r="C452" s="912"/>
      <c r="D452" s="912"/>
      <c r="E452" s="366"/>
      <c r="F452" s="912" t="s">
        <v>1482</v>
      </c>
      <c r="G452" s="912"/>
      <c r="H452" s="912"/>
      <c r="I452" s="912"/>
      <c r="J452" s="912"/>
      <c r="K452" s="912"/>
      <c r="L452" s="82">
        <f>IF(S452=0,0,0.35)</f>
        <v>0</v>
      </c>
      <c r="M452" s="1005"/>
      <c r="N452" s="1005"/>
      <c r="O452" s="86"/>
      <c r="P452" s="291">
        <f>IF(OR(L452=0,M452=""),0,X452)</f>
        <v>0</v>
      </c>
      <c r="R452" s="579" t="b">
        <v>0</v>
      </c>
      <c r="S452" s="571">
        <f>IF(R452=TRUE,1,0)</f>
        <v>0</v>
      </c>
      <c r="T452" s="581">
        <f>SUMIF($T$447:$AH$447,M452,$T$448:$AH$448)</f>
        <v>0</v>
      </c>
      <c r="U452" s="581">
        <f>SUMIF($S$447:$AH$447,O452,$S$448:$AH$448)</f>
        <v>0</v>
      </c>
      <c r="V452" s="581">
        <f>L452*T452</f>
        <v>0</v>
      </c>
      <c r="W452" s="581">
        <f>L452*U452</f>
        <v>0</v>
      </c>
      <c r="X452" s="581">
        <f>(IF(V452-W452&lt;=0,0,V452-W452))</f>
        <v>0</v>
      </c>
      <c r="Y452" s="14"/>
      <c r="Z452" s="581">
        <f>P510</f>
        <v>0</v>
      </c>
      <c r="AA452" s="581">
        <f>LARGE($Z$450:$Z$452,3)</f>
        <v>0</v>
      </c>
      <c r="AB452" s="581">
        <f>ROUND(AA452,2)</f>
        <v>0</v>
      </c>
      <c r="AC452" s="96"/>
      <c r="AD452" s="94"/>
      <c r="AE452" s="581">
        <f>P452</f>
        <v>0</v>
      </c>
      <c r="AF452" s="147">
        <f>ROUND(AE452,2)</f>
        <v>0</v>
      </c>
      <c r="AG452" s="147">
        <f>LARGE($AF$450:$AF$458,3)</f>
        <v>0</v>
      </c>
      <c r="AH452" s="544">
        <f>AI451+AG453*(1-AI451)</f>
        <v>0</v>
      </c>
      <c r="AI452" s="581">
        <f>ROUND(AH452,2)</f>
        <v>0</v>
      </c>
      <c r="AJ452" s="10"/>
      <c r="AK452" s="10">
        <v>1E-4</v>
      </c>
      <c r="AL452" s="10"/>
      <c r="AM452" s="10"/>
      <c r="AN452" s="10"/>
      <c r="AO452" s="10"/>
      <c r="AP452" s="10"/>
      <c r="AQ452" s="10"/>
      <c r="AR452" s="10"/>
      <c r="AS452" s="10"/>
      <c r="AT452" s="10"/>
    </row>
    <row r="453" spans="1:109" ht="15" customHeight="1" x14ac:dyDescent="0.2">
      <c r="B453" s="912"/>
      <c r="C453" s="912"/>
      <c r="D453" s="912"/>
      <c r="E453" s="366"/>
      <c r="F453" s="912" t="s">
        <v>1190</v>
      </c>
      <c r="G453" s="912"/>
      <c r="H453" s="912"/>
      <c r="I453" s="912"/>
      <c r="J453" s="912"/>
      <c r="K453" s="912"/>
      <c r="L453" s="82">
        <f>IF(S453=0,0,0.45)</f>
        <v>0</v>
      </c>
      <c r="M453" s="1005"/>
      <c r="N453" s="1005"/>
      <c r="O453" s="86"/>
      <c r="P453" s="291">
        <f>IF(OR(L453=0,M453=""),0,X453)</f>
        <v>0</v>
      </c>
      <c r="R453" s="579" t="b">
        <v>0</v>
      </c>
      <c r="S453" s="571">
        <f>IF(R453=TRUE,1,0)</f>
        <v>0</v>
      </c>
      <c r="T453" s="581">
        <f>SUMIF($T$447:$AH$447,M453,$T$448:$AH$448)</f>
        <v>0</v>
      </c>
      <c r="U453" s="581">
        <f>SUMIF($S$447:$AH$447,O453,$S$448:$AH$448)</f>
        <v>0</v>
      </c>
      <c r="V453" s="581">
        <f>L453*T453</f>
        <v>0</v>
      </c>
      <c r="W453" s="581">
        <f>L453*U453</f>
        <v>0</v>
      </c>
      <c r="X453" s="581">
        <f>(IF(V453-W453&lt;=0,0,V453-W453))</f>
        <v>0</v>
      </c>
      <c r="Y453" s="14"/>
      <c r="Z453" s="94"/>
      <c r="AA453" s="94"/>
      <c r="AB453" s="94"/>
      <c r="AC453" s="14"/>
      <c r="AD453" s="14"/>
      <c r="AE453" s="581">
        <f>P453</f>
        <v>0</v>
      </c>
      <c r="AF453" s="147">
        <f>ROUND(AE453,2)</f>
        <v>0</v>
      </c>
      <c r="AG453" s="147">
        <f>LARGE($AF$450:$AF$458,4)</f>
        <v>0</v>
      </c>
      <c r="AH453" s="544">
        <f>AI452+AG454*(1-AI452)</f>
        <v>0</v>
      </c>
      <c r="AI453" s="581">
        <f>ROUND(AH453,2)</f>
        <v>0</v>
      </c>
      <c r="AJ453" s="10"/>
      <c r="AK453" s="10"/>
      <c r="AL453" s="10"/>
      <c r="AM453" s="10"/>
      <c r="AN453" s="10"/>
      <c r="AO453" s="10"/>
      <c r="AP453" s="10"/>
      <c r="AQ453" s="10"/>
      <c r="AR453" s="10"/>
      <c r="AS453" s="10"/>
      <c r="AT453" s="10"/>
    </row>
    <row r="454" spans="1:109" ht="15" customHeight="1" x14ac:dyDescent="0.2">
      <c r="B454" s="912"/>
      <c r="C454" s="912"/>
      <c r="D454" s="912"/>
      <c r="E454" s="366"/>
      <c r="F454" s="912" t="s">
        <v>1191</v>
      </c>
      <c r="G454" s="912"/>
      <c r="H454" s="912"/>
      <c r="I454" s="912"/>
      <c r="J454" s="912"/>
      <c r="K454" s="912"/>
      <c r="L454" s="82">
        <f>IF(S454=0,0,0.2)</f>
        <v>0</v>
      </c>
      <c r="M454" s="1005"/>
      <c r="N454" s="1005"/>
      <c r="O454" s="86"/>
      <c r="P454" s="291">
        <f>IF(OR(L454=0,M454=""),0,X454)</f>
        <v>0</v>
      </c>
      <c r="R454" s="579" t="b">
        <v>0</v>
      </c>
      <c r="S454" s="571">
        <f>IF(R454=TRUE,1,0)</f>
        <v>0</v>
      </c>
      <c r="T454" s="581">
        <f>SUMIF($T$447:$AH$447,M454,$T$448:$AH$448)</f>
        <v>0</v>
      </c>
      <c r="U454" s="581">
        <f>SUMIF($S$447:$AH$447,O454,$S$448:$AH$448)</f>
        <v>0</v>
      </c>
      <c r="V454" s="581">
        <f>L454*T454</f>
        <v>0</v>
      </c>
      <c r="W454" s="581">
        <f>L454*U454</f>
        <v>0</v>
      </c>
      <c r="X454" s="581">
        <f>(IF(V454-W454&lt;=0,0,V454-W454))</f>
        <v>0</v>
      </c>
      <c r="Y454" s="14"/>
      <c r="Z454" s="10"/>
      <c r="AA454" s="14"/>
      <c r="AB454" s="14"/>
      <c r="AC454" s="14"/>
      <c r="AD454" s="14"/>
      <c r="AE454" s="581">
        <f>P454</f>
        <v>0</v>
      </c>
      <c r="AF454" s="147">
        <f>ROUND(AE454,2)</f>
        <v>0</v>
      </c>
      <c r="AG454" s="147">
        <f>LARGE($AF$450:$AF$458,5)</f>
        <v>0</v>
      </c>
      <c r="AH454" s="544">
        <f>AI453+AG457*(1-AI453)</f>
        <v>0</v>
      </c>
      <c r="AI454" s="581">
        <f>ROUND(AH454,2)</f>
        <v>0</v>
      </c>
      <c r="AJ454" s="10"/>
      <c r="AK454" s="10"/>
      <c r="AL454" s="10"/>
      <c r="AM454" s="10"/>
      <c r="AN454" s="10"/>
      <c r="AO454" s="10"/>
      <c r="AP454" s="10"/>
      <c r="AQ454" s="10"/>
      <c r="AR454" s="10"/>
      <c r="AS454" s="10"/>
      <c r="AT454" s="10"/>
    </row>
    <row r="455" spans="1:109" ht="6" customHeight="1" x14ac:dyDescent="0.2">
      <c r="B455" s="697"/>
      <c r="C455" s="697"/>
      <c r="D455" s="697"/>
      <c r="E455" s="697"/>
      <c r="F455" s="697"/>
      <c r="G455" s="697"/>
      <c r="H455" s="697"/>
      <c r="I455" s="697"/>
      <c r="J455" s="697"/>
      <c r="K455" s="697"/>
      <c r="L455" s="697"/>
      <c r="M455" s="697"/>
      <c r="N455" s="697"/>
      <c r="O455" s="697"/>
      <c r="P455" s="89"/>
      <c r="R455" s="137"/>
      <c r="S455" s="98"/>
      <c r="T455" s="94"/>
      <c r="U455" s="94"/>
      <c r="V455" s="94"/>
      <c r="W455" s="94"/>
      <c r="X455" s="94"/>
      <c r="Y455" s="14"/>
      <c r="Z455" s="10"/>
      <c r="AA455" s="14"/>
      <c r="AB455" s="14"/>
      <c r="AC455" s="14"/>
      <c r="AD455" s="14"/>
      <c r="AE455" s="94"/>
      <c r="AF455" s="14"/>
      <c r="AG455" s="14"/>
      <c r="AH455" s="96"/>
      <c r="AI455" s="94"/>
      <c r="AJ455" s="10"/>
      <c r="AK455" s="10"/>
      <c r="AL455" s="10"/>
      <c r="AM455" s="10"/>
      <c r="AN455" s="10"/>
      <c r="AO455" s="10"/>
      <c r="AP455" s="10"/>
      <c r="AQ455" s="10"/>
      <c r="AR455" s="10"/>
      <c r="AS455" s="10"/>
      <c r="AT455" s="10"/>
    </row>
    <row r="456" spans="1:109" ht="6" customHeight="1" x14ac:dyDescent="0.2">
      <c r="B456" s="1044"/>
      <c r="C456" s="1044"/>
      <c r="D456" s="1044"/>
      <c r="E456" s="1044"/>
      <c r="F456" s="1044"/>
      <c r="G456" s="1044"/>
      <c r="H456" s="1044"/>
      <c r="I456" s="1044"/>
      <c r="J456" s="1044"/>
      <c r="K456" s="1044"/>
      <c r="L456" s="1044"/>
      <c r="M456" s="1044"/>
      <c r="N456" s="1044"/>
      <c r="O456" s="1044"/>
      <c r="P456" s="90"/>
      <c r="R456" s="137"/>
      <c r="S456" s="98"/>
      <c r="T456" s="94"/>
      <c r="U456" s="94"/>
      <c r="V456" s="94"/>
      <c r="W456" s="94"/>
      <c r="X456" s="94"/>
      <c r="Y456" s="14"/>
      <c r="Z456" s="10"/>
      <c r="AA456" s="14"/>
      <c r="AB456" s="14"/>
      <c r="AC456" s="14"/>
      <c r="AD456" s="14"/>
      <c r="AE456" s="94"/>
      <c r="AF456" s="14"/>
      <c r="AG456" s="14"/>
      <c r="AH456" s="96"/>
      <c r="AI456" s="94"/>
      <c r="AJ456" s="10"/>
      <c r="AK456" s="10"/>
      <c r="AL456" s="10"/>
      <c r="AM456" s="10"/>
      <c r="AN456" s="10"/>
      <c r="AO456" s="10"/>
      <c r="AP456" s="10"/>
      <c r="AQ456" s="10"/>
      <c r="AR456" s="10"/>
      <c r="AS456" s="10"/>
      <c r="AT456" s="10"/>
    </row>
    <row r="457" spans="1:109" ht="15" customHeight="1" x14ac:dyDescent="0.2">
      <c r="B457" s="749" t="s">
        <v>1669</v>
      </c>
      <c r="C457" s="750"/>
      <c r="D457" s="750"/>
      <c r="E457" s="757"/>
      <c r="F457" s="757"/>
      <c r="G457" s="757"/>
      <c r="H457" s="757"/>
      <c r="I457" s="757"/>
      <c r="J457" s="757"/>
      <c r="K457" s="757"/>
      <c r="L457" s="757"/>
      <c r="M457" s="757"/>
      <c r="N457" s="757"/>
      <c r="O457" s="757"/>
      <c r="P457" s="758"/>
      <c r="R457" s="128"/>
      <c r="S457" s="98"/>
      <c r="T457" s="586" t="s">
        <v>1656</v>
      </c>
      <c r="U457" s="586" t="s">
        <v>1565</v>
      </c>
      <c r="V457" s="586" t="s">
        <v>1659</v>
      </c>
      <c r="W457" s="586" t="s">
        <v>1660</v>
      </c>
      <c r="X457" s="586" t="s">
        <v>1661</v>
      </c>
      <c r="Y457" s="14"/>
      <c r="Z457" s="10"/>
      <c r="AA457" s="14"/>
      <c r="AB457" s="14"/>
      <c r="AC457" s="14"/>
      <c r="AD457" s="14"/>
      <c r="AE457" s="581">
        <f>P462</f>
        <v>0</v>
      </c>
      <c r="AF457" s="147">
        <f>ROUND(AE457,2)</f>
        <v>0</v>
      </c>
      <c r="AG457" s="147">
        <f>LARGE($AF$450:$AF$458,6)</f>
        <v>0</v>
      </c>
      <c r="AH457" s="544">
        <f>AI454+AG458*(1-AI454)</f>
        <v>0</v>
      </c>
      <c r="AI457" s="581">
        <f>ROUND(AH457,2)</f>
        <v>0</v>
      </c>
      <c r="AJ457" s="10"/>
      <c r="AK457" s="10"/>
      <c r="AL457" s="10"/>
      <c r="AM457" s="10"/>
      <c r="AN457" s="10"/>
      <c r="AO457" s="10"/>
      <c r="AP457" s="10"/>
      <c r="AQ457" s="10"/>
      <c r="AR457" s="10"/>
      <c r="AS457" s="10"/>
      <c r="AT457" s="10"/>
    </row>
    <row r="458" spans="1:109" ht="27" customHeight="1" x14ac:dyDescent="0.2">
      <c r="B458" s="447" t="s">
        <v>1192</v>
      </c>
      <c r="C458" s="463"/>
      <c r="D458" s="448"/>
      <c r="E458" s="263"/>
      <c r="F458" s="991" t="s">
        <v>1521</v>
      </c>
      <c r="G458" s="992"/>
      <c r="H458" s="992"/>
      <c r="I458" s="992"/>
      <c r="J458" s="992"/>
      <c r="K458" s="993"/>
      <c r="L458" s="82">
        <f>IF(OR(F458="",S458=0),0,IF(AND(S458=1,F458&lt;&gt;""),0.25))</f>
        <v>0</v>
      </c>
      <c r="M458" s="1005"/>
      <c r="N458" s="1005"/>
      <c r="O458" s="86"/>
      <c r="P458" s="291" t="str">
        <f>IF(OR(L458=0,M458=""),"",X458)</f>
        <v/>
      </c>
      <c r="R458" s="546" t="b">
        <v>0</v>
      </c>
      <c r="S458" s="571">
        <f>IF(R458=TRUE,1,0)</f>
        <v>0</v>
      </c>
      <c r="T458" s="581">
        <f>SUMIF($T$447:$AH$447,M458,$T$448:$AH$448)</f>
        <v>0</v>
      </c>
      <c r="U458" s="581">
        <f>SUMIF($S$447:$AH$447,O458,$S$448:$AH$448)</f>
        <v>0</v>
      </c>
      <c r="V458" s="581">
        <f>L458*T458</f>
        <v>0</v>
      </c>
      <c r="W458" s="581">
        <f>L458*U458</f>
        <v>0</v>
      </c>
      <c r="X458" s="581">
        <f>(IF(V458-W458&lt;=0,0,V458-W458))</f>
        <v>0</v>
      </c>
      <c r="Y458" s="10"/>
      <c r="Z458" s="10"/>
      <c r="AA458" s="10"/>
      <c r="AB458" s="10"/>
      <c r="AC458" s="10"/>
      <c r="AD458" s="10"/>
      <c r="AE458" s="583">
        <f>P469</f>
        <v>0</v>
      </c>
      <c r="AF458" s="147">
        <f>ROUND(AE458,2)</f>
        <v>0</v>
      </c>
      <c r="AG458" s="147">
        <f>LARGE($AF$450:$AF$458,7)</f>
        <v>0</v>
      </c>
      <c r="AH458" s="96"/>
      <c r="AI458" s="94"/>
      <c r="AJ458" s="10"/>
      <c r="AK458" s="10"/>
      <c r="AL458" s="10"/>
      <c r="AM458" s="10"/>
      <c r="AN458" s="10"/>
      <c r="AO458" s="10"/>
      <c r="AP458" s="10"/>
      <c r="AQ458" s="10"/>
      <c r="AR458" s="10"/>
      <c r="AS458" s="10"/>
      <c r="AT458" s="10"/>
    </row>
    <row r="459" spans="1:109" ht="15" customHeight="1" x14ac:dyDescent="0.2">
      <c r="B459" s="461"/>
      <c r="C459" s="39"/>
      <c r="D459" s="464"/>
      <c r="E459" s="462"/>
      <c r="F459" s="742" t="str">
        <f>IF(S458=1,"","Biceps brachii")</f>
        <v>Biceps brachii</v>
      </c>
      <c r="G459" s="743"/>
      <c r="H459" s="743"/>
      <c r="I459" s="743"/>
      <c r="J459" s="743"/>
      <c r="K459" s="744"/>
      <c r="L459" s="82">
        <f>IF(OR(F459="",S459=0),0,IF(AND(S459=1,F459&lt;&gt;""),0.25))</f>
        <v>0</v>
      </c>
      <c r="M459" s="1005"/>
      <c r="N459" s="1005"/>
      <c r="O459" s="86"/>
      <c r="P459" s="291" t="str">
        <f>IF(OR(L459=0,M459="",X459=0),"",X459)</f>
        <v/>
      </c>
      <c r="R459" s="546" t="b">
        <v>0</v>
      </c>
      <c r="S459" s="571">
        <f>IF(R459=TRUE,1,0)</f>
        <v>0</v>
      </c>
      <c r="T459" s="581">
        <f>SUMIF($T$447:$AH$447,M459,$T$448:$AH$448)</f>
        <v>0</v>
      </c>
      <c r="U459" s="581">
        <f>SUMIF($S$447:$AH$447,O459,$S$448:$AH$448)</f>
        <v>0</v>
      </c>
      <c r="V459" s="581">
        <f>L459*T459</f>
        <v>0</v>
      </c>
      <c r="W459" s="581">
        <f>L459*U459</f>
        <v>0</v>
      </c>
      <c r="X459" s="581">
        <f>(IF(V459-W459&lt;=0,0,V459-W459))</f>
        <v>0</v>
      </c>
      <c r="Y459" s="129"/>
      <c r="Z459" s="10"/>
      <c r="AA459" s="129"/>
      <c r="AB459" s="129"/>
      <c r="AC459" s="10"/>
      <c r="AD459" s="129"/>
      <c r="AE459" s="138"/>
      <c r="AF459" s="14"/>
      <c r="AG459" s="14"/>
      <c r="AH459" s="96"/>
      <c r="AI459" s="94"/>
      <c r="AJ459" s="10"/>
      <c r="AK459" s="10"/>
      <c r="AL459" s="10"/>
      <c r="AM459" s="10"/>
      <c r="AN459" s="10"/>
      <c r="AO459" s="10"/>
      <c r="AP459" s="10"/>
      <c r="AQ459" s="10"/>
      <c r="AR459" s="10"/>
      <c r="AS459" s="10"/>
      <c r="AT459" s="10"/>
      <c r="AU459" s="10"/>
      <c r="AV459" s="10"/>
      <c r="AW459" s="10"/>
      <c r="AX459" s="10"/>
    </row>
    <row r="460" spans="1:109" ht="15" customHeight="1" x14ac:dyDescent="0.2">
      <c r="B460" s="461"/>
      <c r="C460" s="39"/>
      <c r="D460" s="464"/>
      <c r="E460" s="462"/>
      <c r="F460" s="742" t="str">
        <f>IF(S458=1,"","Coracobrachialis")</f>
        <v>Coracobrachialis</v>
      </c>
      <c r="G460" s="743"/>
      <c r="H460" s="743"/>
      <c r="I460" s="743"/>
      <c r="J460" s="743"/>
      <c r="K460" s="744"/>
      <c r="L460" s="82">
        <f>IF(OR(F460="",S460=0),0,IF(AND(S460=1,F460&lt;&gt;""),0.25))</f>
        <v>0</v>
      </c>
      <c r="M460" s="1005"/>
      <c r="N460" s="1005"/>
      <c r="O460" s="86"/>
      <c r="P460" s="291" t="str">
        <f>IF(OR(L460=0,M460="",X460=0),"",X460)</f>
        <v/>
      </c>
      <c r="R460" s="546" t="b">
        <v>0</v>
      </c>
      <c r="S460" s="571">
        <f>IF(R460=TRUE,1,0)</f>
        <v>0</v>
      </c>
      <c r="T460" s="581">
        <f>SUMIF($T$447:$AH$447,M460,$T$448:$AH$448)</f>
        <v>0</v>
      </c>
      <c r="U460" s="581">
        <f>SUMIF($S$447:$AH$447,O460,$S$448:$AH$448)</f>
        <v>0</v>
      </c>
      <c r="V460" s="581">
        <f>L460*T460</f>
        <v>0</v>
      </c>
      <c r="W460" s="581">
        <f>L460*U460</f>
        <v>0</v>
      </c>
      <c r="X460" s="581">
        <f>(IF(V460-W460&lt;=0,0,V460-W460))</f>
        <v>0</v>
      </c>
      <c r="Y460" s="98"/>
      <c r="Z460" s="10"/>
      <c r="AA460" s="98"/>
      <c r="AB460" s="98"/>
      <c r="AC460" s="98"/>
      <c r="AD460" s="98"/>
      <c r="AE460" s="96"/>
      <c r="AF460" s="14"/>
      <c r="AG460" s="14"/>
      <c r="AH460" s="96"/>
      <c r="AI460" s="94"/>
      <c r="AJ460" s="10"/>
      <c r="AK460" s="10"/>
      <c r="AL460" s="98"/>
      <c r="AM460" s="10"/>
      <c r="AN460" s="10"/>
      <c r="AO460" s="10"/>
      <c r="AP460" s="10"/>
      <c r="AQ460" s="10"/>
      <c r="AR460" s="10"/>
      <c r="AS460" s="10"/>
      <c r="AT460" s="10"/>
    </row>
    <row r="461" spans="1:109" ht="15" customHeight="1" x14ac:dyDescent="0.2">
      <c r="B461" s="282"/>
      <c r="C461" s="182"/>
      <c r="D461" s="449"/>
      <c r="E461" s="462"/>
      <c r="F461" s="742" t="str">
        <f>IF(S458=1,"","Brachialis")</f>
        <v>Brachialis</v>
      </c>
      <c r="G461" s="743"/>
      <c r="H461" s="743"/>
      <c r="I461" s="743"/>
      <c r="J461" s="743"/>
      <c r="K461" s="744"/>
      <c r="L461" s="82">
        <f>IF(OR(F461="",S461=0),0,IF(AND(S461=1,F461&lt;&gt;""),0.25))</f>
        <v>0</v>
      </c>
      <c r="M461" s="1005"/>
      <c r="N461" s="1005"/>
      <c r="O461" s="86"/>
      <c r="P461" s="291" t="str">
        <f>IF(OR(L461=0,M461="",X461=0),"",X461)</f>
        <v/>
      </c>
      <c r="R461" s="546" t="b">
        <v>0</v>
      </c>
      <c r="S461" s="571">
        <f>IF(R461=TRUE,1,0)</f>
        <v>0</v>
      </c>
      <c r="T461" s="581">
        <f>SUMIF($T$447:$AH$447,M461,$T$448:$AH$448)</f>
        <v>0</v>
      </c>
      <c r="U461" s="581">
        <f>SUMIF($S$447:$AH$447,O461,$S$448:$AH$448)</f>
        <v>0</v>
      </c>
      <c r="V461" s="581">
        <f>L461*T461</f>
        <v>0</v>
      </c>
      <c r="W461" s="581">
        <f>L461*U461</f>
        <v>0</v>
      </c>
      <c r="X461" s="581">
        <f>(IF(V461-W461&lt;=0,0,V461-W461))</f>
        <v>0</v>
      </c>
      <c r="Y461" s="14"/>
      <c r="Z461" s="10"/>
      <c r="AA461" s="14"/>
      <c r="AB461" s="14"/>
      <c r="AC461" s="14"/>
      <c r="AD461" s="14"/>
      <c r="AE461" s="94"/>
      <c r="AF461" s="14"/>
      <c r="AG461" s="14"/>
      <c r="AH461" s="96"/>
      <c r="AI461" s="94"/>
      <c r="AJ461" s="14"/>
      <c r="AK461" s="14"/>
      <c r="AL461" s="14"/>
      <c r="AM461" s="10"/>
      <c r="AN461" s="10"/>
      <c r="AO461" s="10"/>
      <c r="AP461" s="10"/>
      <c r="AQ461" s="10"/>
      <c r="AR461" s="10"/>
      <c r="AS461" s="10"/>
      <c r="AT461" s="10"/>
    </row>
    <row r="462" spans="1:109" ht="18" customHeight="1" x14ac:dyDescent="0.2">
      <c r="B462" s="994" t="s">
        <v>1522</v>
      </c>
      <c r="C462" s="994"/>
      <c r="D462" s="994"/>
      <c r="E462" s="957"/>
      <c r="F462" s="957"/>
      <c r="G462" s="957"/>
      <c r="H462" s="957"/>
      <c r="I462" s="957"/>
      <c r="J462" s="957"/>
      <c r="K462" s="957"/>
      <c r="L462" s="957"/>
      <c r="M462" s="957"/>
      <c r="N462" s="957"/>
      <c r="O462" s="957"/>
      <c r="P462" s="190">
        <f>IF(AND(P458="",P459="",P460="",P461=""),0,AVERAGE(P458:P461))</f>
        <v>0</v>
      </c>
      <c r="R462" s="10"/>
      <c r="S462" s="98"/>
      <c r="T462" s="94"/>
      <c r="U462" s="94"/>
      <c r="V462" s="96"/>
      <c r="W462" s="96"/>
      <c r="X462" s="94"/>
      <c r="Y462" s="14"/>
      <c r="Z462" s="14"/>
      <c r="AA462" s="14"/>
      <c r="AB462" s="14"/>
      <c r="AC462" s="14"/>
      <c r="AD462" s="14"/>
      <c r="AE462" s="94"/>
      <c r="AF462" s="14"/>
      <c r="AG462" s="14"/>
      <c r="AH462" s="96"/>
      <c r="AI462" s="94"/>
      <c r="AJ462" s="14"/>
      <c r="AK462" s="10"/>
      <c r="AL462" s="14"/>
      <c r="AM462" s="10"/>
      <c r="AN462" s="10"/>
      <c r="AO462" s="10"/>
      <c r="AP462" s="10"/>
      <c r="AQ462" s="10"/>
      <c r="AR462" s="10"/>
      <c r="AS462" s="10"/>
      <c r="AT462" s="10"/>
    </row>
    <row r="463" spans="1:109" ht="12" customHeight="1" x14ac:dyDescent="0.2">
      <c r="C463" s="2"/>
      <c r="D463" s="2"/>
      <c r="F463" s="2"/>
      <c r="H463" s="2"/>
      <c r="J463" s="2"/>
      <c r="L463" s="2"/>
      <c r="N463" s="2"/>
      <c r="R463" s="10"/>
      <c r="S463" s="98"/>
      <c r="T463" s="586" t="s">
        <v>1656</v>
      </c>
      <c r="U463" s="586" t="s">
        <v>1565</v>
      </c>
      <c r="V463" s="586" t="s">
        <v>1659</v>
      </c>
      <c r="W463" s="586" t="s">
        <v>1660</v>
      </c>
      <c r="X463" s="586" t="s">
        <v>1661</v>
      </c>
      <c r="Y463" s="14"/>
      <c r="Z463" s="14"/>
      <c r="AA463" s="14"/>
      <c r="AB463" s="14"/>
      <c r="AC463" s="14"/>
      <c r="AD463" s="14"/>
      <c r="AE463" s="94"/>
      <c r="AF463" s="14"/>
      <c r="AG463" s="14"/>
      <c r="AH463" s="96"/>
      <c r="AI463" s="94"/>
      <c r="AJ463" s="14"/>
      <c r="AK463" s="10"/>
      <c r="AL463" s="14"/>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row>
    <row r="464" spans="1:109" ht="18" customHeight="1" x14ac:dyDescent="0.2">
      <c r="B464" s="451" t="s">
        <v>1781</v>
      </c>
      <c r="C464" s="452"/>
      <c r="D464" s="453"/>
      <c r="E464" s="462"/>
      <c r="F464" s="991" t="str">
        <f>IF(Z464=1,"","Overall loss at level shown")</f>
        <v>Overall loss at level shown</v>
      </c>
      <c r="G464" s="992"/>
      <c r="H464" s="992"/>
      <c r="I464" s="992"/>
      <c r="J464" s="992"/>
      <c r="K464" s="993"/>
      <c r="L464" s="82">
        <f>IF(OR(F464="",S464=0),0,IF(Z464=2,0.55,IF(Z464=3,0.25)))</f>
        <v>0</v>
      </c>
      <c r="M464" s="1005"/>
      <c r="N464" s="1005"/>
      <c r="O464" s="86"/>
      <c r="P464" s="291" t="str">
        <f>IF(OR(L464=0,M464=""),"",X464)</f>
        <v/>
      </c>
      <c r="R464" s="546" t="b">
        <v>0</v>
      </c>
      <c r="S464" s="571">
        <f t="shared" ref="S464:S480" si="72">IF(R464=TRUE,1,0)</f>
        <v>0</v>
      </c>
      <c r="T464" s="581">
        <f>SUMIF($T$447:$AH$447,M464,$T$448:$AH$448)</f>
        <v>0</v>
      </c>
      <c r="U464" s="581">
        <f>SUMIF($S$447:$AH$447,O464,$S$448:$AH$448)</f>
        <v>0</v>
      </c>
      <c r="V464" s="581">
        <f t="shared" ref="V464:V480" si="73">L464*T464</f>
        <v>0</v>
      </c>
      <c r="W464" s="581">
        <f t="shared" ref="W464:W480" si="74">L464*U464</f>
        <v>0</v>
      </c>
      <c r="X464" s="581">
        <f t="shared" ref="X464:X480" si="75">(IF(V464-W464&lt;=0,0,V464-W464))</f>
        <v>0</v>
      </c>
      <c r="Y464" s="14"/>
      <c r="Z464" s="546">
        <v>2</v>
      </c>
      <c r="AA464" s="1108" t="s">
        <v>500</v>
      </c>
      <c r="AB464" s="1108"/>
      <c r="AC464" s="1108"/>
      <c r="AD464" s="14"/>
      <c r="AE464" s="94"/>
      <c r="AF464" s="14"/>
      <c r="AG464" s="14"/>
      <c r="AH464" s="10"/>
      <c r="AI464" s="10"/>
      <c r="AJ464" s="14"/>
      <c r="AK464" s="10"/>
      <c r="AL464" s="14"/>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row>
    <row r="465" spans="2:109" ht="18" customHeight="1" x14ac:dyDescent="0.2">
      <c r="B465" s="454"/>
      <c r="C465" s="455"/>
      <c r="D465" s="456"/>
      <c r="E465" s="462"/>
      <c r="F465" s="988" t="str">
        <f>IF(AND(S464=0,Z464=2),"Triceps","")</f>
        <v>Triceps</v>
      </c>
      <c r="G465" s="989"/>
      <c r="H465" s="989"/>
      <c r="I465" s="989"/>
      <c r="J465" s="989"/>
      <c r="K465" s="990"/>
      <c r="L465" s="82">
        <f>IF(OR(F465="",S465=0,$Z$464=3),0,IF($Z$464=2,0.55,0))</f>
        <v>0</v>
      </c>
      <c r="M465" s="1005"/>
      <c r="N465" s="1005"/>
      <c r="O465" s="86"/>
      <c r="P465" s="291" t="str">
        <f>IF(OR(L465=0,M465="",X465=0),"",IF(AND(S469=1,M465&lt;&gt;""),"ERROR",X465))</f>
        <v/>
      </c>
      <c r="R465" s="546" t="b">
        <v>0</v>
      </c>
      <c r="S465" s="571">
        <f t="shared" si="72"/>
        <v>0</v>
      </c>
      <c r="T465" s="581">
        <f>SUMIF($T$447:$AH$447,M465,$T$448:$AH$448)</f>
        <v>0</v>
      </c>
      <c r="U465" s="581">
        <f>SUMIF($S$447:$AH$447,O465,$S$448:$AH$448)</f>
        <v>0</v>
      </c>
      <c r="V465" s="581">
        <f t="shared" si="73"/>
        <v>0</v>
      </c>
      <c r="W465" s="581">
        <f t="shared" si="74"/>
        <v>0</v>
      </c>
      <c r="X465" s="581">
        <f t="shared" si="75"/>
        <v>0</v>
      </c>
      <c r="Y465" s="10"/>
      <c r="Z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row>
    <row r="466" spans="2:109" ht="18" customHeight="1" x14ac:dyDescent="0.2">
      <c r="B466" s="454"/>
      <c r="C466" s="455"/>
      <c r="D466" s="456"/>
      <c r="E466" s="462"/>
      <c r="F466" s="742" t="str">
        <f>IF(AND(S464=0,Z464=2),"Anconeus","")</f>
        <v>Anconeus</v>
      </c>
      <c r="G466" s="743"/>
      <c r="H466" s="743"/>
      <c r="I466" s="743"/>
      <c r="J466" s="743"/>
      <c r="K466" s="744"/>
      <c r="L466" s="82">
        <f>IF(OR(F466="",S466=0,$Z$464=3),0,IF($Z$464=2,0.55,0))</f>
        <v>0</v>
      </c>
      <c r="M466" s="1005"/>
      <c r="N466" s="1005"/>
      <c r="O466" s="86"/>
      <c r="P466" s="291" t="str">
        <f>IF(OR(L466=0,M466="",X466=0),"",X466)</f>
        <v/>
      </c>
      <c r="R466" s="579" t="b">
        <v>0</v>
      </c>
      <c r="S466" s="571">
        <f t="shared" si="72"/>
        <v>0</v>
      </c>
      <c r="T466" s="581">
        <f>SUMIF($T$447:$AH$447,M466,$T$448:$AH$448)</f>
        <v>0</v>
      </c>
      <c r="U466" s="581">
        <f>SUMIF($S$447:$AH$447,O466,$S$448:$AH$448)</f>
        <v>0</v>
      </c>
      <c r="V466" s="581">
        <f t="shared" si="73"/>
        <v>0</v>
      </c>
      <c r="W466" s="581">
        <f t="shared" si="74"/>
        <v>0</v>
      </c>
      <c r="X466" s="581">
        <f t="shared" si="75"/>
        <v>0</v>
      </c>
      <c r="Y466" s="14"/>
      <c r="Z466" s="134"/>
      <c r="AA466" s="10"/>
      <c r="AB466" s="14"/>
      <c r="AC466" s="14"/>
      <c r="AD466" s="14"/>
      <c r="AE466" s="14"/>
      <c r="AF466" s="14"/>
      <c r="AG466" s="14"/>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row>
    <row r="467" spans="2:109" ht="18" customHeight="1" x14ac:dyDescent="0.2">
      <c r="B467" s="454"/>
      <c r="C467" s="455"/>
      <c r="D467" s="456"/>
      <c r="E467" s="462"/>
      <c r="F467" s="988" t="str">
        <f>IF(AND(S464=0,Z464=2),"Brachioradialis","")</f>
        <v>Brachioradialis</v>
      </c>
      <c r="G467" s="989"/>
      <c r="H467" s="989"/>
      <c r="I467" s="989"/>
      <c r="J467" s="989"/>
      <c r="K467" s="990"/>
      <c r="L467" s="82">
        <f>IF(OR(F467="",S467=0,$Z$464=3),0,IF($Z$464=2,0.55,0))</f>
        <v>0</v>
      </c>
      <c r="M467" s="1005"/>
      <c r="N467" s="1005"/>
      <c r="O467" s="86"/>
      <c r="P467" s="291" t="str">
        <f>IF(OR(L467=0,M467="",X467=0),"",X467)</f>
        <v/>
      </c>
      <c r="R467" s="579" t="b">
        <v>0</v>
      </c>
      <c r="S467" s="571">
        <f t="shared" si="72"/>
        <v>0</v>
      </c>
      <c r="T467" s="581">
        <f>SUMIF($T$447:$AH$447,M467,$T$448:$AH$448)</f>
        <v>0</v>
      </c>
      <c r="U467" s="581">
        <f>SUMIF($S$447:$AH$447,O467,$S$448:$AH$448)</f>
        <v>0</v>
      </c>
      <c r="V467" s="581">
        <f t="shared" si="73"/>
        <v>0</v>
      </c>
      <c r="W467" s="581">
        <f t="shared" si="74"/>
        <v>0</v>
      </c>
      <c r="X467" s="581">
        <f t="shared" si="75"/>
        <v>0</v>
      </c>
      <c r="Y467" s="10"/>
      <c r="AB467" s="10"/>
      <c r="AC467" s="10"/>
      <c r="AD467" s="10"/>
      <c r="AE467" s="10"/>
      <c r="AF467" s="10"/>
      <c r="AG467" s="10"/>
      <c r="AH467" s="10"/>
      <c r="AI467" s="10"/>
      <c r="AJ467" s="10"/>
      <c r="AK467" s="10"/>
      <c r="AL467" s="10"/>
      <c r="AM467" s="14"/>
      <c r="AN467" s="10"/>
      <c r="AO467" s="14"/>
      <c r="AP467" s="10"/>
      <c r="AQ467" s="14"/>
      <c r="AR467" s="14"/>
      <c r="AS467" s="14"/>
      <c r="AT467" s="14"/>
      <c r="AU467" s="10"/>
      <c r="AV467" s="14"/>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row>
    <row r="468" spans="2:109" ht="18" customHeight="1" x14ac:dyDescent="0.2">
      <c r="B468" s="454"/>
      <c r="C468" s="455"/>
      <c r="D468" s="456"/>
      <c r="E468" s="462"/>
      <c r="F468" s="742" t="str">
        <f>IF(AND(S464=0,Z464=2),"Extensor carpi radialis longus","")</f>
        <v>Extensor carpi radialis longus</v>
      </c>
      <c r="G468" s="743"/>
      <c r="H468" s="743"/>
      <c r="I468" s="743"/>
      <c r="J468" s="743"/>
      <c r="K468" s="744"/>
      <c r="L468" s="82">
        <f>IF(OR(F468="",S468=0,$Z$464=3),0,IF($Z$464=2,0.55,0))</f>
        <v>0</v>
      </c>
      <c r="M468" s="1005"/>
      <c r="N468" s="1005"/>
      <c r="O468" s="86"/>
      <c r="P468" s="291" t="str">
        <f>IF(OR(L468=0,M468="",X468=0),"",X468)</f>
        <v/>
      </c>
      <c r="R468" s="579" t="b">
        <v>0</v>
      </c>
      <c r="S468" s="571">
        <f t="shared" si="72"/>
        <v>0</v>
      </c>
      <c r="T468" s="581">
        <f>SUMIF($T$447:$AH$447,M468,$T$448:$AH$448)</f>
        <v>0</v>
      </c>
      <c r="U468" s="581">
        <f>SUMIF($S$447:$AH$447,O468,$S$448:$AH$448)</f>
        <v>0</v>
      </c>
      <c r="V468" s="581">
        <f t="shared" si="73"/>
        <v>0</v>
      </c>
      <c r="W468" s="581">
        <f t="shared" si="74"/>
        <v>0</v>
      </c>
      <c r="X468" s="581">
        <f t="shared" si="75"/>
        <v>0</v>
      </c>
      <c r="Y468" s="62"/>
      <c r="Z468" s="139"/>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row>
    <row r="469" spans="2:109" ht="15" customHeight="1" x14ac:dyDescent="0.2">
      <c r="B469" s="1082" t="str">
        <f>IF(P465="ERROR","ERROR: If triceps only, select 'Triceps only.'","")</f>
        <v/>
      </c>
      <c r="C469" s="1083"/>
      <c r="D469" s="1083"/>
      <c r="E469" s="1083"/>
      <c r="F469" s="1083"/>
      <c r="G469" s="1083"/>
      <c r="H469" s="1083"/>
      <c r="I469" s="1083"/>
      <c r="J469" s="1083"/>
      <c r="K469" s="1083"/>
      <c r="L469" s="1084"/>
      <c r="M469" s="1006" t="s">
        <v>1522</v>
      </c>
      <c r="N469" s="1007"/>
      <c r="O469" s="1008"/>
      <c r="P469" s="190">
        <f>IF(SUM(P464:P468)=0,0,AVERAGE(P464:P468))</f>
        <v>0</v>
      </c>
      <c r="R469" s="137"/>
      <c r="S469" s="571">
        <f>SUM(S464:S468)</f>
        <v>0</v>
      </c>
      <c r="T469" s="94"/>
      <c r="U469" s="94"/>
      <c r="V469" s="94"/>
      <c r="W469" s="94"/>
      <c r="X469" s="94"/>
      <c r="Y469" s="62"/>
      <c r="Z469" s="139"/>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row>
    <row r="470" spans="2:109" ht="12" customHeight="1" x14ac:dyDescent="0.2">
      <c r="C470" s="2"/>
      <c r="D470" s="2"/>
      <c r="F470" s="2"/>
      <c r="H470" s="2"/>
      <c r="J470" s="2"/>
      <c r="L470" s="2"/>
      <c r="N470" s="2"/>
      <c r="R470" s="137"/>
      <c r="S470" s="98"/>
      <c r="T470" s="586" t="s">
        <v>1656</v>
      </c>
      <c r="U470" s="586" t="s">
        <v>1565</v>
      </c>
      <c r="V470" s="586" t="s">
        <v>1659</v>
      </c>
      <c r="W470" s="586" t="s">
        <v>1660</v>
      </c>
      <c r="X470" s="586" t="s">
        <v>1661</v>
      </c>
      <c r="Y470" s="62"/>
      <c r="Z470" s="139"/>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row>
    <row r="471" spans="2:109" ht="15" customHeight="1" x14ac:dyDescent="0.2">
      <c r="B471" s="447" t="s">
        <v>1782</v>
      </c>
      <c r="C471" s="463"/>
      <c r="D471" s="448"/>
      <c r="E471" s="462"/>
      <c r="F471" s="991" t="str">
        <f>IF(Z474=1,"","Overall loss at level shown")</f>
        <v>Overall loss at level shown</v>
      </c>
      <c r="G471" s="992"/>
      <c r="H471" s="992"/>
      <c r="I471" s="992"/>
      <c r="J471" s="992"/>
      <c r="K471" s="993"/>
      <c r="L471" s="82">
        <f>IF(OR(F471="",S471=0),0,0.5)</f>
        <v>0</v>
      </c>
      <c r="M471" s="1005"/>
      <c r="N471" s="1005"/>
      <c r="O471" s="86"/>
      <c r="P471" s="291" t="str">
        <f>IF(OR(L471=0,M471=""),"",X471)</f>
        <v/>
      </c>
      <c r="R471" s="579" t="b">
        <v>0</v>
      </c>
      <c r="S471" s="571">
        <f t="shared" si="72"/>
        <v>0</v>
      </c>
      <c r="T471" s="581">
        <f t="shared" ref="T471:T480" si="76">SUMIF($T$447:$AH$447,M471,$T$448:$AH$448)</f>
        <v>0</v>
      </c>
      <c r="U471" s="581">
        <f t="shared" ref="U471:U480" si="77">SUMIF($S$447:$AH$447,O471,$S$448:$AH$448)</f>
        <v>0</v>
      </c>
      <c r="V471" s="581">
        <f>L471*T471</f>
        <v>0</v>
      </c>
      <c r="W471" s="581">
        <f>L471*U471</f>
        <v>0</v>
      </c>
      <c r="X471" s="581">
        <f>(IF(V471-W471&lt;=0,0,V471-W471))</f>
        <v>0</v>
      </c>
      <c r="Y471" s="62"/>
      <c r="Z471" s="139"/>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row>
    <row r="472" spans="2:109" ht="15" customHeight="1" x14ac:dyDescent="0.2">
      <c r="B472" s="461" t="s">
        <v>1783</v>
      </c>
      <c r="C472" s="39"/>
      <c r="D472" s="464"/>
      <c r="E472" s="462"/>
      <c r="F472" s="988" t="str">
        <f>IF($S$471=1,"","Extensor carpi radialis brevis")</f>
        <v>Extensor carpi radialis brevis</v>
      </c>
      <c r="G472" s="989"/>
      <c r="H472" s="989"/>
      <c r="I472" s="989"/>
      <c r="J472" s="989"/>
      <c r="K472" s="990"/>
      <c r="L472" s="82">
        <f>IF(OR(F472="",S472=0),0,0.5)</f>
        <v>0</v>
      </c>
      <c r="M472" s="1005"/>
      <c r="N472" s="1005"/>
      <c r="O472" s="86"/>
      <c r="P472" s="291" t="str">
        <f t="shared" ref="P472:P480" si="78">IF(OR(L472=0,M472="",X472=0),"",X472)</f>
        <v/>
      </c>
      <c r="R472" s="579" t="b">
        <v>0</v>
      </c>
      <c r="S472" s="571">
        <f t="shared" si="72"/>
        <v>0</v>
      </c>
      <c r="T472" s="581">
        <f t="shared" si="76"/>
        <v>0</v>
      </c>
      <c r="U472" s="581">
        <f t="shared" si="77"/>
        <v>0</v>
      </c>
      <c r="V472" s="581">
        <f t="shared" si="73"/>
        <v>0</v>
      </c>
      <c r="W472" s="581">
        <f t="shared" si="74"/>
        <v>0</v>
      </c>
      <c r="X472" s="581">
        <f t="shared" si="75"/>
        <v>0</v>
      </c>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row>
    <row r="473" spans="2:109" ht="15" customHeight="1" x14ac:dyDescent="0.2">
      <c r="B473" s="461" t="s">
        <v>1785</v>
      </c>
      <c r="C473" s="39"/>
      <c r="D473" s="464"/>
      <c r="E473" s="462"/>
      <c r="F473" s="988" t="str">
        <f>IF($S$471=1,"","Supinator longus")</f>
        <v>Supinator longus</v>
      </c>
      <c r="G473" s="989"/>
      <c r="H473" s="989"/>
      <c r="I473" s="989"/>
      <c r="J473" s="989"/>
      <c r="K473" s="990"/>
      <c r="L473" s="82">
        <f t="shared" ref="L473:L480" si="79">IF(OR(F473="",S473=0),0,0.5)</f>
        <v>0</v>
      </c>
      <c r="M473" s="1005"/>
      <c r="N473" s="1005"/>
      <c r="O473" s="86"/>
      <c r="P473" s="291" t="str">
        <f t="shared" si="78"/>
        <v/>
      </c>
      <c r="R473" s="579" t="b">
        <v>0</v>
      </c>
      <c r="S473" s="571">
        <f t="shared" si="72"/>
        <v>0</v>
      </c>
      <c r="T473" s="581">
        <f t="shared" si="76"/>
        <v>0</v>
      </c>
      <c r="U473" s="581">
        <f t="shared" si="77"/>
        <v>0</v>
      </c>
      <c r="V473" s="581">
        <f t="shared" si="73"/>
        <v>0</v>
      </c>
      <c r="W473" s="581">
        <f t="shared" si="74"/>
        <v>0</v>
      </c>
      <c r="X473" s="581">
        <f t="shared" si="75"/>
        <v>0</v>
      </c>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row>
    <row r="474" spans="2:109" ht="15" customHeight="1" x14ac:dyDescent="0.2">
      <c r="B474" s="461"/>
      <c r="C474" s="39"/>
      <c r="D474" s="464"/>
      <c r="E474" s="462"/>
      <c r="F474" s="988" t="str">
        <f>IF($S$471=1,"","Extensor digitorum communis")</f>
        <v>Extensor digitorum communis</v>
      </c>
      <c r="G474" s="989"/>
      <c r="H474" s="989"/>
      <c r="I474" s="989"/>
      <c r="J474" s="989"/>
      <c r="K474" s="990"/>
      <c r="L474" s="82">
        <f t="shared" si="79"/>
        <v>0</v>
      </c>
      <c r="M474" s="1005"/>
      <c r="N474" s="1005"/>
      <c r="O474" s="86"/>
      <c r="P474" s="291" t="str">
        <f t="shared" si="78"/>
        <v/>
      </c>
      <c r="R474" s="579" t="b">
        <v>0</v>
      </c>
      <c r="S474" s="571">
        <f t="shared" si="72"/>
        <v>0</v>
      </c>
      <c r="T474" s="581">
        <f t="shared" si="76"/>
        <v>0</v>
      </c>
      <c r="U474" s="581">
        <f t="shared" si="77"/>
        <v>0</v>
      </c>
      <c r="V474" s="581">
        <f t="shared" si="73"/>
        <v>0</v>
      </c>
      <c r="W474" s="581">
        <f t="shared" si="74"/>
        <v>0</v>
      </c>
      <c r="X474" s="581">
        <f t="shared" si="75"/>
        <v>0</v>
      </c>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row>
    <row r="475" spans="2:109" ht="15" customHeight="1" x14ac:dyDescent="0.2">
      <c r="B475" s="461"/>
      <c r="C475" s="39"/>
      <c r="D475" s="464"/>
      <c r="E475" s="462"/>
      <c r="F475" s="988" t="str">
        <f>IF($S$471=1,"","Extensor digiti quinti")</f>
        <v>Extensor digiti quinti</v>
      </c>
      <c r="G475" s="989"/>
      <c r="H475" s="989"/>
      <c r="I475" s="989"/>
      <c r="J475" s="989"/>
      <c r="K475" s="990"/>
      <c r="L475" s="82">
        <f t="shared" si="79"/>
        <v>0</v>
      </c>
      <c r="M475" s="1005"/>
      <c r="N475" s="1005"/>
      <c r="O475" s="86"/>
      <c r="P475" s="291" t="str">
        <f t="shared" si="78"/>
        <v/>
      </c>
      <c r="R475" s="579" t="b">
        <v>0</v>
      </c>
      <c r="S475" s="571">
        <f t="shared" si="72"/>
        <v>0</v>
      </c>
      <c r="T475" s="581">
        <f t="shared" si="76"/>
        <v>0</v>
      </c>
      <c r="U475" s="581">
        <f t="shared" si="77"/>
        <v>0</v>
      </c>
      <c r="V475" s="581">
        <f t="shared" si="73"/>
        <v>0</v>
      </c>
      <c r="W475" s="581">
        <f t="shared" si="74"/>
        <v>0</v>
      </c>
      <c r="X475" s="581">
        <f t="shared" si="75"/>
        <v>0</v>
      </c>
      <c r="Y475" s="62"/>
      <c r="Z475" s="62"/>
      <c r="AA475" s="62"/>
      <c r="AB475" s="62"/>
      <c r="AC475" s="62"/>
      <c r="AD475" s="62"/>
      <c r="AE475" s="62"/>
      <c r="AF475" s="62"/>
      <c r="AG475" s="62"/>
      <c r="AH475" s="62"/>
      <c r="AI475" s="62"/>
      <c r="AJ475" s="62"/>
      <c r="AK475" s="62"/>
      <c r="AL475" s="62"/>
      <c r="AM475" s="62"/>
      <c r="AN475" s="62"/>
      <c r="AO475" s="62"/>
      <c r="AP475" s="62"/>
      <c r="AQ475" s="62"/>
      <c r="AR475" s="62"/>
      <c r="AS475" s="62"/>
      <c r="AT475" s="62"/>
      <c r="AU475" s="62"/>
      <c r="AV475" s="62"/>
      <c r="AW475" s="62"/>
      <c r="AX475" s="62"/>
      <c r="AY475" s="62"/>
      <c r="AZ475" s="62"/>
      <c r="BA475" s="62"/>
      <c r="BB475" s="62"/>
      <c r="BC475" s="62"/>
      <c r="BD475" s="62"/>
      <c r="BE475" s="62"/>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row>
    <row r="476" spans="2:109" ht="15" customHeight="1" x14ac:dyDescent="0.2">
      <c r="B476" s="461"/>
      <c r="C476" s="39"/>
      <c r="D476" s="464"/>
      <c r="E476" s="462"/>
      <c r="F476" s="988" t="str">
        <f>IF($S$471=1,"","Extensor carpi ulnaris")</f>
        <v>Extensor carpi ulnaris</v>
      </c>
      <c r="G476" s="989"/>
      <c r="H476" s="989"/>
      <c r="I476" s="989"/>
      <c r="J476" s="989"/>
      <c r="K476" s="990"/>
      <c r="L476" s="82">
        <f t="shared" si="79"/>
        <v>0</v>
      </c>
      <c r="M476" s="1005"/>
      <c r="N476" s="1005"/>
      <c r="O476" s="86"/>
      <c r="P476" s="291" t="str">
        <f t="shared" si="78"/>
        <v/>
      </c>
      <c r="R476" s="579" t="b">
        <v>0</v>
      </c>
      <c r="S476" s="571">
        <f t="shared" si="72"/>
        <v>0</v>
      </c>
      <c r="T476" s="581">
        <f t="shared" si="76"/>
        <v>0</v>
      </c>
      <c r="U476" s="581">
        <f t="shared" si="77"/>
        <v>0</v>
      </c>
      <c r="V476" s="581">
        <f t="shared" si="73"/>
        <v>0</v>
      </c>
      <c r="W476" s="581">
        <f t="shared" si="74"/>
        <v>0</v>
      </c>
      <c r="X476" s="581">
        <f t="shared" si="75"/>
        <v>0</v>
      </c>
      <c r="Y476" s="62"/>
      <c r="Z476" s="62"/>
      <c r="AA476" s="62"/>
      <c r="AB476" s="62"/>
      <c r="AC476" s="62"/>
      <c r="AD476" s="62"/>
      <c r="AE476" s="62"/>
      <c r="AF476" s="62"/>
      <c r="AG476" s="62"/>
      <c r="AH476" s="62"/>
      <c r="AI476" s="62"/>
      <c r="AJ476" s="62"/>
      <c r="AK476" s="62"/>
      <c r="AL476" s="62"/>
      <c r="AM476" s="62"/>
      <c r="AN476" s="62"/>
      <c r="AO476" s="62"/>
      <c r="AP476" s="62"/>
      <c r="AQ476" s="62"/>
      <c r="AR476" s="62"/>
      <c r="AS476" s="62"/>
      <c r="AT476" s="62"/>
      <c r="AU476" s="62"/>
      <c r="AV476" s="62"/>
      <c r="AW476" s="62"/>
      <c r="AX476" s="62"/>
      <c r="AY476" s="62"/>
      <c r="AZ476" s="62"/>
      <c r="BA476" s="62"/>
      <c r="BB476" s="62"/>
      <c r="BC476" s="62"/>
      <c r="BD476" s="62"/>
      <c r="BE476" s="62"/>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row>
    <row r="477" spans="2:109" ht="15" customHeight="1" x14ac:dyDescent="0.2">
      <c r="B477" s="461"/>
      <c r="C477" s="39"/>
      <c r="D477" s="464"/>
      <c r="E477" s="462"/>
      <c r="F477" s="988" t="str">
        <f>IF($S$471=1,"","Abductor pollicis longus")</f>
        <v>Abductor pollicis longus</v>
      </c>
      <c r="G477" s="989"/>
      <c r="H477" s="989"/>
      <c r="I477" s="989"/>
      <c r="J477" s="989"/>
      <c r="K477" s="990"/>
      <c r="L477" s="82">
        <f t="shared" si="79"/>
        <v>0</v>
      </c>
      <c r="M477" s="1005"/>
      <c r="N477" s="1005"/>
      <c r="O477" s="86"/>
      <c r="P477" s="291" t="str">
        <f t="shared" si="78"/>
        <v/>
      </c>
      <c r="R477" s="579" t="b">
        <v>0</v>
      </c>
      <c r="S477" s="571">
        <f t="shared" si="72"/>
        <v>0</v>
      </c>
      <c r="T477" s="581">
        <f t="shared" si="76"/>
        <v>0</v>
      </c>
      <c r="U477" s="581">
        <f t="shared" si="77"/>
        <v>0</v>
      </c>
      <c r="V477" s="581">
        <f t="shared" si="73"/>
        <v>0</v>
      </c>
      <c r="W477" s="581">
        <f t="shared" si="74"/>
        <v>0</v>
      </c>
      <c r="X477" s="581">
        <f t="shared" si="75"/>
        <v>0</v>
      </c>
      <c r="Y477" s="62"/>
      <c r="Z477" s="62"/>
      <c r="AA477" s="62"/>
      <c r="AB477" s="62"/>
      <c r="AC477" s="62"/>
      <c r="AD477" s="62"/>
      <c r="AE477" s="62"/>
      <c r="AF477" s="62"/>
      <c r="AG477" s="62"/>
      <c r="AH477" s="62"/>
      <c r="AI477" s="62"/>
      <c r="AJ477" s="62"/>
      <c r="AK477" s="62"/>
      <c r="AL477" s="62"/>
      <c r="AM477" s="62"/>
      <c r="AN477" s="62"/>
      <c r="AO477" s="62"/>
      <c r="AP477" s="62"/>
      <c r="AQ477" s="62"/>
      <c r="AR477" s="62"/>
      <c r="AS477" s="62"/>
      <c r="AT477" s="62"/>
      <c r="AU477" s="62"/>
      <c r="AV477" s="62"/>
      <c r="AW477" s="62"/>
      <c r="AX477" s="62"/>
      <c r="AY477" s="62"/>
      <c r="AZ477" s="62"/>
      <c r="BA477" s="62"/>
      <c r="BB477" s="62"/>
      <c r="BC477" s="62"/>
      <c r="BD477" s="62"/>
      <c r="BE477" s="62"/>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row>
    <row r="478" spans="2:109" ht="15" customHeight="1" x14ac:dyDescent="0.2">
      <c r="B478" s="461"/>
      <c r="C478" s="39"/>
      <c r="D478" s="464"/>
      <c r="E478" s="462"/>
      <c r="F478" s="756" t="str">
        <f>IF($S$471=1,"","Extensor pollicis longus")</f>
        <v>Extensor pollicis longus</v>
      </c>
      <c r="G478" s="757"/>
      <c r="H478" s="757"/>
      <c r="I478" s="757"/>
      <c r="J478" s="757"/>
      <c r="K478" s="758"/>
      <c r="L478" s="82">
        <f t="shared" si="79"/>
        <v>0</v>
      </c>
      <c r="M478" s="1005"/>
      <c r="N478" s="1005"/>
      <c r="O478" s="86"/>
      <c r="P478" s="291" t="str">
        <f t="shared" si="78"/>
        <v/>
      </c>
      <c r="R478" s="579" t="b">
        <v>0</v>
      </c>
      <c r="S478" s="571">
        <f t="shared" si="72"/>
        <v>0</v>
      </c>
      <c r="T478" s="581">
        <f t="shared" si="76"/>
        <v>0</v>
      </c>
      <c r="U478" s="581">
        <f t="shared" si="77"/>
        <v>0</v>
      </c>
      <c r="V478" s="581">
        <f t="shared" si="73"/>
        <v>0</v>
      </c>
      <c r="W478" s="581">
        <f t="shared" si="74"/>
        <v>0</v>
      </c>
      <c r="X478" s="581">
        <f t="shared" si="75"/>
        <v>0</v>
      </c>
      <c r="Y478" s="62"/>
      <c r="Z478" s="62"/>
      <c r="AA478" s="62"/>
      <c r="AB478" s="62"/>
      <c r="AC478" s="62"/>
      <c r="AD478" s="62"/>
      <c r="AE478" s="62"/>
      <c r="AF478" s="62"/>
      <c r="AG478" s="62"/>
      <c r="AH478" s="62"/>
      <c r="AI478" s="62"/>
      <c r="AJ478" s="62"/>
      <c r="AK478" s="62"/>
      <c r="AL478" s="62"/>
      <c r="AM478" s="62"/>
      <c r="AN478" s="62"/>
      <c r="AO478" s="62"/>
      <c r="AP478" s="62"/>
      <c r="AQ478" s="62"/>
      <c r="AR478" s="62"/>
      <c r="AS478" s="62"/>
      <c r="AT478" s="62"/>
      <c r="AU478" s="62"/>
      <c r="AV478" s="62"/>
      <c r="AW478" s="62"/>
      <c r="AX478" s="62"/>
      <c r="AY478" s="62"/>
      <c r="AZ478" s="62"/>
      <c r="BA478" s="62"/>
      <c r="BB478" s="62"/>
      <c r="BC478" s="62"/>
      <c r="BD478" s="62"/>
      <c r="BE478" s="62"/>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row>
    <row r="479" spans="2:109" ht="15" customHeight="1" x14ac:dyDescent="0.2">
      <c r="B479" s="461"/>
      <c r="C479" s="39"/>
      <c r="D479" s="464"/>
      <c r="E479" s="462"/>
      <c r="F479" s="742" t="str">
        <f>IF($S$471=1,"","Extensor pollicis brevis")</f>
        <v>Extensor pollicis brevis</v>
      </c>
      <c r="G479" s="743"/>
      <c r="H479" s="743"/>
      <c r="I479" s="743"/>
      <c r="J479" s="743"/>
      <c r="K479" s="744"/>
      <c r="L479" s="82">
        <f t="shared" si="79"/>
        <v>0</v>
      </c>
      <c r="M479" s="1005"/>
      <c r="N479" s="1005"/>
      <c r="O479" s="86"/>
      <c r="P479" s="291" t="str">
        <f t="shared" si="78"/>
        <v/>
      </c>
      <c r="R479" s="579" t="b">
        <v>0</v>
      </c>
      <c r="S479" s="571">
        <f t="shared" si="72"/>
        <v>0</v>
      </c>
      <c r="T479" s="581">
        <f t="shared" si="76"/>
        <v>0</v>
      </c>
      <c r="U479" s="581">
        <f t="shared" si="77"/>
        <v>0</v>
      </c>
      <c r="V479" s="581">
        <f t="shared" si="73"/>
        <v>0</v>
      </c>
      <c r="W479" s="581">
        <f t="shared" si="74"/>
        <v>0</v>
      </c>
      <c r="X479" s="581">
        <f t="shared" si="75"/>
        <v>0</v>
      </c>
      <c r="Y479" s="14"/>
      <c r="Z479" s="14"/>
      <c r="AA479" s="14"/>
      <c r="AB479" s="14"/>
      <c r="AC479" s="14"/>
      <c r="AD479" s="14"/>
      <c r="AE479" s="14"/>
      <c r="AF479" s="14"/>
      <c r="AG479" s="14"/>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row>
    <row r="480" spans="2:109" ht="15" customHeight="1" x14ac:dyDescent="0.2">
      <c r="B480" s="282"/>
      <c r="C480" s="182"/>
      <c r="D480" s="449"/>
      <c r="E480" s="462"/>
      <c r="F480" s="988" t="str">
        <f>IF($S$471=1,"","Extensor indicis proprius")</f>
        <v>Extensor indicis proprius</v>
      </c>
      <c r="G480" s="989"/>
      <c r="H480" s="989"/>
      <c r="I480" s="989"/>
      <c r="J480" s="989"/>
      <c r="K480" s="990"/>
      <c r="L480" s="82">
        <f t="shared" si="79"/>
        <v>0</v>
      </c>
      <c r="M480" s="1005"/>
      <c r="N480" s="1005"/>
      <c r="O480" s="86"/>
      <c r="P480" s="291" t="str">
        <f t="shared" si="78"/>
        <v/>
      </c>
      <c r="R480" s="579" t="b">
        <v>0</v>
      </c>
      <c r="S480" s="571">
        <f t="shared" si="72"/>
        <v>0</v>
      </c>
      <c r="T480" s="581">
        <f t="shared" si="76"/>
        <v>0</v>
      </c>
      <c r="U480" s="581">
        <f t="shared" si="77"/>
        <v>0</v>
      </c>
      <c r="V480" s="581">
        <f t="shared" si="73"/>
        <v>0</v>
      </c>
      <c r="W480" s="581">
        <f t="shared" si="74"/>
        <v>0</v>
      </c>
      <c r="X480" s="581">
        <f t="shared" si="75"/>
        <v>0</v>
      </c>
      <c r="Y480" s="14"/>
      <c r="Z480" s="14"/>
      <c r="AA480" s="14"/>
      <c r="AB480" s="14"/>
      <c r="AC480" s="14"/>
      <c r="AD480" s="14"/>
      <c r="AE480" s="14"/>
      <c r="AF480" s="14"/>
      <c r="AG480" s="14"/>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row>
    <row r="481" spans="1:109" ht="15" customHeight="1" x14ac:dyDescent="0.2">
      <c r="B481" s="1045" t="s">
        <v>503</v>
      </c>
      <c r="C481" s="1045"/>
      <c r="D481" s="1045"/>
      <c r="E481" s="956"/>
      <c r="F481" s="956"/>
      <c r="G481" s="956"/>
      <c r="H481" s="956"/>
      <c r="I481" s="956"/>
      <c r="J481" s="956"/>
      <c r="K481" s="956"/>
      <c r="L481" s="956"/>
      <c r="M481" s="956"/>
      <c r="N481" s="956"/>
      <c r="O481" s="956"/>
      <c r="P481" s="190">
        <f>IF(SUM(P471:P480)=0,0,AVERAGE(P471:P480))</f>
        <v>0</v>
      </c>
      <c r="R481" s="128"/>
      <c r="S481" s="98"/>
      <c r="T481" s="10"/>
      <c r="U481" s="94"/>
      <c r="V481" s="94"/>
      <c r="W481" s="94"/>
      <c r="X481" s="94"/>
      <c r="Y481" s="14"/>
      <c r="Z481" s="14"/>
      <c r="AA481" s="14"/>
      <c r="AB481" s="14"/>
      <c r="AC481" s="14"/>
      <c r="AD481" s="14"/>
      <c r="AE481" s="14"/>
      <c r="AF481" s="14"/>
      <c r="AG481" s="14"/>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row>
    <row r="482" spans="1:109" ht="15" customHeight="1" x14ac:dyDescent="0.2">
      <c r="A482" s="128"/>
      <c r="B482" s="128"/>
      <c r="C482" s="128"/>
      <c r="D482" s="128"/>
      <c r="E482" s="128"/>
      <c r="F482" s="128"/>
      <c r="G482" s="128"/>
      <c r="H482" s="128"/>
      <c r="I482" s="128"/>
      <c r="J482" s="128"/>
      <c r="K482" s="128"/>
      <c r="L482" s="128"/>
      <c r="M482" s="128"/>
      <c r="N482" s="128"/>
      <c r="O482" s="128"/>
      <c r="P482" s="128"/>
      <c r="Q482" s="128"/>
      <c r="R482" s="128"/>
      <c r="S482" s="98"/>
      <c r="T482" s="586" t="s">
        <v>1656</v>
      </c>
      <c r="U482" s="586" t="s">
        <v>1565</v>
      </c>
      <c r="V482" s="586" t="s">
        <v>1659</v>
      </c>
      <c r="W482" s="586" t="s">
        <v>1660</v>
      </c>
      <c r="X482" s="586" t="s">
        <v>1661</v>
      </c>
      <c r="Y482" s="14"/>
      <c r="Z482" s="14"/>
      <c r="AA482" s="14"/>
      <c r="AB482" s="14"/>
      <c r="AC482" s="14"/>
      <c r="AD482" s="14"/>
      <c r="AE482" s="14"/>
      <c r="AF482" s="14"/>
      <c r="AG482" s="14"/>
      <c r="AH482" s="10"/>
      <c r="AI482" s="10"/>
      <c r="AJ482" s="10"/>
      <c r="AK482" s="10"/>
      <c r="AL482" s="10"/>
      <c r="AM482" s="10"/>
      <c r="AN482" s="10"/>
      <c r="AO482" s="10"/>
      <c r="AP482" s="10"/>
      <c r="AQ482" s="10"/>
      <c r="AR482" s="10"/>
      <c r="AS482" s="10"/>
      <c r="AT482" s="10"/>
    </row>
    <row r="483" spans="1:109" ht="15" customHeight="1" x14ac:dyDescent="0.2">
      <c r="B483" s="451" t="s">
        <v>501</v>
      </c>
      <c r="C483" s="452"/>
      <c r="D483" s="453"/>
      <c r="E483" s="462"/>
      <c r="F483" s="991" t="str">
        <f>IF(Z486=1,"","Overall loss at level shown")</f>
        <v/>
      </c>
      <c r="G483" s="992"/>
      <c r="H483" s="992"/>
      <c r="I483" s="992"/>
      <c r="J483" s="992"/>
      <c r="K483" s="993"/>
      <c r="L483" s="82">
        <f>IF(OR(F483="",$S$483=0),0,IF($Z$486=2,0.69,IF($Z$486=3,0.44,0)))</f>
        <v>0</v>
      </c>
      <c r="M483" s="1005"/>
      <c r="N483" s="1005"/>
      <c r="O483" s="86"/>
      <c r="P483" s="291" t="str">
        <f>IF(OR(L483=0,M483=""),"",X483)</f>
        <v/>
      </c>
      <c r="R483" s="546" t="b">
        <v>0</v>
      </c>
      <c r="S483" s="571">
        <f t="shared" ref="S483:S495" si="80">IF(R483=TRUE,1,0)</f>
        <v>0</v>
      </c>
      <c r="T483" s="581">
        <f t="shared" ref="T483:T495" si="81">SUMIF($T$447:$AH$447,M483,$T$448:$AH$448)</f>
        <v>0</v>
      </c>
      <c r="U483" s="581">
        <f t="shared" ref="U483:U495" si="82">SUMIF($S$447:$AH$447,O483,$S$448:$AH$448)</f>
        <v>0</v>
      </c>
      <c r="V483" s="581">
        <f t="shared" ref="V483:V495" si="83">L483*T483</f>
        <v>0</v>
      </c>
      <c r="W483" s="581">
        <f t="shared" ref="W483:W495" si="84">L483*U483</f>
        <v>0</v>
      </c>
      <c r="X483" s="581">
        <f t="shared" ref="X483:X495" si="85">(IF(V483-W483&lt;=0,0,V483-W483))</f>
        <v>0</v>
      </c>
      <c r="Y483" s="14"/>
      <c r="Z483" s="14"/>
      <c r="AA483" s="14"/>
      <c r="AB483" s="14"/>
      <c r="AC483" s="14"/>
      <c r="AD483" s="14"/>
      <c r="AE483" s="94"/>
      <c r="AF483" s="14"/>
      <c r="AG483" s="14"/>
      <c r="AH483" s="10"/>
      <c r="AI483" s="10"/>
      <c r="AJ483" s="14"/>
      <c r="AK483" s="10"/>
      <c r="AL483" s="14"/>
      <c r="AM483" s="10"/>
      <c r="AN483" s="10"/>
      <c r="AO483" s="10"/>
      <c r="AP483" s="10"/>
      <c r="AQ483" s="10"/>
      <c r="AR483" s="10"/>
      <c r="AS483" s="10"/>
      <c r="AT483" s="10"/>
    </row>
    <row r="484" spans="1:109" ht="15" customHeight="1" x14ac:dyDescent="0.2">
      <c r="B484" s="454"/>
      <c r="C484" s="455"/>
      <c r="D484" s="456"/>
      <c r="E484" s="462"/>
      <c r="F484" s="988" t="str">
        <f>IF(OR($Z$486=1,$S$483=1),"","Pronator teres")</f>
        <v/>
      </c>
      <c r="G484" s="989"/>
      <c r="H484" s="989"/>
      <c r="I484" s="989"/>
      <c r="J484" s="989"/>
      <c r="K484" s="990"/>
      <c r="L484" s="82">
        <f t="shared" ref="L484:L495" si="86">IF(OR(F484="",S484=0,$S$483=1),0,IF($Z$486=2,0.69,IF($Z$486=3,0.44,0)))</f>
        <v>0</v>
      </c>
      <c r="M484" s="1005"/>
      <c r="N484" s="1005"/>
      <c r="O484" s="86"/>
      <c r="P484" s="291" t="str">
        <f t="shared" ref="P484:P495" si="87">IF(OR(L484=0,M484="",X484=0),"",X484)</f>
        <v/>
      </c>
      <c r="R484" s="546" t="b">
        <v>0</v>
      </c>
      <c r="S484" s="571">
        <f t="shared" si="80"/>
        <v>0</v>
      </c>
      <c r="T484" s="581">
        <f t="shared" si="81"/>
        <v>0</v>
      </c>
      <c r="U484" s="581">
        <f t="shared" si="82"/>
        <v>0</v>
      </c>
      <c r="V484" s="581">
        <f t="shared" si="83"/>
        <v>0</v>
      </c>
      <c r="W484" s="581">
        <f t="shared" si="84"/>
        <v>0</v>
      </c>
      <c r="X484" s="581">
        <f t="shared" si="85"/>
        <v>0</v>
      </c>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row>
    <row r="485" spans="1:109" ht="15" customHeight="1" x14ac:dyDescent="0.2">
      <c r="B485" s="454"/>
      <c r="C485" s="455"/>
      <c r="D485" s="456"/>
      <c r="E485" s="462"/>
      <c r="F485" s="742" t="str">
        <f>IF(OR($Z$486=1,$S$483=1),"","Flexor carpi radialis")</f>
        <v/>
      </c>
      <c r="G485" s="743"/>
      <c r="H485" s="743"/>
      <c r="I485" s="743"/>
      <c r="J485" s="743"/>
      <c r="K485" s="744"/>
      <c r="L485" s="82">
        <f t="shared" si="86"/>
        <v>0</v>
      </c>
      <c r="M485" s="1005"/>
      <c r="N485" s="1005"/>
      <c r="O485" s="86"/>
      <c r="P485" s="291" t="str">
        <f t="shared" si="87"/>
        <v/>
      </c>
      <c r="R485" s="579" t="b">
        <v>0</v>
      </c>
      <c r="S485" s="571">
        <f t="shared" si="80"/>
        <v>0</v>
      </c>
      <c r="T485" s="581">
        <f t="shared" si="81"/>
        <v>0</v>
      </c>
      <c r="U485" s="581">
        <f t="shared" si="82"/>
        <v>0</v>
      </c>
      <c r="V485" s="581">
        <f t="shared" si="83"/>
        <v>0</v>
      </c>
      <c r="W485" s="581">
        <f t="shared" si="84"/>
        <v>0</v>
      </c>
      <c r="X485" s="581">
        <f t="shared" si="85"/>
        <v>0</v>
      </c>
      <c r="Y485" s="14"/>
      <c r="Z485" s="134"/>
      <c r="AA485" s="10"/>
      <c r="AB485" s="14"/>
      <c r="AC485" s="14"/>
      <c r="AD485" s="14"/>
      <c r="AE485" s="14"/>
      <c r="AF485" s="14"/>
      <c r="AG485" s="14"/>
      <c r="AH485" s="10"/>
      <c r="AI485" s="10"/>
      <c r="AJ485" s="10"/>
      <c r="AK485" s="10"/>
      <c r="AL485" s="10"/>
      <c r="AM485" s="10"/>
      <c r="AN485" s="10"/>
      <c r="AO485" s="10"/>
      <c r="AP485" s="10"/>
      <c r="AQ485" s="10"/>
      <c r="AR485" s="10"/>
      <c r="AS485" s="10"/>
      <c r="AT485" s="10"/>
    </row>
    <row r="486" spans="1:109" ht="15" customHeight="1" x14ac:dyDescent="0.2">
      <c r="B486" s="454"/>
      <c r="C486" s="455"/>
      <c r="D486" s="456"/>
      <c r="E486" s="462"/>
      <c r="F486" s="988" t="str">
        <f>IF(OR($Z$486=1,$S$483=1),"","Palmaris longus")</f>
        <v/>
      </c>
      <c r="G486" s="989"/>
      <c r="H486" s="989"/>
      <c r="I486" s="989"/>
      <c r="J486" s="989"/>
      <c r="K486" s="990"/>
      <c r="L486" s="82">
        <f t="shared" si="86"/>
        <v>0</v>
      </c>
      <c r="M486" s="1005"/>
      <c r="N486" s="1005"/>
      <c r="O486" s="86"/>
      <c r="P486" s="291" t="str">
        <f t="shared" si="87"/>
        <v/>
      </c>
      <c r="R486" s="579" t="b">
        <v>0</v>
      </c>
      <c r="S486" s="571">
        <f t="shared" si="80"/>
        <v>0</v>
      </c>
      <c r="T486" s="581">
        <f t="shared" si="81"/>
        <v>0</v>
      </c>
      <c r="U486" s="581">
        <f t="shared" si="82"/>
        <v>0</v>
      </c>
      <c r="V486" s="581">
        <f t="shared" si="83"/>
        <v>0</v>
      </c>
      <c r="W486" s="581">
        <f t="shared" si="84"/>
        <v>0</v>
      </c>
      <c r="X486" s="581">
        <f t="shared" si="85"/>
        <v>0</v>
      </c>
      <c r="Y486" s="10"/>
      <c r="Z486" s="584">
        <v>1</v>
      </c>
      <c r="AA486" s="585" t="s">
        <v>502</v>
      </c>
      <c r="AB486" s="565"/>
      <c r="AC486" s="566"/>
      <c r="AD486" s="10"/>
      <c r="AE486" s="10"/>
      <c r="AF486" s="10"/>
      <c r="AG486" s="10"/>
      <c r="AH486" s="10"/>
      <c r="AI486" s="10"/>
      <c r="AJ486" s="10"/>
      <c r="AK486" s="10"/>
      <c r="AL486" s="10"/>
      <c r="AM486" s="14"/>
      <c r="AN486" s="10"/>
      <c r="AO486" s="14"/>
      <c r="AP486" s="10"/>
      <c r="AQ486" s="14"/>
      <c r="AR486" s="14"/>
      <c r="AS486" s="14"/>
      <c r="AT486" s="14"/>
      <c r="AV486" s="151"/>
    </row>
    <row r="487" spans="1:109" ht="15" customHeight="1" x14ac:dyDescent="0.2">
      <c r="B487" s="454"/>
      <c r="C487" s="455"/>
      <c r="D487" s="456"/>
      <c r="E487" s="462"/>
      <c r="F487" s="742" t="str">
        <f>IF(OR($Z$486=1,$S$483=1),"","Flexor digitorum sublimis")</f>
        <v/>
      </c>
      <c r="G487" s="743"/>
      <c r="H487" s="743"/>
      <c r="I487" s="743"/>
      <c r="J487" s="743"/>
      <c r="K487" s="744"/>
      <c r="L487" s="82">
        <f t="shared" si="86"/>
        <v>0</v>
      </c>
      <c r="M487" s="1005"/>
      <c r="N487" s="1005"/>
      <c r="O487" s="86"/>
      <c r="P487" s="291" t="str">
        <f t="shared" si="87"/>
        <v/>
      </c>
      <c r="R487" s="579" t="b">
        <v>0</v>
      </c>
      <c r="S487" s="571">
        <f t="shared" si="80"/>
        <v>0</v>
      </c>
      <c r="T487" s="581">
        <f t="shared" si="81"/>
        <v>0</v>
      </c>
      <c r="U487" s="581">
        <f t="shared" si="82"/>
        <v>0</v>
      </c>
      <c r="V487" s="581">
        <f t="shared" si="83"/>
        <v>0</v>
      </c>
      <c r="W487" s="581">
        <f t="shared" si="84"/>
        <v>0</v>
      </c>
      <c r="X487" s="581">
        <f t="shared" si="85"/>
        <v>0</v>
      </c>
      <c r="Y487" s="62"/>
      <c r="Z487" s="139"/>
      <c r="AA487" s="62"/>
      <c r="AB487" s="62"/>
      <c r="AC487" s="62"/>
      <c r="AD487" s="62"/>
      <c r="AE487" s="62"/>
      <c r="AF487" s="62"/>
      <c r="AG487" s="62"/>
      <c r="AH487" s="62"/>
      <c r="AI487" s="62"/>
      <c r="AJ487" s="62"/>
      <c r="AK487" s="62"/>
      <c r="AL487" s="62"/>
      <c r="AM487" s="62"/>
      <c r="AN487" s="62"/>
      <c r="AO487" s="62"/>
      <c r="AP487" s="62"/>
      <c r="AQ487" s="62"/>
      <c r="AR487" s="62"/>
      <c r="AS487" s="62"/>
      <c r="AT487" s="62"/>
      <c r="AU487" s="373"/>
      <c r="AV487" s="373"/>
      <c r="AW487" s="373"/>
      <c r="AX487" s="373"/>
      <c r="AY487" s="373"/>
      <c r="AZ487" s="373"/>
      <c r="BA487" s="373"/>
      <c r="BB487" s="373"/>
      <c r="BC487" s="373"/>
      <c r="BD487" s="373"/>
      <c r="BE487" s="373"/>
    </row>
    <row r="488" spans="1:109" ht="15" customHeight="1" x14ac:dyDescent="0.2">
      <c r="B488" s="454"/>
      <c r="C488" s="455"/>
      <c r="D488" s="456"/>
      <c r="E488" s="462"/>
      <c r="F488" s="988" t="str">
        <f>IF(OR($Z$486=1,$S$483=1),"","Flexor digitorum profundus")</f>
        <v/>
      </c>
      <c r="G488" s="989"/>
      <c r="H488" s="989"/>
      <c r="I488" s="989"/>
      <c r="J488" s="989"/>
      <c r="K488" s="990"/>
      <c r="L488" s="82">
        <f t="shared" si="86"/>
        <v>0</v>
      </c>
      <c r="M488" s="1005"/>
      <c r="N488" s="1005"/>
      <c r="O488" s="86"/>
      <c r="P488" s="291" t="str">
        <f t="shared" si="87"/>
        <v/>
      </c>
      <c r="R488" s="579" t="b">
        <v>0</v>
      </c>
      <c r="S488" s="571">
        <f t="shared" si="80"/>
        <v>0</v>
      </c>
      <c r="T488" s="581">
        <f t="shared" si="81"/>
        <v>0</v>
      </c>
      <c r="U488" s="581">
        <f t="shared" si="82"/>
        <v>0</v>
      </c>
      <c r="V488" s="581">
        <f t="shared" si="83"/>
        <v>0</v>
      </c>
      <c r="W488" s="581">
        <f t="shared" si="84"/>
        <v>0</v>
      </c>
      <c r="X488" s="581">
        <f t="shared" si="85"/>
        <v>0</v>
      </c>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373"/>
      <c r="AV488" s="373"/>
      <c r="AW488" s="373"/>
      <c r="AX488" s="373"/>
      <c r="AY488" s="373"/>
      <c r="AZ488" s="373"/>
      <c r="BA488" s="373"/>
      <c r="BB488" s="373"/>
      <c r="BC488" s="373"/>
      <c r="BD488" s="373"/>
      <c r="BE488" s="373"/>
    </row>
    <row r="489" spans="1:109" ht="15" customHeight="1" x14ac:dyDescent="0.2">
      <c r="B489" s="454"/>
      <c r="C489" s="455"/>
      <c r="D489" s="456"/>
      <c r="E489" s="462"/>
      <c r="F489" s="988" t="str">
        <f>IF(OR($Z$486=1,$S$483=1),"","Flexor pollicis longus")</f>
        <v/>
      </c>
      <c r="G489" s="989"/>
      <c r="H489" s="989"/>
      <c r="I489" s="989"/>
      <c r="J489" s="989"/>
      <c r="K489" s="990"/>
      <c r="L489" s="82">
        <f t="shared" si="86"/>
        <v>0</v>
      </c>
      <c r="M489" s="1005"/>
      <c r="N489" s="1005"/>
      <c r="O489" s="86"/>
      <c r="P489" s="291" t="str">
        <f t="shared" si="87"/>
        <v/>
      </c>
      <c r="R489" s="579" t="b">
        <v>0</v>
      </c>
      <c r="S489" s="571">
        <f t="shared" si="80"/>
        <v>0</v>
      </c>
      <c r="T489" s="581">
        <f t="shared" si="81"/>
        <v>0</v>
      </c>
      <c r="U489" s="581">
        <f t="shared" si="82"/>
        <v>0</v>
      </c>
      <c r="V489" s="581">
        <f t="shared" si="83"/>
        <v>0</v>
      </c>
      <c r="W489" s="581">
        <f t="shared" si="84"/>
        <v>0</v>
      </c>
      <c r="X489" s="581">
        <f t="shared" si="85"/>
        <v>0</v>
      </c>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373"/>
      <c r="AV489" s="373"/>
      <c r="AW489" s="373"/>
      <c r="AX489" s="373"/>
      <c r="AY489" s="373"/>
      <c r="AZ489" s="373"/>
      <c r="BA489" s="373"/>
      <c r="BB489" s="373"/>
      <c r="BC489" s="373"/>
      <c r="BD489" s="373"/>
      <c r="BE489" s="373"/>
    </row>
    <row r="490" spans="1:109" ht="15" customHeight="1" x14ac:dyDescent="0.2">
      <c r="B490" s="454"/>
      <c r="C490" s="455"/>
      <c r="D490" s="456"/>
      <c r="E490" s="462"/>
      <c r="F490" s="988" t="str">
        <f>IF(OR($Z$486=1,$S$483=1),"","Pronator quadratus")</f>
        <v/>
      </c>
      <c r="G490" s="989"/>
      <c r="H490" s="989"/>
      <c r="I490" s="989"/>
      <c r="J490" s="989"/>
      <c r="K490" s="990"/>
      <c r="L490" s="82">
        <f t="shared" si="86"/>
        <v>0</v>
      </c>
      <c r="M490" s="1005"/>
      <c r="N490" s="1005"/>
      <c r="O490" s="86"/>
      <c r="P490" s="291" t="str">
        <f t="shared" si="87"/>
        <v/>
      </c>
      <c r="R490" s="579" t="b">
        <v>0</v>
      </c>
      <c r="S490" s="571">
        <f t="shared" si="80"/>
        <v>0</v>
      </c>
      <c r="T490" s="581">
        <f t="shared" si="81"/>
        <v>0</v>
      </c>
      <c r="U490" s="581">
        <f t="shared" si="82"/>
        <v>0</v>
      </c>
      <c r="V490" s="581">
        <f t="shared" si="83"/>
        <v>0</v>
      </c>
      <c r="W490" s="581">
        <f t="shared" si="84"/>
        <v>0</v>
      </c>
      <c r="X490" s="581">
        <f t="shared" si="85"/>
        <v>0</v>
      </c>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373"/>
      <c r="AV490" s="373"/>
      <c r="AW490" s="373"/>
      <c r="AX490" s="373"/>
      <c r="AY490" s="373"/>
      <c r="AZ490" s="373"/>
      <c r="BA490" s="373"/>
      <c r="BB490" s="373"/>
      <c r="BC490" s="373"/>
      <c r="BD490" s="373"/>
      <c r="BE490" s="373"/>
    </row>
    <row r="491" spans="1:109" ht="15" customHeight="1" x14ac:dyDescent="0.2">
      <c r="B491" s="454"/>
      <c r="C491" s="455"/>
      <c r="D491" s="456"/>
      <c r="E491" s="462"/>
      <c r="F491" s="988" t="str">
        <f>IF(OR($Z$486=1,$S$483=1),"","Abductor pollicis brevis")</f>
        <v/>
      </c>
      <c r="G491" s="989"/>
      <c r="H491" s="989"/>
      <c r="I491" s="989"/>
      <c r="J491" s="989"/>
      <c r="K491" s="990"/>
      <c r="L491" s="82">
        <f t="shared" si="86"/>
        <v>0</v>
      </c>
      <c r="M491" s="1005"/>
      <c r="N491" s="1005"/>
      <c r="O491" s="86"/>
      <c r="P491" s="291" t="str">
        <f t="shared" si="87"/>
        <v/>
      </c>
      <c r="R491" s="579" t="b">
        <v>0</v>
      </c>
      <c r="S491" s="571">
        <f t="shared" si="80"/>
        <v>0</v>
      </c>
      <c r="T491" s="581">
        <f t="shared" si="81"/>
        <v>0</v>
      </c>
      <c r="U491" s="581">
        <f t="shared" si="82"/>
        <v>0</v>
      </c>
      <c r="V491" s="581">
        <f t="shared" si="83"/>
        <v>0</v>
      </c>
      <c r="W491" s="581">
        <f t="shared" si="84"/>
        <v>0</v>
      </c>
      <c r="X491" s="581">
        <f t="shared" si="85"/>
        <v>0</v>
      </c>
      <c r="Y491" s="62"/>
      <c r="Z491" s="62"/>
      <c r="AA491" s="62"/>
      <c r="AB491" s="62"/>
      <c r="AC491" s="62"/>
      <c r="AD491" s="62"/>
      <c r="AE491" s="62"/>
      <c r="AF491" s="62"/>
      <c r="AG491" s="62"/>
      <c r="AH491" s="62"/>
      <c r="AI491" s="62"/>
      <c r="AJ491" s="62"/>
      <c r="AK491" s="62"/>
      <c r="AL491" s="62"/>
      <c r="AM491" s="62"/>
      <c r="AN491" s="62"/>
      <c r="AO491" s="62"/>
      <c r="AP491" s="62"/>
      <c r="AQ491" s="62"/>
      <c r="AR491" s="62"/>
      <c r="AS491" s="62"/>
      <c r="AT491" s="62"/>
      <c r="AU491" s="373"/>
      <c r="AV491" s="373"/>
      <c r="AW491" s="373"/>
      <c r="AX491" s="373"/>
      <c r="AY491" s="373"/>
      <c r="AZ491" s="373"/>
      <c r="BA491" s="373"/>
      <c r="BB491" s="373"/>
      <c r="BC491" s="373"/>
      <c r="BD491" s="373"/>
      <c r="BE491" s="373"/>
    </row>
    <row r="492" spans="1:109" ht="15" customHeight="1" x14ac:dyDescent="0.2">
      <c r="B492" s="454"/>
      <c r="C492" s="455"/>
      <c r="D492" s="456"/>
      <c r="E492" s="462"/>
      <c r="F492" s="988" t="str">
        <f>IF(OR($Z$486=1,$S$483=1),"","Opponens pollicis")</f>
        <v/>
      </c>
      <c r="G492" s="989"/>
      <c r="H492" s="989"/>
      <c r="I492" s="989"/>
      <c r="J492" s="989"/>
      <c r="K492" s="990"/>
      <c r="L492" s="82">
        <f t="shared" si="86"/>
        <v>0</v>
      </c>
      <c r="M492" s="1005"/>
      <c r="N492" s="1005"/>
      <c r="O492" s="86"/>
      <c r="P492" s="291" t="str">
        <f t="shared" si="87"/>
        <v/>
      </c>
      <c r="R492" s="579" t="b">
        <v>0</v>
      </c>
      <c r="S492" s="571">
        <f t="shared" si="80"/>
        <v>0</v>
      </c>
      <c r="T492" s="581">
        <f t="shared" si="81"/>
        <v>0</v>
      </c>
      <c r="U492" s="581">
        <f t="shared" si="82"/>
        <v>0</v>
      </c>
      <c r="V492" s="581">
        <f t="shared" si="83"/>
        <v>0</v>
      </c>
      <c r="W492" s="581">
        <f t="shared" si="84"/>
        <v>0</v>
      </c>
      <c r="X492" s="581">
        <f t="shared" si="85"/>
        <v>0</v>
      </c>
      <c r="Y492" s="62"/>
      <c r="Z492" s="62"/>
      <c r="AA492" s="62"/>
      <c r="AB492" s="62"/>
      <c r="AC492" s="62"/>
      <c r="AD492" s="62"/>
      <c r="AE492" s="62"/>
      <c r="AF492" s="62"/>
      <c r="AG492" s="62"/>
      <c r="AH492" s="62"/>
      <c r="AI492" s="62"/>
      <c r="AJ492" s="62"/>
      <c r="AK492" s="62"/>
      <c r="AL492" s="62"/>
      <c r="AM492" s="62"/>
      <c r="AN492" s="62"/>
      <c r="AO492" s="62"/>
      <c r="AP492" s="62"/>
      <c r="AQ492" s="62"/>
      <c r="AR492" s="62"/>
      <c r="AS492" s="62"/>
      <c r="AT492" s="62"/>
      <c r="AU492" s="373"/>
      <c r="AV492" s="373"/>
      <c r="AW492" s="373"/>
      <c r="AX492" s="373"/>
      <c r="AY492" s="373"/>
      <c r="AZ492" s="373"/>
      <c r="BA492" s="373"/>
      <c r="BB492" s="373"/>
      <c r="BC492" s="373"/>
      <c r="BD492" s="373"/>
      <c r="BE492" s="373"/>
    </row>
    <row r="493" spans="1:109" ht="15" customHeight="1" x14ac:dyDescent="0.2">
      <c r="B493" s="454"/>
      <c r="C493" s="455"/>
      <c r="D493" s="456"/>
      <c r="E493" s="462"/>
      <c r="F493" s="988" t="str">
        <f>IF(OR($Z$486=1,$S$483=1),"","Flexor pollicis brevis")</f>
        <v/>
      </c>
      <c r="G493" s="989"/>
      <c r="H493" s="989"/>
      <c r="I493" s="989"/>
      <c r="J493" s="989"/>
      <c r="K493" s="990"/>
      <c r="L493" s="82">
        <f t="shared" si="86"/>
        <v>0</v>
      </c>
      <c r="M493" s="1005"/>
      <c r="N493" s="1005"/>
      <c r="O493" s="86"/>
      <c r="P493" s="291" t="str">
        <f t="shared" si="87"/>
        <v/>
      </c>
      <c r="R493" s="579" t="b">
        <v>0</v>
      </c>
      <c r="S493" s="571">
        <f t="shared" si="80"/>
        <v>0</v>
      </c>
      <c r="T493" s="581">
        <f t="shared" si="81"/>
        <v>0</v>
      </c>
      <c r="U493" s="581">
        <f t="shared" si="82"/>
        <v>0</v>
      </c>
      <c r="V493" s="581">
        <f t="shared" si="83"/>
        <v>0</v>
      </c>
      <c r="W493" s="581">
        <f t="shared" si="84"/>
        <v>0</v>
      </c>
      <c r="X493" s="581">
        <f t="shared" si="85"/>
        <v>0</v>
      </c>
      <c r="Y493" s="62"/>
      <c r="Z493" s="62"/>
      <c r="AA493" s="62"/>
      <c r="AB493" s="62"/>
      <c r="AC493" s="62"/>
      <c r="AD493" s="62"/>
      <c r="AE493" s="62"/>
      <c r="AF493" s="62"/>
      <c r="AG493" s="62"/>
      <c r="AH493" s="62"/>
      <c r="AI493" s="62"/>
      <c r="AJ493" s="62"/>
      <c r="AK493" s="62"/>
      <c r="AL493" s="62"/>
      <c r="AM493" s="62"/>
      <c r="AN493" s="62"/>
      <c r="AO493" s="62"/>
      <c r="AP493" s="62"/>
      <c r="AQ493" s="62"/>
      <c r="AR493" s="62"/>
      <c r="AS493" s="62"/>
      <c r="AT493" s="62"/>
      <c r="AU493" s="373"/>
      <c r="AV493" s="373"/>
      <c r="AW493" s="373"/>
      <c r="AX493" s="373"/>
      <c r="AY493" s="373"/>
      <c r="AZ493" s="373"/>
      <c r="BA493" s="373"/>
      <c r="BB493" s="373"/>
      <c r="BC493" s="373"/>
      <c r="BD493" s="373"/>
      <c r="BE493" s="373"/>
    </row>
    <row r="494" spans="1:109" ht="15" customHeight="1" x14ac:dyDescent="0.2">
      <c r="B494" s="454"/>
      <c r="C494" s="455"/>
      <c r="D494" s="456"/>
      <c r="E494" s="462"/>
      <c r="F494" s="756" t="str">
        <f>IF(OR($Z$486=1,$S$483=1),"","Lumbricales I")</f>
        <v/>
      </c>
      <c r="G494" s="757"/>
      <c r="H494" s="757"/>
      <c r="I494" s="757"/>
      <c r="J494" s="757"/>
      <c r="K494" s="758"/>
      <c r="L494" s="82">
        <f t="shared" si="86"/>
        <v>0</v>
      </c>
      <c r="M494" s="1005"/>
      <c r="N494" s="1005"/>
      <c r="O494" s="86"/>
      <c r="P494" s="291" t="str">
        <f t="shared" si="87"/>
        <v/>
      </c>
      <c r="R494" s="579" t="b">
        <v>0</v>
      </c>
      <c r="S494" s="571">
        <f t="shared" si="80"/>
        <v>0</v>
      </c>
      <c r="T494" s="581">
        <f t="shared" si="81"/>
        <v>0</v>
      </c>
      <c r="U494" s="581">
        <f t="shared" si="82"/>
        <v>0</v>
      </c>
      <c r="V494" s="581">
        <f t="shared" si="83"/>
        <v>0</v>
      </c>
      <c r="W494" s="581">
        <f t="shared" si="84"/>
        <v>0</v>
      </c>
      <c r="X494" s="581">
        <f t="shared" si="85"/>
        <v>0</v>
      </c>
      <c r="Y494" s="62"/>
      <c r="Z494" s="62"/>
      <c r="AA494" s="62"/>
      <c r="AB494" s="62"/>
      <c r="AC494" s="62"/>
      <c r="AD494" s="62"/>
      <c r="AE494" s="62"/>
      <c r="AF494" s="62"/>
      <c r="AG494" s="62"/>
      <c r="AH494" s="62"/>
      <c r="AI494" s="62"/>
      <c r="AJ494" s="62"/>
      <c r="AK494" s="62"/>
      <c r="AL494" s="62"/>
      <c r="AM494" s="62"/>
      <c r="AN494" s="62"/>
      <c r="AO494" s="62"/>
      <c r="AP494" s="62"/>
      <c r="AQ494" s="62"/>
      <c r="AR494" s="62"/>
      <c r="AS494" s="62"/>
      <c r="AT494" s="62"/>
      <c r="AU494" s="373"/>
      <c r="AV494" s="373"/>
      <c r="AW494" s="373"/>
      <c r="AX494" s="373"/>
      <c r="AY494" s="373"/>
      <c r="AZ494" s="373"/>
      <c r="BA494" s="373"/>
      <c r="BB494" s="373"/>
      <c r="BC494" s="373"/>
      <c r="BD494" s="373"/>
      <c r="BE494" s="373"/>
    </row>
    <row r="495" spans="1:109" ht="15" customHeight="1" x14ac:dyDescent="0.2">
      <c r="B495" s="457"/>
      <c r="C495" s="458"/>
      <c r="D495" s="459"/>
      <c r="E495" s="462"/>
      <c r="F495" s="742" t="str">
        <f>IF(OR($Z$486=1,$S$483=1),"","Lumbricales II")</f>
        <v/>
      </c>
      <c r="G495" s="743"/>
      <c r="H495" s="743"/>
      <c r="I495" s="743"/>
      <c r="J495" s="743"/>
      <c r="K495" s="744"/>
      <c r="L495" s="82">
        <f t="shared" si="86"/>
        <v>0</v>
      </c>
      <c r="M495" s="1005"/>
      <c r="N495" s="1005"/>
      <c r="O495" s="86"/>
      <c r="P495" s="291" t="str">
        <f t="shared" si="87"/>
        <v/>
      </c>
      <c r="R495" s="579" t="b">
        <v>0</v>
      </c>
      <c r="S495" s="571">
        <f t="shared" si="80"/>
        <v>0</v>
      </c>
      <c r="T495" s="581">
        <f t="shared" si="81"/>
        <v>0</v>
      </c>
      <c r="U495" s="581">
        <f t="shared" si="82"/>
        <v>0</v>
      </c>
      <c r="V495" s="581">
        <f t="shared" si="83"/>
        <v>0</v>
      </c>
      <c r="W495" s="581">
        <f t="shared" si="84"/>
        <v>0</v>
      </c>
      <c r="X495" s="581">
        <f t="shared" si="85"/>
        <v>0</v>
      </c>
      <c r="Y495" s="14"/>
      <c r="Z495" s="14"/>
      <c r="AA495" s="14"/>
      <c r="AB495" s="14"/>
      <c r="AC495" s="14"/>
      <c r="AD495" s="14"/>
      <c r="AE495" s="14"/>
      <c r="AF495" s="14"/>
      <c r="AG495" s="14"/>
      <c r="AH495" s="10"/>
      <c r="AI495" s="10"/>
      <c r="AJ495" s="10"/>
      <c r="AK495" s="10"/>
      <c r="AL495" s="10"/>
      <c r="AM495" s="10"/>
      <c r="AN495" s="10"/>
      <c r="AO495" s="10"/>
      <c r="AP495" s="10"/>
      <c r="AQ495" s="10"/>
      <c r="AR495" s="10"/>
      <c r="AS495" s="10"/>
      <c r="AT495" s="10"/>
    </row>
    <row r="496" spans="1:109" ht="15" customHeight="1" x14ac:dyDescent="0.2">
      <c r="B496" s="994" t="s">
        <v>503</v>
      </c>
      <c r="C496" s="994"/>
      <c r="D496" s="994"/>
      <c r="E496" s="957"/>
      <c r="F496" s="957"/>
      <c r="G496" s="957"/>
      <c r="H496" s="957"/>
      <c r="I496" s="957"/>
      <c r="J496" s="957"/>
      <c r="K496" s="957"/>
      <c r="L496" s="957"/>
      <c r="M496" s="957"/>
      <c r="N496" s="957"/>
      <c r="O496" s="957"/>
      <c r="P496" s="291">
        <f>IF(SUM(P483:P495)=0,0,AVERAGE(P483:P495))</f>
        <v>0</v>
      </c>
      <c r="R496" s="10"/>
      <c r="S496" s="98"/>
      <c r="T496" s="98"/>
      <c r="U496" s="94"/>
      <c r="V496" s="96"/>
      <c r="W496" s="96"/>
      <c r="X496" s="96"/>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row>
    <row r="497" spans="2:46" ht="12" customHeight="1" x14ac:dyDescent="0.2">
      <c r="B497" s="777"/>
      <c r="C497" s="777"/>
      <c r="D497" s="777"/>
      <c r="E497" s="777"/>
      <c r="F497" s="777"/>
      <c r="G497" s="777"/>
      <c r="H497" s="777"/>
      <c r="I497" s="777"/>
      <c r="J497" s="777"/>
      <c r="K497" s="777"/>
      <c r="L497" s="777"/>
      <c r="M497" s="777"/>
      <c r="N497" s="777"/>
      <c r="O497" s="777"/>
      <c r="P497" s="89"/>
      <c r="R497" s="10"/>
      <c r="S497" s="98"/>
      <c r="T497" s="98"/>
      <c r="U497" s="94"/>
      <c r="V497" s="96"/>
      <c r="W497" s="96"/>
      <c r="X497" s="96"/>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row>
    <row r="498" spans="2:46" ht="12" customHeight="1" x14ac:dyDescent="0.2">
      <c r="B498" s="777"/>
      <c r="C498" s="777"/>
      <c r="D498" s="777"/>
      <c r="E498" s="1004"/>
      <c r="F498" s="1004"/>
      <c r="G498" s="1004"/>
      <c r="H498" s="1004"/>
      <c r="I498" s="1004"/>
      <c r="J498" s="1004"/>
      <c r="K498" s="1004"/>
      <c r="L498" s="1004"/>
      <c r="M498" s="1004"/>
      <c r="N498" s="1004"/>
      <c r="O498" s="1004"/>
      <c r="P498" s="90"/>
      <c r="R498" s="10"/>
      <c r="S498" s="98"/>
      <c r="T498" s="98"/>
      <c r="U498" s="94"/>
      <c r="V498" s="96"/>
      <c r="W498" s="96"/>
      <c r="X498" s="96"/>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row>
    <row r="499" spans="2:46" ht="15" customHeight="1" x14ac:dyDescent="0.2">
      <c r="B499" s="451" t="s">
        <v>79</v>
      </c>
      <c r="C499" s="452"/>
      <c r="D499" s="453"/>
      <c r="E499" s="460"/>
      <c r="F499" s="791" t="str">
        <f>IF(Z501=1,"","Overall loss at level shown")</f>
        <v/>
      </c>
      <c r="G499" s="791"/>
      <c r="H499" s="791"/>
      <c r="I499" s="791"/>
      <c r="J499" s="791"/>
      <c r="K499" s="791"/>
      <c r="L499" s="82">
        <f>IF(OR(F499="",S499=0),0,IF($Z$501=2,0.44,IF($Z$501=3,0.31,0)))</f>
        <v>0</v>
      </c>
      <c r="M499" s="1005"/>
      <c r="N499" s="1005"/>
      <c r="O499" s="86"/>
      <c r="P499" s="291" t="str">
        <f>IF(OR(L499=0,M499=""),"",X499)</f>
        <v/>
      </c>
      <c r="R499" s="546" t="b">
        <v>0</v>
      </c>
      <c r="S499" s="571">
        <f t="shared" ref="S499:S509" si="88">IF(R499=TRUE,1,0)</f>
        <v>0</v>
      </c>
      <c r="T499" s="581">
        <f t="shared" ref="T499:T509" si="89">SUMIF($T$447:$AH$447,M499,$T$448:$AH$448)</f>
        <v>0</v>
      </c>
      <c r="U499" s="581">
        <f t="shared" ref="U499:U509" si="90">SUMIF($S$447:$AH$447,O499,$S$448:$AH$448)</f>
        <v>0</v>
      </c>
      <c r="V499" s="581">
        <f t="shared" ref="V499:V509" si="91">L499*T499</f>
        <v>0</v>
      </c>
      <c r="W499" s="581">
        <f t="shared" ref="W499:W509" si="92">L499*U499</f>
        <v>0</v>
      </c>
      <c r="X499" s="581">
        <f t="shared" ref="X499:X509" si="93">(IF(V499-W499&lt;=0,0,V499-W499))</f>
        <v>0</v>
      </c>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row>
    <row r="500" spans="2:46" ht="15" customHeight="1" x14ac:dyDescent="0.2">
      <c r="B500" s="454"/>
      <c r="C500" s="455"/>
      <c r="D500" s="456"/>
      <c r="E500" s="460"/>
      <c r="F500" s="791" t="str">
        <f>IF(OR($Z$501=1,$S$499=1),"","Flexor carpi ulnaris")</f>
        <v/>
      </c>
      <c r="G500" s="791"/>
      <c r="H500" s="791"/>
      <c r="I500" s="791"/>
      <c r="J500" s="791"/>
      <c r="K500" s="791"/>
      <c r="L500" s="82">
        <f t="shared" ref="L500:L509" si="94">IF(OR(F500="",S500=0,$S$499=1),0,IF($Z$501=2,0.44,IF($Z$501=3,0.31,0)))</f>
        <v>0</v>
      </c>
      <c r="M500" s="1005"/>
      <c r="N500" s="1005"/>
      <c r="O500" s="86"/>
      <c r="P500" s="291" t="str">
        <f t="shared" ref="P500:P509" si="95">IF(OR(L500=0,M500="",X500=0),"",X500)</f>
        <v/>
      </c>
      <c r="R500" s="546" t="b">
        <v>0</v>
      </c>
      <c r="S500" s="571">
        <f t="shared" si="88"/>
        <v>0</v>
      </c>
      <c r="T500" s="581">
        <f t="shared" si="89"/>
        <v>0</v>
      </c>
      <c r="U500" s="581">
        <f t="shared" si="90"/>
        <v>0</v>
      </c>
      <c r="V500" s="581">
        <f t="shared" si="91"/>
        <v>0</v>
      </c>
      <c r="W500" s="581">
        <f t="shared" si="92"/>
        <v>0</v>
      </c>
      <c r="X500" s="581">
        <f t="shared" si="93"/>
        <v>0</v>
      </c>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row>
    <row r="501" spans="2:46" ht="27" customHeight="1" x14ac:dyDescent="0.2">
      <c r="B501" s="454"/>
      <c r="C501" s="455"/>
      <c r="D501" s="456"/>
      <c r="E501" s="460"/>
      <c r="F501" s="761" t="str">
        <f>IF(OR($Z$501=1,$S$499=1),"","Flexor digitorum profundus (medial half)")</f>
        <v/>
      </c>
      <c r="G501" s="761"/>
      <c r="H501" s="761"/>
      <c r="I501" s="761"/>
      <c r="J501" s="761"/>
      <c r="K501" s="761"/>
      <c r="L501" s="82">
        <f t="shared" si="94"/>
        <v>0</v>
      </c>
      <c r="M501" s="1005"/>
      <c r="N501" s="1005"/>
      <c r="O501" s="86"/>
      <c r="P501" s="291" t="str">
        <f t="shared" si="95"/>
        <v/>
      </c>
      <c r="R501" s="546" t="b">
        <v>0</v>
      </c>
      <c r="S501" s="571">
        <f t="shared" si="88"/>
        <v>0</v>
      </c>
      <c r="T501" s="581">
        <f t="shared" si="89"/>
        <v>0</v>
      </c>
      <c r="U501" s="581">
        <f t="shared" si="90"/>
        <v>0</v>
      </c>
      <c r="V501" s="581">
        <f t="shared" si="91"/>
        <v>0</v>
      </c>
      <c r="W501" s="581">
        <f t="shared" si="92"/>
        <v>0</v>
      </c>
      <c r="X501" s="581">
        <f t="shared" si="93"/>
        <v>0</v>
      </c>
      <c r="Y501" s="10"/>
      <c r="Z501" s="584">
        <v>1</v>
      </c>
      <c r="AA501" s="585" t="s">
        <v>80</v>
      </c>
      <c r="AB501" s="565"/>
      <c r="AC501" s="566"/>
      <c r="AD501" s="10"/>
      <c r="AE501" s="10"/>
      <c r="AF501" s="10"/>
      <c r="AG501" s="10"/>
      <c r="AH501" s="10"/>
      <c r="AI501" s="10"/>
      <c r="AJ501" s="10"/>
      <c r="AK501" s="10"/>
      <c r="AL501" s="10"/>
      <c r="AM501" s="10"/>
      <c r="AN501" s="10"/>
      <c r="AO501" s="10"/>
      <c r="AP501" s="10"/>
      <c r="AQ501" s="10"/>
      <c r="AR501" s="10"/>
      <c r="AS501" s="10"/>
      <c r="AT501" s="10"/>
    </row>
    <row r="502" spans="2:46" ht="15" customHeight="1" x14ac:dyDescent="0.2">
      <c r="B502" s="454"/>
      <c r="C502" s="455"/>
      <c r="D502" s="456"/>
      <c r="E502" s="460"/>
      <c r="F502" s="791" t="str">
        <f>IF(OR($Z$501=1,$S$499=1),"","Flexor digiti quinti brevis")</f>
        <v/>
      </c>
      <c r="G502" s="791"/>
      <c r="H502" s="791"/>
      <c r="I502" s="791"/>
      <c r="J502" s="791"/>
      <c r="K502" s="791"/>
      <c r="L502" s="82">
        <f t="shared" si="94"/>
        <v>0</v>
      </c>
      <c r="M502" s="1005"/>
      <c r="N502" s="1005"/>
      <c r="O502" s="86"/>
      <c r="P502" s="291" t="str">
        <f t="shared" si="95"/>
        <v/>
      </c>
      <c r="R502" s="546" t="b">
        <v>0</v>
      </c>
      <c r="S502" s="571">
        <f t="shared" si="88"/>
        <v>0</v>
      </c>
      <c r="T502" s="581">
        <f t="shared" si="89"/>
        <v>0</v>
      </c>
      <c r="U502" s="581">
        <f t="shared" si="90"/>
        <v>0</v>
      </c>
      <c r="V502" s="581">
        <f t="shared" si="91"/>
        <v>0</v>
      </c>
      <c r="W502" s="581">
        <f t="shared" si="92"/>
        <v>0</v>
      </c>
      <c r="X502" s="581">
        <f t="shared" si="93"/>
        <v>0</v>
      </c>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row>
    <row r="503" spans="2:46" ht="15" customHeight="1" x14ac:dyDescent="0.2">
      <c r="B503" s="454"/>
      <c r="C503" s="455"/>
      <c r="D503" s="456"/>
      <c r="E503" s="460"/>
      <c r="F503" s="791" t="str">
        <f>IF(OR($Z$501=1,$S$499=1),"","Abductor digiti quinti")</f>
        <v/>
      </c>
      <c r="G503" s="791"/>
      <c r="H503" s="791"/>
      <c r="I503" s="791"/>
      <c r="J503" s="791"/>
      <c r="K503" s="791"/>
      <c r="L503" s="82">
        <f t="shared" si="94"/>
        <v>0</v>
      </c>
      <c r="M503" s="1005"/>
      <c r="N503" s="1005"/>
      <c r="O503" s="86"/>
      <c r="P503" s="291" t="str">
        <f t="shared" si="95"/>
        <v/>
      </c>
      <c r="R503" s="546" t="b">
        <v>0</v>
      </c>
      <c r="S503" s="571">
        <f t="shared" si="88"/>
        <v>0</v>
      </c>
      <c r="T503" s="581">
        <f t="shared" si="89"/>
        <v>0</v>
      </c>
      <c r="U503" s="581">
        <f t="shared" si="90"/>
        <v>0</v>
      </c>
      <c r="V503" s="581">
        <f t="shared" si="91"/>
        <v>0</v>
      </c>
      <c r="W503" s="581">
        <f t="shared" si="92"/>
        <v>0</v>
      </c>
      <c r="X503" s="581">
        <f t="shared" si="93"/>
        <v>0</v>
      </c>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row>
    <row r="504" spans="2:46" ht="15" customHeight="1" x14ac:dyDescent="0.2">
      <c r="B504" s="454"/>
      <c r="C504" s="455"/>
      <c r="D504" s="456"/>
      <c r="E504" s="460"/>
      <c r="F504" s="791" t="str">
        <f>IF(OR($Z$501=1,$S$499=1),"","Opponens digiti quinti")</f>
        <v/>
      </c>
      <c r="G504" s="791"/>
      <c r="H504" s="791"/>
      <c r="I504" s="791"/>
      <c r="J504" s="791"/>
      <c r="K504" s="791"/>
      <c r="L504" s="82">
        <f t="shared" si="94"/>
        <v>0</v>
      </c>
      <c r="M504" s="1005"/>
      <c r="N504" s="1005"/>
      <c r="O504" s="86"/>
      <c r="P504" s="291" t="str">
        <f t="shared" si="95"/>
        <v/>
      </c>
      <c r="R504" s="546" t="b">
        <v>0</v>
      </c>
      <c r="S504" s="571">
        <f t="shared" si="88"/>
        <v>0</v>
      </c>
      <c r="T504" s="581">
        <f t="shared" si="89"/>
        <v>0</v>
      </c>
      <c r="U504" s="581">
        <f t="shared" si="90"/>
        <v>0</v>
      </c>
      <c r="V504" s="581">
        <f t="shared" si="91"/>
        <v>0</v>
      </c>
      <c r="W504" s="581">
        <f t="shared" si="92"/>
        <v>0</v>
      </c>
      <c r="X504" s="581">
        <f t="shared" si="93"/>
        <v>0</v>
      </c>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row>
    <row r="505" spans="2:46" ht="15" customHeight="1" x14ac:dyDescent="0.2">
      <c r="B505" s="454"/>
      <c r="C505" s="455"/>
      <c r="D505" s="456"/>
      <c r="E505" s="460"/>
      <c r="F505" s="791" t="str">
        <f>IF(OR($Z$501=1,$S$499=1),"","Interossei")</f>
        <v/>
      </c>
      <c r="G505" s="791"/>
      <c r="H505" s="791"/>
      <c r="I505" s="791"/>
      <c r="J505" s="791"/>
      <c r="K505" s="791"/>
      <c r="L505" s="82">
        <f t="shared" si="94"/>
        <v>0</v>
      </c>
      <c r="M505" s="1005"/>
      <c r="N505" s="1005"/>
      <c r="O505" s="86"/>
      <c r="P505" s="291" t="str">
        <f t="shared" si="95"/>
        <v/>
      </c>
      <c r="R505" s="546" t="b">
        <v>0</v>
      </c>
      <c r="S505" s="571">
        <f t="shared" si="88"/>
        <v>0</v>
      </c>
      <c r="T505" s="581">
        <f t="shared" si="89"/>
        <v>0</v>
      </c>
      <c r="U505" s="581">
        <f t="shared" si="90"/>
        <v>0</v>
      </c>
      <c r="V505" s="581">
        <f t="shared" si="91"/>
        <v>0</v>
      </c>
      <c r="W505" s="581">
        <f t="shared" si="92"/>
        <v>0</v>
      </c>
      <c r="X505" s="581">
        <f t="shared" si="93"/>
        <v>0</v>
      </c>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row>
    <row r="506" spans="2:46" ht="15" customHeight="1" x14ac:dyDescent="0.2">
      <c r="B506" s="454"/>
      <c r="C506" s="455"/>
      <c r="D506" s="456"/>
      <c r="E506" s="465"/>
      <c r="F506" s="791" t="str">
        <f>IF(OR($Z$501=1,$S$499=1),"","Lumbricales III")</f>
        <v/>
      </c>
      <c r="G506" s="791"/>
      <c r="H506" s="791"/>
      <c r="I506" s="791"/>
      <c r="J506" s="791"/>
      <c r="K506" s="791"/>
      <c r="L506" s="82">
        <f t="shared" si="94"/>
        <v>0</v>
      </c>
      <c r="M506" s="1005"/>
      <c r="N506" s="1005"/>
      <c r="O506" s="86"/>
      <c r="P506" s="291" t="str">
        <f t="shared" si="95"/>
        <v/>
      </c>
      <c r="R506" s="546" t="b">
        <v>0</v>
      </c>
      <c r="S506" s="571">
        <f t="shared" si="88"/>
        <v>0</v>
      </c>
      <c r="T506" s="581">
        <f t="shared" si="89"/>
        <v>0</v>
      </c>
      <c r="U506" s="581">
        <f t="shared" si="90"/>
        <v>0</v>
      </c>
      <c r="V506" s="581">
        <f t="shared" si="91"/>
        <v>0</v>
      </c>
      <c r="W506" s="581">
        <f t="shared" si="92"/>
        <v>0</v>
      </c>
      <c r="X506" s="581">
        <f t="shared" si="93"/>
        <v>0</v>
      </c>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row>
    <row r="507" spans="2:46" ht="15" customHeight="1" x14ac:dyDescent="0.2">
      <c r="B507" s="454"/>
      <c r="C507" s="455"/>
      <c r="D507" s="456"/>
      <c r="E507" s="460"/>
      <c r="F507" s="791" t="str">
        <f>IF(OR($Z$501=1,$S$499=1),"","Lumbricales IV")</f>
        <v/>
      </c>
      <c r="G507" s="791"/>
      <c r="H507" s="791"/>
      <c r="I507" s="791"/>
      <c r="J507" s="791"/>
      <c r="K507" s="791"/>
      <c r="L507" s="82">
        <f t="shared" si="94"/>
        <v>0</v>
      </c>
      <c r="M507" s="1005"/>
      <c r="N507" s="1005"/>
      <c r="O507" s="86"/>
      <c r="P507" s="291" t="str">
        <f t="shared" si="95"/>
        <v/>
      </c>
      <c r="R507" s="546" t="b">
        <v>0</v>
      </c>
      <c r="S507" s="571">
        <f t="shared" si="88"/>
        <v>0</v>
      </c>
      <c r="T507" s="581">
        <f t="shared" si="89"/>
        <v>0</v>
      </c>
      <c r="U507" s="581">
        <f t="shared" si="90"/>
        <v>0</v>
      </c>
      <c r="V507" s="581">
        <f t="shared" si="91"/>
        <v>0</v>
      </c>
      <c r="W507" s="581">
        <f t="shared" si="92"/>
        <v>0</v>
      </c>
      <c r="X507" s="581">
        <f t="shared" si="93"/>
        <v>0</v>
      </c>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row>
    <row r="508" spans="2:46" ht="15" customHeight="1" x14ac:dyDescent="0.2">
      <c r="B508" s="454"/>
      <c r="C508" s="455"/>
      <c r="D508" s="456"/>
      <c r="E508" s="460"/>
      <c r="F508" s="791" t="str">
        <f>IF(OR($Z$501=1,$S$499=1),"","Adductor pollicis")</f>
        <v/>
      </c>
      <c r="G508" s="791"/>
      <c r="H508" s="791"/>
      <c r="I508" s="791"/>
      <c r="J508" s="791"/>
      <c r="K508" s="791"/>
      <c r="L508" s="82">
        <f t="shared" si="94"/>
        <v>0</v>
      </c>
      <c r="M508" s="1005"/>
      <c r="N508" s="1005"/>
      <c r="O508" s="86"/>
      <c r="P508" s="291" t="str">
        <f t="shared" si="95"/>
        <v/>
      </c>
      <c r="R508" s="546" t="b">
        <v>0</v>
      </c>
      <c r="S508" s="571">
        <f t="shared" si="88"/>
        <v>0</v>
      </c>
      <c r="T508" s="581">
        <f t="shared" si="89"/>
        <v>0</v>
      </c>
      <c r="U508" s="581">
        <f t="shared" si="90"/>
        <v>0</v>
      </c>
      <c r="V508" s="581">
        <f t="shared" si="91"/>
        <v>0</v>
      </c>
      <c r="W508" s="581">
        <f t="shared" si="92"/>
        <v>0</v>
      </c>
      <c r="X508" s="581">
        <f t="shared" si="93"/>
        <v>0</v>
      </c>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row>
    <row r="509" spans="2:46" ht="27" customHeight="1" x14ac:dyDescent="0.2">
      <c r="B509" s="457"/>
      <c r="C509" s="458"/>
      <c r="D509" s="459"/>
      <c r="E509" s="460"/>
      <c r="F509" s="761" t="str">
        <f>IF(OR($Z$501=1,$S$499=1),"","Flexor pollicis brevis 
(deep part)")</f>
        <v/>
      </c>
      <c r="G509" s="761"/>
      <c r="H509" s="761"/>
      <c r="I509" s="761"/>
      <c r="J509" s="761"/>
      <c r="K509" s="761"/>
      <c r="L509" s="82">
        <f t="shared" si="94"/>
        <v>0</v>
      </c>
      <c r="M509" s="1005"/>
      <c r="N509" s="1005"/>
      <c r="O509" s="86"/>
      <c r="P509" s="291" t="str">
        <f t="shared" si="95"/>
        <v/>
      </c>
      <c r="R509" s="546" t="b">
        <v>0</v>
      </c>
      <c r="S509" s="571">
        <f t="shared" si="88"/>
        <v>0</v>
      </c>
      <c r="T509" s="581">
        <f t="shared" si="89"/>
        <v>0</v>
      </c>
      <c r="U509" s="581">
        <f t="shared" si="90"/>
        <v>0</v>
      </c>
      <c r="V509" s="581">
        <f t="shared" si="91"/>
        <v>0</v>
      </c>
      <c r="W509" s="581">
        <f t="shared" si="92"/>
        <v>0</v>
      </c>
      <c r="X509" s="581">
        <f t="shared" si="93"/>
        <v>0</v>
      </c>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row>
    <row r="510" spans="2:46" ht="15" customHeight="1" x14ac:dyDescent="0.2">
      <c r="B510" s="957" t="s">
        <v>503</v>
      </c>
      <c r="C510" s="957"/>
      <c r="D510" s="957"/>
      <c r="E510" s="957"/>
      <c r="F510" s="957"/>
      <c r="G510" s="957"/>
      <c r="H510" s="957"/>
      <c r="I510" s="957"/>
      <c r="J510" s="957"/>
      <c r="K510" s="957"/>
      <c r="L510" s="957"/>
      <c r="M510" s="957"/>
      <c r="N510" s="957"/>
      <c r="O510" s="957"/>
      <c r="P510" s="190">
        <f>IF(SUM(P499:P509)=0,0,AVERAGE(P499:P509))</f>
        <v>0</v>
      </c>
      <c r="R510" s="10"/>
      <c r="S510" s="98"/>
      <c r="T510" s="98"/>
      <c r="U510" s="94"/>
      <c r="V510" s="94"/>
      <c r="W510" s="94"/>
      <c r="X510" s="94"/>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row>
    <row r="511" spans="2:46" ht="12" customHeight="1" x14ac:dyDescent="0.2">
      <c r="B511" s="10"/>
      <c r="C511" s="10"/>
      <c r="D511" s="10"/>
      <c r="E511" s="10"/>
      <c r="F511" s="10"/>
      <c r="G511" s="10"/>
      <c r="H511" s="10"/>
      <c r="I511" s="10"/>
      <c r="J511" s="10"/>
      <c r="K511" s="10"/>
      <c r="L511" s="10"/>
      <c r="M511" s="10"/>
      <c r="N511" s="10"/>
      <c r="O511" s="10"/>
      <c r="P511" s="10"/>
      <c r="R511" s="10"/>
      <c r="S511" s="98"/>
      <c r="T511" s="98"/>
      <c r="U511" s="94"/>
      <c r="V511" s="94"/>
      <c r="W511" s="94"/>
      <c r="X511" s="94"/>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row>
    <row r="512" spans="2:46" ht="18" customHeight="1" x14ac:dyDescent="0.2">
      <c r="B512" s="957" t="s">
        <v>81</v>
      </c>
      <c r="C512" s="957"/>
      <c r="D512" s="957"/>
      <c r="E512" s="957"/>
      <c r="F512" s="957"/>
      <c r="G512" s="957"/>
      <c r="H512" s="957"/>
      <c r="I512" s="957"/>
      <c r="J512" s="957"/>
      <c r="K512" s="957"/>
      <c r="L512" s="957"/>
      <c r="M512" s="957"/>
      <c r="N512" s="957"/>
      <c r="O512" s="957"/>
      <c r="P512" s="281">
        <f>AD451</f>
        <v>0</v>
      </c>
      <c r="Q512" s="1"/>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row>
    <row r="513" spans="1:46" ht="12" customHeight="1" x14ac:dyDescent="0.2">
      <c r="B513" s="10"/>
      <c r="C513" s="10"/>
      <c r="D513" s="10"/>
      <c r="E513" s="10"/>
      <c r="F513" s="10"/>
      <c r="G513" s="10"/>
      <c r="H513" s="10"/>
      <c r="I513" s="10"/>
      <c r="J513" s="10"/>
      <c r="K513" s="10"/>
      <c r="L513" s="10"/>
      <c r="M513" s="10"/>
      <c r="N513" s="10"/>
      <c r="O513" s="10"/>
      <c r="P513" s="10"/>
      <c r="Q513" s="1"/>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row>
    <row r="514" spans="1:46" ht="18" customHeight="1" x14ac:dyDescent="0.2">
      <c r="B514" s="957" t="s">
        <v>82</v>
      </c>
      <c r="C514" s="957"/>
      <c r="D514" s="957"/>
      <c r="E514" s="957"/>
      <c r="F514" s="957"/>
      <c r="G514" s="957"/>
      <c r="H514" s="957"/>
      <c r="I514" s="957"/>
      <c r="J514" s="957"/>
      <c r="K514" s="957"/>
      <c r="L514" s="957"/>
      <c r="M514" s="957"/>
      <c r="N514" s="957"/>
      <c r="O514" s="957"/>
      <c r="P514" s="281">
        <f>AI457</f>
        <v>0</v>
      </c>
      <c r="Q514" s="1"/>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row>
    <row r="515" spans="1:46" ht="12" customHeight="1" x14ac:dyDescent="0.2">
      <c r="B515" s="777"/>
      <c r="C515" s="777"/>
      <c r="D515" s="777"/>
      <c r="E515" s="777"/>
      <c r="F515" s="777"/>
      <c r="G515" s="777"/>
      <c r="H515" s="777"/>
      <c r="I515" s="777"/>
      <c r="J515" s="777"/>
      <c r="K515" s="777"/>
      <c r="L515" s="777"/>
      <c r="M515" s="777"/>
      <c r="N515" s="777"/>
      <c r="O515" s="777"/>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row>
    <row r="516" spans="1:46" ht="18" customHeight="1" x14ac:dyDescent="0.2">
      <c r="B516" s="912" t="s">
        <v>83</v>
      </c>
      <c r="C516" s="910"/>
      <c r="D516" s="910"/>
      <c r="E516" s="910"/>
      <c r="F516" s="910"/>
      <c r="G516" s="910"/>
      <c r="H516" s="910"/>
      <c r="I516" s="910"/>
      <c r="J516" s="910"/>
      <c r="K516" s="910"/>
      <c r="L516" s="910"/>
      <c r="M516" s="910"/>
      <c r="N516" s="910"/>
      <c r="O516" s="910"/>
      <c r="P516" s="83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row>
    <row r="517" spans="1:46" ht="40.5" customHeight="1" x14ac:dyDescent="0.2">
      <c r="B517" s="761" t="s">
        <v>758</v>
      </c>
      <c r="C517" s="761"/>
      <c r="D517" s="761"/>
      <c r="E517" s="761"/>
      <c r="F517" s="761"/>
      <c r="G517" s="761"/>
      <c r="H517" s="761"/>
      <c r="I517" s="761"/>
      <c r="J517" s="761"/>
      <c r="K517" s="761"/>
      <c r="L517" s="761"/>
      <c r="M517" s="761"/>
      <c r="N517" s="761"/>
      <c r="O517" s="761"/>
      <c r="P517" s="832"/>
      <c r="R517" s="256" t="s">
        <v>2148</v>
      </c>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row>
    <row r="518" spans="1:46" ht="19.5" customHeight="1" x14ac:dyDescent="0.2">
      <c r="A518" s="15"/>
      <c r="B518" s="791" t="s">
        <v>932</v>
      </c>
      <c r="C518" s="791"/>
      <c r="D518" s="791"/>
      <c r="E518" s="791"/>
      <c r="F518" s="791"/>
      <c r="G518" s="791"/>
      <c r="H518" s="791"/>
      <c r="I518" s="791"/>
      <c r="J518" s="791"/>
      <c r="K518" s="791"/>
      <c r="L518" s="1002"/>
      <c r="M518" s="1002"/>
      <c r="N518" s="1002"/>
      <c r="O518" s="1002"/>
      <c r="P518" s="21">
        <f>IF(R518=1,0.05,0)</f>
        <v>0</v>
      </c>
      <c r="R518" s="546">
        <v>2</v>
      </c>
      <c r="S518" s="10"/>
      <c r="T518" s="10"/>
      <c r="U518" s="10"/>
      <c r="V518" s="10"/>
      <c r="W518" s="10">
        <v>1E-4</v>
      </c>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row>
    <row r="519" spans="1:46" ht="12" customHeight="1" x14ac:dyDescent="0.2">
      <c r="B519" s="777"/>
      <c r="C519" s="777"/>
      <c r="D519" s="777"/>
      <c r="E519" s="777"/>
      <c r="F519" s="777"/>
      <c r="G519" s="777"/>
      <c r="H519" s="777"/>
      <c r="I519" s="777"/>
      <c r="J519" s="777"/>
      <c r="K519" s="777"/>
      <c r="L519" s="777"/>
      <c r="M519" s="777"/>
      <c r="N519" s="777"/>
      <c r="O519" s="777"/>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row>
    <row r="520" spans="1:46" ht="18" customHeight="1" x14ac:dyDescent="0.2">
      <c r="B520" s="910" t="s">
        <v>84</v>
      </c>
      <c r="C520" s="910"/>
      <c r="D520" s="910"/>
      <c r="E520" s="910"/>
      <c r="F520" s="910"/>
      <c r="G520" s="910"/>
      <c r="H520" s="910"/>
      <c r="I520" s="910"/>
      <c r="J520" s="910"/>
      <c r="K520" s="910"/>
      <c r="L520" s="910"/>
      <c r="M520" s="910"/>
      <c r="N520" s="910"/>
      <c r="O520" s="910"/>
      <c r="P520" s="9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row>
    <row r="521" spans="1:46" ht="67.5" customHeight="1" x14ac:dyDescent="0.2">
      <c r="B521" s="761" t="s">
        <v>751</v>
      </c>
      <c r="C521" s="761"/>
      <c r="D521" s="761"/>
      <c r="E521" s="761"/>
      <c r="F521" s="761"/>
      <c r="G521" s="761"/>
      <c r="H521" s="761"/>
      <c r="I521" s="761"/>
      <c r="J521" s="761"/>
      <c r="K521" s="761"/>
      <c r="L521" s="761"/>
      <c r="M521" s="761"/>
      <c r="N521" s="761"/>
      <c r="O521" s="761"/>
      <c r="P521" s="910"/>
      <c r="R521" s="256" t="s">
        <v>85</v>
      </c>
      <c r="S521" s="256" t="s">
        <v>485</v>
      </c>
      <c r="T521" s="256" t="s">
        <v>2150</v>
      </c>
      <c r="U521" s="256" t="s">
        <v>2151</v>
      </c>
      <c r="V521" s="127" t="s">
        <v>2152</v>
      </c>
      <c r="W521" s="127" t="s">
        <v>2153</v>
      </c>
      <c r="X521" s="50"/>
      <c r="Y521" s="50" t="s">
        <v>722</v>
      </c>
      <c r="Z521" s="50" t="s">
        <v>1285</v>
      </c>
      <c r="AA521" s="50" t="s">
        <v>1286</v>
      </c>
      <c r="AB521" s="50" t="s">
        <v>1287</v>
      </c>
      <c r="AC521" s="10"/>
      <c r="AD521" s="10"/>
      <c r="AE521" s="10"/>
      <c r="AF521" s="10"/>
      <c r="AG521" s="10"/>
      <c r="AH521" s="10"/>
      <c r="AI521" s="10"/>
      <c r="AJ521" s="10"/>
      <c r="AK521" s="10"/>
      <c r="AL521" s="10"/>
      <c r="AM521" s="10"/>
      <c r="AN521" s="10"/>
      <c r="AO521" s="10"/>
      <c r="AP521" s="10"/>
      <c r="AQ521" s="10"/>
      <c r="AR521" s="10"/>
      <c r="AS521" s="10"/>
      <c r="AT521" s="10"/>
    </row>
    <row r="522" spans="1:46" ht="15" customHeight="1" x14ac:dyDescent="0.2">
      <c r="B522" s="50" t="s">
        <v>1542</v>
      </c>
      <c r="C522" s="755">
        <f>P60</f>
        <v>0</v>
      </c>
      <c r="D522" s="731"/>
      <c r="E522" s="731"/>
      <c r="F522" s="910" t="s">
        <v>1146</v>
      </c>
      <c r="G522" s="910"/>
      <c r="H522" s="910"/>
      <c r="I522" s="910"/>
      <c r="J522" s="910"/>
      <c r="K522" s="910"/>
      <c r="L522" s="914">
        <f>UETable!BF90</f>
        <v>0</v>
      </c>
      <c r="M522" s="914"/>
      <c r="N522" s="910" t="s">
        <v>1623</v>
      </c>
      <c r="O522" s="910"/>
      <c r="P522" s="755">
        <f>IF(OR(B528=Y522,B528=Y523,B528=Y524),0,SUM(L522:M526))</f>
        <v>0</v>
      </c>
      <c r="R522" s="50">
        <f>X61</f>
        <v>0</v>
      </c>
      <c r="S522" s="50">
        <f>IF(SUM(E532:F560)&gt;0,1,IF(SUM(E603:E615)&gt;0,1,0))</f>
        <v>0</v>
      </c>
      <c r="T522" s="50">
        <f>C522*48</f>
        <v>0</v>
      </c>
      <c r="U522" s="50">
        <f>L522*150</f>
        <v>0</v>
      </c>
      <c r="V522" s="365">
        <f>IF(AND(C522&gt;0,C522*0.15&lt;0.01),0.01,C522*0.15)</f>
        <v>0</v>
      </c>
      <c r="W522" s="84">
        <f>ROUND(SUM($L$522:$M$526)*0.47,2)</f>
        <v>0</v>
      </c>
      <c r="X522" s="50"/>
      <c r="Y522" s="50" t="s">
        <v>723</v>
      </c>
      <c r="Z522" s="147">
        <f>LARGE($V$522:$V$526,1)</f>
        <v>0</v>
      </c>
      <c r="AA522" s="544">
        <f>Z522+Z523*(1-Z522)</f>
        <v>0</v>
      </c>
      <c r="AB522" s="548">
        <f t="shared" ref="AB522:AB525" si="96">ROUND(AA522,2)</f>
        <v>0</v>
      </c>
      <c r="AC522" s="10"/>
      <c r="AD522" s="10"/>
      <c r="AE522" s="10"/>
      <c r="AF522" s="10"/>
      <c r="AG522" s="10"/>
      <c r="AH522" s="10"/>
      <c r="AI522" s="10"/>
      <c r="AJ522" s="10"/>
      <c r="AK522" s="10"/>
      <c r="AL522" s="10"/>
      <c r="AM522" s="10"/>
      <c r="AN522" s="10"/>
      <c r="AO522" s="10"/>
      <c r="AP522" s="10"/>
      <c r="AQ522" s="10"/>
      <c r="AR522" s="10"/>
      <c r="AS522" s="10"/>
      <c r="AT522" s="10"/>
    </row>
    <row r="523" spans="1:46" ht="15" customHeight="1" x14ac:dyDescent="0.2">
      <c r="B523" s="50" t="s">
        <v>142</v>
      </c>
      <c r="C523" s="755">
        <f>P137</f>
        <v>0</v>
      </c>
      <c r="D523" s="731"/>
      <c r="E523" s="731"/>
      <c r="F523" s="910" t="s">
        <v>1146</v>
      </c>
      <c r="G523" s="910"/>
      <c r="H523" s="910"/>
      <c r="I523" s="910"/>
      <c r="J523" s="910"/>
      <c r="K523" s="910"/>
      <c r="L523" s="914">
        <f>UETable!BF91</f>
        <v>0</v>
      </c>
      <c r="M523" s="914"/>
      <c r="N523" s="910" t="s">
        <v>1623</v>
      </c>
      <c r="O523" s="910"/>
      <c r="P523" s="731"/>
      <c r="R523" s="50">
        <f>X138</f>
        <v>0</v>
      </c>
      <c r="S523" s="50"/>
      <c r="T523" s="50">
        <f>C523*24</f>
        <v>0</v>
      </c>
      <c r="U523" s="50">
        <f>L523*150</f>
        <v>0</v>
      </c>
      <c r="V523" s="365">
        <f>IF(AND(C523&gt;0,C523*0.08&lt;0.01),0.01,C523*0.08)</f>
        <v>0</v>
      </c>
      <c r="W523" s="84"/>
      <c r="X523" s="50"/>
      <c r="Y523" s="50" t="s">
        <v>1735</v>
      </c>
      <c r="Z523" s="147">
        <f>LARGE($V$522:$V$526,2)</f>
        <v>0</v>
      </c>
      <c r="AA523" s="544">
        <f>AB522+Z524*(1-AB522)</f>
        <v>0</v>
      </c>
      <c r="AB523" s="548">
        <f t="shared" si="96"/>
        <v>0</v>
      </c>
      <c r="AC523" s="10"/>
      <c r="AD523" s="10"/>
      <c r="AE523" s="10"/>
      <c r="AF523" s="10"/>
      <c r="AG523" s="10"/>
      <c r="AH523" s="10"/>
      <c r="AI523" s="10"/>
      <c r="AJ523" s="10"/>
      <c r="AK523" s="10"/>
      <c r="AL523" s="10"/>
      <c r="AM523" s="10"/>
      <c r="AN523" s="10"/>
      <c r="AO523" s="10"/>
      <c r="AP523" s="10"/>
      <c r="AQ523" s="10"/>
      <c r="AR523" s="10"/>
      <c r="AS523" s="10"/>
      <c r="AT523" s="10"/>
    </row>
    <row r="524" spans="1:46" ht="15" customHeight="1" x14ac:dyDescent="0.2">
      <c r="B524" s="50" t="s">
        <v>1535</v>
      </c>
      <c r="C524" s="755">
        <f>P214</f>
        <v>0</v>
      </c>
      <c r="D524" s="731"/>
      <c r="E524" s="731"/>
      <c r="F524" s="910" t="s">
        <v>1146</v>
      </c>
      <c r="G524" s="910"/>
      <c r="H524" s="910"/>
      <c r="I524" s="910"/>
      <c r="J524" s="910"/>
      <c r="K524" s="910"/>
      <c r="L524" s="914">
        <f>UETable!BF92</f>
        <v>0</v>
      </c>
      <c r="M524" s="914"/>
      <c r="N524" s="910" t="s">
        <v>1623</v>
      </c>
      <c r="O524" s="910"/>
      <c r="P524" s="731"/>
      <c r="R524" s="50">
        <f>X215</f>
        <v>0</v>
      </c>
      <c r="S524" s="50"/>
      <c r="T524" s="50">
        <f>C524*22</f>
        <v>0</v>
      </c>
      <c r="U524" s="50">
        <f>L524*150</f>
        <v>0</v>
      </c>
      <c r="V524" s="365">
        <f>IF(AND(C524&gt;0,C524*0.07&lt;0.01),0.01,C524*0.07)</f>
        <v>0</v>
      </c>
      <c r="W524" s="84"/>
      <c r="X524" s="50"/>
      <c r="Y524" s="50" t="s">
        <v>2157</v>
      </c>
      <c r="Z524" s="147">
        <f>LARGE($V$522:$V$526,3)</f>
        <v>0</v>
      </c>
      <c r="AA524" s="544">
        <f t="shared" ref="AA524:AA525" si="97">AB523+Z525*(1-AB523)</f>
        <v>0</v>
      </c>
      <c r="AB524" s="548">
        <f t="shared" si="96"/>
        <v>0</v>
      </c>
      <c r="AC524" s="10"/>
      <c r="AD524" s="10"/>
      <c r="AE524" s="10"/>
      <c r="AF524" s="10"/>
      <c r="AG524" s="10"/>
      <c r="AH524" s="10"/>
      <c r="AI524" s="10"/>
      <c r="AJ524" s="10"/>
      <c r="AK524" s="10"/>
      <c r="AL524" s="10"/>
      <c r="AM524" s="10"/>
      <c r="AN524" s="10"/>
      <c r="AO524" s="10"/>
      <c r="AP524" s="10"/>
      <c r="AQ524" s="10"/>
      <c r="AR524" s="10"/>
      <c r="AS524" s="10"/>
      <c r="AT524" s="10"/>
    </row>
    <row r="525" spans="1:46" ht="15" customHeight="1" x14ac:dyDescent="0.2">
      <c r="B525" s="50" t="s">
        <v>1537</v>
      </c>
      <c r="C525" s="755">
        <f>P289</f>
        <v>0</v>
      </c>
      <c r="D525" s="731"/>
      <c r="E525" s="731"/>
      <c r="F525" s="910" t="s">
        <v>1146</v>
      </c>
      <c r="G525" s="910"/>
      <c r="H525" s="910"/>
      <c r="I525" s="910"/>
      <c r="J525" s="910"/>
      <c r="K525" s="910"/>
      <c r="L525" s="914">
        <f>UETable!BF93</f>
        <v>0</v>
      </c>
      <c r="M525" s="914"/>
      <c r="N525" s="910" t="s">
        <v>1623</v>
      </c>
      <c r="O525" s="910"/>
      <c r="P525" s="731"/>
      <c r="R525" s="50">
        <f>X290</f>
        <v>0</v>
      </c>
      <c r="S525" s="50"/>
      <c r="T525" s="50">
        <f>C525*10</f>
        <v>0</v>
      </c>
      <c r="U525" s="50">
        <f>L525*150</f>
        <v>0</v>
      </c>
      <c r="V525" s="365">
        <f>IF(AND(C525&gt;0,C525*0.03&lt;0.01),0.01,C525*0.03)</f>
        <v>0</v>
      </c>
      <c r="W525" s="84"/>
      <c r="X525" s="50"/>
      <c r="Y525" s="50" t="s">
        <v>1708</v>
      </c>
      <c r="Z525" s="147">
        <f>LARGE($V$522:$V$526,4)</f>
        <v>0</v>
      </c>
      <c r="AA525" s="544">
        <f t="shared" si="97"/>
        <v>0</v>
      </c>
      <c r="AB525" s="548">
        <f t="shared" si="96"/>
        <v>0</v>
      </c>
      <c r="AC525" s="10"/>
      <c r="AD525" s="10"/>
      <c r="AE525" s="10"/>
      <c r="AF525" s="10"/>
      <c r="AG525" s="10"/>
      <c r="AH525" s="10"/>
      <c r="AI525" s="10"/>
      <c r="AJ525" s="10"/>
      <c r="AK525" s="10"/>
      <c r="AL525" s="10"/>
      <c r="AM525" s="10"/>
      <c r="AN525" s="10"/>
      <c r="AO525" s="10"/>
      <c r="AP525" s="10"/>
      <c r="AQ525" s="10"/>
      <c r="AR525" s="10"/>
      <c r="AS525" s="10"/>
      <c r="AT525" s="10"/>
    </row>
    <row r="526" spans="1:46" ht="15" customHeight="1" x14ac:dyDescent="0.2">
      <c r="B526" s="50" t="s">
        <v>1539</v>
      </c>
      <c r="C526" s="755">
        <f>P364</f>
        <v>0</v>
      </c>
      <c r="D526" s="731"/>
      <c r="E526" s="731"/>
      <c r="F526" s="910" t="s">
        <v>1146</v>
      </c>
      <c r="G526" s="910"/>
      <c r="H526" s="910"/>
      <c r="I526" s="910"/>
      <c r="J526" s="910"/>
      <c r="K526" s="910"/>
      <c r="L526" s="914">
        <f>UETable!BF94</f>
        <v>0</v>
      </c>
      <c r="M526" s="914"/>
      <c r="N526" s="910" t="s">
        <v>1623</v>
      </c>
      <c r="O526" s="910"/>
      <c r="P526" s="731"/>
      <c r="R526" s="50">
        <f>X365</f>
        <v>0</v>
      </c>
      <c r="S526" s="50"/>
      <c r="T526" s="50">
        <f>C526*6</f>
        <v>0</v>
      </c>
      <c r="U526" s="50">
        <f>L526*150</f>
        <v>0</v>
      </c>
      <c r="V526" s="365">
        <f>IF(AND(C526&gt;0,C526*0.02&lt;0.01),0.01,C526*0.02)</f>
        <v>0</v>
      </c>
      <c r="W526" s="84"/>
      <c r="X526" s="50"/>
      <c r="Y526" s="50" t="s">
        <v>2156</v>
      </c>
      <c r="Z526" s="147">
        <f>LARGE($V$522:$V$526,5)</f>
        <v>0</v>
      </c>
      <c r="AA526" s="50"/>
      <c r="AB526" s="50"/>
      <c r="AC526" s="10"/>
      <c r="AD526" s="10"/>
      <c r="AE526" s="10"/>
      <c r="AF526" s="10"/>
      <c r="AG526" s="10"/>
      <c r="AH526" s="10"/>
      <c r="AI526" s="10"/>
      <c r="AJ526" s="10"/>
      <c r="AK526" s="10"/>
      <c r="AL526" s="10"/>
      <c r="AM526" s="10"/>
      <c r="AN526" s="10"/>
      <c r="AO526" s="10"/>
      <c r="AP526" s="10"/>
      <c r="AQ526" s="10"/>
      <c r="AR526" s="10"/>
      <c r="AS526" s="10"/>
      <c r="AT526" s="10"/>
    </row>
    <row r="527" spans="1:46" ht="18" customHeight="1" x14ac:dyDescent="0.2">
      <c r="B527" s="957" t="s">
        <v>55</v>
      </c>
      <c r="C527" s="957"/>
      <c r="D527" s="957"/>
      <c r="E527" s="957"/>
      <c r="F527" s="957"/>
      <c r="G527" s="957"/>
      <c r="H527" s="957"/>
      <c r="I527" s="957"/>
      <c r="J527" s="957"/>
      <c r="K527" s="957"/>
      <c r="L527" s="957"/>
      <c r="M527" s="957"/>
      <c r="N527" s="957"/>
      <c r="O527" s="957"/>
      <c r="P527" s="731"/>
      <c r="R527" s="50">
        <f>COUNTIF(R522:R526,2)</f>
        <v>0</v>
      </c>
      <c r="S527" s="50" t="s">
        <v>1950</v>
      </c>
      <c r="T527" s="50">
        <f>SUM(T522:T526)</f>
        <v>0</v>
      </c>
      <c r="U527" s="50">
        <f>SUM(U522:U526)</f>
        <v>0</v>
      </c>
      <c r="V527" s="365">
        <f>AB525</f>
        <v>0</v>
      </c>
      <c r="W527" s="365" t="s">
        <v>2154</v>
      </c>
      <c r="X527" s="50"/>
      <c r="Y527" s="50"/>
      <c r="Z527" s="50"/>
      <c r="AA527" s="50"/>
      <c r="AB527" s="50"/>
      <c r="AC527" s="10"/>
      <c r="AD527" s="10"/>
      <c r="AE527" s="10"/>
      <c r="AF527" s="10"/>
      <c r="AG527" s="10"/>
      <c r="AH527" s="10"/>
      <c r="AI527" s="10"/>
      <c r="AJ527" s="10"/>
      <c r="AK527" s="10"/>
      <c r="AL527" s="10"/>
      <c r="AM527" s="10"/>
      <c r="AN527" s="10"/>
      <c r="AO527" s="10"/>
      <c r="AP527" s="10"/>
      <c r="AQ527" s="10"/>
      <c r="AR527" s="10"/>
      <c r="AS527" s="10"/>
      <c r="AT527" s="10"/>
    </row>
    <row r="528" spans="1:46" ht="30" customHeight="1" x14ac:dyDescent="0.2">
      <c r="B528" s="1085" t="str">
        <f>IF(T528=0,"",IF(S522=1,Y526,IF(AND(R527=1,R528=0),Y522,IF(AND(R527=1,R528&gt;0),Y523,IF(OR(U528=2,U528=4),Y524,IF(OR(U528=1,U528=3),Y525,""))))))</f>
        <v/>
      </c>
      <c r="C528" s="1085"/>
      <c r="D528" s="1085"/>
      <c r="E528" s="1085"/>
      <c r="F528" s="1085"/>
      <c r="G528" s="1085"/>
      <c r="H528" s="1085"/>
      <c r="I528" s="1085"/>
      <c r="J528" s="1085"/>
      <c r="K528" s="1085"/>
      <c r="L528" s="1085"/>
      <c r="M528" s="1085"/>
      <c r="N528" s="1085"/>
      <c r="O528" s="1085"/>
      <c r="P528" s="1085"/>
      <c r="R528" s="50">
        <f>COUNTIF(R522:R526,1)</f>
        <v>0</v>
      </c>
      <c r="S528" s="256" t="s">
        <v>1710</v>
      </c>
      <c r="T528" s="50">
        <f>IF(SUM(C522:E526)=0,0,1)</f>
        <v>0</v>
      </c>
      <c r="U528" s="50">
        <f>IF(T528=0,0,IF(AND(R2&lt;R1,U527&gt;T527),1,IF(AND(R2&lt;R1,U527&lt;=T527),2,IF(AND(R2&gt;=R1,W522&gt;V527),3,IF(AND(R2&gt;=R1,W522&lt;=V527),4,0)))))</f>
        <v>0</v>
      </c>
      <c r="V528" s="761" t="s">
        <v>2155</v>
      </c>
      <c r="W528" s="761"/>
      <c r="X528" s="761"/>
      <c r="Y528" s="761"/>
      <c r="Z528" s="761"/>
      <c r="AA528" s="761"/>
      <c r="AB528" s="761"/>
      <c r="AC528" s="761"/>
      <c r="AD528" s="761"/>
      <c r="AE528" s="10"/>
      <c r="AF528" s="10"/>
      <c r="AG528" s="10"/>
      <c r="AH528" s="10"/>
      <c r="AI528" s="10"/>
      <c r="AJ528" s="10"/>
      <c r="AK528" s="10"/>
      <c r="AL528" s="10"/>
      <c r="AM528" s="10"/>
      <c r="AN528" s="10"/>
      <c r="AO528" s="10"/>
      <c r="AP528" s="10"/>
      <c r="AQ528" s="10"/>
      <c r="AR528" s="10"/>
      <c r="AS528" s="10"/>
      <c r="AT528" s="10"/>
    </row>
    <row r="529" spans="2:46" ht="6" customHeight="1" x14ac:dyDescent="0.2">
      <c r="B529" s="697"/>
      <c r="C529" s="697"/>
      <c r="D529" s="697"/>
      <c r="E529" s="697"/>
      <c r="F529" s="697"/>
      <c r="G529" s="697"/>
      <c r="H529" s="697"/>
      <c r="I529" s="697"/>
      <c r="J529" s="697"/>
      <c r="K529" s="697"/>
      <c r="L529" s="697"/>
      <c r="M529" s="697"/>
      <c r="N529" s="697"/>
      <c r="O529" s="697"/>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row>
    <row r="530" spans="2:46" ht="6.75" customHeight="1" x14ac:dyDescent="0.2">
      <c r="B530" s="697"/>
      <c r="C530" s="697"/>
      <c r="D530" s="697"/>
      <c r="E530" s="697"/>
      <c r="F530" s="697"/>
      <c r="G530" s="697"/>
      <c r="H530" s="697"/>
      <c r="I530" s="697"/>
      <c r="J530" s="697"/>
      <c r="K530" s="697"/>
      <c r="L530" s="697"/>
      <c r="M530" s="697"/>
      <c r="N530" s="697"/>
      <c r="O530" s="697"/>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row>
    <row r="531" spans="2:46" ht="27" customHeight="1" x14ac:dyDescent="0.2">
      <c r="B531" s="1019" t="s">
        <v>1711</v>
      </c>
      <c r="C531" s="1020"/>
      <c r="D531" s="1020"/>
      <c r="E531" s="1020"/>
      <c r="F531" s="1021"/>
      <c r="G531" s="907" t="s">
        <v>1495</v>
      </c>
      <c r="H531" s="945"/>
      <c r="I531" s="945"/>
      <c r="J531" s="946"/>
      <c r="K531" s="967"/>
      <c r="L531" s="968"/>
      <c r="M531" s="968"/>
      <c r="N531" s="968"/>
      <c r="O531" s="969"/>
      <c r="P531" s="857">
        <f>U560</f>
        <v>0</v>
      </c>
      <c r="R531" s="146" t="s">
        <v>1826</v>
      </c>
      <c r="S531" s="50" t="s">
        <v>1285</v>
      </c>
      <c r="T531" s="50" t="s">
        <v>1286</v>
      </c>
      <c r="U531" s="50" t="s">
        <v>1287</v>
      </c>
      <c r="V531" s="50" t="s">
        <v>498</v>
      </c>
      <c r="W531" s="10"/>
      <c r="X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row>
    <row r="532" spans="2:46" ht="27" customHeight="1" x14ac:dyDescent="0.2">
      <c r="B532" s="761" t="s">
        <v>1712</v>
      </c>
      <c r="C532" s="791"/>
      <c r="D532" s="791"/>
      <c r="E532" s="755">
        <f t="shared" ref="E532:E537" si="98">P385</f>
        <v>0</v>
      </c>
      <c r="F532" s="755"/>
      <c r="G532" s="1111"/>
      <c r="H532" s="1112"/>
      <c r="I532" s="738">
        <f t="shared" ref="I532:I560" si="99">IF(AND(V532&lt;0.01,V532&gt;0),0.01,ROUND(V532,2))</f>
        <v>0</v>
      </c>
      <c r="J532" s="740"/>
      <c r="K532" s="970"/>
      <c r="L532" s="971"/>
      <c r="M532" s="971"/>
      <c r="N532" s="971"/>
      <c r="O532" s="972"/>
      <c r="P532" s="961"/>
      <c r="R532" s="365">
        <f t="shared" ref="R532:R538" si="100">IF(I532&gt;0,I532,E532)</f>
        <v>0</v>
      </c>
      <c r="S532" s="365">
        <f>LARGE($R$532:$R$561,1)</f>
        <v>0</v>
      </c>
      <c r="T532" s="688">
        <f>S532+S533*(1-S532)</f>
        <v>0</v>
      </c>
      <c r="U532" s="365">
        <f>ROUND(T532,2)</f>
        <v>0</v>
      </c>
      <c r="V532" s="291">
        <f t="shared" ref="V532:V560" si="101">E532*G532</f>
        <v>0</v>
      </c>
      <c r="Z532" s="10"/>
      <c r="AA532" s="10"/>
      <c r="AB532" s="10"/>
      <c r="AC532" s="10"/>
      <c r="AD532" s="10"/>
      <c r="AE532" s="10"/>
      <c r="AF532" s="10"/>
      <c r="AG532" s="10"/>
      <c r="AH532" s="10"/>
      <c r="AI532" s="10"/>
      <c r="AJ532" s="10"/>
      <c r="AK532" s="10"/>
      <c r="AL532" s="10"/>
      <c r="AM532" s="10"/>
      <c r="AN532" s="10"/>
      <c r="AO532" s="10"/>
      <c r="AP532" s="10"/>
      <c r="AQ532" s="10"/>
      <c r="AR532" s="10"/>
      <c r="AS532" s="10"/>
      <c r="AT532" s="10"/>
    </row>
    <row r="533" spans="2:46" ht="15.75" customHeight="1" x14ac:dyDescent="0.2">
      <c r="B533" s="791" t="s">
        <v>1713</v>
      </c>
      <c r="C533" s="791"/>
      <c r="D533" s="791"/>
      <c r="E533" s="755">
        <f t="shared" si="98"/>
        <v>0</v>
      </c>
      <c r="F533" s="755"/>
      <c r="G533" s="1111"/>
      <c r="H533" s="1112"/>
      <c r="I533" s="738">
        <f t="shared" si="99"/>
        <v>0</v>
      </c>
      <c r="J533" s="740"/>
      <c r="K533" s="970"/>
      <c r="L533" s="971"/>
      <c r="M533" s="971"/>
      <c r="N533" s="971"/>
      <c r="O533" s="972"/>
      <c r="P533" s="961"/>
      <c r="R533" s="365">
        <f t="shared" si="100"/>
        <v>0</v>
      </c>
      <c r="S533" s="365">
        <f>LARGE($R$532:$R$561,2)</f>
        <v>0</v>
      </c>
      <c r="T533" s="688">
        <f>U532+S534*(1-U532)</f>
        <v>0</v>
      </c>
      <c r="U533" s="365">
        <f t="shared" ref="U533:U560" si="102">ROUND(T533,2)</f>
        <v>0</v>
      </c>
      <c r="V533" s="291">
        <f t="shared" si="101"/>
        <v>0</v>
      </c>
      <c r="Z533" s="10"/>
      <c r="AA533" s="10"/>
      <c r="AB533" s="10"/>
      <c r="AC533" s="10"/>
      <c r="AD533" s="10"/>
      <c r="AE533" s="10"/>
      <c r="AF533" s="10"/>
      <c r="AG533" s="10"/>
      <c r="AH533" s="10"/>
      <c r="AI533" s="10"/>
      <c r="AJ533" s="10"/>
      <c r="AK533" s="10"/>
      <c r="AL533" s="10"/>
      <c r="AM533" s="10"/>
      <c r="AN533" s="10"/>
      <c r="AO533" s="10"/>
      <c r="AP533" s="10"/>
      <c r="AQ533" s="10"/>
      <c r="AR533" s="10"/>
      <c r="AS533" s="10"/>
      <c r="AT533" s="10"/>
    </row>
    <row r="534" spans="2:46" ht="15.75" customHeight="1" x14ac:dyDescent="0.2">
      <c r="B534" s="791" t="s">
        <v>1149</v>
      </c>
      <c r="C534" s="791"/>
      <c r="D534" s="791"/>
      <c r="E534" s="755">
        <f t="shared" si="98"/>
        <v>0</v>
      </c>
      <c r="F534" s="755"/>
      <c r="G534" s="1111"/>
      <c r="H534" s="1112"/>
      <c r="I534" s="738">
        <f t="shared" si="99"/>
        <v>0</v>
      </c>
      <c r="J534" s="740"/>
      <c r="K534" s="970"/>
      <c r="L534" s="971"/>
      <c r="M534" s="971"/>
      <c r="N534" s="971"/>
      <c r="O534" s="972"/>
      <c r="P534" s="961"/>
      <c r="R534" s="365">
        <f t="shared" si="100"/>
        <v>0</v>
      </c>
      <c r="S534" s="365">
        <f>LARGE($R$532:$R$561,3)</f>
        <v>0</v>
      </c>
      <c r="T534" s="688">
        <f t="shared" ref="T534:T560" si="103">U533+S535*(1-U533)</f>
        <v>0</v>
      </c>
      <c r="U534" s="365">
        <f t="shared" si="102"/>
        <v>0</v>
      </c>
      <c r="V534" s="291">
        <f t="shared" si="101"/>
        <v>0</v>
      </c>
      <c r="Z534" s="10"/>
      <c r="AA534" s="10"/>
      <c r="AB534" s="10"/>
      <c r="AC534" s="10"/>
      <c r="AD534" s="10"/>
      <c r="AE534" s="10"/>
      <c r="AF534" s="10"/>
      <c r="AG534" s="10"/>
      <c r="AH534" s="10"/>
      <c r="AI534" s="10"/>
      <c r="AJ534" s="10"/>
    </row>
    <row r="535" spans="2:46" ht="15.75" customHeight="1" x14ac:dyDescent="0.2">
      <c r="B535" s="791" t="s">
        <v>1150</v>
      </c>
      <c r="C535" s="791"/>
      <c r="D535" s="791"/>
      <c r="E535" s="755">
        <f t="shared" si="98"/>
        <v>0</v>
      </c>
      <c r="F535" s="755"/>
      <c r="G535" s="1111"/>
      <c r="H535" s="1112"/>
      <c r="I535" s="738">
        <f t="shared" si="99"/>
        <v>0</v>
      </c>
      <c r="J535" s="740"/>
      <c r="K535" s="915"/>
      <c r="L535" s="916"/>
      <c r="M535" s="916"/>
      <c r="N535" s="916"/>
      <c r="O535" s="917"/>
      <c r="P535" s="961"/>
      <c r="R535" s="365">
        <f t="shared" si="100"/>
        <v>0</v>
      </c>
      <c r="S535" s="365">
        <f>LARGE($R$532:$R$561,4)</f>
        <v>0</v>
      </c>
      <c r="T535" s="688">
        <f t="shared" si="103"/>
        <v>0</v>
      </c>
      <c r="U535" s="365">
        <f t="shared" si="102"/>
        <v>0</v>
      </c>
      <c r="V535" s="291">
        <f t="shared" si="101"/>
        <v>0</v>
      </c>
      <c r="Z535" s="10"/>
      <c r="AA535" s="10"/>
      <c r="AB535" s="10"/>
      <c r="AC535" s="10"/>
      <c r="AD535" s="10"/>
      <c r="AE535" s="10"/>
      <c r="AF535" s="10"/>
      <c r="AG535" s="10"/>
      <c r="AH535" s="10"/>
      <c r="AI535" s="10"/>
      <c r="AJ535" s="10"/>
    </row>
    <row r="536" spans="2:46" ht="15.75" customHeight="1" x14ac:dyDescent="0.2">
      <c r="B536" s="791" t="s">
        <v>1151</v>
      </c>
      <c r="C536" s="791"/>
      <c r="D536" s="791"/>
      <c r="E536" s="755">
        <f t="shared" si="98"/>
        <v>0</v>
      </c>
      <c r="F536" s="755"/>
      <c r="G536" s="1111"/>
      <c r="H536" s="1112"/>
      <c r="I536" s="738">
        <f t="shared" si="99"/>
        <v>0</v>
      </c>
      <c r="J536" s="740"/>
      <c r="K536" s="915"/>
      <c r="L536" s="916"/>
      <c r="M536" s="916"/>
      <c r="N536" s="916"/>
      <c r="O536" s="917"/>
      <c r="P536" s="961"/>
      <c r="R536" s="365">
        <f t="shared" si="100"/>
        <v>0</v>
      </c>
      <c r="S536" s="365">
        <f>LARGE($R$532:$R$561,5)</f>
        <v>0</v>
      </c>
      <c r="T536" s="688">
        <f t="shared" si="103"/>
        <v>0</v>
      </c>
      <c r="U536" s="365">
        <f t="shared" si="102"/>
        <v>0</v>
      </c>
      <c r="V536" s="291">
        <f t="shared" si="101"/>
        <v>0</v>
      </c>
      <c r="Z536" s="10"/>
      <c r="AA536" s="10"/>
      <c r="AB536" s="10"/>
      <c r="AC536" s="10"/>
      <c r="AD536" s="10"/>
      <c r="AE536" s="10"/>
      <c r="AF536" s="10"/>
      <c r="AG536" s="10"/>
      <c r="AH536" s="10"/>
      <c r="AI536" s="10"/>
      <c r="AJ536" s="10"/>
    </row>
    <row r="537" spans="2:46" ht="15.75" customHeight="1" x14ac:dyDescent="0.2">
      <c r="B537" s="791" t="s">
        <v>1152</v>
      </c>
      <c r="C537" s="791"/>
      <c r="D537" s="791"/>
      <c r="E537" s="755">
        <f t="shared" si="98"/>
        <v>0</v>
      </c>
      <c r="F537" s="755"/>
      <c r="G537" s="1111"/>
      <c r="H537" s="1112"/>
      <c r="I537" s="738">
        <f t="shared" si="99"/>
        <v>0</v>
      </c>
      <c r="J537" s="740"/>
      <c r="K537" s="915"/>
      <c r="L537" s="916"/>
      <c r="M537" s="916"/>
      <c r="N537" s="916"/>
      <c r="O537" s="917"/>
      <c r="P537" s="961"/>
      <c r="R537" s="365">
        <f t="shared" si="100"/>
        <v>0</v>
      </c>
      <c r="S537" s="365">
        <f>LARGE($R$532:$R$561,6)</f>
        <v>0</v>
      </c>
      <c r="T537" s="688">
        <f t="shared" si="103"/>
        <v>0</v>
      </c>
      <c r="U537" s="365">
        <f t="shared" si="102"/>
        <v>0</v>
      </c>
      <c r="V537" s="291">
        <f t="shared" si="101"/>
        <v>0</v>
      </c>
      <c r="W537" s="10"/>
      <c r="X537" s="10"/>
      <c r="AE537" s="10"/>
      <c r="AF537" s="10"/>
      <c r="AG537" s="10"/>
      <c r="AH537" s="10"/>
      <c r="AI537" s="10"/>
      <c r="AJ537" s="10"/>
    </row>
    <row r="538" spans="2:46" ht="15" customHeight="1" x14ac:dyDescent="0.2">
      <c r="B538" s="761" t="s">
        <v>1153</v>
      </c>
      <c r="C538" s="791"/>
      <c r="D538" s="791"/>
      <c r="E538" s="755">
        <f>IF(E615&gt;0,0,P398)</f>
        <v>0</v>
      </c>
      <c r="F538" s="755"/>
      <c r="G538" s="1111"/>
      <c r="H538" s="1112"/>
      <c r="I538" s="738">
        <f t="shared" si="99"/>
        <v>0</v>
      </c>
      <c r="J538" s="740"/>
      <c r="K538" s="915"/>
      <c r="L538" s="916"/>
      <c r="M538" s="916"/>
      <c r="N538" s="916"/>
      <c r="O538" s="917"/>
      <c r="P538" s="961"/>
      <c r="R538" s="365">
        <f t="shared" si="100"/>
        <v>0</v>
      </c>
      <c r="S538" s="365">
        <f>LARGE($R$532:$R$561,7)</f>
        <v>0</v>
      </c>
      <c r="T538" s="688">
        <f t="shared" si="103"/>
        <v>0</v>
      </c>
      <c r="U538" s="365">
        <f t="shared" si="102"/>
        <v>0</v>
      </c>
      <c r="V538" s="291">
        <f t="shared" si="101"/>
        <v>0</v>
      </c>
      <c r="W538" s="10"/>
      <c r="X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row>
    <row r="539" spans="2:46" ht="15" customHeight="1" x14ac:dyDescent="0.2">
      <c r="B539" s="791" t="s">
        <v>1154</v>
      </c>
      <c r="C539" s="791"/>
      <c r="D539" s="791"/>
      <c r="E539" s="755">
        <f>IF(E615&gt;0,0,P408)</f>
        <v>0</v>
      </c>
      <c r="F539" s="755"/>
      <c r="G539" s="1111"/>
      <c r="H539" s="1112"/>
      <c r="I539" s="738">
        <f t="shared" si="99"/>
        <v>0</v>
      </c>
      <c r="J539" s="740"/>
      <c r="K539" s="915"/>
      <c r="L539" s="916"/>
      <c r="M539" s="916"/>
      <c r="N539" s="916"/>
      <c r="O539" s="917"/>
      <c r="P539" s="961"/>
      <c r="R539" s="365">
        <f>IF(I539&gt;0,I539,E539)</f>
        <v>0</v>
      </c>
      <c r="S539" s="365">
        <f>LARGE($R$532:$R$561,8)</f>
        <v>0</v>
      </c>
      <c r="T539" s="688">
        <f t="shared" si="103"/>
        <v>0</v>
      </c>
      <c r="U539" s="365">
        <f t="shared" si="102"/>
        <v>0</v>
      </c>
      <c r="V539" s="291">
        <f t="shared" si="101"/>
        <v>0</v>
      </c>
      <c r="W539" s="39"/>
      <c r="X539" s="10"/>
      <c r="Z539" s="73"/>
      <c r="AA539" s="10"/>
      <c r="AB539" s="10"/>
      <c r="AC539" s="10"/>
      <c r="AD539" s="10"/>
      <c r="AE539" s="10"/>
      <c r="AF539" s="10"/>
      <c r="AG539" s="10"/>
      <c r="AH539" s="10"/>
      <c r="AI539" s="10"/>
      <c r="AJ539" s="10"/>
      <c r="AK539" s="10"/>
      <c r="AL539" s="10"/>
      <c r="AM539" s="10"/>
      <c r="AN539" s="10"/>
      <c r="AO539" s="10"/>
      <c r="AP539" s="10"/>
      <c r="AQ539" s="10"/>
      <c r="AR539" s="10"/>
      <c r="AS539" s="10"/>
      <c r="AT539" s="10"/>
    </row>
    <row r="540" spans="2:46" ht="15" customHeight="1" x14ac:dyDescent="0.2">
      <c r="B540" s="791" t="s">
        <v>1947</v>
      </c>
      <c r="C540" s="791"/>
      <c r="D540" s="791"/>
      <c r="E540" s="755">
        <f>P413</f>
        <v>0</v>
      </c>
      <c r="F540" s="755"/>
      <c r="G540" s="1111"/>
      <c r="H540" s="1112"/>
      <c r="I540" s="738">
        <f t="shared" si="99"/>
        <v>0</v>
      </c>
      <c r="J540" s="740"/>
      <c r="K540" s="915"/>
      <c r="L540" s="916"/>
      <c r="M540" s="916"/>
      <c r="N540" s="916"/>
      <c r="O540" s="917"/>
      <c r="P540" s="961"/>
      <c r="R540" s="365">
        <f t="shared" ref="R540:R560" si="104">IF(I540&gt;0,I540,E540)</f>
        <v>0</v>
      </c>
      <c r="S540" s="365">
        <f>LARGE($R$532:$R$561,9)</f>
        <v>0</v>
      </c>
      <c r="T540" s="688">
        <f t="shared" si="103"/>
        <v>0</v>
      </c>
      <c r="U540" s="365">
        <f t="shared" si="102"/>
        <v>0</v>
      </c>
      <c r="V540" s="291">
        <f t="shared" si="101"/>
        <v>0</v>
      </c>
      <c r="W540" s="39"/>
      <c r="X540" s="10"/>
      <c r="AA540" s="10"/>
      <c r="AB540" s="10"/>
      <c r="AC540" s="10"/>
      <c r="AD540" s="10"/>
      <c r="AE540" s="10"/>
      <c r="AF540" s="10"/>
      <c r="AG540" s="10"/>
      <c r="AH540" s="10"/>
      <c r="AI540" s="10"/>
      <c r="AJ540" s="10"/>
      <c r="AK540" s="10"/>
      <c r="AL540" s="10"/>
      <c r="AM540" s="10"/>
      <c r="AN540" s="10"/>
      <c r="AO540" s="10"/>
      <c r="AP540" s="10"/>
      <c r="AQ540" s="10"/>
      <c r="AR540" s="10"/>
      <c r="AS540" s="10"/>
      <c r="AT540" s="10"/>
    </row>
    <row r="541" spans="2:46" ht="15" customHeight="1" x14ac:dyDescent="0.2">
      <c r="B541" s="791" t="s">
        <v>1155</v>
      </c>
      <c r="C541" s="791"/>
      <c r="D541" s="791"/>
      <c r="E541" s="755">
        <f>P416</f>
        <v>0</v>
      </c>
      <c r="F541" s="755"/>
      <c r="G541" s="1111"/>
      <c r="H541" s="1112"/>
      <c r="I541" s="738">
        <f t="shared" si="99"/>
        <v>0</v>
      </c>
      <c r="J541" s="740"/>
      <c r="K541" s="915"/>
      <c r="L541" s="916"/>
      <c r="M541" s="916"/>
      <c r="N541" s="916"/>
      <c r="O541" s="917"/>
      <c r="P541" s="961"/>
      <c r="R541" s="365">
        <f t="shared" si="104"/>
        <v>0</v>
      </c>
      <c r="S541" s="365">
        <f>LARGE($R$532:$R$561,10)</f>
        <v>0</v>
      </c>
      <c r="T541" s="688">
        <f t="shared" si="103"/>
        <v>0</v>
      </c>
      <c r="U541" s="365">
        <f t="shared" si="102"/>
        <v>0</v>
      </c>
      <c r="V541" s="291">
        <f t="shared" si="101"/>
        <v>0</v>
      </c>
      <c r="W541" s="10"/>
      <c r="X541" s="10"/>
      <c r="AA541" s="171"/>
      <c r="AB541" s="171"/>
      <c r="AC541" s="171"/>
      <c r="AD541" s="171"/>
      <c r="AE541" s="10"/>
      <c r="AF541" s="10"/>
      <c r="AG541" s="10"/>
      <c r="AH541" s="10"/>
      <c r="AI541" s="10"/>
      <c r="AJ541" s="10"/>
      <c r="AK541" s="10"/>
      <c r="AL541" s="10"/>
      <c r="AM541" s="10"/>
      <c r="AN541" s="10"/>
      <c r="AO541" s="10"/>
      <c r="AP541" s="10"/>
      <c r="AQ541" s="10"/>
      <c r="AR541" s="10"/>
      <c r="AS541" s="10"/>
      <c r="AT541" s="10"/>
    </row>
    <row r="542" spans="2:46" ht="15" customHeight="1" x14ac:dyDescent="0.2">
      <c r="B542" s="791" t="s">
        <v>1156</v>
      </c>
      <c r="C542" s="791"/>
      <c r="D542" s="791"/>
      <c r="E542" s="755">
        <f>P419</f>
        <v>0</v>
      </c>
      <c r="F542" s="755"/>
      <c r="G542" s="1111"/>
      <c r="H542" s="1112"/>
      <c r="I542" s="738">
        <f t="shared" si="99"/>
        <v>0</v>
      </c>
      <c r="J542" s="740"/>
      <c r="K542" s="970"/>
      <c r="L542" s="971"/>
      <c r="M542" s="971"/>
      <c r="N542" s="971"/>
      <c r="O542" s="972"/>
      <c r="P542" s="961"/>
      <c r="R542" s="365">
        <f t="shared" si="104"/>
        <v>0</v>
      </c>
      <c r="S542" s="365">
        <f>LARGE($R$532:$R$561,11)</f>
        <v>0</v>
      </c>
      <c r="T542" s="688">
        <f t="shared" si="103"/>
        <v>0</v>
      </c>
      <c r="U542" s="365">
        <f t="shared" si="102"/>
        <v>0</v>
      </c>
      <c r="V542" s="291">
        <f t="shared" si="101"/>
        <v>0</v>
      </c>
      <c r="W542" s="10"/>
      <c r="X542" s="10"/>
      <c r="AB542" s="10"/>
      <c r="AC542" s="10"/>
      <c r="AD542" s="10"/>
      <c r="AF542" s="10"/>
      <c r="AG542" s="10"/>
      <c r="AH542" s="10"/>
      <c r="AI542" s="10"/>
      <c r="AJ542" s="10"/>
      <c r="AK542" s="10"/>
      <c r="AL542" s="10"/>
      <c r="AM542" s="10"/>
      <c r="AN542" s="10"/>
      <c r="AO542" s="10"/>
      <c r="AP542" s="10"/>
      <c r="AQ542" s="10"/>
      <c r="AR542" s="10"/>
      <c r="AS542" s="10"/>
      <c r="AT542" s="10"/>
    </row>
    <row r="543" spans="2:46" ht="15" customHeight="1" x14ac:dyDescent="0.2">
      <c r="B543" s="791" t="s">
        <v>1949</v>
      </c>
      <c r="C543" s="791"/>
      <c r="D543" s="791"/>
      <c r="E543" s="755">
        <f>P420</f>
        <v>0</v>
      </c>
      <c r="F543" s="755"/>
      <c r="G543" s="1111"/>
      <c r="H543" s="1112"/>
      <c r="I543" s="738">
        <f t="shared" si="99"/>
        <v>0</v>
      </c>
      <c r="J543" s="740"/>
      <c r="K543" s="970"/>
      <c r="L543" s="971"/>
      <c r="M543" s="971"/>
      <c r="N543" s="971"/>
      <c r="O543" s="972"/>
      <c r="P543" s="961"/>
      <c r="R543" s="365">
        <f t="shared" si="104"/>
        <v>0</v>
      </c>
      <c r="S543" s="365">
        <f>LARGE($R$532:$R$561,12)</f>
        <v>0</v>
      </c>
      <c r="T543" s="688">
        <f t="shared" si="103"/>
        <v>0</v>
      </c>
      <c r="U543" s="365">
        <f t="shared" si="102"/>
        <v>0</v>
      </c>
      <c r="V543" s="291">
        <f t="shared" si="101"/>
        <v>0</v>
      </c>
      <c r="W543" s="10"/>
      <c r="X543" s="10"/>
      <c r="AD543" s="10"/>
      <c r="AF543" s="10"/>
      <c r="AG543" s="10"/>
      <c r="AH543" s="10"/>
      <c r="AI543" s="10"/>
      <c r="AJ543" s="10"/>
      <c r="AK543" s="10"/>
      <c r="AL543" s="10"/>
      <c r="AM543" s="10"/>
      <c r="AN543" s="10"/>
      <c r="AO543" s="10"/>
      <c r="AP543" s="10"/>
      <c r="AQ543" s="10"/>
      <c r="AR543" s="10"/>
      <c r="AS543" s="10"/>
      <c r="AT543" s="10"/>
    </row>
    <row r="544" spans="2:46" ht="15" customHeight="1" x14ac:dyDescent="0.2">
      <c r="B544" s="761" t="s">
        <v>779</v>
      </c>
      <c r="C544" s="791"/>
      <c r="D544" s="791"/>
      <c r="E544" s="755">
        <f>P422</f>
        <v>0</v>
      </c>
      <c r="F544" s="755"/>
      <c r="G544" s="1111"/>
      <c r="H544" s="1112"/>
      <c r="I544" s="738">
        <f t="shared" si="99"/>
        <v>0</v>
      </c>
      <c r="J544" s="740"/>
      <c r="K544" s="970"/>
      <c r="L544" s="971"/>
      <c r="M544" s="971"/>
      <c r="N544" s="971"/>
      <c r="O544" s="972"/>
      <c r="P544" s="961"/>
      <c r="R544" s="365">
        <f t="shared" si="104"/>
        <v>0</v>
      </c>
      <c r="S544" s="365">
        <f>LARGE($R$532:$R$561,13)</f>
        <v>0</v>
      </c>
      <c r="T544" s="688">
        <f t="shared" si="103"/>
        <v>0</v>
      </c>
      <c r="U544" s="365">
        <f t="shared" si="102"/>
        <v>0</v>
      </c>
      <c r="V544" s="291">
        <f t="shared" si="101"/>
        <v>0</v>
      </c>
      <c r="W544" s="10"/>
      <c r="X544" s="10"/>
      <c r="AD544" s="10"/>
      <c r="AF544" s="10"/>
      <c r="AG544" s="10"/>
      <c r="AH544" s="10"/>
      <c r="AI544" s="10"/>
      <c r="AJ544" s="10"/>
      <c r="AK544" s="10"/>
      <c r="AL544" s="10"/>
      <c r="AM544" s="10"/>
      <c r="AN544" s="10"/>
      <c r="AO544" s="10"/>
      <c r="AP544" s="10"/>
      <c r="AQ544" s="10"/>
      <c r="AR544" s="10"/>
      <c r="AS544" s="10"/>
      <c r="AT544" s="10"/>
    </row>
    <row r="545" spans="2:46" ht="15" customHeight="1" x14ac:dyDescent="0.2">
      <c r="B545" s="761" t="s">
        <v>780</v>
      </c>
      <c r="C545" s="791"/>
      <c r="D545" s="791"/>
      <c r="E545" s="755">
        <f>P423</f>
        <v>0</v>
      </c>
      <c r="F545" s="755"/>
      <c r="G545" s="1111"/>
      <c r="H545" s="1112"/>
      <c r="I545" s="738">
        <f t="shared" si="99"/>
        <v>0</v>
      </c>
      <c r="J545" s="740"/>
      <c r="K545" s="970"/>
      <c r="L545" s="971"/>
      <c r="M545" s="971"/>
      <c r="N545" s="971"/>
      <c r="O545" s="972"/>
      <c r="P545" s="961"/>
      <c r="R545" s="365">
        <f t="shared" si="104"/>
        <v>0</v>
      </c>
      <c r="S545" s="365">
        <f>LARGE($R$532:$R$561,14)</f>
        <v>0</v>
      </c>
      <c r="T545" s="688">
        <f t="shared" si="103"/>
        <v>0</v>
      </c>
      <c r="U545" s="365">
        <f t="shared" si="102"/>
        <v>0</v>
      </c>
      <c r="V545" s="291">
        <f t="shared" si="101"/>
        <v>0</v>
      </c>
      <c r="W545" s="10"/>
      <c r="X545" s="10"/>
      <c r="Z545" s="73"/>
      <c r="AD545" s="10"/>
      <c r="AF545" s="10"/>
      <c r="AG545" s="10"/>
      <c r="AH545" s="10"/>
      <c r="AI545" s="10"/>
      <c r="AJ545" s="10"/>
      <c r="AK545" s="10"/>
      <c r="AL545" s="10"/>
      <c r="AM545" s="10"/>
      <c r="AN545" s="10"/>
      <c r="AO545" s="10"/>
      <c r="AP545" s="10"/>
      <c r="AQ545" s="10"/>
      <c r="AR545" s="10"/>
      <c r="AS545" s="10"/>
      <c r="AT545" s="10"/>
    </row>
    <row r="546" spans="2:46" ht="15" customHeight="1" x14ac:dyDescent="0.2">
      <c r="B546" s="791" t="s">
        <v>619</v>
      </c>
      <c r="C546" s="791"/>
      <c r="D546" s="791"/>
      <c r="E546" s="755">
        <f>P426</f>
        <v>0</v>
      </c>
      <c r="F546" s="755"/>
      <c r="G546" s="1111"/>
      <c r="H546" s="1112"/>
      <c r="I546" s="738">
        <f t="shared" si="99"/>
        <v>0</v>
      </c>
      <c r="J546" s="740"/>
      <c r="K546" s="970"/>
      <c r="L546" s="971"/>
      <c r="M546" s="971"/>
      <c r="N546" s="971"/>
      <c r="O546" s="972"/>
      <c r="P546" s="961"/>
      <c r="R546" s="365">
        <f t="shared" si="104"/>
        <v>0</v>
      </c>
      <c r="S546" s="365">
        <f>LARGE($R$532:$R$561,15)</f>
        <v>0</v>
      </c>
      <c r="T546" s="688">
        <f t="shared" si="103"/>
        <v>0</v>
      </c>
      <c r="U546" s="365">
        <f t="shared" si="102"/>
        <v>0</v>
      </c>
      <c r="V546" s="291">
        <f t="shared" si="101"/>
        <v>0</v>
      </c>
      <c r="W546" s="10"/>
      <c r="X546" s="10"/>
      <c r="Z546" s="73"/>
      <c r="AD546" s="10"/>
      <c r="AE546" s="10"/>
      <c r="AF546" s="10"/>
      <c r="AG546" s="10"/>
      <c r="AH546" s="10"/>
      <c r="AI546" s="10"/>
      <c r="AJ546" s="10"/>
      <c r="AK546" s="10"/>
      <c r="AL546" s="10"/>
      <c r="AM546" s="10"/>
      <c r="AN546" s="10"/>
      <c r="AO546" s="10"/>
      <c r="AP546" s="10"/>
      <c r="AQ546" s="10"/>
      <c r="AR546" s="10"/>
      <c r="AS546" s="10"/>
      <c r="AT546" s="10"/>
    </row>
    <row r="547" spans="2:46" ht="15" customHeight="1" x14ac:dyDescent="0.2">
      <c r="B547" s="761" t="s">
        <v>2279</v>
      </c>
      <c r="C547" s="761"/>
      <c r="D547" s="761"/>
      <c r="E547" s="727">
        <f>P427</f>
        <v>0</v>
      </c>
      <c r="F547" s="729"/>
      <c r="G547" s="1111"/>
      <c r="H547" s="1112"/>
      <c r="I547" s="738">
        <f t="shared" si="99"/>
        <v>0</v>
      </c>
      <c r="J547" s="740"/>
      <c r="K547" s="970"/>
      <c r="L547" s="971"/>
      <c r="M547" s="971"/>
      <c r="N547" s="971"/>
      <c r="O547" s="972"/>
      <c r="P547" s="961"/>
      <c r="R547" s="365">
        <f t="shared" si="104"/>
        <v>0</v>
      </c>
      <c r="S547" s="365">
        <f>LARGE($R$532:$R$561,16)</f>
        <v>0</v>
      </c>
      <c r="T547" s="688">
        <f t="shared" si="103"/>
        <v>0</v>
      </c>
      <c r="U547" s="365">
        <f t="shared" si="102"/>
        <v>0</v>
      </c>
      <c r="V547" s="291">
        <f t="shared" si="101"/>
        <v>0</v>
      </c>
      <c r="W547" s="10"/>
      <c r="X547" s="10"/>
      <c r="Z547" s="10"/>
      <c r="AD547" s="10"/>
      <c r="AE547" s="10"/>
      <c r="AF547" s="10"/>
      <c r="AG547" s="10"/>
      <c r="AH547" s="10"/>
      <c r="AI547" s="10"/>
      <c r="AJ547" s="10"/>
      <c r="AK547" s="10"/>
      <c r="AL547" s="10"/>
      <c r="AM547" s="10"/>
      <c r="AN547" s="10"/>
      <c r="AO547" s="10"/>
      <c r="AP547" s="10"/>
      <c r="AQ547" s="10"/>
      <c r="AR547" s="10"/>
      <c r="AS547" s="10"/>
      <c r="AT547" s="10"/>
    </row>
    <row r="548" spans="2:46" ht="15" customHeight="1" x14ac:dyDescent="0.2">
      <c r="B548" s="761" t="s">
        <v>2280</v>
      </c>
      <c r="C548" s="761"/>
      <c r="D548" s="761"/>
      <c r="E548" s="727">
        <f t="shared" ref="E548:E554" si="105">P428</f>
        <v>0</v>
      </c>
      <c r="F548" s="729"/>
      <c r="G548" s="1111"/>
      <c r="H548" s="1112"/>
      <c r="I548" s="738">
        <f t="shared" si="99"/>
        <v>0</v>
      </c>
      <c r="J548" s="740"/>
      <c r="K548" s="505"/>
      <c r="L548" s="506"/>
      <c r="M548" s="506"/>
      <c r="N548" s="506"/>
      <c r="O548" s="507"/>
      <c r="P548" s="961"/>
      <c r="R548" s="365">
        <f t="shared" si="104"/>
        <v>0</v>
      </c>
      <c r="S548" s="365">
        <f>LARGE($R$532:$R$561,17)</f>
        <v>0</v>
      </c>
      <c r="T548" s="688">
        <f t="shared" si="103"/>
        <v>0</v>
      </c>
      <c r="U548" s="365">
        <f t="shared" si="102"/>
        <v>0</v>
      </c>
      <c r="V548" s="291">
        <f t="shared" si="101"/>
        <v>0</v>
      </c>
      <c r="W548" s="10"/>
      <c r="X548" s="10"/>
      <c r="Z548" s="10"/>
      <c r="AD548" s="10"/>
      <c r="AE548" s="10"/>
      <c r="AF548" s="10"/>
      <c r="AG548" s="10"/>
      <c r="AH548" s="10"/>
      <c r="AI548" s="10"/>
      <c r="AJ548" s="10"/>
      <c r="AK548" s="10"/>
      <c r="AL548" s="10"/>
      <c r="AM548" s="10"/>
      <c r="AN548" s="10"/>
      <c r="AO548" s="10"/>
      <c r="AP548" s="10"/>
      <c r="AQ548" s="10"/>
      <c r="AR548" s="10"/>
      <c r="AS548" s="10"/>
      <c r="AT548" s="10"/>
    </row>
    <row r="549" spans="2:46" ht="15" customHeight="1" x14ac:dyDescent="0.2">
      <c r="B549" s="761" t="s">
        <v>2281</v>
      </c>
      <c r="C549" s="761"/>
      <c r="D549" s="761"/>
      <c r="E549" s="727">
        <f t="shared" si="105"/>
        <v>0</v>
      </c>
      <c r="F549" s="729"/>
      <c r="G549" s="1111"/>
      <c r="H549" s="1112"/>
      <c r="I549" s="738">
        <f t="shared" si="99"/>
        <v>0</v>
      </c>
      <c r="J549" s="740"/>
      <c r="K549" s="623"/>
      <c r="L549" s="624"/>
      <c r="M549" s="624"/>
      <c r="N549" s="624"/>
      <c r="O549" s="625"/>
      <c r="P549" s="961"/>
      <c r="R549" s="365">
        <f t="shared" si="104"/>
        <v>0</v>
      </c>
      <c r="S549" s="365">
        <f>LARGE($R$532:$R$561,18)</f>
        <v>0</v>
      </c>
      <c r="T549" s="688">
        <f t="shared" si="103"/>
        <v>0</v>
      </c>
      <c r="U549" s="365">
        <f t="shared" si="102"/>
        <v>0</v>
      </c>
      <c r="V549" s="291">
        <f t="shared" si="101"/>
        <v>0</v>
      </c>
      <c r="W549" s="10"/>
      <c r="X549" s="10"/>
      <c r="Z549" s="10"/>
      <c r="AD549" s="10"/>
      <c r="AE549" s="10"/>
      <c r="AF549" s="10"/>
      <c r="AG549" s="10"/>
      <c r="AH549" s="10"/>
      <c r="AI549" s="10"/>
      <c r="AJ549" s="10"/>
      <c r="AK549" s="10"/>
      <c r="AL549" s="10"/>
      <c r="AM549" s="10"/>
      <c r="AN549" s="10"/>
      <c r="AO549" s="10"/>
      <c r="AP549" s="10"/>
      <c r="AQ549" s="10"/>
      <c r="AR549" s="10"/>
      <c r="AS549" s="10"/>
      <c r="AT549" s="10"/>
    </row>
    <row r="550" spans="2:46" ht="15" customHeight="1" x14ac:dyDescent="0.2">
      <c r="B550" s="761" t="s">
        <v>2282</v>
      </c>
      <c r="C550" s="761"/>
      <c r="D550" s="761"/>
      <c r="E550" s="727">
        <f t="shared" si="105"/>
        <v>0</v>
      </c>
      <c r="F550" s="729"/>
      <c r="G550" s="1111"/>
      <c r="H550" s="1112"/>
      <c r="I550" s="738">
        <f t="shared" si="99"/>
        <v>0</v>
      </c>
      <c r="J550" s="740"/>
      <c r="K550" s="623"/>
      <c r="L550" s="624"/>
      <c r="M550" s="624"/>
      <c r="N550" s="624"/>
      <c r="O550" s="625"/>
      <c r="P550" s="961"/>
      <c r="R550" s="365">
        <f t="shared" si="104"/>
        <v>0</v>
      </c>
      <c r="S550" s="365">
        <f>LARGE($R$532:$R$561,19)</f>
        <v>0</v>
      </c>
      <c r="T550" s="688">
        <f t="shared" si="103"/>
        <v>0</v>
      </c>
      <c r="U550" s="365">
        <f t="shared" si="102"/>
        <v>0</v>
      </c>
      <c r="V550" s="291">
        <f t="shared" si="101"/>
        <v>0</v>
      </c>
      <c r="W550" s="10"/>
      <c r="X550" s="10"/>
      <c r="Z550" s="10"/>
      <c r="AD550" s="10"/>
      <c r="AE550" s="10"/>
      <c r="AF550" s="10"/>
      <c r="AG550" s="10"/>
      <c r="AH550" s="10"/>
      <c r="AI550" s="10"/>
      <c r="AJ550" s="10"/>
      <c r="AK550" s="10"/>
      <c r="AL550" s="10"/>
      <c r="AM550" s="10"/>
      <c r="AN550" s="10"/>
      <c r="AO550" s="10"/>
      <c r="AP550" s="10"/>
      <c r="AQ550" s="10"/>
      <c r="AR550" s="10"/>
      <c r="AS550" s="10"/>
      <c r="AT550" s="10"/>
    </row>
    <row r="551" spans="2:46" ht="15" customHeight="1" x14ac:dyDescent="0.2">
      <c r="B551" s="752" t="s">
        <v>2283</v>
      </c>
      <c r="C551" s="753"/>
      <c r="D551" s="753"/>
      <c r="E551" s="727">
        <f t="shared" si="105"/>
        <v>0</v>
      </c>
      <c r="F551" s="729"/>
      <c r="G551" s="1111"/>
      <c r="H551" s="1112"/>
      <c r="I551" s="738">
        <f t="shared" si="99"/>
        <v>0</v>
      </c>
      <c r="J551" s="740"/>
      <c r="K551" s="623"/>
      <c r="L551" s="624"/>
      <c r="M551" s="624"/>
      <c r="N551" s="624"/>
      <c r="O551" s="625"/>
      <c r="P551" s="961"/>
      <c r="R551" s="365">
        <f t="shared" si="104"/>
        <v>0</v>
      </c>
      <c r="S551" s="365">
        <f>LARGE($R$532:$R$561,20)</f>
        <v>0</v>
      </c>
      <c r="T551" s="688">
        <f t="shared" si="103"/>
        <v>0</v>
      </c>
      <c r="U551" s="365">
        <f t="shared" si="102"/>
        <v>0</v>
      </c>
      <c r="V551" s="291">
        <f t="shared" si="101"/>
        <v>0</v>
      </c>
      <c r="W551" s="10"/>
      <c r="X551" s="10"/>
      <c r="Z551" s="10"/>
      <c r="AD551" s="10"/>
      <c r="AE551" s="10"/>
      <c r="AF551" s="10"/>
      <c r="AG551" s="10"/>
      <c r="AH551" s="10"/>
      <c r="AI551" s="10"/>
      <c r="AJ551" s="10"/>
      <c r="AK551" s="10"/>
      <c r="AL551" s="10"/>
      <c r="AM551" s="10"/>
      <c r="AN551" s="10"/>
      <c r="AO551" s="10"/>
      <c r="AP551" s="10"/>
      <c r="AQ551" s="10"/>
      <c r="AR551" s="10"/>
      <c r="AS551" s="10"/>
      <c r="AT551" s="10"/>
    </row>
    <row r="552" spans="2:46" ht="15" customHeight="1" x14ac:dyDescent="0.2">
      <c r="B552" s="756" t="s">
        <v>2284</v>
      </c>
      <c r="C552" s="757"/>
      <c r="D552" s="758"/>
      <c r="E552" s="727">
        <f t="shared" si="105"/>
        <v>0</v>
      </c>
      <c r="F552" s="729"/>
      <c r="G552" s="1111"/>
      <c r="H552" s="1112"/>
      <c r="I552" s="738">
        <f t="shared" si="99"/>
        <v>0</v>
      </c>
      <c r="J552" s="740"/>
      <c r="K552" s="623"/>
      <c r="L552" s="624"/>
      <c r="M552" s="624"/>
      <c r="N552" s="624"/>
      <c r="O552" s="625"/>
      <c r="P552" s="961"/>
      <c r="R552" s="365">
        <f t="shared" si="104"/>
        <v>0</v>
      </c>
      <c r="S552" s="365">
        <f>LARGE($R$532:$R$561,21)</f>
        <v>0</v>
      </c>
      <c r="T552" s="688">
        <f t="shared" si="103"/>
        <v>0</v>
      </c>
      <c r="U552" s="365">
        <f t="shared" si="102"/>
        <v>0</v>
      </c>
      <c r="V552" s="291">
        <f t="shared" si="101"/>
        <v>0</v>
      </c>
      <c r="W552" s="10"/>
      <c r="X552" s="10"/>
      <c r="Z552" s="10"/>
      <c r="AD552" s="10"/>
      <c r="AE552" s="10"/>
      <c r="AF552" s="10"/>
      <c r="AG552" s="10"/>
      <c r="AH552" s="10"/>
      <c r="AI552" s="10"/>
      <c r="AJ552" s="10"/>
      <c r="AK552" s="10"/>
      <c r="AL552" s="10"/>
      <c r="AM552" s="10"/>
      <c r="AN552" s="10"/>
      <c r="AO552" s="10"/>
      <c r="AP552" s="10"/>
      <c r="AQ552" s="10"/>
      <c r="AR552" s="10"/>
      <c r="AS552" s="10"/>
      <c r="AT552" s="10"/>
    </row>
    <row r="553" spans="2:46" ht="15" customHeight="1" x14ac:dyDescent="0.2">
      <c r="B553" s="756" t="s">
        <v>2285</v>
      </c>
      <c r="C553" s="757"/>
      <c r="D553" s="758"/>
      <c r="E553" s="727">
        <f t="shared" si="105"/>
        <v>0</v>
      </c>
      <c r="F553" s="729"/>
      <c r="G553" s="1111"/>
      <c r="H553" s="1112"/>
      <c r="I553" s="738">
        <f t="shared" si="99"/>
        <v>0</v>
      </c>
      <c r="J553" s="740"/>
      <c r="K553" s="623"/>
      <c r="L553" s="624"/>
      <c r="M553" s="624"/>
      <c r="N553" s="624"/>
      <c r="O553" s="625"/>
      <c r="P553" s="961"/>
      <c r="R553" s="365">
        <f t="shared" si="104"/>
        <v>0</v>
      </c>
      <c r="S553" s="365">
        <f>LARGE($R$532:$R$561,22)</f>
        <v>0</v>
      </c>
      <c r="T553" s="688">
        <f t="shared" si="103"/>
        <v>0</v>
      </c>
      <c r="U553" s="365">
        <f t="shared" si="102"/>
        <v>0</v>
      </c>
      <c r="V553" s="291">
        <f t="shared" si="101"/>
        <v>0</v>
      </c>
      <c r="W553" s="10"/>
      <c r="X553" s="10"/>
      <c r="Z553" s="10"/>
      <c r="AD553" s="10"/>
      <c r="AE553" s="10"/>
      <c r="AF553" s="10"/>
      <c r="AG553" s="10"/>
      <c r="AH553" s="10"/>
      <c r="AI553" s="10"/>
      <c r="AJ553" s="10"/>
      <c r="AK553" s="10"/>
      <c r="AL553" s="10"/>
      <c r="AM553" s="10"/>
      <c r="AN553" s="10"/>
      <c r="AO553" s="10"/>
      <c r="AP553" s="10"/>
      <c r="AQ553" s="10"/>
      <c r="AR553" s="10"/>
      <c r="AS553" s="10"/>
      <c r="AT553" s="10"/>
    </row>
    <row r="554" spans="2:46" ht="15" customHeight="1" x14ac:dyDescent="0.2">
      <c r="B554" s="752" t="s">
        <v>2286</v>
      </c>
      <c r="C554" s="753"/>
      <c r="D554" s="753"/>
      <c r="E554" s="727">
        <f t="shared" si="105"/>
        <v>0</v>
      </c>
      <c r="F554" s="729"/>
      <c r="G554" s="1111"/>
      <c r="H554" s="1112"/>
      <c r="I554" s="738">
        <f t="shared" si="99"/>
        <v>0</v>
      </c>
      <c r="J554" s="740"/>
      <c r="K554" s="623"/>
      <c r="L554" s="624"/>
      <c r="M554" s="624"/>
      <c r="N554" s="624"/>
      <c r="O554" s="625"/>
      <c r="P554" s="961"/>
      <c r="R554" s="365">
        <f t="shared" si="104"/>
        <v>0</v>
      </c>
      <c r="S554" s="365">
        <f>LARGE($R$532:$R$561,23)</f>
        <v>0</v>
      </c>
      <c r="T554" s="688">
        <f t="shared" si="103"/>
        <v>0</v>
      </c>
      <c r="U554" s="365">
        <f t="shared" si="102"/>
        <v>0</v>
      </c>
      <c r="V554" s="291">
        <f t="shared" si="101"/>
        <v>0</v>
      </c>
      <c r="W554" s="10"/>
      <c r="X554" s="10"/>
      <c r="Z554" s="10"/>
      <c r="AD554" s="10"/>
      <c r="AE554" s="10"/>
      <c r="AF554" s="10"/>
      <c r="AG554" s="10"/>
      <c r="AH554" s="10"/>
      <c r="AI554" s="10"/>
      <c r="AJ554" s="10"/>
      <c r="AK554" s="10"/>
      <c r="AL554" s="10"/>
      <c r="AM554" s="10"/>
      <c r="AN554" s="10"/>
      <c r="AO554" s="10"/>
      <c r="AP554" s="10"/>
      <c r="AQ554" s="10"/>
      <c r="AR554" s="10"/>
      <c r="AS554" s="10"/>
      <c r="AT554" s="10"/>
    </row>
    <row r="555" spans="2:46" ht="15.75" customHeight="1" x14ac:dyDescent="0.2">
      <c r="B555" s="791" t="s">
        <v>1448</v>
      </c>
      <c r="C555" s="791"/>
      <c r="D555" s="791"/>
      <c r="E555" s="755">
        <f>P435</f>
        <v>0</v>
      </c>
      <c r="F555" s="755"/>
      <c r="G555" s="1111"/>
      <c r="H555" s="1112"/>
      <c r="I555" s="738">
        <f t="shared" si="99"/>
        <v>0</v>
      </c>
      <c r="J555" s="740"/>
      <c r="K555" s="623"/>
      <c r="L555" s="624"/>
      <c r="M555" s="624"/>
      <c r="N555" s="624"/>
      <c r="O555" s="625"/>
      <c r="P555" s="961"/>
      <c r="R555" s="365">
        <f t="shared" si="104"/>
        <v>0</v>
      </c>
      <c r="S555" s="365">
        <f>LARGE($R$532:$R$561,24)</f>
        <v>0</v>
      </c>
      <c r="T555" s="688">
        <f t="shared" si="103"/>
        <v>0</v>
      </c>
      <c r="U555" s="365">
        <f t="shared" si="102"/>
        <v>0</v>
      </c>
      <c r="V555" s="291">
        <f t="shared" si="101"/>
        <v>0</v>
      </c>
      <c r="W555" s="10"/>
      <c r="X555" s="10"/>
      <c r="Z555" s="10"/>
      <c r="AD555" s="10"/>
      <c r="AE555" s="10"/>
      <c r="AF555" s="10"/>
      <c r="AG555" s="10"/>
      <c r="AH555" s="10"/>
      <c r="AI555" s="10"/>
      <c r="AJ555" s="10"/>
      <c r="AK555" s="10"/>
      <c r="AL555" s="10"/>
      <c r="AM555" s="10"/>
      <c r="AN555" s="10"/>
      <c r="AO555" s="10"/>
      <c r="AP555" s="10"/>
      <c r="AQ555" s="10"/>
      <c r="AR555" s="10"/>
      <c r="AS555" s="10"/>
      <c r="AT555" s="10"/>
    </row>
    <row r="556" spans="2:46" ht="15.75" customHeight="1" x14ac:dyDescent="0.2">
      <c r="B556" s="742" t="s">
        <v>966</v>
      </c>
      <c r="C556" s="743"/>
      <c r="D556" s="744"/>
      <c r="E556" s="727">
        <f>P436</f>
        <v>0</v>
      </c>
      <c r="F556" s="729"/>
      <c r="G556" s="1111"/>
      <c r="H556" s="1112"/>
      <c r="I556" s="738">
        <f t="shared" si="99"/>
        <v>0</v>
      </c>
      <c r="J556" s="740"/>
      <c r="K556" s="1009" t="str">
        <f>IF(AND(OR(P398&gt;0,P408&gt;0,P512&gt;0,P518&gt;0),E615&gt;0),"A value has been granted for motor loss. Additional impairment values are not allowed for weakness, chronic condition, or reduced ROM in the same extremity.","")</f>
        <v/>
      </c>
      <c r="L556" s="1010"/>
      <c r="M556" s="1010"/>
      <c r="N556" s="1010"/>
      <c r="O556" s="1011"/>
      <c r="P556" s="961"/>
      <c r="R556" s="365">
        <f t="shared" si="104"/>
        <v>0</v>
      </c>
      <c r="S556" s="365">
        <f>LARGE($R$532:$R$561,25)</f>
        <v>0</v>
      </c>
      <c r="T556" s="688">
        <f t="shared" si="103"/>
        <v>0</v>
      </c>
      <c r="U556" s="365">
        <f t="shared" si="102"/>
        <v>0</v>
      </c>
      <c r="V556" s="291">
        <f t="shared" si="101"/>
        <v>0</v>
      </c>
      <c r="W556" s="10"/>
      <c r="X556" s="10"/>
      <c r="Z556" s="10"/>
      <c r="AD556" s="10"/>
      <c r="AE556" s="10"/>
      <c r="AF556" s="10"/>
      <c r="AG556" s="10"/>
      <c r="AH556" s="10"/>
      <c r="AI556" s="10"/>
      <c r="AJ556" s="10"/>
      <c r="AK556" s="10"/>
      <c r="AL556" s="10"/>
      <c r="AM556" s="10"/>
      <c r="AN556" s="10"/>
      <c r="AO556" s="10"/>
      <c r="AP556" s="10"/>
      <c r="AQ556" s="10"/>
      <c r="AR556" s="10"/>
      <c r="AS556" s="10"/>
      <c r="AT556" s="10"/>
    </row>
    <row r="557" spans="2:46" ht="15.75" customHeight="1" x14ac:dyDescent="0.2">
      <c r="B557" s="791" t="s">
        <v>1419</v>
      </c>
      <c r="C557" s="791"/>
      <c r="D557" s="791"/>
      <c r="E557" s="755">
        <f>P440</f>
        <v>0</v>
      </c>
      <c r="F557" s="755"/>
      <c r="G557" s="1111"/>
      <c r="H557" s="1112"/>
      <c r="I557" s="738">
        <f t="shared" si="99"/>
        <v>0</v>
      </c>
      <c r="J557" s="740"/>
      <c r="K557" s="1009"/>
      <c r="L557" s="1010"/>
      <c r="M557" s="1010"/>
      <c r="N557" s="1010"/>
      <c r="O557" s="1011"/>
      <c r="P557" s="961"/>
      <c r="R557" s="365">
        <f t="shared" si="104"/>
        <v>0</v>
      </c>
      <c r="S557" s="365">
        <f>LARGE($R$532:$R$561,26)</f>
        <v>0</v>
      </c>
      <c r="T557" s="688">
        <f t="shared" si="103"/>
        <v>0</v>
      </c>
      <c r="U557" s="365">
        <f t="shared" si="102"/>
        <v>0</v>
      </c>
      <c r="V557" s="291">
        <f t="shared" si="101"/>
        <v>0</v>
      </c>
      <c r="W557" s="10"/>
      <c r="X557" s="10"/>
      <c r="Z557" s="10"/>
      <c r="AC557" s="10"/>
      <c r="AD557" s="10"/>
      <c r="AE557" s="10"/>
      <c r="AF557" s="10"/>
      <c r="AG557" s="10"/>
      <c r="AH557" s="10"/>
      <c r="AI557" s="10"/>
      <c r="AJ557" s="10"/>
      <c r="AK557" s="10"/>
      <c r="AL557" s="10"/>
      <c r="AM557" s="10"/>
      <c r="AN557" s="10"/>
      <c r="AO557" s="10"/>
      <c r="AP557" s="10"/>
      <c r="AQ557" s="10"/>
      <c r="AR557" s="10"/>
      <c r="AS557" s="10"/>
      <c r="AT557" s="10"/>
    </row>
    <row r="558" spans="2:46" ht="15.75" customHeight="1" x14ac:dyDescent="0.2">
      <c r="B558" s="791" t="s">
        <v>1235</v>
      </c>
      <c r="C558" s="791"/>
      <c r="D558" s="791"/>
      <c r="E558" s="755">
        <f>P444</f>
        <v>0</v>
      </c>
      <c r="F558" s="755"/>
      <c r="G558" s="1111"/>
      <c r="H558" s="1112"/>
      <c r="I558" s="738">
        <f t="shared" si="99"/>
        <v>0</v>
      </c>
      <c r="J558" s="740"/>
      <c r="K558" s="1009"/>
      <c r="L558" s="1010"/>
      <c r="M558" s="1010"/>
      <c r="N558" s="1010"/>
      <c r="O558" s="1011"/>
      <c r="P558" s="961"/>
      <c r="R558" s="365">
        <f t="shared" si="104"/>
        <v>0</v>
      </c>
      <c r="S558" s="365">
        <f>LARGE($R$532:$R$561,27)</f>
        <v>0</v>
      </c>
      <c r="T558" s="688">
        <f t="shared" si="103"/>
        <v>0</v>
      </c>
      <c r="U558" s="365">
        <f t="shared" si="102"/>
        <v>0</v>
      </c>
      <c r="V558" s="291">
        <f t="shared" si="101"/>
        <v>0</v>
      </c>
      <c r="W558" s="10"/>
      <c r="X558" s="10"/>
      <c r="Z558" s="10"/>
      <c r="AC558" s="10"/>
      <c r="AD558" s="10"/>
      <c r="AE558" s="10"/>
      <c r="AF558" s="10"/>
      <c r="AG558" s="10"/>
      <c r="AH558" s="10"/>
      <c r="AI558" s="10"/>
      <c r="AJ558" s="10"/>
      <c r="AK558" s="10"/>
      <c r="AL558" s="10"/>
      <c r="AM558" s="10"/>
      <c r="AN558" s="10"/>
      <c r="AO558" s="10"/>
      <c r="AP558" s="10"/>
      <c r="AQ558" s="10"/>
      <c r="AR558" s="10"/>
      <c r="AS558" s="10"/>
      <c r="AT558" s="10"/>
    </row>
    <row r="559" spans="2:46" ht="15.75" customHeight="1" x14ac:dyDescent="0.2">
      <c r="B559" s="791" t="s">
        <v>1607</v>
      </c>
      <c r="C559" s="791"/>
      <c r="D559" s="791"/>
      <c r="E559" s="755">
        <f>IF(E615&gt;0,0,P512)</f>
        <v>0</v>
      </c>
      <c r="F559" s="755"/>
      <c r="G559" s="1111"/>
      <c r="H559" s="1112"/>
      <c r="I559" s="738">
        <f t="shared" si="99"/>
        <v>0</v>
      </c>
      <c r="J559" s="740"/>
      <c r="K559" s="1009"/>
      <c r="L559" s="1010"/>
      <c r="M559" s="1010"/>
      <c r="N559" s="1010"/>
      <c r="O559" s="1011"/>
      <c r="P559" s="961"/>
      <c r="R559" s="365">
        <f t="shared" si="104"/>
        <v>0</v>
      </c>
      <c r="S559" s="365">
        <f>LARGE($R$532:$R$561,28)</f>
        <v>0</v>
      </c>
      <c r="T559" s="688">
        <f t="shared" si="103"/>
        <v>0</v>
      </c>
      <c r="U559" s="365">
        <f t="shared" si="102"/>
        <v>0</v>
      </c>
      <c r="V559" s="291">
        <f t="shared" si="101"/>
        <v>0</v>
      </c>
      <c r="W559" s="10"/>
      <c r="X559" s="10"/>
      <c r="Z559" s="10"/>
      <c r="AC559" s="10"/>
      <c r="AD559" s="10"/>
      <c r="AE559" s="10"/>
      <c r="AF559" s="10"/>
      <c r="AG559" s="10"/>
      <c r="AH559" s="10"/>
      <c r="AI559" s="10"/>
      <c r="AJ559" s="10"/>
      <c r="AK559" s="10"/>
      <c r="AL559" s="10"/>
      <c r="AM559" s="10"/>
      <c r="AN559" s="10"/>
      <c r="AO559" s="10"/>
      <c r="AP559" s="10"/>
      <c r="AQ559" s="10"/>
      <c r="AR559" s="10"/>
      <c r="AS559" s="10"/>
      <c r="AT559" s="10"/>
    </row>
    <row r="560" spans="2:46" ht="15.75" customHeight="1" x14ac:dyDescent="0.2">
      <c r="B560" s="791" t="s">
        <v>1449</v>
      </c>
      <c r="C560" s="791"/>
      <c r="D560" s="791"/>
      <c r="E560" s="755">
        <f>IF(E615&gt;0,0,P518)</f>
        <v>0</v>
      </c>
      <c r="F560" s="755"/>
      <c r="G560" s="1111"/>
      <c r="H560" s="1112"/>
      <c r="I560" s="738">
        <f t="shared" si="99"/>
        <v>0</v>
      </c>
      <c r="J560" s="740"/>
      <c r="K560" s="1009"/>
      <c r="L560" s="1010"/>
      <c r="M560" s="1010"/>
      <c r="N560" s="1010"/>
      <c r="O560" s="1011"/>
      <c r="P560" s="961"/>
      <c r="R560" s="365">
        <f t="shared" si="104"/>
        <v>0</v>
      </c>
      <c r="S560" s="365">
        <f>LARGE($R$532:$R$561,29)</f>
        <v>0</v>
      </c>
      <c r="T560" s="688">
        <f t="shared" si="103"/>
        <v>0</v>
      </c>
      <c r="U560" s="365">
        <f t="shared" si="102"/>
        <v>0</v>
      </c>
      <c r="V560" s="291">
        <f t="shared" si="101"/>
        <v>0</v>
      </c>
      <c r="W560" s="10"/>
      <c r="X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row>
    <row r="561" spans="1:46" ht="15.75" customHeight="1" x14ac:dyDescent="0.2">
      <c r="B561" s="789" t="s">
        <v>1450</v>
      </c>
      <c r="C561" s="789"/>
      <c r="D561" s="789"/>
      <c r="E561" s="857">
        <f>P522</f>
        <v>0</v>
      </c>
      <c r="F561" s="858"/>
      <c r="G561" s="830" t="s">
        <v>1901</v>
      </c>
      <c r="H561" s="830"/>
      <c r="I561" s="830"/>
      <c r="J561" s="830"/>
      <c r="K561" s="1117"/>
      <c r="L561" s="1118"/>
      <c r="M561" s="1118"/>
      <c r="N561" s="1118"/>
      <c r="O561" s="1119"/>
      <c r="P561" s="961"/>
      <c r="R561" s="365">
        <f>E561</f>
        <v>0</v>
      </c>
      <c r="S561" s="365">
        <f>LARGE($R$532:$R$561,30)</f>
        <v>0</v>
      </c>
      <c r="T561" s="96"/>
      <c r="U561" s="128"/>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row>
    <row r="562" spans="1:46" ht="15" customHeight="1" x14ac:dyDescent="0.2">
      <c r="B562" s="956" t="s">
        <v>1890</v>
      </c>
      <c r="C562" s="956"/>
      <c r="D562" s="956"/>
      <c r="E562" s="956"/>
      <c r="F562" s="956"/>
      <c r="G562" s="956"/>
      <c r="H562" s="956"/>
      <c r="I562" s="956"/>
      <c r="J562" s="956"/>
      <c r="K562" s="956"/>
      <c r="L562" s="956"/>
      <c r="M562" s="956"/>
      <c r="N562" s="956"/>
      <c r="O562" s="956"/>
      <c r="P562" s="962"/>
      <c r="R562" s="14"/>
      <c r="S562" s="96"/>
      <c r="T562" s="128"/>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row>
    <row r="563" spans="1:46" ht="12" customHeight="1" x14ac:dyDescent="0.2">
      <c r="B563" s="777"/>
      <c r="C563" s="777"/>
      <c r="D563" s="777"/>
      <c r="E563" s="777"/>
      <c r="F563" s="777"/>
      <c r="G563" s="777"/>
      <c r="H563" s="777"/>
      <c r="I563" s="777"/>
      <c r="J563" s="777"/>
      <c r="K563" s="777"/>
      <c r="L563" s="777"/>
      <c r="M563" s="777"/>
      <c r="N563" s="777"/>
      <c r="O563" s="777"/>
      <c r="P563" s="1"/>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row>
    <row r="564" spans="1:46" ht="27" customHeight="1" thickBot="1" x14ac:dyDescent="0.25">
      <c r="B564" s="1126" t="s">
        <v>1101</v>
      </c>
      <c r="C564" s="1127"/>
      <c r="D564" s="1127"/>
      <c r="E564" s="1127"/>
      <c r="F564" s="1127"/>
      <c r="G564" s="1127"/>
      <c r="H564" s="1127"/>
      <c r="I564" s="1127"/>
      <c r="J564" s="1127"/>
      <c r="K564" s="1127"/>
      <c r="L564" s="1127"/>
      <c r="M564" s="1127"/>
      <c r="N564" s="1127"/>
      <c r="O564" s="1127"/>
      <c r="P564" s="302" t="s">
        <v>1048</v>
      </c>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row>
    <row r="565" spans="1:46" ht="15" customHeight="1" x14ac:dyDescent="0.2">
      <c r="B565" s="1120" t="s">
        <v>1892</v>
      </c>
      <c r="C565" s="1121"/>
      <c r="D565" s="1121"/>
      <c r="E565" s="1121"/>
      <c r="F565" s="1121"/>
      <c r="G565" s="1121"/>
      <c r="H565" s="1121"/>
      <c r="I565" s="1121"/>
      <c r="J565" s="1121"/>
      <c r="K565" s="1121"/>
      <c r="L565" s="1121"/>
      <c r="M565" s="1121"/>
      <c r="N565" s="1121"/>
      <c r="O565" s="1121"/>
      <c r="P565" s="374"/>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row>
    <row r="566" spans="1:46" ht="19.5" customHeight="1" x14ac:dyDescent="0.2">
      <c r="A566" s="15"/>
      <c r="B566" s="1017"/>
      <c r="C566" s="1018"/>
      <c r="D566" s="1018"/>
      <c r="E566" s="1018"/>
      <c r="F566" s="1018"/>
      <c r="G566" s="1018"/>
      <c r="H566" s="1018"/>
      <c r="I566" s="1018"/>
      <c r="J566" s="1018"/>
      <c r="K566" s="1018"/>
      <c r="L566" s="1018"/>
      <c r="M566" s="1018"/>
      <c r="N566" s="1018"/>
      <c r="O566" s="1018"/>
      <c r="P566" s="292">
        <f>IF(R566=2,1,0)</f>
        <v>0</v>
      </c>
      <c r="R566" s="546">
        <v>1</v>
      </c>
      <c r="S566" s="10"/>
      <c r="T566" s="10"/>
      <c r="U566" s="10"/>
      <c r="V566" s="10"/>
      <c r="W566" s="10">
        <v>1E-4</v>
      </c>
      <c r="X566" s="10"/>
      <c r="Y566" s="14"/>
      <c r="Z566" s="14"/>
      <c r="AA566" s="14"/>
      <c r="AB566" s="14"/>
      <c r="AC566" s="14"/>
      <c r="AD566" s="10"/>
      <c r="AE566" s="10"/>
      <c r="AF566" s="10"/>
      <c r="AG566" s="10"/>
      <c r="AH566" s="10"/>
      <c r="AI566" s="10"/>
      <c r="AJ566" s="10"/>
      <c r="AK566" s="10"/>
      <c r="AL566" s="10"/>
      <c r="AM566" s="10"/>
      <c r="AN566" s="10"/>
      <c r="AO566" s="10"/>
      <c r="AP566" s="10"/>
      <c r="AQ566" s="10"/>
      <c r="AR566" s="10"/>
      <c r="AS566" s="10"/>
      <c r="AT566" s="10"/>
    </row>
    <row r="567" spans="1:46" ht="9" customHeight="1" x14ac:dyDescent="0.2">
      <c r="B567" s="777"/>
      <c r="C567" s="777"/>
      <c r="D567" s="777"/>
      <c r="E567" s="777"/>
      <c r="F567" s="777"/>
      <c r="G567" s="777"/>
      <c r="H567" s="777"/>
      <c r="I567" s="777"/>
      <c r="J567" s="777"/>
      <c r="K567" s="777"/>
      <c r="L567" s="777"/>
      <c r="M567" s="777"/>
      <c r="N567" s="777"/>
      <c r="O567" s="777"/>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row>
    <row r="568" spans="1:46" ht="18" customHeight="1" x14ac:dyDescent="0.2">
      <c r="B568" s="910" t="s">
        <v>1563</v>
      </c>
      <c r="C568" s="910"/>
      <c r="D568" s="910"/>
      <c r="E568" s="910"/>
      <c r="F568" s="910"/>
      <c r="G568" s="910"/>
      <c r="H568" s="910"/>
      <c r="I568" s="910"/>
      <c r="J568" s="910"/>
      <c r="K568" s="910"/>
      <c r="L568" s="910"/>
      <c r="M568" s="910"/>
      <c r="N568" s="910"/>
      <c r="O568" s="944"/>
      <c r="P568" s="199"/>
      <c r="R568" s="10"/>
      <c r="S568" s="10"/>
      <c r="T568" s="907" t="s">
        <v>2141</v>
      </c>
      <c r="U568" s="908"/>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row>
    <row r="569" spans="1:46" ht="27" customHeight="1" x14ac:dyDescent="0.2">
      <c r="B569" s="18" t="s">
        <v>1891</v>
      </c>
      <c r="C569" s="910" t="s">
        <v>1564</v>
      </c>
      <c r="D569" s="910"/>
      <c r="E569" s="910"/>
      <c r="F569" s="910"/>
      <c r="G569" s="912" t="s">
        <v>1064</v>
      </c>
      <c r="H569" s="912"/>
      <c r="I569" s="912"/>
      <c r="J569" s="912"/>
      <c r="K569" s="912"/>
      <c r="L569" s="912"/>
      <c r="M569" s="912"/>
      <c r="N569" s="912"/>
      <c r="O569" s="907"/>
      <c r="P569" s="201"/>
      <c r="R569" s="10"/>
      <c r="S569" s="50" t="s">
        <v>1622</v>
      </c>
      <c r="T569" s="127" t="s">
        <v>1564</v>
      </c>
      <c r="U569" s="127" t="s">
        <v>1565</v>
      </c>
      <c r="V569" s="944" t="s">
        <v>1066</v>
      </c>
      <c r="W569" s="945"/>
      <c r="X569" s="945"/>
      <c r="Y569" s="946"/>
      <c r="Z569" s="10"/>
      <c r="AA569" s="10"/>
      <c r="AB569" s="10"/>
      <c r="AC569" s="10"/>
      <c r="AD569" s="10"/>
      <c r="AE569" s="10"/>
      <c r="AF569" s="10"/>
      <c r="AG569" s="10"/>
      <c r="AH569" s="10"/>
      <c r="AI569" s="10"/>
      <c r="AJ569" s="10"/>
      <c r="AK569" s="10"/>
      <c r="AL569" s="10"/>
      <c r="AM569" s="10"/>
      <c r="AN569" s="10"/>
      <c r="AO569" s="10"/>
      <c r="AP569" s="10"/>
      <c r="AQ569" s="10"/>
      <c r="AR569" s="10"/>
      <c r="AS569" s="10"/>
      <c r="AT569" s="10"/>
    </row>
    <row r="570" spans="1:46" ht="15" customHeight="1" x14ac:dyDescent="0.2">
      <c r="B570" s="147" t="s">
        <v>1483</v>
      </c>
      <c r="C570" s="1030"/>
      <c r="D570" s="1030"/>
      <c r="E570" s="921">
        <f>UETable!BF80</f>
        <v>0</v>
      </c>
      <c r="F570" s="921"/>
      <c r="G570" s="1030"/>
      <c r="H570" s="1030"/>
      <c r="I570" s="936">
        <f>IF(C570="",0,IF(OR(C570&lt;=0,G570&lt;=0),E570,IF(G570&lt;C570,0,UETable!BK80)))</f>
        <v>0</v>
      </c>
      <c r="J570" s="936"/>
      <c r="K570" s="930" t="str">
        <f>IF(OR(C570="NA",G570="NA"),"",IF(AND(C570&lt;&gt;"",G570=""),"Enter contralateral or NA.",IF(AND(C570="",G570&lt;&gt;""),"Need data","")))</f>
        <v/>
      </c>
      <c r="L570" s="930"/>
      <c r="M570" s="930"/>
      <c r="N570" s="930"/>
      <c r="O570" s="931"/>
      <c r="P570" s="201"/>
      <c r="R570" s="10"/>
      <c r="S570" s="50">
        <v>150</v>
      </c>
      <c r="T570" s="50" t="str">
        <f t="shared" ref="T570:T577" si="106">IF(OR(C570="",C570="NA"),"",IF(C570&gt;S570,S570,IF(C570&lt;0,0,C570)))</f>
        <v/>
      </c>
      <c r="U570" s="50" t="str">
        <f>IF(OR(G570="",G570="NA"),"",IF(G570&gt;S570,S570,IF(G570&lt;0,0,G570)))</f>
        <v/>
      </c>
      <c r="V570" s="553" t="str">
        <f>IF(Y570="","",ROUND(Y570,0))</f>
        <v/>
      </c>
      <c r="W570" s="791" t="s">
        <v>1184</v>
      </c>
      <c r="X570" s="791"/>
      <c r="Y570" s="554" t="str">
        <f>IF(T570="","",IF(OR(U570="",U570=0,U570&lt;T570),T570,(T570*150)/U570))</f>
        <v/>
      </c>
      <c r="Z570" s="10"/>
      <c r="AA570" s="10"/>
      <c r="AB570" s="10"/>
      <c r="AC570" s="10"/>
      <c r="AD570" s="10"/>
      <c r="AE570" s="10"/>
      <c r="AF570" s="10"/>
      <c r="AG570" s="10"/>
      <c r="AH570" s="10"/>
      <c r="AN570" s="10"/>
      <c r="AO570" s="10"/>
      <c r="AP570" s="10"/>
      <c r="AQ570" s="10"/>
      <c r="AR570" s="10"/>
      <c r="AS570" s="10"/>
      <c r="AT570" s="10"/>
    </row>
    <row r="571" spans="1:46" ht="15" customHeight="1" x14ac:dyDescent="0.2">
      <c r="B571" s="147" t="s">
        <v>1185</v>
      </c>
      <c r="C571" s="1030"/>
      <c r="D571" s="1030"/>
      <c r="E571" s="921">
        <f>IF(AND(AJ577=1,AK577=1),"ERROR",UETable!BF81)</f>
        <v>0</v>
      </c>
      <c r="F571" s="921"/>
      <c r="G571" s="930" t="str">
        <f>IF(AND($AK$577=1,$AJ$577=1),"Cannot rate ROM and ankylosis.","")</f>
        <v/>
      </c>
      <c r="H571" s="930"/>
      <c r="I571" s="930"/>
      <c r="J571" s="930"/>
      <c r="K571" s="930"/>
      <c r="L571" s="930"/>
      <c r="M571" s="930"/>
      <c r="N571" s="930"/>
      <c r="O571" s="931"/>
      <c r="P571" s="201"/>
      <c r="R571" s="10"/>
      <c r="S571" s="50">
        <v>150</v>
      </c>
      <c r="T571" s="50" t="str">
        <f t="shared" si="106"/>
        <v/>
      </c>
      <c r="U571" s="10"/>
      <c r="V571" s="61"/>
      <c r="W571" s="10"/>
      <c r="X571" s="10"/>
      <c r="Y571" s="130"/>
      <c r="Z571" s="10"/>
      <c r="AA571" s="10"/>
      <c r="AB571" s="61"/>
      <c r="AC571" s="10"/>
      <c r="AD571" s="10"/>
      <c r="AE571" s="10"/>
      <c r="AF571" s="10"/>
      <c r="AG571" s="10"/>
      <c r="AH571" s="10"/>
      <c r="AI571" s="10"/>
      <c r="AJ571" s="10"/>
      <c r="AK571" s="10"/>
      <c r="AL571" s="10"/>
      <c r="AM571" s="10"/>
      <c r="AN571" s="10"/>
      <c r="AO571" s="10"/>
      <c r="AP571" s="10"/>
      <c r="AQ571" s="10"/>
      <c r="AR571" s="10"/>
      <c r="AS571" s="10"/>
      <c r="AT571" s="10"/>
    </row>
    <row r="572" spans="1:46" ht="15" customHeight="1" x14ac:dyDescent="0.2">
      <c r="B572" s="147" t="s">
        <v>1159</v>
      </c>
      <c r="C572" s="1030"/>
      <c r="D572" s="1030"/>
      <c r="E572" s="921">
        <f>UETable!BF82</f>
        <v>0</v>
      </c>
      <c r="F572" s="921"/>
      <c r="G572" s="1030"/>
      <c r="H572" s="1030"/>
      <c r="I572" s="936">
        <f>IF(C572="",0,IF(OR(C572&gt;=150,G572&gt;=150),E572,IF(G572&gt;C572,0,UETable!BK82)))</f>
        <v>0</v>
      </c>
      <c r="J572" s="936"/>
      <c r="K572" s="930" t="str">
        <f>IF(OR(C572="NA",G572="NA"),"",IF(AND(C572&lt;&gt;"",G572=""),"Enter contralateral or NA.",IF(AND(C572="",G572&lt;&gt;""),"Need data","")))</f>
        <v/>
      </c>
      <c r="L572" s="930"/>
      <c r="M572" s="930"/>
      <c r="N572" s="930"/>
      <c r="O572" s="931"/>
      <c r="P572" s="201"/>
      <c r="R572" s="10"/>
      <c r="S572" s="50">
        <v>150</v>
      </c>
      <c r="T572" s="50" t="str">
        <f t="shared" si="106"/>
        <v/>
      </c>
      <c r="U572" s="50" t="str">
        <f>IF(OR(G572="",G572="NA"),"",IF(G572&gt;S572,S572,IF(G572&lt;0,0,G572)))</f>
        <v/>
      </c>
      <c r="V572" s="553" t="str">
        <f>IF(Y572="","",ROUND(Y572,0))</f>
        <v/>
      </c>
      <c r="W572" s="50">
        <f>IF(T572="",0,150-T572)</f>
        <v>0</v>
      </c>
      <c r="X572" s="50">
        <f>IF(U572="",0,150-U572)</f>
        <v>0</v>
      </c>
      <c r="Y572" s="554" t="str">
        <f>IF(T572="","",IF(OR(U572="",U572=0,U572&gt;T572),T572,150-(W572*150)/X572))</f>
        <v/>
      </c>
      <c r="Z572" s="10"/>
      <c r="AA572" s="10"/>
      <c r="AB572" s="10"/>
      <c r="AC572" s="10"/>
      <c r="AD572" s="10"/>
      <c r="AE572" s="10"/>
      <c r="AF572" s="10"/>
      <c r="AG572" s="10"/>
      <c r="AH572" s="10"/>
      <c r="AI572" s="10"/>
      <c r="AJ572" s="10"/>
      <c r="AK572" s="10"/>
      <c r="AL572" s="10"/>
      <c r="AM572" s="10"/>
      <c r="AN572" s="10"/>
      <c r="AO572" s="10"/>
      <c r="AP572" s="10"/>
      <c r="AQ572" s="10"/>
      <c r="AR572" s="10"/>
      <c r="AS572" s="10"/>
      <c r="AT572" s="10"/>
    </row>
    <row r="573" spans="1:46" ht="15" customHeight="1" x14ac:dyDescent="0.2">
      <c r="B573" s="147" t="s">
        <v>1187</v>
      </c>
      <c r="C573" s="1030"/>
      <c r="D573" s="1030"/>
      <c r="E573" s="921">
        <f>IF(AND(AJ577=1,AK577=1),"ERROR",UETable!BF83)</f>
        <v>0</v>
      </c>
      <c r="F573" s="921"/>
      <c r="G573" s="930" t="str">
        <f>IF(AND($AK$577=1,$AJ$577=1),"Cannot rate ROM and ankylosis.","")</f>
        <v/>
      </c>
      <c r="H573" s="930"/>
      <c r="I573" s="930"/>
      <c r="J573" s="930"/>
      <c r="K573" s="930"/>
      <c r="L573" s="930"/>
      <c r="M573" s="930"/>
      <c r="N573" s="930"/>
      <c r="O573" s="931"/>
      <c r="P573" s="201"/>
      <c r="R573" s="10"/>
      <c r="S573" s="50">
        <v>150</v>
      </c>
      <c r="T573" s="50" t="str">
        <f t="shared" si="106"/>
        <v/>
      </c>
      <c r="U573" s="10"/>
      <c r="V573" s="10"/>
      <c r="W573" s="10"/>
      <c r="X573" s="10"/>
      <c r="Y573" s="10"/>
      <c r="Z573" s="10"/>
      <c r="AA573" s="10"/>
      <c r="AB573" s="10"/>
      <c r="AC573" s="192">
        <f>MAX(E571,E573,E575,E577)</f>
        <v>0</v>
      </c>
      <c r="AD573" s="791" t="s">
        <v>1902</v>
      </c>
      <c r="AE573" s="791"/>
      <c r="AF573" s="791"/>
      <c r="AG573" s="791"/>
      <c r="AH573" s="10"/>
      <c r="AI573" s="761" t="s">
        <v>914</v>
      </c>
      <c r="AJ573" s="761" t="s">
        <v>678</v>
      </c>
      <c r="AK573" s="761" t="s">
        <v>679</v>
      </c>
      <c r="AL573" s="761" t="s">
        <v>879</v>
      </c>
      <c r="AM573" s="698"/>
      <c r="AN573" s="10"/>
      <c r="AO573" s="10"/>
      <c r="AP573" s="10"/>
      <c r="AQ573" s="10"/>
      <c r="AR573" s="10"/>
      <c r="AS573" s="10"/>
      <c r="AT573" s="10"/>
    </row>
    <row r="574" spans="1:46" ht="15" customHeight="1" x14ac:dyDescent="0.2">
      <c r="B574" s="146" t="s">
        <v>897</v>
      </c>
      <c r="C574" s="694"/>
      <c r="D574" s="694"/>
      <c r="E574" s="921">
        <f>UETable!BF84</f>
        <v>0</v>
      </c>
      <c r="F574" s="921"/>
      <c r="G574" s="1030"/>
      <c r="H574" s="1030"/>
      <c r="I574" s="936">
        <f>IF(C574="",0,IF(OR(C574&lt;=0,G574&lt;=0),E574,IF(G574&lt;C574,0,UETable!BK84)))</f>
        <v>0</v>
      </c>
      <c r="J574" s="936"/>
      <c r="K574" s="930" t="str">
        <f>IF(OR(C574="NA",G574="NA"),"",IF(AND(C574&lt;&gt;"",G574=""),"Enter contralateral or NA.",IF(AND(C574="",G574&lt;&gt;""),"Need data","")))</f>
        <v/>
      </c>
      <c r="L574" s="930"/>
      <c r="M574" s="930"/>
      <c r="N574" s="930"/>
      <c r="O574" s="931"/>
      <c r="P574" s="201"/>
      <c r="R574" s="10"/>
      <c r="S574" s="50">
        <v>80</v>
      </c>
      <c r="T574" s="50" t="str">
        <f t="shared" si="106"/>
        <v/>
      </c>
      <c r="U574" s="50" t="str">
        <f>IF(OR(G574="",G574="NA"),"",IF(G574&gt;S574,S574,IF(G574&lt;0,0,G574)))</f>
        <v/>
      </c>
      <c r="V574" s="553" t="str">
        <f>IF(Y574="","",ROUND(Y574,0))</f>
        <v/>
      </c>
      <c r="W574" s="10"/>
      <c r="X574" s="10"/>
      <c r="Y574" s="554" t="str">
        <f>IF(T574="","",IF(OR(U574="",U574=0,U574&lt;T574),T574,(T574*80)/U574))</f>
        <v/>
      </c>
      <c r="Z574" s="10"/>
      <c r="AA574" s="10"/>
      <c r="AB574" s="10"/>
      <c r="AC574" s="581">
        <f>SUM(I570,I572,I574,I576,AC573)</f>
        <v>0</v>
      </c>
      <c r="AD574" s="791" t="s">
        <v>1158</v>
      </c>
      <c r="AE574" s="791"/>
      <c r="AF574" s="791"/>
      <c r="AG574" s="791"/>
      <c r="AH574" s="39"/>
      <c r="AI574" s="761"/>
      <c r="AJ574" s="761"/>
      <c r="AK574" s="761"/>
      <c r="AL574" s="761"/>
      <c r="AM574" s="698"/>
      <c r="AN574" s="10"/>
      <c r="AO574" s="10"/>
      <c r="AP574" s="10"/>
      <c r="AQ574" s="10"/>
      <c r="AR574" s="10"/>
      <c r="AS574" s="10"/>
      <c r="AT574" s="10"/>
    </row>
    <row r="575" spans="1:46" ht="15" customHeight="1" x14ac:dyDescent="0.2">
      <c r="B575" s="146" t="s">
        <v>915</v>
      </c>
      <c r="C575" s="694"/>
      <c r="D575" s="694"/>
      <c r="E575" s="921">
        <f>IF(AND(AJ577,AK577=1),"ERROR",UETable!BF85)</f>
        <v>0</v>
      </c>
      <c r="F575" s="921"/>
      <c r="G575" s="930" t="str">
        <f>IF(AND($AK$577=1,$AJ$577=1),"Cannot rate ROM and ankylosis.","")</f>
        <v/>
      </c>
      <c r="H575" s="930"/>
      <c r="I575" s="930"/>
      <c r="J575" s="930"/>
      <c r="K575" s="930"/>
      <c r="L575" s="930"/>
      <c r="M575" s="930"/>
      <c r="N575" s="930"/>
      <c r="O575" s="931"/>
      <c r="P575" s="201"/>
      <c r="R575" s="10"/>
      <c r="S575" s="50">
        <v>80</v>
      </c>
      <c r="T575" s="50" t="str">
        <f t="shared" si="106"/>
        <v/>
      </c>
      <c r="U575" s="10"/>
      <c r="V575" s="10"/>
      <c r="W575" s="10"/>
      <c r="X575" s="10"/>
      <c r="Y575" s="10"/>
      <c r="Z575" s="10"/>
      <c r="AA575" s="10"/>
      <c r="AB575" s="10"/>
      <c r="AC575" s="10"/>
      <c r="AD575" s="10"/>
      <c r="AE575" s="10"/>
      <c r="AF575" s="10"/>
      <c r="AG575" s="10"/>
      <c r="AH575" s="39"/>
      <c r="AI575" s="761"/>
      <c r="AJ575" s="761"/>
      <c r="AK575" s="761"/>
      <c r="AL575" s="761"/>
      <c r="AM575" s="698"/>
      <c r="AN575" s="10"/>
      <c r="AO575" s="10"/>
      <c r="AP575" s="10"/>
      <c r="AQ575" s="10"/>
      <c r="AR575" s="10"/>
      <c r="AS575" s="10"/>
      <c r="AT575" s="10"/>
    </row>
    <row r="576" spans="1:46" ht="15" customHeight="1" x14ac:dyDescent="0.2">
      <c r="B576" s="146" t="s">
        <v>898</v>
      </c>
      <c r="C576" s="694"/>
      <c r="D576" s="694"/>
      <c r="E576" s="921">
        <f>UETable!BF86</f>
        <v>0</v>
      </c>
      <c r="F576" s="921"/>
      <c r="G576" s="1030"/>
      <c r="H576" s="1030"/>
      <c r="I576" s="936">
        <f>IF(C576="",0,IF(OR(C576&lt;=0,G576&lt;=0),E576,IF(G576&lt;C576,0,UETable!BK86)))</f>
        <v>0</v>
      </c>
      <c r="J576" s="936"/>
      <c r="K576" s="930" t="str">
        <f>IF(OR(C576="NA",G576="NA"),"",IF(AND(C576&lt;&gt;"",G576=""),"Enter contralateral or NA.",IF(AND(C576="",G576&lt;&gt;""),"Need data","")))</f>
        <v/>
      </c>
      <c r="L576" s="930"/>
      <c r="M576" s="930"/>
      <c r="N576" s="930"/>
      <c r="O576" s="931"/>
      <c r="P576" s="201"/>
      <c r="R576" s="10"/>
      <c r="S576" s="50">
        <v>80</v>
      </c>
      <c r="T576" s="50" t="str">
        <f t="shared" si="106"/>
        <v/>
      </c>
      <c r="U576" s="50" t="str">
        <f>IF(OR(G576="",G576="NA"),"",IF(G576&gt;S576,S576,IF(G576&lt;0,0,G576)))</f>
        <v/>
      </c>
      <c r="V576" s="572" t="str">
        <f>IF(Y576="","",ROUND(Y576,0))</f>
        <v/>
      </c>
      <c r="W576" s="10"/>
      <c r="X576" s="10"/>
      <c r="Y576" s="573" t="str">
        <f>IF(T576="","",IF(OR(U576="",U576=0,U576&lt;T576),T576,(T576*80)/U576))</f>
        <v/>
      </c>
      <c r="Z576" s="10"/>
      <c r="AA576" s="10"/>
      <c r="AB576" s="10"/>
      <c r="AC576" s="10"/>
      <c r="AD576" s="10"/>
      <c r="AE576" s="10"/>
      <c r="AF576" s="10"/>
      <c r="AG576" s="10"/>
      <c r="AH576" s="39"/>
      <c r="AI576" s="761"/>
      <c r="AJ576" s="761"/>
      <c r="AK576" s="761"/>
      <c r="AL576" s="761"/>
      <c r="AM576" s="698"/>
      <c r="AN576" s="10"/>
      <c r="AO576" s="10"/>
      <c r="AP576" s="10"/>
      <c r="AQ576" s="10"/>
      <c r="AR576" s="10"/>
      <c r="AS576" s="10"/>
      <c r="AT576" s="10"/>
    </row>
    <row r="577" spans="1:109" ht="15" customHeight="1" x14ac:dyDescent="0.2">
      <c r="B577" s="146" t="s">
        <v>916</v>
      </c>
      <c r="C577" s="694"/>
      <c r="D577" s="694"/>
      <c r="E577" s="921">
        <f>IF(AND(AJ577,AK577=1),"ERROR",UETable!BF87)</f>
        <v>0</v>
      </c>
      <c r="F577" s="921"/>
      <c r="G577" s="930" t="str">
        <f>IF(AND($AK$577=1,$AJ$577=1),"Cannot rate ROM and ankylosis.","")</f>
        <v/>
      </c>
      <c r="H577" s="930"/>
      <c r="I577" s="930"/>
      <c r="J577" s="930"/>
      <c r="K577" s="930"/>
      <c r="L577" s="930"/>
      <c r="M577" s="930"/>
      <c r="N577" s="930"/>
      <c r="O577" s="931"/>
      <c r="P577" s="20"/>
      <c r="R577" s="10"/>
      <c r="S577" s="50">
        <v>80</v>
      </c>
      <c r="T577" s="50" t="str">
        <f t="shared" si="106"/>
        <v/>
      </c>
      <c r="U577" s="10"/>
      <c r="V577" s="910" t="s">
        <v>2142</v>
      </c>
      <c r="W577" s="910"/>
      <c r="X577" s="910"/>
      <c r="Y577" s="910"/>
      <c r="Z577" s="910"/>
      <c r="AA577" s="910"/>
      <c r="AB577" s="910"/>
      <c r="AC577" s="910"/>
      <c r="AF577" s="10"/>
      <c r="AH577" s="10"/>
      <c r="AI577" s="50">
        <f>SUM(W578,Y578,AA578,AC578)</f>
        <v>0</v>
      </c>
      <c r="AJ577" s="50">
        <f>IF(OR(V578=1,X578=1,Z578=1,AB578=1),1,0)</f>
        <v>0</v>
      </c>
      <c r="AK577" s="50">
        <f>IF(OR(W578=1,Y578=1,AA578=1,AC578=1),1,0)</f>
        <v>0</v>
      </c>
      <c r="AL577" s="50">
        <f>SUM(V578,X578,Z578,AB578)</f>
        <v>0</v>
      </c>
      <c r="AM577" s="10"/>
      <c r="AN577" s="10"/>
      <c r="AO577" s="10"/>
      <c r="AP577" s="10"/>
      <c r="AQ577" s="10"/>
      <c r="AR577" s="10"/>
      <c r="AS577" s="10"/>
      <c r="AT577" s="10"/>
    </row>
    <row r="578" spans="1:109" ht="15.75" customHeight="1" x14ac:dyDescent="0.2">
      <c r="B578" s="1125" t="str">
        <f>IF(AI577&gt;1,"Multiple ankylosis values; use highest value only.","")</f>
        <v/>
      </c>
      <c r="C578" s="1125"/>
      <c r="D578" s="1125"/>
      <c r="E578" s="1125"/>
      <c r="F578" s="1125"/>
      <c r="G578" s="1125"/>
      <c r="H578" s="1125"/>
      <c r="I578" s="1125"/>
      <c r="J578" s="1125"/>
      <c r="K578" s="1125"/>
      <c r="L578" s="1024" t="s">
        <v>192</v>
      </c>
      <c r="M578" s="1024"/>
      <c r="N578" s="1024"/>
      <c r="O578" s="1024"/>
      <c r="P578" s="296">
        <f>IF(AND(AJ577=1,AK577=1),"ERROR",IF(AND(AC574&gt;0,AC574&lt;0.01),0.01,ROUND(AC574,2)))</f>
        <v>0</v>
      </c>
      <c r="R578" s="136"/>
      <c r="S578" s="128"/>
      <c r="T578" s="10"/>
      <c r="U578" s="10"/>
      <c r="V578" s="50">
        <f>IF(AND(C570&lt;&gt;"",C570&lt;&gt;"NA"),1,0)</f>
        <v>0</v>
      </c>
      <c r="W578" s="50">
        <f>IF(AND(C571&lt;&gt;"",C571&lt;&gt;"NA"),1,0)</f>
        <v>0</v>
      </c>
      <c r="X578" s="50">
        <f>IF(AND(C572&lt;&gt;"",C572&lt;&gt;"NA"),1,0)</f>
        <v>0</v>
      </c>
      <c r="Y578" s="50">
        <f>IF(AND(C573&lt;&gt;"",C573&lt;&gt;"NA"),1,0)</f>
        <v>0</v>
      </c>
      <c r="Z578" s="50">
        <f>IF(AND(C574&lt;&gt;"",C574&lt;&gt;"NA"),1,0)</f>
        <v>0</v>
      </c>
      <c r="AA578" s="50">
        <f>IF(AND(C575&lt;&gt;"",C575&lt;&gt;"NA"),1,0)</f>
        <v>0</v>
      </c>
      <c r="AB578" s="50">
        <f>IF(AND(C576&lt;&gt;"",C576&lt;&gt;"NA"),1,0)</f>
        <v>0</v>
      </c>
      <c r="AC578" s="50">
        <f>IF(AND(C577&lt;&gt;"",C577&lt;&gt;"NA"),1,0)</f>
        <v>0</v>
      </c>
      <c r="AD578" s="10"/>
      <c r="AE578" s="10"/>
      <c r="AF578" s="10"/>
      <c r="AG578" s="10"/>
      <c r="AH578" s="10"/>
      <c r="AI578" s="10"/>
      <c r="AJ578" s="10"/>
      <c r="AK578" s="10"/>
      <c r="AL578" s="10"/>
      <c r="AM578" s="10"/>
      <c r="AN578" s="10"/>
      <c r="AO578" s="10"/>
      <c r="AP578" s="10"/>
      <c r="AQ578" s="10"/>
      <c r="AR578" s="10"/>
      <c r="AS578" s="10"/>
      <c r="AT578" s="10"/>
    </row>
    <row r="579" spans="1:109" ht="6" customHeight="1" x14ac:dyDescent="0.2">
      <c r="B579" s="777"/>
      <c r="C579" s="777"/>
      <c r="D579" s="777"/>
      <c r="E579" s="777"/>
      <c r="F579" s="777"/>
      <c r="G579" s="777"/>
      <c r="H579" s="777"/>
      <c r="I579" s="777"/>
      <c r="J579" s="777"/>
      <c r="K579" s="777"/>
      <c r="L579" s="777"/>
      <c r="M579" s="777"/>
      <c r="N579" s="777"/>
      <c r="O579" s="777"/>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row>
    <row r="580" spans="1:109" ht="6" customHeight="1" x14ac:dyDescent="0.2">
      <c r="B580" s="777"/>
      <c r="C580" s="777"/>
      <c r="D580" s="777"/>
      <c r="E580" s="777"/>
      <c r="F580" s="777"/>
      <c r="G580" s="777"/>
      <c r="H580" s="777"/>
      <c r="I580" s="777"/>
      <c r="J580" s="777"/>
      <c r="K580" s="777"/>
      <c r="L580" s="777"/>
      <c r="M580" s="777"/>
      <c r="N580" s="777"/>
      <c r="O580" s="777"/>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row>
    <row r="581" spans="1:109" ht="15" customHeight="1" x14ac:dyDescent="0.2">
      <c r="B581" s="756" t="s">
        <v>704</v>
      </c>
      <c r="C581" s="757"/>
      <c r="D581" s="758"/>
      <c r="E581" s="1035"/>
      <c r="F581" s="1035"/>
      <c r="G581" s="1035"/>
      <c r="H581" s="1035"/>
      <c r="I581" s="1035"/>
      <c r="J581" s="1035"/>
      <c r="K581" s="1035"/>
      <c r="L581" s="1035"/>
      <c r="M581" s="1035"/>
      <c r="N581" s="1035"/>
      <c r="O581" s="1035"/>
      <c r="P581" s="245">
        <f>IF(E581=S581,0,IF(E581=T581,0.05,IF(E581=U581,0.1,IF(E581=V581,0.15,IF(E581=W581,0.2,0)))))</f>
        <v>0</v>
      </c>
      <c r="R581" s="14"/>
      <c r="S581" s="50" t="s">
        <v>705</v>
      </c>
      <c r="T581" s="50" t="s">
        <v>706</v>
      </c>
      <c r="U581" s="147" t="s">
        <v>707</v>
      </c>
      <c r="V581" s="50" t="s">
        <v>708</v>
      </c>
      <c r="W581" s="147" t="s">
        <v>709</v>
      </c>
      <c r="Z581" s="10"/>
      <c r="AA581" s="10"/>
      <c r="AB581" s="10"/>
      <c r="AC581" s="10"/>
      <c r="AD581" s="10"/>
      <c r="AE581" s="10"/>
      <c r="AF581" s="10"/>
      <c r="AG581" s="10"/>
      <c r="AH581" s="10"/>
      <c r="AI581" s="10"/>
      <c r="AJ581" s="10"/>
      <c r="AK581" s="10"/>
      <c r="AL581" s="10"/>
      <c r="AM581" s="10"/>
      <c r="AN581" s="10"/>
      <c r="AO581" s="10"/>
      <c r="AP581" s="10"/>
      <c r="AQ581" s="10"/>
      <c r="AR581" s="10"/>
      <c r="AS581" s="10"/>
      <c r="AT581" s="10"/>
    </row>
    <row r="582" spans="1:109" ht="12" customHeight="1" x14ac:dyDescent="0.2">
      <c r="B582" s="777"/>
      <c r="C582" s="777"/>
      <c r="D582" s="777"/>
      <c r="E582" s="777"/>
      <c r="F582" s="777"/>
      <c r="G582" s="777"/>
      <c r="H582" s="777"/>
      <c r="I582" s="777"/>
      <c r="J582" s="777"/>
      <c r="K582" s="777"/>
      <c r="L582" s="777"/>
      <c r="M582" s="777"/>
      <c r="N582" s="777"/>
      <c r="O582" s="777"/>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row>
    <row r="583" spans="1:109" ht="16.5" customHeight="1" x14ac:dyDescent="0.2">
      <c r="B583" s="791" t="s">
        <v>710</v>
      </c>
      <c r="C583" s="791"/>
      <c r="D583" s="791"/>
      <c r="E583" s="791"/>
      <c r="F583" s="791"/>
      <c r="G583" s="791"/>
      <c r="H583" s="791"/>
      <c r="I583" s="791"/>
      <c r="J583" s="791"/>
      <c r="K583" s="730"/>
      <c r="L583" s="877"/>
      <c r="M583" s="877"/>
      <c r="N583" s="877"/>
      <c r="O583" s="820"/>
      <c r="P583" s="245">
        <f>IF(K583=S583,0.07,IF(K583=T583,0.14,IF(K583=U583,0.21,0)))</f>
        <v>0</v>
      </c>
      <c r="R583" s="14"/>
      <c r="S583" s="50" t="s">
        <v>711</v>
      </c>
      <c r="T583" s="50" t="s">
        <v>712</v>
      </c>
      <c r="U583" s="147" t="s">
        <v>713</v>
      </c>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row>
    <row r="584" spans="1:109" x14ac:dyDescent="0.2">
      <c r="B584" s="10"/>
      <c r="C584" s="10"/>
      <c r="D584" s="10"/>
      <c r="E584" s="10"/>
      <c r="F584" s="10"/>
      <c r="G584" s="10"/>
      <c r="H584" s="10"/>
      <c r="I584" s="10"/>
      <c r="J584" s="10"/>
      <c r="K584" s="10"/>
      <c r="L584" s="10"/>
      <c r="M584" s="10"/>
      <c r="N584" s="10"/>
      <c r="O584" s="10"/>
      <c r="P584" s="10"/>
      <c r="Q584" s="10"/>
      <c r="R584" s="10"/>
      <c r="S584" s="10"/>
      <c r="T584" s="10"/>
      <c r="U584" s="10"/>
      <c r="V584" s="10"/>
      <c r="W584" s="14"/>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row>
    <row r="585" spans="1:109" ht="18" customHeight="1" x14ac:dyDescent="0.2">
      <c r="A585" s="15"/>
      <c r="B585" s="756" t="s">
        <v>776</v>
      </c>
      <c r="C585" s="757"/>
      <c r="D585" s="757"/>
      <c r="E585" s="757"/>
      <c r="F585" s="758"/>
      <c r="G585" s="1002"/>
      <c r="H585" s="1002"/>
      <c r="I585" s="791" t="s">
        <v>196</v>
      </c>
      <c r="J585" s="791"/>
      <c r="K585" s="791"/>
      <c r="L585" s="791"/>
      <c r="M585" s="791"/>
      <c r="N585" s="791"/>
      <c r="O585" s="791"/>
      <c r="P585" s="245">
        <f>IF(T585=1,0.25,0)</f>
        <v>0</v>
      </c>
      <c r="R585" s="256" t="s">
        <v>2164</v>
      </c>
      <c r="S585" s="592" t="b">
        <v>0</v>
      </c>
      <c r="T585" s="50">
        <f>IF(S585=TRUE,1,0)</f>
        <v>0</v>
      </c>
      <c r="U585" s="10"/>
      <c r="V585" s="10"/>
      <c r="W585" s="10"/>
      <c r="X585" s="10"/>
      <c r="Y585" s="10"/>
      <c r="Z585" s="10">
        <v>1E-4</v>
      </c>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row>
    <row r="586" spans="1:109" ht="12" customHeight="1" x14ac:dyDescent="0.2">
      <c r="B586" s="777"/>
      <c r="C586" s="777"/>
      <c r="D586" s="777"/>
      <c r="E586" s="777"/>
      <c r="F586" s="777"/>
      <c r="G586" s="777"/>
      <c r="H586" s="777"/>
      <c r="I586" s="777"/>
      <c r="J586" s="777"/>
      <c r="K586" s="777"/>
      <c r="L586" s="777"/>
      <c r="M586" s="777"/>
      <c r="N586" s="777"/>
      <c r="O586" s="777"/>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row>
    <row r="587" spans="1:109" ht="39" customHeight="1" x14ac:dyDescent="0.2">
      <c r="A587" s="15"/>
      <c r="B587" s="791" t="s">
        <v>1600</v>
      </c>
      <c r="C587" s="1002"/>
      <c r="D587" s="1002"/>
      <c r="E587" s="1002"/>
      <c r="F587" s="1002"/>
      <c r="G587" s="1002"/>
      <c r="H587" s="1002"/>
      <c r="I587" s="1002"/>
      <c r="J587" s="1002"/>
      <c r="K587" s="1002"/>
      <c r="L587" s="1002"/>
      <c r="M587" s="1002"/>
      <c r="N587" s="1002"/>
      <c r="O587" s="1002"/>
      <c r="P587" s="21">
        <f>IF(R587=2,0.1,IF(R587=3,0.15,0))</f>
        <v>0</v>
      </c>
      <c r="R587" s="546">
        <v>1</v>
      </c>
      <c r="S587" s="10"/>
      <c r="T587" s="10"/>
      <c r="U587" s="10"/>
      <c r="V587" s="10"/>
      <c r="W587" s="10">
        <v>1E-4</v>
      </c>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row>
    <row r="588" spans="1:109" ht="19.5" customHeight="1" x14ac:dyDescent="0.2">
      <c r="B588" s="791"/>
      <c r="C588" s="1002"/>
      <c r="D588" s="1002"/>
      <c r="E588" s="1002"/>
      <c r="F588" s="1002"/>
      <c r="G588" s="1002"/>
      <c r="H588" s="1002"/>
      <c r="I588" s="1002"/>
      <c r="J588" s="1002"/>
      <c r="K588" s="1002"/>
      <c r="L588" s="1002"/>
      <c r="M588" s="1002"/>
      <c r="N588" s="1002"/>
      <c r="O588" s="1002"/>
      <c r="P588" s="21">
        <f>IF(R588=2,0.35,0)</f>
        <v>0</v>
      </c>
      <c r="R588" s="546">
        <v>1</v>
      </c>
      <c r="S588" s="10"/>
      <c r="T588" s="10" t="s">
        <v>1601</v>
      </c>
      <c r="U588" s="10"/>
      <c r="V588" s="14"/>
      <c r="W588" s="14"/>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row>
    <row r="589" spans="1:109" ht="19.5" customHeight="1" x14ac:dyDescent="0.2">
      <c r="B589" s="791"/>
      <c r="C589" s="1002"/>
      <c r="D589" s="1002"/>
      <c r="E589" s="1002"/>
      <c r="F589" s="1002"/>
      <c r="G589" s="1002"/>
      <c r="H589" s="1002"/>
      <c r="I589" s="1002"/>
      <c r="J589" s="1002"/>
      <c r="K589" s="1002"/>
      <c r="L589" s="1002"/>
      <c r="M589" s="1002"/>
      <c r="N589" s="1002"/>
      <c r="O589" s="1002"/>
      <c r="P589" s="21">
        <f>IF(R589=2,0.15,0)</f>
        <v>0</v>
      </c>
      <c r="R589" s="546">
        <v>1</v>
      </c>
      <c r="S589" s="10"/>
      <c r="T589" s="10" t="s">
        <v>1602</v>
      </c>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row>
    <row r="590" spans="1:109" ht="12" customHeight="1" x14ac:dyDescent="0.2">
      <c r="B590" s="777"/>
      <c r="C590" s="777"/>
      <c r="D590" s="777"/>
      <c r="E590" s="777"/>
      <c r="F590" s="777"/>
      <c r="G590" s="777"/>
      <c r="H590" s="777"/>
      <c r="I590" s="777"/>
      <c r="J590" s="777"/>
      <c r="K590" s="777"/>
      <c r="L590" s="777"/>
      <c r="M590" s="777"/>
      <c r="N590" s="777"/>
      <c r="O590" s="777"/>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row>
    <row r="591" spans="1:109" ht="15" customHeight="1" x14ac:dyDescent="0.2">
      <c r="B591" s="939" t="s">
        <v>460</v>
      </c>
      <c r="C591" s="939"/>
      <c r="D591" s="939"/>
      <c r="E591" s="939"/>
      <c r="F591" s="939"/>
      <c r="G591" s="939"/>
      <c r="H591" s="939"/>
      <c r="I591" s="939"/>
      <c r="J591" s="939"/>
      <c r="K591" s="939"/>
      <c r="L591" s="939"/>
      <c r="M591" s="939"/>
      <c r="N591" s="939"/>
      <c r="O591" s="312"/>
      <c r="P591" s="21">
        <f>SUMIF(S591:W591,O591,S592:W592)</f>
        <v>0</v>
      </c>
      <c r="R591" s="1102" t="s">
        <v>2165</v>
      </c>
      <c r="S591" s="50" t="s">
        <v>1928</v>
      </c>
      <c r="T591" s="50" t="s">
        <v>1929</v>
      </c>
      <c r="U591" s="147" t="s">
        <v>1931</v>
      </c>
      <c r="V591" s="50" t="s">
        <v>929</v>
      </c>
      <c r="W591" s="147" t="s">
        <v>545</v>
      </c>
      <c r="X591" s="1104" t="s">
        <v>2166</v>
      </c>
      <c r="Y591" s="1104"/>
      <c r="Z591" s="50" t="s">
        <v>1928</v>
      </c>
      <c r="AA591" s="50" t="s">
        <v>1929</v>
      </c>
      <c r="AB591" s="147" t="s">
        <v>1931</v>
      </c>
      <c r="AC591" s="50" t="s">
        <v>929</v>
      </c>
      <c r="AD591" s="147" t="s">
        <v>545</v>
      </c>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row>
    <row r="592" spans="1:109" ht="15" customHeight="1" x14ac:dyDescent="0.2">
      <c r="B592" s="939" t="s">
        <v>1469</v>
      </c>
      <c r="C592" s="939"/>
      <c r="D592" s="939"/>
      <c r="E592" s="939"/>
      <c r="F592" s="939"/>
      <c r="G592" s="939"/>
      <c r="H592" s="939"/>
      <c r="I592" s="939"/>
      <c r="J592" s="939"/>
      <c r="K592" s="939"/>
      <c r="L592" s="939"/>
      <c r="M592" s="939"/>
      <c r="N592" s="939"/>
      <c r="O592" s="312"/>
      <c r="P592" s="21">
        <f>SUMIF(Z591:AD591,O592,Z592:AD592)</f>
        <v>0</v>
      </c>
      <c r="R592" s="1102"/>
      <c r="S592" s="147">
        <v>0.03</v>
      </c>
      <c r="T592" s="147">
        <v>0.15</v>
      </c>
      <c r="U592" s="147">
        <v>0.38</v>
      </c>
      <c r="V592" s="147">
        <v>0.68</v>
      </c>
      <c r="W592" s="147">
        <v>0.9</v>
      </c>
      <c r="X592" s="1104"/>
      <c r="Y592" s="1104"/>
      <c r="Z592" s="147">
        <v>0.03</v>
      </c>
      <c r="AA592" s="147">
        <v>0.15</v>
      </c>
      <c r="AB592" s="147">
        <v>0.35</v>
      </c>
      <c r="AC592" s="147">
        <v>0.63</v>
      </c>
      <c r="AD592" s="147">
        <v>0.88</v>
      </c>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row>
    <row r="593" spans="1:46" ht="12" customHeight="1" x14ac:dyDescent="0.2">
      <c r="B593" s="777"/>
      <c r="C593" s="777"/>
      <c r="D593" s="777"/>
      <c r="E593" s="777"/>
      <c r="F593" s="777"/>
      <c r="G593" s="777"/>
      <c r="H593" s="777"/>
      <c r="I593" s="777"/>
      <c r="J593" s="777"/>
      <c r="K593" s="777"/>
      <c r="L593" s="777"/>
      <c r="M593" s="777"/>
      <c r="N593" s="777"/>
      <c r="O593" s="777"/>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row>
    <row r="594" spans="1:46" ht="18" customHeight="1" x14ac:dyDescent="0.2">
      <c r="B594" s="912" t="s">
        <v>461</v>
      </c>
      <c r="C594" s="910"/>
      <c r="D594" s="910"/>
      <c r="E594" s="910"/>
      <c r="F594" s="910"/>
      <c r="G594" s="910"/>
      <c r="H594" s="910"/>
      <c r="I594" s="910"/>
      <c r="J594" s="910"/>
      <c r="K594" s="910"/>
      <c r="L594" s="910"/>
      <c r="M594" s="910"/>
      <c r="N594" s="910"/>
      <c r="O594" s="910"/>
      <c r="P594" s="9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row>
    <row r="595" spans="1:46" ht="38.25" customHeight="1" x14ac:dyDescent="0.2">
      <c r="B595" s="761" t="s">
        <v>1647</v>
      </c>
      <c r="C595" s="761"/>
      <c r="D595" s="761"/>
      <c r="E595" s="761"/>
      <c r="F595" s="761"/>
      <c r="G595" s="761"/>
      <c r="H595" s="761"/>
      <c r="I595" s="761"/>
      <c r="J595" s="761"/>
      <c r="K595" s="761"/>
      <c r="L595" s="761"/>
      <c r="M595" s="761"/>
      <c r="N595" s="761"/>
      <c r="O595" s="761"/>
      <c r="P595" s="9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row>
    <row r="596" spans="1:46" ht="19.5" customHeight="1" x14ac:dyDescent="0.2">
      <c r="A596" s="15"/>
      <c r="B596" s="791" t="s">
        <v>932</v>
      </c>
      <c r="C596" s="791"/>
      <c r="D596" s="791"/>
      <c r="E596" s="791"/>
      <c r="F596" s="791"/>
      <c r="G596" s="791"/>
      <c r="H596" s="791"/>
      <c r="I596" s="791"/>
      <c r="J596" s="791"/>
      <c r="K596" s="791"/>
      <c r="L596" s="1002"/>
      <c r="M596" s="1002"/>
      <c r="N596" s="1002"/>
      <c r="O596" s="1002"/>
      <c r="P596" s="21">
        <f>IF(R596=1,0.05,0)</f>
        <v>0</v>
      </c>
      <c r="R596" s="546">
        <v>2</v>
      </c>
      <c r="S596" s="10"/>
      <c r="T596" s="10"/>
      <c r="U596" s="10"/>
      <c r="V596" s="10"/>
      <c r="W596" s="10">
        <v>1E-4</v>
      </c>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row>
    <row r="597" spans="1:46" ht="12" customHeight="1" x14ac:dyDescent="0.2">
      <c r="B597" s="777"/>
      <c r="C597" s="777"/>
      <c r="D597" s="777"/>
      <c r="E597" s="777"/>
      <c r="F597" s="777"/>
      <c r="G597" s="777"/>
      <c r="H597" s="777"/>
      <c r="I597" s="777"/>
      <c r="J597" s="777"/>
      <c r="K597" s="777"/>
      <c r="L597" s="777"/>
      <c r="M597" s="777"/>
      <c r="N597" s="777"/>
      <c r="O597" s="777"/>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row>
    <row r="598" spans="1:46" ht="18" customHeight="1" x14ac:dyDescent="0.2">
      <c r="B598" s="912" t="s">
        <v>1095</v>
      </c>
      <c r="C598" s="910"/>
      <c r="D598" s="910"/>
      <c r="E598" s="910"/>
      <c r="F598" s="910"/>
      <c r="G598" s="910"/>
      <c r="H598" s="910"/>
      <c r="I598" s="910"/>
      <c r="J598" s="910"/>
      <c r="K598" s="910"/>
      <c r="L598" s="910"/>
      <c r="M598" s="910"/>
      <c r="N598" s="910"/>
      <c r="O598" s="910"/>
      <c r="P598" s="83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row>
    <row r="599" spans="1:46" ht="30" customHeight="1" x14ac:dyDescent="0.2">
      <c r="B599" s="761" t="s">
        <v>1613</v>
      </c>
      <c r="C599" s="761"/>
      <c r="D599" s="761"/>
      <c r="E599" s="761"/>
      <c r="F599" s="761"/>
      <c r="G599" s="761"/>
      <c r="H599" s="761"/>
      <c r="I599" s="761"/>
      <c r="J599" s="761"/>
      <c r="K599" s="761"/>
      <c r="L599" s="761"/>
      <c r="M599" s="761"/>
      <c r="N599" s="761"/>
      <c r="O599" s="761"/>
      <c r="P599" s="832"/>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row>
    <row r="600" spans="1:46" ht="28.5" customHeight="1" x14ac:dyDescent="0.2">
      <c r="B600" s="1012"/>
      <c r="C600" s="1012"/>
      <c r="D600" s="1012"/>
      <c r="E600" s="1012"/>
      <c r="F600" s="1012"/>
      <c r="G600" s="1012"/>
      <c r="H600" s="1012"/>
      <c r="I600" s="1012"/>
      <c r="J600" s="1012"/>
      <c r="K600" s="1012"/>
      <c r="L600" s="1012"/>
      <c r="M600" s="1012"/>
      <c r="N600" s="1012"/>
      <c r="O600" s="1012"/>
      <c r="P600" s="21">
        <f>IF(B600=R600,0.14,IF(B600=S600,0.34,IF(B600=T600,0.55,IF(B600=U600,1,0))))</f>
        <v>0</v>
      </c>
      <c r="R600" s="50" t="s">
        <v>1951</v>
      </c>
      <c r="S600" s="50" t="s">
        <v>1952</v>
      </c>
      <c r="T600" s="50" t="s">
        <v>1953</v>
      </c>
      <c r="U600" s="50" t="s">
        <v>1954</v>
      </c>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row>
    <row r="601" spans="1:46" ht="12" customHeight="1" x14ac:dyDescent="0.2">
      <c r="B601" s="777"/>
      <c r="C601" s="777"/>
      <c r="D601" s="777"/>
      <c r="E601" s="777"/>
      <c r="F601" s="777"/>
      <c r="G601" s="777"/>
      <c r="H601" s="777"/>
      <c r="I601" s="777"/>
      <c r="J601" s="777"/>
      <c r="K601" s="777"/>
      <c r="L601" s="777"/>
      <c r="M601" s="777"/>
      <c r="N601" s="777"/>
      <c r="O601" s="777"/>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row>
    <row r="602" spans="1:46" ht="27" customHeight="1" x14ac:dyDescent="0.2">
      <c r="B602" s="1019" t="s">
        <v>379</v>
      </c>
      <c r="C602" s="1020"/>
      <c r="D602" s="1020"/>
      <c r="E602" s="1020"/>
      <c r="F602" s="1021"/>
      <c r="G602" s="907" t="s">
        <v>63</v>
      </c>
      <c r="H602" s="911"/>
      <c r="I602" s="911"/>
      <c r="J602" s="908"/>
      <c r="K602" s="967"/>
      <c r="L602" s="968"/>
      <c r="M602" s="968"/>
      <c r="N602" s="968"/>
      <c r="O602" s="969"/>
      <c r="P602" s="857">
        <f>IF(I617&gt;0,I617,U615)</f>
        <v>0</v>
      </c>
      <c r="R602" s="146" t="s">
        <v>1826</v>
      </c>
      <c r="S602" s="50" t="s">
        <v>1285</v>
      </c>
      <c r="T602" s="50" t="s">
        <v>1286</v>
      </c>
      <c r="U602" s="50" t="s">
        <v>1287</v>
      </c>
      <c r="V602" s="50" t="s">
        <v>498</v>
      </c>
      <c r="AA602" s="10"/>
      <c r="AB602" s="10"/>
      <c r="AC602" s="10"/>
      <c r="AD602" s="10"/>
      <c r="AE602" s="10"/>
      <c r="AF602" s="10"/>
      <c r="AG602" s="10"/>
      <c r="AH602" s="10"/>
      <c r="AI602" s="10"/>
      <c r="AJ602" s="10"/>
      <c r="AK602" s="10"/>
      <c r="AL602" s="10"/>
      <c r="AM602" s="10"/>
      <c r="AN602" s="10"/>
      <c r="AO602" s="10"/>
      <c r="AP602" s="10"/>
      <c r="AQ602" s="10"/>
      <c r="AR602" s="10"/>
      <c r="AS602" s="10"/>
      <c r="AT602" s="10"/>
    </row>
    <row r="603" spans="1:46" ht="15.75" customHeight="1" x14ac:dyDescent="0.2">
      <c r="B603" s="776" t="s">
        <v>615</v>
      </c>
      <c r="C603" s="776"/>
      <c r="D603" s="776"/>
      <c r="E603" s="962">
        <f>P566</f>
        <v>0</v>
      </c>
      <c r="F603" s="962"/>
      <c r="G603" s="1005"/>
      <c r="H603" s="1005"/>
      <c r="I603" s="914">
        <f t="shared" ref="I603:I615" si="107">IF(AND(V603&lt;0.01,V603&gt;0),0.01,ROUND(V603,2))</f>
        <v>0</v>
      </c>
      <c r="J603" s="914"/>
      <c r="K603" s="970"/>
      <c r="L603" s="971"/>
      <c r="M603" s="971"/>
      <c r="N603" s="971"/>
      <c r="O603" s="972"/>
      <c r="P603" s="961"/>
      <c r="R603" s="548">
        <f t="shared" ref="R603:R615" si="108">IF(I603&gt;0,I603,E603)</f>
        <v>0</v>
      </c>
      <c r="S603" s="147">
        <f>LARGE($R$603:$R$616,1)</f>
        <v>0</v>
      </c>
      <c r="T603" s="544">
        <f>S603+S604*(1-S603)</f>
        <v>0</v>
      </c>
      <c r="U603" s="548">
        <f t="shared" ref="U603:U615" si="109">ROUND(T603,2)</f>
        <v>0</v>
      </c>
      <c r="V603" s="190">
        <f t="shared" ref="V603:V615" si="110">E603*G603</f>
        <v>0</v>
      </c>
      <c r="AD603" s="10"/>
      <c r="AE603" s="10"/>
      <c r="AF603" s="10"/>
      <c r="AG603" s="10"/>
      <c r="AH603" s="10"/>
      <c r="AI603" s="10"/>
      <c r="AJ603" s="10"/>
      <c r="AK603" s="10"/>
      <c r="AL603" s="10"/>
      <c r="AM603" s="10"/>
      <c r="AN603" s="10"/>
      <c r="AO603" s="10"/>
      <c r="AP603" s="10"/>
      <c r="AQ603" s="10"/>
      <c r="AR603" s="10"/>
      <c r="AS603" s="10"/>
      <c r="AT603" s="10"/>
    </row>
    <row r="604" spans="1:46" ht="15" customHeight="1" x14ac:dyDescent="0.2">
      <c r="B604" s="791" t="s">
        <v>1918</v>
      </c>
      <c r="C604" s="791"/>
      <c r="D604" s="791"/>
      <c r="E604" s="755">
        <f>IF(E615&gt;0,0,P578)</f>
        <v>0</v>
      </c>
      <c r="F604" s="755"/>
      <c r="G604" s="1005"/>
      <c r="H604" s="1005"/>
      <c r="I604" s="914">
        <f t="shared" si="107"/>
        <v>0</v>
      </c>
      <c r="J604" s="914"/>
      <c r="K604" s="970"/>
      <c r="L604" s="971"/>
      <c r="M604" s="971"/>
      <c r="N604" s="971"/>
      <c r="O604" s="972"/>
      <c r="P604" s="961"/>
      <c r="R604" s="548">
        <f t="shared" si="108"/>
        <v>0</v>
      </c>
      <c r="S604" s="147">
        <f>LARGE($R$603:$R$616,2)</f>
        <v>0</v>
      </c>
      <c r="T604" s="544">
        <f>U603+S605*(1-U603)</f>
        <v>0</v>
      </c>
      <c r="U604" s="548">
        <f t="shared" si="109"/>
        <v>0</v>
      </c>
      <c r="V604" s="190">
        <f t="shared" si="110"/>
        <v>0</v>
      </c>
      <c r="AD604" s="10"/>
      <c r="AE604" s="10"/>
      <c r="AF604" s="10"/>
      <c r="AG604" s="10"/>
      <c r="AH604" s="10"/>
      <c r="AI604" s="10"/>
      <c r="AJ604" s="10"/>
      <c r="AK604" s="10"/>
      <c r="AL604" s="10"/>
      <c r="AM604" s="10"/>
      <c r="AN604" s="10"/>
      <c r="AO604" s="10"/>
      <c r="AP604" s="10"/>
      <c r="AQ604" s="10"/>
      <c r="AR604" s="10"/>
      <c r="AS604" s="10"/>
      <c r="AT604" s="10"/>
    </row>
    <row r="605" spans="1:46" ht="15" customHeight="1" x14ac:dyDescent="0.2">
      <c r="B605" s="791" t="s">
        <v>704</v>
      </c>
      <c r="C605" s="791"/>
      <c r="D605" s="791"/>
      <c r="E605" s="755">
        <f>P581</f>
        <v>0</v>
      </c>
      <c r="F605" s="755"/>
      <c r="G605" s="1005"/>
      <c r="H605" s="1005"/>
      <c r="I605" s="914">
        <f t="shared" si="107"/>
        <v>0</v>
      </c>
      <c r="J605" s="914"/>
      <c r="K605" s="1094"/>
      <c r="L605" s="1095"/>
      <c r="M605" s="1095"/>
      <c r="N605" s="1095"/>
      <c r="O605" s="1096"/>
      <c r="P605" s="961"/>
      <c r="R605" s="548">
        <f t="shared" si="108"/>
        <v>0</v>
      </c>
      <c r="S605" s="147">
        <f>LARGE($R$603:$R$616,3)</f>
        <v>0</v>
      </c>
      <c r="T605" s="544">
        <f>U604+S606*(1-U604)</f>
        <v>0</v>
      </c>
      <c r="U605" s="548">
        <f t="shared" si="109"/>
        <v>0</v>
      </c>
      <c r="V605" s="190">
        <f t="shared" si="110"/>
        <v>0</v>
      </c>
      <c r="AD605" s="10"/>
      <c r="AE605" s="10"/>
      <c r="AF605" s="10"/>
      <c r="AG605" s="10"/>
      <c r="AH605" s="10"/>
      <c r="AI605" s="10"/>
      <c r="AJ605" s="10"/>
      <c r="AK605" s="10"/>
      <c r="AL605" s="10"/>
      <c r="AM605" s="10"/>
      <c r="AN605" s="10"/>
      <c r="AO605" s="10"/>
      <c r="AP605" s="10"/>
      <c r="AQ605" s="10"/>
      <c r="AR605" s="10"/>
      <c r="AS605" s="10"/>
      <c r="AT605" s="10"/>
    </row>
    <row r="606" spans="1:46" ht="15" customHeight="1" x14ac:dyDescent="0.2">
      <c r="B606" s="791" t="s">
        <v>380</v>
      </c>
      <c r="C606" s="791"/>
      <c r="D606" s="791"/>
      <c r="E606" s="755">
        <f>P583</f>
        <v>0</v>
      </c>
      <c r="F606" s="755"/>
      <c r="G606" s="1005"/>
      <c r="H606" s="1005"/>
      <c r="I606" s="914">
        <f t="shared" si="107"/>
        <v>0</v>
      </c>
      <c r="J606" s="914"/>
      <c r="K606" s="1094"/>
      <c r="L606" s="1095"/>
      <c r="M606" s="1095"/>
      <c r="N606" s="1095"/>
      <c r="O606" s="1096"/>
      <c r="P606" s="961"/>
      <c r="R606" s="548">
        <f t="shared" si="108"/>
        <v>0</v>
      </c>
      <c r="S606" s="147">
        <f>LARGE($R$603:$R$616,4)</f>
        <v>0</v>
      </c>
      <c r="T606" s="544">
        <f t="shared" ref="T606:T615" si="111">U605+S607*(1-U605)</f>
        <v>0</v>
      </c>
      <c r="U606" s="548">
        <f t="shared" si="109"/>
        <v>0</v>
      </c>
      <c r="V606" s="190">
        <f t="shared" si="110"/>
        <v>0</v>
      </c>
      <c r="W606" s="10"/>
      <c r="X606" s="10"/>
      <c r="AD606" s="10"/>
      <c r="AE606" s="10"/>
      <c r="AF606" s="10"/>
      <c r="AG606" s="10"/>
      <c r="AH606" s="10"/>
      <c r="AI606" s="10"/>
      <c r="AJ606" s="10"/>
      <c r="AK606" s="10"/>
      <c r="AL606" s="10"/>
      <c r="AM606" s="10"/>
      <c r="AN606" s="10"/>
      <c r="AO606" s="10"/>
      <c r="AP606" s="10"/>
      <c r="AQ606" s="10"/>
      <c r="AR606" s="10"/>
      <c r="AS606" s="10"/>
      <c r="AT606" s="10"/>
    </row>
    <row r="607" spans="1:46" ht="15" customHeight="1" x14ac:dyDescent="0.2">
      <c r="B607" s="761" t="s">
        <v>781</v>
      </c>
      <c r="C607" s="791"/>
      <c r="D607" s="791"/>
      <c r="E607" s="727">
        <f>P585</f>
        <v>0</v>
      </c>
      <c r="F607" s="729"/>
      <c r="G607" s="1005"/>
      <c r="H607" s="1005"/>
      <c r="I607" s="914">
        <f t="shared" si="107"/>
        <v>0</v>
      </c>
      <c r="J607" s="914"/>
      <c r="K607" s="1094"/>
      <c r="L607" s="1095"/>
      <c r="M607" s="1095"/>
      <c r="N607" s="1095"/>
      <c r="O607" s="1096"/>
      <c r="P607" s="961"/>
      <c r="R607" s="548">
        <f t="shared" si="108"/>
        <v>0</v>
      </c>
      <c r="S607" s="147">
        <f>LARGE($R$603:$R$616,5)</f>
        <v>0</v>
      </c>
      <c r="T607" s="544">
        <f t="shared" si="111"/>
        <v>0</v>
      </c>
      <c r="U607" s="548">
        <f t="shared" si="109"/>
        <v>0</v>
      </c>
      <c r="V607" s="190">
        <f t="shared" si="110"/>
        <v>0</v>
      </c>
      <c r="W607" s="10"/>
      <c r="X607" s="10"/>
      <c r="AA607" s="10"/>
      <c r="AB607" s="10"/>
      <c r="AC607" s="10"/>
      <c r="AD607" s="10"/>
      <c r="AE607" s="10"/>
      <c r="AF607" s="10"/>
      <c r="AG607" s="10"/>
      <c r="AH607" s="10"/>
      <c r="AI607" s="10"/>
      <c r="AJ607" s="10"/>
      <c r="AK607" s="10"/>
      <c r="AL607" s="10"/>
      <c r="AM607" s="10"/>
      <c r="AN607" s="10"/>
      <c r="AO607" s="10"/>
      <c r="AP607" s="10"/>
      <c r="AQ607" s="10"/>
      <c r="AR607" s="10"/>
      <c r="AS607" s="10"/>
      <c r="AT607" s="10"/>
    </row>
    <row r="608" spans="1:46" ht="15" customHeight="1" x14ac:dyDescent="0.2">
      <c r="B608" s="791" t="s">
        <v>381</v>
      </c>
      <c r="C608" s="791"/>
      <c r="D608" s="791"/>
      <c r="E608" s="755">
        <f>P587</f>
        <v>0</v>
      </c>
      <c r="F608" s="755"/>
      <c r="G608" s="1005"/>
      <c r="H608" s="1005"/>
      <c r="I608" s="914">
        <f t="shared" si="107"/>
        <v>0</v>
      </c>
      <c r="J608" s="914"/>
      <c r="K608" s="1094"/>
      <c r="L608" s="1095"/>
      <c r="M608" s="1095"/>
      <c r="N608" s="1095"/>
      <c r="O608" s="1096"/>
      <c r="P608" s="961"/>
      <c r="R608" s="548">
        <f t="shared" si="108"/>
        <v>0</v>
      </c>
      <c r="S608" s="147">
        <f>LARGE($R$603:$R$616,6)</f>
        <v>0</v>
      </c>
      <c r="T608" s="544">
        <f t="shared" si="111"/>
        <v>0</v>
      </c>
      <c r="U608" s="548">
        <f t="shared" si="109"/>
        <v>0</v>
      </c>
      <c r="V608" s="190">
        <f t="shared" si="110"/>
        <v>0</v>
      </c>
      <c r="W608" s="10"/>
      <c r="X608" s="10"/>
      <c r="AD608" s="10"/>
      <c r="AE608" s="10"/>
      <c r="AF608" s="10"/>
      <c r="AG608" s="10"/>
      <c r="AH608" s="10"/>
      <c r="AI608" s="10"/>
      <c r="AJ608" s="10"/>
      <c r="AK608" s="10"/>
      <c r="AL608" s="10"/>
      <c r="AM608" s="10"/>
      <c r="AN608" s="10"/>
      <c r="AO608" s="10"/>
      <c r="AP608" s="10"/>
      <c r="AQ608" s="10"/>
      <c r="AR608" s="10"/>
      <c r="AS608" s="10"/>
      <c r="AT608" s="10"/>
    </row>
    <row r="609" spans="2:46" ht="15" customHeight="1" x14ac:dyDescent="0.2">
      <c r="B609" s="791" t="s">
        <v>382</v>
      </c>
      <c r="C609" s="791"/>
      <c r="D609" s="791"/>
      <c r="E609" s="755">
        <f>P588</f>
        <v>0</v>
      </c>
      <c r="F609" s="755"/>
      <c r="G609" s="1005"/>
      <c r="H609" s="1005"/>
      <c r="I609" s="914">
        <f t="shared" si="107"/>
        <v>0</v>
      </c>
      <c r="J609" s="914"/>
      <c r="K609" s="1094"/>
      <c r="L609" s="1095"/>
      <c r="M609" s="1095"/>
      <c r="N609" s="1095"/>
      <c r="O609" s="1096"/>
      <c r="P609" s="961"/>
      <c r="R609" s="548">
        <f t="shared" si="108"/>
        <v>0</v>
      </c>
      <c r="S609" s="147">
        <f>LARGE($R$603:$R$616,7)</f>
        <v>0</v>
      </c>
      <c r="T609" s="544">
        <f t="shared" si="111"/>
        <v>0</v>
      </c>
      <c r="U609" s="548">
        <f t="shared" si="109"/>
        <v>0</v>
      </c>
      <c r="V609" s="190">
        <f t="shared" si="110"/>
        <v>0</v>
      </c>
      <c r="W609" s="10"/>
      <c r="X609" s="10"/>
      <c r="Z609" s="10"/>
      <c r="AD609" s="10"/>
      <c r="AE609" s="10"/>
      <c r="AF609" s="10"/>
      <c r="AG609" s="10"/>
      <c r="AH609" s="10"/>
      <c r="AI609" s="10"/>
      <c r="AJ609" s="10"/>
      <c r="AK609" s="10"/>
      <c r="AL609" s="10"/>
      <c r="AM609" s="10"/>
      <c r="AN609" s="10"/>
      <c r="AO609" s="10"/>
      <c r="AP609" s="10"/>
      <c r="AQ609" s="10"/>
      <c r="AR609" s="10"/>
      <c r="AS609" s="10"/>
      <c r="AT609" s="10"/>
    </row>
    <row r="610" spans="2:46" ht="15" customHeight="1" x14ac:dyDescent="0.2">
      <c r="B610" s="791" t="s">
        <v>383</v>
      </c>
      <c r="C610" s="791"/>
      <c r="D610" s="791"/>
      <c r="E610" s="755">
        <f>P589</f>
        <v>0</v>
      </c>
      <c r="F610" s="755"/>
      <c r="G610" s="1005"/>
      <c r="H610" s="1005"/>
      <c r="I610" s="914">
        <f t="shared" si="107"/>
        <v>0</v>
      </c>
      <c r="J610" s="914"/>
      <c r="K610" s="623"/>
      <c r="L610" s="624"/>
      <c r="M610" s="624"/>
      <c r="N610" s="624"/>
      <c r="O610" s="625"/>
      <c r="P610" s="961"/>
      <c r="R610" s="548">
        <f t="shared" si="108"/>
        <v>0</v>
      </c>
      <c r="S610" s="147">
        <f>LARGE($R$603:$R$616,8)</f>
        <v>0</v>
      </c>
      <c r="T610" s="544">
        <f t="shared" si="111"/>
        <v>0</v>
      </c>
      <c r="U610" s="548">
        <f t="shared" si="109"/>
        <v>0</v>
      </c>
      <c r="V610" s="190">
        <f t="shared" si="110"/>
        <v>0</v>
      </c>
      <c r="W610" s="10"/>
      <c r="X610" s="10"/>
      <c r="Z610" s="10"/>
      <c r="AD610" s="10"/>
      <c r="AE610" s="10"/>
      <c r="AF610" s="10"/>
      <c r="AG610" s="10"/>
      <c r="AH610" s="10"/>
      <c r="AI610" s="10"/>
      <c r="AJ610" s="10"/>
      <c r="AK610" s="10"/>
      <c r="AL610" s="10"/>
      <c r="AM610" s="10"/>
      <c r="AN610" s="10"/>
      <c r="AO610" s="10"/>
      <c r="AP610" s="10"/>
      <c r="AQ610" s="10"/>
      <c r="AR610" s="10"/>
      <c r="AS610" s="10"/>
      <c r="AT610" s="10"/>
    </row>
    <row r="611" spans="2:46" ht="15.75" customHeight="1" x14ac:dyDescent="0.2">
      <c r="B611" s="791" t="s">
        <v>1012</v>
      </c>
      <c r="C611" s="791"/>
      <c r="D611" s="791"/>
      <c r="E611" s="755">
        <f>P591</f>
        <v>0</v>
      </c>
      <c r="F611" s="755"/>
      <c r="G611" s="1005"/>
      <c r="H611" s="1005"/>
      <c r="I611" s="914">
        <f t="shared" si="107"/>
        <v>0</v>
      </c>
      <c r="J611" s="914"/>
      <c r="K611" s="915" t="str">
        <f>IF(AND(OR(P578&gt;0,P514&gt;0,P596&gt;0),E615&gt;0),"A value has been granted for motor loss. Additional impairment values are not allowed for weakness, chronic condition, or reduced range of motion in the same extremity.","")</f>
        <v/>
      </c>
      <c r="L611" s="916"/>
      <c r="M611" s="916"/>
      <c r="N611" s="916"/>
      <c r="O611" s="917"/>
      <c r="P611" s="961"/>
      <c r="R611" s="548">
        <f t="shared" si="108"/>
        <v>0</v>
      </c>
      <c r="S611" s="147">
        <f>LARGE($R$603:$R$616,9)</f>
        <v>0</v>
      </c>
      <c r="T611" s="544">
        <f t="shared" si="111"/>
        <v>0</v>
      </c>
      <c r="U611" s="548">
        <f t="shared" si="109"/>
        <v>0</v>
      </c>
      <c r="V611" s="190">
        <f t="shared" si="110"/>
        <v>0</v>
      </c>
      <c r="W611" s="10"/>
      <c r="X611" s="10"/>
      <c r="Z611" s="10"/>
      <c r="AD611" s="10"/>
      <c r="AE611" s="10"/>
      <c r="AF611" s="10"/>
      <c r="AG611" s="10"/>
      <c r="AH611" s="10"/>
      <c r="AI611" s="10"/>
      <c r="AJ611" s="10"/>
      <c r="AK611" s="10"/>
      <c r="AL611" s="10"/>
      <c r="AM611" s="10"/>
      <c r="AN611" s="10"/>
      <c r="AO611" s="10"/>
      <c r="AP611" s="10"/>
      <c r="AQ611" s="10"/>
      <c r="AR611" s="10"/>
      <c r="AS611" s="10"/>
      <c r="AT611" s="10"/>
    </row>
    <row r="612" spans="2:46" ht="15.75" customHeight="1" x14ac:dyDescent="0.2">
      <c r="B612" s="791" t="s">
        <v>1235</v>
      </c>
      <c r="C612" s="791"/>
      <c r="D612" s="791"/>
      <c r="E612" s="755">
        <f>P592</f>
        <v>0</v>
      </c>
      <c r="F612" s="755"/>
      <c r="G612" s="1005"/>
      <c r="H612" s="1005"/>
      <c r="I612" s="914">
        <f t="shared" si="107"/>
        <v>0</v>
      </c>
      <c r="J612" s="914"/>
      <c r="K612" s="915"/>
      <c r="L612" s="916"/>
      <c r="M612" s="916"/>
      <c r="N612" s="916"/>
      <c r="O612" s="917"/>
      <c r="P612" s="961"/>
      <c r="R612" s="548">
        <f t="shared" si="108"/>
        <v>0</v>
      </c>
      <c r="S612" s="147">
        <f>LARGE($R$603:$R$616,10)</f>
        <v>0</v>
      </c>
      <c r="T612" s="544">
        <f t="shared" si="111"/>
        <v>0</v>
      </c>
      <c r="U612" s="548">
        <f t="shared" si="109"/>
        <v>0</v>
      </c>
      <c r="V612" s="190">
        <f t="shared" si="110"/>
        <v>0</v>
      </c>
      <c r="W612" s="10"/>
      <c r="X612" s="10"/>
      <c r="Z612" s="10"/>
      <c r="AD612" s="10"/>
      <c r="AE612" s="10"/>
      <c r="AF612" s="10"/>
      <c r="AG612" s="10"/>
      <c r="AH612" s="10"/>
      <c r="AI612" s="10"/>
      <c r="AJ612" s="10"/>
      <c r="AK612" s="10"/>
      <c r="AL612" s="10"/>
      <c r="AM612" s="10"/>
      <c r="AN612" s="10"/>
      <c r="AO612" s="10"/>
      <c r="AP612" s="10"/>
      <c r="AQ612" s="10"/>
      <c r="AR612" s="10"/>
      <c r="AS612" s="10"/>
      <c r="AT612" s="10"/>
    </row>
    <row r="613" spans="2:46" ht="15.75" customHeight="1" x14ac:dyDescent="0.2">
      <c r="B613" s="791" t="s">
        <v>1607</v>
      </c>
      <c r="C613" s="791"/>
      <c r="D613" s="791"/>
      <c r="E613" s="755">
        <f>IF(E615&gt;0,0,P514)</f>
        <v>0</v>
      </c>
      <c r="F613" s="755"/>
      <c r="G613" s="1005"/>
      <c r="H613" s="1005"/>
      <c r="I613" s="914">
        <f t="shared" si="107"/>
        <v>0</v>
      </c>
      <c r="J613" s="914"/>
      <c r="K613" s="915"/>
      <c r="L613" s="916"/>
      <c r="M613" s="916"/>
      <c r="N613" s="916"/>
      <c r="O613" s="917"/>
      <c r="P613" s="961"/>
      <c r="R613" s="548">
        <f t="shared" si="108"/>
        <v>0</v>
      </c>
      <c r="S613" s="147">
        <f>LARGE($R$603:$R$616,11)</f>
        <v>0</v>
      </c>
      <c r="T613" s="544">
        <f t="shared" si="111"/>
        <v>0</v>
      </c>
      <c r="U613" s="548">
        <f t="shared" si="109"/>
        <v>0</v>
      </c>
      <c r="V613" s="190">
        <f t="shared" si="110"/>
        <v>0</v>
      </c>
      <c r="W613" s="10"/>
      <c r="X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row>
    <row r="614" spans="2:46" ht="15" customHeight="1" x14ac:dyDescent="0.2">
      <c r="B614" s="791" t="s">
        <v>583</v>
      </c>
      <c r="C614" s="791"/>
      <c r="D614" s="791"/>
      <c r="E614" s="755">
        <f>IF(E615&gt;0,0,P596)</f>
        <v>0</v>
      </c>
      <c r="F614" s="755"/>
      <c r="G614" s="1005"/>
      <c r="H614" s="1005"/>
      <c r="I614" s="914">
        <f t="shared" si="107"/>
        <v>0</v>
      </c>
      <c r="J614" s="914"/>
      <c r="K614" s="915"/>
      <c r="L614" s="916"/>
      <c r="M614" s="916"/>
      <c r="N614" s="916"/>
      <c r="O614" s="917"/>
      <c r="P614" s="961"/>
      <c r="R614" s="548">
        <f t="shared" si="108"/>
        <v>0</v>
      </c>
      <c r="S614" s="147">
        <f>LARGE($R$603:$R$616,12)</f>
        <v>0</v>
      </c>
      <c r="T614" s="544">
        <f t="shared" si="111"/>
        <v>0</v>
      </c>
      <c r="U614" s="548">
        <f t="shared" si="109"/>
        <v>0</v>
      </c>
      <c r="V614" s="190">
        <f t="shared" si="110"/>
        <v>0</v>
      </c>
      <c r="W614" s="10"/>
      <c r="X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row>
    <row r="615" spans="2:46" ht="15" customHeight="1" x14ac:dyDescent="0.2">
      <c r="B615" s="791" t="s">
        <v>910</v>
      </c>
      <c r="C615" s="791"/>
      <c r="D615" s="791"/>
      <c r="E615" s="755">
        <f>P600</f>
        <v>0</v>
      </c>
      <c r="F615" s="731"/>
      <c r="G615" s="1005"/>
      <c r="H615" s="1005"/>
      <c r="I615" s="914">
        <f t="shared" si="107"/>
        <v>0</v>
      </c>
      <c r="J615" s="914"/>
      <c r="K615" s="915"/>
      <c r="L615" s="916"/>
      <c r="M615" s="916"/>
      <c r="N615" s="916"/>
      <c r="O615" s="917"/>
      <c r="P615" s="961"/>
      <c r="R615" s="548">
        <f t="shared" si="108"/>
        <v>0</v>
      </c>
      <c r="S615" s="147">
        <f>LARGE($R$603:$R$616,13)</f>
        <v>0</v>
      </c>
      <c r="T615" s="544">
        <f t="shared" si="111"/>
        <v>0</v>
      </c>
      <c r="U615" s="548">
        <f t="shared" si="109"/>
        <v>0</v>
      </c>
      <c r="V615" s="190">
        <f t="shared" si="110"/>
        <v>0</v>
      </c>
      <c r="W615" s="10"/>
      <c r="X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row>
    <row r="616" spans="2:46" ht="15" customHeight="1" x14ac:dyDescent="0.2">
      <c r="B616" s="1031" t="s">
        <v>782</v>
      </c>
      <c r="C616" s="1031"/>
      <c r="D616" s="1031"/>
      <c r="E616" s="857">
        <f>IF(SUM(E603:E615)&gt;0,UETable!BF97,0)</f>
        <v>0</v>
      </c>
      <c r="F616" s="858"/>
      <c r="G616" s="830" t="s">
        <v>1901</v>
      </c>
      <c r="H616" s="830"/>
      <c r="I616" s="1128"/>
      <c r="J616" s="1128"/>
      <c r="K616" s="915"/>
      <c r="L616" s="916"/>
      <c r="M616" s="916"/>
      <c r="N616" s="916"/>
      <c r="O616" s="917"/>
      <c r="P616" s="961"/>
      <c r="R616" s="548">
        <f t="shared" ref="R616" si="112">IF(I616&gt;0,I616,E616)</f>
        <v>0</v>
      </c>
      <c r="S616" s="147">
        <f>LARGE($R$603:$R$616,14)</f>
        <v>0</v>
      </c>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row>
    <row r="617" spans="2:46" ht="15" customHeight="1" x14ac:dyDescent="0.2">
      <c r="B617" s="956" t="s">
        <v>1013</v>
      </c>
      <c r="C617" s="956"/>
      <c r="D617" s="956"/>
      <c r="E617" s="956"/>
      <c r="F617" s="956"/>
      <c r="G617" s="956"/>
      <c r="H617" s="956"/>
      <c r="I617" s="956"/>
      <c r="J617" s="956"/>
      <c r="K617" s="956"/>
      <c r="L617" s="956"/>
      <c r="M617" s="956"/>
      <c r="N617" s="956"/>
      <c r="O617" s="956"/>
      <c r="P617" s="962"/>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row>
    <row r="618" spans="2:46" ht="6" customHeight="1" x14ac:dyDescent="0.2">
      <c r="B618" s="1"/>
      <c r="D618" s="1"/>
      <c r="E618" s="1"/>
      <c r="F618" s="1"/>
      <c r="G618" s="1"/>
      <c r="H618" s="1"/>
      <c r="I618" s="1"/>
      <c r="J618" s="1"/>
      <c r="K618" s="1"/>
      <c r="L618" s="1"/>
      <c r="M618" s="1"/>
      <c r="N618" s="1"/>
      <c r="O618" s="1"/>
      <c r="P618" s="1"/>
      <c r="R618" s="10"/>
      <c r="S618" s="10"/>
      <c r="T618" s="10"/>
      <c r="U618" s="10"/>
      <c r="V618" s="10"/>
      <c r="W618" s="10"/>
      <c r="X618" s="10"/>
      <c r="Y618" s="226"/>
      <c r="Z618" s="10"/>
      <c r="AA618" s="10"/>
      <c r="AB618" s="10"/>
      <c r="AC618" s="10"/>
      <c r="AD618" s="10"/>
      <c r="AE618" s="10"/>
      <c r="AF618" s="10"/>
      <c r="AG618" s="10"/>
      <c r="AH618" s="10"/>
      <c r="AI618" s="10"/>
      <c r="AJ618" s="10"/>
      <c r="AK618" s="10"/>
      <c r="AL618" s="10"/>
      <c r="AM618" s="10"/>
      <c r="AN618" s="10"/>
      <c r="AO618" s="10"/>
      <c r="AP618" s="10"/>
      <c r="AQ618" s="10"/>
      <c r="AR618" s="10"/>
      <c r="AS618" s="10"/>
      <c r="AT618" s="10"/>
    </row>
    <row r="619" spans="2:46" ht="6" customHeight="1" x14ac:dyDescent="0.2">
      <c r="B619" s="1"/>
      <c r="D619" s="1"/>
      <c r="E619" s="1"/>
      <c r="F619" s="1"/>
      <c r="G619" s="1"/>
      <c r="H619" s="1"/>
      <c r="I619" s="1"/>
      <c r="J619" s="1"/>
      <c r="K619" s="1"/>
      <c r="L619" s="1"/>
      <c r="M619" s="1"/>
      <c r="N619" s="1"/>
      <c r="O619" s="1"/>
      <c r="P619" s="1"/>
      <c r="R619" s="10"/>
      <c r="S619" s="10"/>
      <c r="T619" s="10"/>
      <c r="U619" s="10"/>
      <c r="V619" s="10"/>
      <c r="W619" s="10"/>
      <c r="X619" s="10"/>
      <c r="Y619" s="226"/>
      <c r="Z619" s="10"/>
      <c r="AA619" s="10"/>
      <c r="AB619" s="10"/>
      <c r="AC619" s="10"/>
      <c r="AD619" s="10"/>
      <c r="AE619" s="10"/>
      <c r="AF619" s="10"/>
      <c r="AG619" s="10"/>
      <c r="AH619" s="10"/>
      <c r="AI619" s="10"/>
      <c r="AJ619" s="10"/>
      <c r="AK619" s="10"/>
      <c r="AL619" s="10"/>
      <c r="AM619" s="10"/>
      <c r="AN619" s="10"/>
      <c r="AO619" s="10"/>
      <c r="AP619" s="10"/>
      <c r="AQ619" s="10"/>
      <c r="AR619" s="10"/>
      <c r="AS619" s="10"/>
      <c r="AT619" s="10"/>
    </row>
    <row r="620" spans="2:46" ht="36" customHeight="1" x14ac:dyDescent="0.2">
      <c r="B620" s="907" t="s">
        <v>563</v>
      </c>
      <c r="C620" s="945"/>
      <c r="D620" s="945"/>
      <c r="E620" s="945"/>
      <c r="F620" s="945"/>
      <c r="G620" s="945"/>
      <c r="H620" s="945"/>
      <c r="I620" s="945"/>
      <c r="J620" s="945"/>
      <c r="K620" s="945"/>
      <c r="L620" s="945"/>
      <c r="M620" s="945"/>
      <c r="N620" s="945"/>
      <c r="O620" s="945"/>
      <c r="P620" s="946"/>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row>
    <row r="621" spans="2:46" ht="12" customHeight="1" x14ac:dyDescent="0.2">
      <c r="B621" s="697"/>
      <c r="C621" s="697"/>
      <c r="D621" s="697"/>
      <c r="E621" s="697"/>
      <c r="F621" s="697"/>
      <c r="G621" s="697"/>
      <c r="H621" s="697"/>
      <c r="I621" s="697"/>
      <c r="J621" s="697"/>
      <c r="K621" s="697"/>
      <c r="L621" s="697"/>
      <c r="M621" s="697"/>
      <c r="N621" s="697"/>
      <c r="O621" s="697"/>
      <c r="P621" s="697"/>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row>
    <row r="622" spans="2:46" ht="30.75" customHeight="1" x14ac:dyDescent="0.2">
      <c r="B622" s="761" t="s">
        <v>397</v>
      </c>
      <c r="C622" s="761"/>
      <c r="D622" s="761"/>
      <c r="E622" s="761"/>
      <c r="F622" s="761"/>
      <c r="G622" s="761"/>
      <c r="H622" s="761"/>
      <c r="I622" s="761"/>
      <c r="J622" s="761"/>
      <c r="K622" s="761"/>
      <c r="L622" s="761"/>
      <c r="M622" s="948"/>
      <c r="N622" s="948"/>
      <c r="O622" s="948"/>
      <c r="P622" s="948"/>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row>
    <row r="623" spans="2:46" ht="37.5" customHeight="1" x14ac:dyDescent="0.2">
      <c r="B623" s="146"/>
      <c r="C623" s="912" t="s">
        <v>1759</v>
      </c>
      <c r="D623" s="910"/>
      <c r="E623" s="146"/>
      <c r="F623" s="907" t="s">
        <v>1257</v>
      </c>
      <c r="G623" s="908"/>
      <c r="H623" s="30"/>
      <c r="I623" s="910" t="s">
        <v>1759</v>
      </c>
      <c r="J623" s="910"/>
      <c r="K623" s="910"/>
      <c r="L623" s="910"/>
      <c r="M623" s="912" t="s">
        <v>1702</v>
      </c>
      <c r="N623" s="912"/>
      <c r="O623" s="912"/>
      <c r="P623" s="912"/>
      <c r="R623" s="10"/>
      <c r="S623" s="50" t="s">
        <v>1701</v>
      </c>
      <c r="T623" s="50" t="s">
        <v>1287</v>
      </c>
      <c r="U623" s="256" t="s">
        <v>1837</v>
      </c>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row>
    <row r="624" spans="2:46" ht="18" customHeight="1" x14ac:dyDescent="0.2">
      <c r="B624" s="146" t="s">
        <v>926</v>
      </c>
      <c r="C624" s="755">
        <f>P60</f>
        <v>0</v>
      </c>
      <c r="D624" s="731"/>
      <c r="E624" s="18" t="s">
        <v>1754</v>
      </c>
      <c r="F624" s="1023">
        <v>0.15</v>
      </c>
      <c r="G624" s="1023"/>
      <c r="H624" s="18" t="s">
        <v>1756</v>
      </c>
      <c r="I624" s="914">
        <f>IF(C634&lt;R1,"DOI&lt;2005",IF($P$522&gt;0,0,T624))</f>
        <v>0</v>
      </c>
      <c r="J624" s="914"/>
      <c r="K624" s="914"/>
      <c r="L624" s="914"/>
      <c r="M624" s="1024" t="str">
        <f>IF(C624=0,"",IF($P$522&gt;0,"Converted",""))</f>
        <v/>
      </c>
      <c r="N624" s="1024"/>
      <c r="O624" s="1024"/>
      <c r="P624" s="1024"/>
      <c r="R624" s="10"/>
      <c r="S624" s="583">
        <f>IF(AND(C624*F624&gt;0,C624*F624&lt;0.01),0.01,C624*F624)</f>
        <v>0</v>
      </c>
      <c r="T624" s="147">
        <f t="shared" ref="T624:T630" si="113">ROUND(S624,2)</f>
        <v>0</v>
      </c>
      <c r="U624" s="147">
        <f>SUM(E532:F560)</f>
        <v>0</v>
      </c>
      <c r="V624" s="50" t="s">
        <v>2167</v>
      </c>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row>
    <row r="625" spans="2:46" ht="18" customHeight="1" x14ac:dyDescent="0.2">
      <c r="B625" s="146" t="s">
        <v>1388</v>
      </c>
      <c r="C625" s="755">
        <f>P137</f>
        <v>0</v>
      </c>
      <c r="D625" s="731"/>
      <c r="E625" s="18" t="s">
        <v>1754</v>
      </c>
      <c r="F625" s="1023">
        <v>0.08</v>
      </c>
      <c r="G625" s="1023"/>
      <c r="H625" s="18" t="s">
        <v>1756</v>
      </c>
      <c r="I625" s="914">
        <f>IF(C634&lt;R1,"DOI&lt;2005",IF($P$522&gt;0,0,T625))</f>
        <v>0</v>
      </c>
      <c r="J625" s="914"/>
      <c r="K625" s="914"/>
      <c r="L625" s="914"/>
      <c r="M625" s="1024" t="str">
        <f>IF(C625=0,"",IF($P$522&gt;0,"Converted",""))</f>
        <v/>
      </c>
      <c r="N625" s="1024"/>
      <c r="O625" s="1024"/>
      <c r="P625" s="1024"/>
      <c r="R625" s="10"/>
      <c r="S625" s="583">
        <f t="shared" ref="S625:S630" si="114">IF(AND(C625*F625&gt;0,C625*F625&lt;0.01),0.01,C625*F625)</f>
        <v>0</v>
      </c>
      <c r="T625" s="147">
        <f t="shared" si="113"/>
        <v>0</v>
      </c>
      <c r="U625" s="147">
        <f>SUM(E603:F615)</f>
        <v>0</v>
      </c>
      <c r="V625" s="50" t="s">
        <v>2168</v>
      </c>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row>
    <row r="626" spans="2:46" ht="18" customHeight="1" x14ac:dyDescent="0.2">
      <c r="B626" s="146" t="s">
        <v>571</v>
      </c>
      <c r="C626" s="755">
        <f>P214</f>
        <v>0</v>
      </c>
      <c r="D626" s="731"/>
      <c r="E626" s="18" t="s">
        <v>1754</v>
      </c>
      <c r="F626" s="1023">
        <v>7.0000000000000007E-2</v>
      </c>
      <c r="G626" s="1023"/>
      <c r="H626" s="18" t="s">
        <v>1756</v>
      </c>
      <c r="I626" s="914">
        <f>IF(C634&lt;R1,"DOI&lt;2005",IF($P$522&gt;0,0,T626))</f>
        <v>0</v>
      </c>
      <c r="J626" s="914"/>
      <c r="K626" s="914"/>
      <c r="L626" s="914"/>
      <c r="M626" s="1024" t="str">
        <f>IF(C626=0,"",IF($P$522&gt;0,"Converted",""))</f>
        <v/>
      </c>
      <c r="N626" s="1024"/>
      <c r="O626" s="1024"/>
      <c r="P626" s="1024"/>
      <c r="R626" s="10"/>
      <c r="S626" s="583">
        <f t="shared" si="114"/>
        <v>0</v>
      </c>
      <c r="T626" s="147">
        <f t="shared" si="113"/>
        <v>0</v>
      </c>
      <c r="U626" s="578">
        <f>IF(AND(U624&gt;0,U625&gt;0),1,0)</f>
        <v>0</v>
      </c>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row>
    <row r="627" spans="2:46" ht="18" customHeight="1" x14ac:dyDescent="0.2">
      <c r="B627" s="146" t="s">
        <v>1426</v>
      </c>
      <c r="C627" s="755">
        <f>P289</f>
        <v>0</v>
      </c>
      <c r="D627" s="731"/>
      <c r="E627" s="18" t="s">
        <v>1754</v>
      </c>
      <c r="F627" s="1023">
        <v>0.03</v>
      </c>
      <c r="G627" s="1023"/>
      <c r="H627" s="18" t="s">
        <v>1756</v>
      </c>
      <c r="I627" s="914">
        <f>IF(C634&lt;R1,"DOI&lt;2005",IF($P$522&gt;0,0,T627))</f>
        <v>0</v>
      </c>
      <c r="J627" s="914"/>
      <c r="K627" s="914"/>
      <c r="L627" s="914"/>
      <c r="M627" s="1024" t="str">
        <f>IF(C627=0,"",IF($P$522&gt;0,"Converted",""))</f>
        <v/>
      </c>
      <c r="N627" s="1024"/>
      <c r="O627" s="1024"/>
      <c r="P627" s="1024"/>
      <c r="R627" s="10"/>
      <c r="S627" s="583">
        <f t="shared" si="114"/>
        <v>0</v>
      </c>
      <c r="T627" s="147">
        <f t="shared" si="113"/>
        <v>0</v>
      </c>
      <c r="U627" s="14"/>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row>
    <row r="628" spans="2:46" ht="18" customHeight="1" x14ac:dyDescent="0.2">
      <c r="B628" s="146" t="s">
        <v>1634</v>
      </c>
      <c r="C628" s="755">
        <f>P364</f>
        <v>0</v>
      </c>
      <c r="D628" s="731"/>
      <c r="E628" s="18" t="s">
        <v>1754</v>
      </c>
      <c r="F628" s="1023">
        <v>0.02</v>
      </c>
      <c r="G628" s="1023"/>
      <c r="H628" s="18" t="s">
        <v>1756</v>
      </c>
      <c r="I628" s="914">
        <f>IF(C634&lt;R1,"DOI&lt;2005",IF($P$522&gt;0,0,T628))</f>
        <v>0</v>
      </c>
      <c r="J628" s="914"/>
      <c r="K628" s="914"/>
      <c r="L628" s="914"/>
      <c r="M628" s="1024" t="str">
        <f>IF(C628=0,"",IF($P$522&gt;0,"Converted",""))</f>
        <v/>
      </c>
      <c r="N628" s="1024"/>
      <c r="O628" s="1024"/>
      <c r="P628" s="1024"/>
      <c r="R628" s="10"/>
      <c r="S628" s="583">
        <f t="shared" si="114"/>
        <v>0</v>
      </c>
      <c r="T628" s="147">
        <f t="shared" si="113"/>
        <v>0</v>
      </c>
      <c r="U628" s="14"/>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row>
    <row r="629" spans="2:46" ht="18" customHeight="1" x14ac:dyDescent="0.2">
      <c r="B629" s="146" t="s">
        <v>1506</v>
      </c>
      <c r="C629" s="755">
        <f>P531</f>
        <v>0</v>
      </c>
      <c r="D629" s="731"/>
      <c r="E629" s="18" t="s">
        <v>1754</v>
      </c>
      <c r="F629" s="1023">
        <v>0.47</v>
      </c>
      <c r="G629" s="1023"/>
      <c r="H629" s="18" t="s">
        <v>1756</v>
      </c>
      <c r="I629" s="914">
        <f>IF(C634&lt;R1,"DOI&lt;2005",IF(AND(C629&gt;0,C630&gt;0),0,T629))</f>
        <v>0</v>
      </c>
      <c r="J629" s="914"/>
      <c r="K629" s="914"/>
      <c r="L629" s="914"/>
      <c r="M629" s="1024" t="str">
        <f>IF(C629=0,"",IF(U626=1,"Converted",""))</f>
        <v/>
      </c>
      <c r="N629" s="1024"/>
      <c r="O629" s="1024"/>
      <c r="P629" s="1024"/>
      <c r="R629" s="10"/>
      <c r="S629" s="583">
        <f t="shared" si="114"/>
        <v>0</v>
      </c>
      <c r="T629" s="147">
        <f t="shared" si="113"/>
        <v>0</v>
      </c>
      <c r="U629" s="14"/>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row>
    <row r="630" spans="2:46" ht="18" customHeight="1" x14ac:dyDescent="0.2">
      <c r="B630" s="146" t="s">
        <v>1891</v>
      </c>
      <c r="C630" s="755">
        <f>P602</f>
        <v>0</v>
      </c>
      <c r="D630" s="731"/>
      <c r="E630" s="18" t="s">
        <v>1754</v>
      </c>
      <c r="F630" s="1023">
        <v>0.6</v>
      </c>
      <c r="G630" s="1023"/>
      <c r="H630" s="18" t="s">
        <v>1756</v>
      </c>
      <c r="I630" s="914">
        <f>IF(C634&lt;R1,"DOI&lt;2005",T630)</f>
        <v>0</v>
      </c>
      <c r="J630" s="914"/>
      <c r="K630" s="914"/>
      <c r="L630" s="914"/>
      <c r="M630" s="1024"/>
      <c r="N630" s="1024"/>
      <c r="O630" s="1024"/>
      <c r="P630" s="1024"/>
      <c r="R630" s="10"/>
      <c r="S630" s="583">
        <f t="shared" si="114"/>
        <v>0</v>
      </c>
      <c r="T630" s="147">
        <f t="shared" si="113"/>
        <v>0</v>
      </c>
      <c r="U630" s="14"/>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row>
    <row r="631" spans="2:46" ht="18" customHeight="1" x14ac:dyDescent="0.2">
      <c r="B631" s="1129"/>
      <c r="C631" s="1129"/>
      <c r="D631" s="1129"/>
      <c r="E631" s="1129"/>
      <c r="F631" s="1129"/>
      <c r="G631" s="1129"/>
      <c r="H631" s="1129"/>
      <c r="I631" s="1129"/>
      <c r="J631" s="1129"/>
      <c r="K631" s="1129"/>
      <c r="L631" s="1129"/>
      <c r="M631" s="1129"/>
      <c r="N631" s="1129"/>
      <c r="O631" s="1129"/>
      <c r="P631" s="1129"/>
      <c r="R631" s="10"/>
      <c r="S631" s="138"/>
      <c r="T631" s="14"/>
      <c r="U631" s="14"/>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row>
    <row r="632" spans="2:46" ht="36" customHeight="1" x14ac:dyDescent="0.2">
      <c r="B632" s="907" t="s">
        <v>56</v>
      </c>
      <c r="C632" s="945"/>
      <c r="D632" s="945"/>
      <c r="E632" s="945"/>
      <c r="F632" s="945"/>
      <c r="G632" s="945"/>
      <c r="H632" s="945"/>
      <c r="I632" s="945"/>
      <c r="J632" s="945"/>
      <c r="K632" s="945"/>
      <c r="L632" s="945"/>
      <c r="M632" s="945"/>
      <c r="N632" s="945"/>
      <c r="O632" s="945"/>
      <c r="P632" s="946"/>
    </row>
    <row r="633" spans="2:46" ht="12" customHeight="1" x14ac:dyDescent="0.2">
      <c r="B633" s="697"/>
      <c r="C633" s="697"/>
      <c r="D633" s="697"/>
      <c r="E633" s="697"/>
      <c r="F633" s="697"/>
      <c r="G633" s="697"/>
      <c r="H633" s="697"/>
      <c r="I633" s="697"/>
      <c r="J633" s="697"/>
      <c r="K633" s="697"/>
      <c r="L633" s="697"/>
      <c r="M633" s="697"/>
      <c r="N633" s="697"/>
      <c r="O633" s="697"/>
      <c r="P633" s="697"/>
    </row>
    <row r="634" spans="2:46" ht="19.5" customHeight="1" x14ac:dyDescent="0.2">
      <c r="B634" s="39" t="s">
        <v>1170</v>
      </c>
      <c r="C634" s="760" t="str">
        <f>IF('Start here'!A8="","",'Start here'!A8)</f>
        <v/>
      </c>
      <c r="D634" s="1038"/>
      <c r="E634" s="1039"/>
      <c r="F634" s="1040" t="str">
        <f>IF(C634="","Enter date of injury on worksheet: Start here.","")</f>
        <v>Enter date of injury on worksheet: Start here.</v>
      </c>
      <c r="G634" s="1041"/>
      <c r="H634" s="1041"/>
      <c r="I634" s="1041"/>
      <c r="J634" s="1041"/>
      <c r="K634" s="1041"/>
      <c r="L634" s="1041"/>
      <c r="M634" s="1041"/>
      <c r="N634" s="1041"/>
      <c r="O634" s="1041"/>
      <c r="P634" s="1041"/>
    </row>
    <row r="635" spans="2:46" ht="12" customHeight="1" x14ac:dyDescent="0.2">
      <c r="B635" s="697"/>
      <c r="C635" s="697"/>
      <c r="D635" s="697"/>
      <c r="E635" s="697"/>
      <c r="F635" s="697"/>
      <c r="G635" s="697"/>
      <c r="H635" s="697"/>
      <c r="I635" s="697"/>
      <c r="J635" s="697"/>
      <c r="K635" s="697"/>
      <c r="L635" s="697"/>
      <c r="M635" s="697"/>
      <c r="N635" s="697"/>
      <c r="O635" s="697"/>
      <c r="P635" s="697"/>
    </row>
    <row r="636" spans="2:46" ht="30.75" customHeight="1" x14ac:dyDescent="0.2">
      <c r="B636" s="761" t="s">
        <v>397</v>
      </c>
      <c r="C636" s="761"/>
      <c r="D636" s="761"/>
      <c r="E636" s="761"/>
      <c r="F636" s="761"/>
      <c r="G636" s="761"/>
      <c r="H636" s="761"/>
      <c r="I636" s="761"/>
      <c r="J636" s="761"/>
      <c r="K636" s="761"/>
      <c r="L636" s="761"/>
      <c r="M636" s="761"/>
      <c r="N636" s="761"/>
      <c r="O636" s="761"/>
      <c r="P636" s="761"/>
      <c r="R636" s="947" t="s">
        <v>2147</v>
      </c>
    </row>
    <row r="637" spans="2:46" ht="33.75" customHeight="1" x14ac:dyDescent="0.2">
      <c r="B637" s="146"/>
      <c r="C637" s="912" t="s">
        <v>1759</v>
      </c>
      <c r="D637" s="910"/>
      <c r="E637" s="146"/>
      <c r="F637" s="912" t="s">
        <v>1171</v>
      </c>
      <c r="G637" s="912"/>
      <c r="H637" s="910" t="s">
        <v>355</v>
      </c>
      <c r="I637" s="910"/>
      <c r="J637" s="910"/>
      <c r="K637" s="18"/>
      <c r="L637" s="912" t="s">
        <v>1172</v>
      </c>
      <c r="M637" s="912"/>
      <c r="N637" s="18"/>
      <c r="O637" s="944" t="s">
        <v>1173</v>
      </c>
      <c r="P637" s="946"/>
      <c r="R637" s="947"/>
    </row>
    <row r="638" spans="2:46" ht="18" customHeight="1" x14ac:dyDescent="0.2">
      <c r="B638" s="146" t="s">
        <v>926</v>
      </c>
      <c r="C638" s="755">
        <f>P60</f>
        <v>0</v>
      </c>
      <c r="D638" s="731"/>
      <c r="E638" s="18" t="s">
        <v>1754</v>
      </c>
      <c r="F638" s="18">
        <v>48</v>
      </c>
      <c r="G638" s="18" t="s">
        <v>1756</v>
      </c>
      <c r="H638" s="1025">
        <f t="shared" ref="H638:H644" si="115">C638*F638</f>
        <v>0</v>
      </c>
      <c r="I638" s="1025"/>
      <c r="J638" s="1025"/>
      <c r="K638" s="18" t="s">
        <v>1754</v>
      </c>
      <c r="L638" s="1016">
        <f>IF($C$634="",0,'Dol Per Deg'!$H$11)</f>
        <v>0</v>
      </c>
      <c r="M638" s="1016"/>
      <c r="N638" s="18" t="s">
        <v>1756</v>
      </c>
      <c r="O638" s="1016" t="str">
        <f>IF(C634&gt;=R1,"DOI&gt;2004",IF($P$522&gt;0,"Converted",H638*L638))</f>
        <v>DOI&gt;2004</v>
      </c>
      <c r="P638" s="1016"/>
      <c r="R638" s="365">
        <f t="shared" ref="R638:R643" si="116">IF(O638="Converted",0,C638)</f>
        <v>0</v>
      </c>
    </row>
    <row r="639" spans="2:46" ht="18" customHeight="1" x14ac:dyDescent="0.2">
      <c r="B639" s="146" t="s">
        <v>1388</v>
      </c>
      <c r="C639" s="755">
        <f>P137</f>
        <v>0</v>
      </c>
      <c r="D639" s="731"/>
      <c r="E639" s="18" t="s">
        <v>1754</v>
      </c>
      <c r="F639" s="18">
        <v>24</v>
      </c>
      <c r="G639" s="18" t="s">
        <v>1756</v>
      </c>
      <c r="H639" s="1025">
        <f t="shared" si="115"/>
        <v>0</v>
      </c>
      <c r="I639" s="1025"/>
      <c r="J639" s="1025"/>
      <c r="K639" s="18" t="s">
        <v>1754</v>
      </c>
      <c r="L639" s="1016">
        <f>IF($C$634="",0,'Dol Per Deg'!$H$11)</f>
        <v>0</v>
      </c>
      <c r="M639" s="1016"/>
      <c r="N639" s="18" t="s">
        <v>1756</v>
      </c>
      <c r="O639" s="1016" t="str">
        <f>IF(C634&gt;=R1,"DOI&gt;2004",IF($P$522&gt;0,"Converted",H639*L639))</f>
        <v>DOI&gt;2004</v>
      </c>
      <c r="P639" s="1016"/>
      <c r="R639" s="365">
        <f t="shared" si="116"/>
        <v>0</v>
      </c>
    </row>
    <row r="640" spans="2:46" ht="18" customHeight="1" x14ac:dyDescent="0.2">
      <c r="B640" s="146" t="s">
        <v>571</v>
      </c>
      <c r="C640" s="755">
        <f>P214</f>
        <v>0</v>
      </c>
      <c r="D640" s="731"/>
      <c r="E640" s="18" t="s">
        <v>1754</v>
      </c>
      <c r="F640" s="18">
        <v>22</v>
      </c>
      <c r="G640" s="18" t="s">
        <v>1756</v>
      </c>
      <c r="H640" s="1025">
        <f t="shared" si="115"/>
        <v>0</v>
      </c>
      <c r="I640" s="1025"/>
      <c r="J640" s="1025"/>
      <c r="K640" s="18" t="s">
        <v>1754</v>
      </c>
      <c r="L640" s="1016">
        <f>IF($C$634="",0,'Dol Per Deg'!$H$11)</f>
        <v>0</v>
      </c>
      <c r="M640" s="1016"/>
      <c r="N640" s="18" t="s">
        <v>1756</v>
      </c>
      <c r="O640" s="1016" t="str">
        <f>IF(C634&gt;=R1,"DOI&gt;2004",IF($P$522&gt;0,"Converted",H640*L640))</f>
        <v>DOI&gt;2004</v>
      </c>
      <c r="P640" s="1016"/>
      <c r="R640" s="365">
        <f t="shared" si="116"/>
        <v>0</v>
      </c>
    </row>
    <row r="641" spans="2:241" ht="18" customHeight="1" x14ac:dyDescent="0.2">
      <c r="B641" s="146" t="s">
        <v>1426</v>
      </c>
      <c r="C641" s="755">
        <f>P289</f>
        <v>0</v>
      </c>
      <c r="D641" s="731"/>
      <c r="E641" s="18" t="s">
        <v>1754</v>
      </c>
      <c r="F641" s="18">
        <v>10</v>
      </c>
      <c r="G641" s="18" t="s">
        <v>1756</v>
      </c>
      <c r="H641" s="1025">
        <f t="shared" si="115"/>
        <v>0</v>
      </c>
      <c r="I641" s="1025"/>
      <c r="J641" s="1025"/>
      <c r="K641" s="18" t="s">
        <v>1754</v>
      </c>
      <c r="L641" s="1016">
        <f>IF($C$634="",0,'Dol Per Deg'!$H$11)</f>
        <v>0</v>
      </c>
      <c r="M641" s="1016"/>
      <c r="N641" s="18" t="s">
        <v>1756</v>
      </c>
      <c r="O641" s="1016" t="str">
        <f>IF(C634&gt;=R1,"DOI&gt;2004",IF($P$522&gt;0,"Converted",H641*L641))</f>
        <v>DOI&gt;2004</v>
      </c>
      <c r="P641" s="1016"/>
      <c r="R641" s="365">
        <f t="shared" si="116"/>
        <v>0</v>
      </c>
    </row>
    <row r="642" spans="2:241" ht="18" customHeight="1" x14ac:dyDescent="0.2">
      <c r="B642" s="146" t="s">
        <v>1634</v>
      </c>
      <c r="C642" s="755">
        <f>P364</f>
        <v>0</v>
      </c>
      <c r="D642" s="731"/>
      <c r="E642" s="18" t="s">
        <v>1754</v>
      </c>
      <c r="F642" s="18">
        <v>6</v>
      </c>
      <c r="G642" s="18" t="s">
        <v>1756</v>
      </c>
      <c r="H642" s="845">
        <f t="shared" si="115"/>
        <v>0</v>
      </c>
      <c r="I642" s="845"/>
      <c r="J642" s="845"/>
      <c r="K642" s="18" t="s">
        <v>1754</v>
      </c>
      <c r="L642" s="1016">
        <f>IF($C$634="",0,'Dol Per Deg'!$H$11)</f>
        <v>0</v>
      </c>
      <c r="M642" s="1016"/>
      <c r="N642" s="18" t="s">
        <v>1756</v>
      </c>
      <c r="O642" s="1016" t="str">
        <f>IF(C634&gt;=R1,"DOI&gt;2004",IF($P$522&gt;0,"Converted",H642*L642))</f>
        <v>DOI&gt;2004</v>
      </c>
      <c r="P642" s="1016"/>
      <c r="R642" s="365">
        <f t="shared" si="116"/>
        <v>0</v>
      </c>
    </row>
    <row r="643" spans="2:241" ht="18" customHeight="1" x14ac:dyDescent="0.2">
      <c r="B643" s="146" t="s">
        <v>1506</v>
      </c>
      <c r="C643" s="755">
        <f>P531</f>
        <v>0</v>
      </c>
      <c r="D643" s="731"/>
      <c r="E643" s="18" t="s">
        <v>1754</v>
      </c>
      <c r="F643" s="18">
        <v>150</v>
      </c>
      <c r="G643" s="18" t="s">
        <v>1756</v>
      </c>
      <c r="H643" s="845">
        <f t="shared" si="115"/>
        <v>0</v>
      </c>
      <c r="I643" s="845"/>
      <c r="J643" s="845"/>
      <c r="K643" s="18" t="s">
        <v>1754</v>
      </c>
      <c r="L643" s="1016">
        <f>IF($C$634="",0,'Dol Per Deg'!$H$11)</f>
        <v>0</v>
      </c>
      <c r="M643" s="1016"/>
      <c r="N643" s="18" t="s">
        <v>1756</v>
      </c>
      <c r="O643" s="1016" t="str">
        <f>IF(C634&gt;=R1,"DOI&gt;2004",IF(AND(C643&gt;0,C644&gt;0),"Converted",H643*L643))</f>
        <v>DOI&gt;2004</v>
      </c>
      <c r="P643" s="1016"/>
      <c r="R643" s="365">
        <f t="shared" si="116"/>
        <v>0</v>
      </c>
    </row>
    <row r="644" spans="2:241" ht="18" customHeight="1" x14ac:dyDescent="0.2">
      <c r="B644" s="146" t="s">
        <v>1891</v>
      </c>
      <c r="C644" s="914">
        <f>P602</f>
        <v>0</v>
      </c>
      <c r="D644" s="914"/>
      <c r="E644" s="18" t="s">
        <v>1754</v>
      </c>
      <c r="F644" s="18">
        <v>192</v>
      </c>
      <c r="G644" s="18" t="s">
        <v>1756</v>
      </c>
      <c r="H644" s="845">
        <f t="shared" si="115"/>
        <v>0</v>
      </c>
      <c r="I644" s="845"/>
      <c r="J644" s="845"/>
      <c r="K644" s="18" t="s">
        <v>1754</v>
      </c>
      <c r="L644" s="1016">
        <f>IF($C$634="",0,'Dol Per Deg'!$H$11)</f>
        <v>0</v>
      </c>
      <c r="M644" s="1016"/>
      <c r="N644" s="18" t="s">
        <v>1756</v>
      </c>
      <c r="O644" s="1016" t="str">
        <f>IF(C634&gt;=R1,"DOI&gt;2004",H644*L644)</f>
        <v>DOI&gt;2004</v>
      </c>
      <c r="P644" s="1016"/>
      <c r="R644" s="365">
        <f>C644</f>
        <v>0</v>
      </c>
    </row>
    <row r="645" spans="2:241" ht="36.75" customHeight="1" x14ac:dyDescent="0.25">
      <c r="B645" s="1037" t="s">
        <v>931</v>
      </c>
      <c r="C645" s="1037"/>
      <c r="D645" s="1037"/>
      <c r="E645" s="1037"/>
      <c r="F645" s="1037"/>
      <c r="G645" s="1037"/>
      <c r="H645" s="1037"/>
      <c r="I645" s="1037"/>
      <c r="J645" s="1037"/>
      <c r="K645" s="1037"/>
      <c r="L645" s="1037"/>
      <c r="M645" s="1037"/>
      <c r="N645" s="1037"/>
      <c r="O645" s="1037"/>
      <c r="P645" s="1037"/>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row>
    <row r="646" spans="2:241" x14ac:dyDescent="0.2">
      <c r="B646" s="243" t="s">
        <v>775</v>
      </c>
      <c r="C646" s="1092" t="str">
        <f>IF(S1&lt;&gt;"",S1,"")</f>
        <v>Go to PPD Worksheet</v>
      </c>
      <c r="D646" s="1092"/>
      <c r="E646" s="1092"/>
      <c r="F646" s="1092"/>
      <c r="G646" s="1092"/>
      <c r="H646" s="1092"/>
      <c r="I646" s="1092"/>
      <c r="J646" s="1093" t="str">
        <f>IF(S2&lt;&gt;"",S2,"")</f>
        <v/>
      </c>
      <c r="K646" s="1093"/>
      <c r="L646" s="1093"/>
      <c r="M646" s="1093"/>
      <c r="N646" s="1093"/>
      <c r="P646" s="15"/>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row>
    <row r="647" spans="2:241" x14ac:dyDescent="0.2">
      <c r="D647" s="375"/>
      <c r="F647" s="375"/>
      <c r="H647" s="375"/>
      <c r="J647" s="375"/>
      <c r="L647" s="375"/>
      <c r="N647" s="375"/>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row>
    <row r="648" spans="2:241" x14ac:dyDescent="0.2">
      <c r="D648" s="375"/>
      <c r="F648" s="375"/>
      <c r="H648" s="375"/>
      <c r="J648" s="375"/>
      <c r="L648" s="375"/>
      <c r="N648" s="375"/>
      <c r="R648" s="10"/>
      <c r="S648" s="142"/>
      <c r="T648" s="14"/>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row>
    <row r="649" spans="2:241" hidden="1" x14ac:dyDescent="0.2">
      <c r="D649" s="375"/>
      <c r="F649" s="375"/>
      <c r="H649" s="375"/>
      <c r="J649" s="375"/>
      <c r="L649" s="375"/>
      <c r="N649" s="375"/>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row>
    <row r="650" spans="2:241" s="171" customFormat="1" hidden="1" x14ac:dyDescent="0.2">
      <c r="C650" s="9"/>
      <c r="D650" s="373"/>
      <c r="F650" s="9"/>
      <c r="G650" s="373"/>
      <c r="I650" s="9"/>
      <c r="J650" s="373"/>
      <c r="L650" s="9"/>
      <c r="M650" s="373"/>
      <c r="O650" s="9"/>
      <c r="P650" s="373"/>
      <c r="R650" s="61"/>
      <c r="S650" s="62"/>
      <c r="T650" s="61"/>
      <c r="U650" s="61"/>
      <c r="V650" s="62"/>
      <c r="W650" s="61"/>
      <c r="X650" s="61"/>
      <c r="Y650" s="62"/>
      <c r="Z650" s="61"/>
      <c r="AA650" s="61"/>
      <c r="AB650" s="62"/>
      <c r="AC650" s="61"/>
      <c r="AD650" s="61"/>
      <c r="AE650" s="62"/>
      <c r="AF650" s="61"/>
      <c r="AG650" s="61"/>
      <c r="AH650" s="62"/>
      <c r="AI650" s="61"/>
      <c r="AJ650" s="61"/>
      <c r="AK650" s="62"/>
      <c r="AL650" s="61"/>
      <c r="AM650" s="61"/>
      <c r="AN650" s="62"/>
      <c r="AO650" s="61"/>
      <c r="AP650" s="61"/>
      <c r="AQ650" s="62"/>
      <c r="AR650" s="61"/>
      <c r="AS650" s="61"/>
      <c r="AT650" s="62"/>
      <c r="AV650" s="9"/>
      <c r="AW650" s="373"/>
      <c r="AY650" s="9"/>
      <c r="AZ650" s="373"/>
      <c r="BB650" s="9"/>
      <c r="BC650" s="373"/>
      <c r="BE650" s="9"/>
      <c r="BF650" s="373"/>
      <c r="BH650" s="9"/>
      <c r="BI650" s="373"/>
      <c r="BK650" s="9"/>
      <c r="BL650" s="373"/>
      <c r="BN650" s="9"/>
      <c r="BO650" s="373"/>
      <c r="BQ650" s="9"/>
      <c r="BR650" s="373"/>
      <c r="BT650" s="9"/>
      <c r="BU650" s="373"/>
      <c r="BW650" s="9"/>
      <c r="BX650" s="373"/>
      <c r="BZ650" s="9"/>
      <c r="CA650" s="373"/>
      <c r="CC650" s="9"/>
      <c r="CD650" s="373"/>
      <c r="CF650" s="9"/>
      <c r="CG650" s="373"/>
      <c r="CI650" s="9"/>
      <c r="CJ650" s="373"/>
      <c r="CL650" s="9"/>
      <c r="CM650" s="373"/>
      <c r="CO650" s="9"/>
      <c r="CP650" s="373"/>
      <c r="CR650" s="9"/>
      <c r="CS650" s="373"/>
      <c r="CU650" s="9"/>
      <c r="CV650" s="373"/>
      <c r="CX650" s="9"/>
      <c r="CY650" s="373"/>
      <c r="DA650" s="9"/>
      <c r="DB650" s="373"/>
      <c r="DD650" s="9"/>
      <c r="DE650" s="373"/>
      <c r="DG650" s="9"/>
      <c r="DH650" s="373"/>
      <c r="DJ650" s="9"/>
      <c r="DK650" s="373"/>
      <c r="DM650" s="9"/>
      <c r="DN650" s="373"/>
      <c r="DP650" s="9"/>
      <c r="DQ650" s="373"/>
      <c r="DS650" s="9"/>
      <c r="DT650" s="373"/>
      <c r="DV650" s="9"/>
      <c r="DW650" s="373"/>
      <c r="DY650" s="9"/>
      <c r="DZ650" s="373"/>
      <c r="EB650" s="9"/>
      <c r="EC650" s="373"/>
      <c r="EE650" s="9"/>
      <c r="EF650" s="373"/>
      <c r="EH650" s="9"/>
      <c r="EI650" s="373"/>
      <c r="EK650" s="9"/>
      <c r="EL650" s="373"/>
      <c r="EN650" s="9"/>
      <c r="EO650" s="373"/>
      <c r="EQ650" s="9"/>
      <c r="ER650" s="373"/>
      <c r="ET650" s="9"/>
      <c r="EU650" s="373"/>
      <c r="EW650" s="9"/>
      <c r="EX650" s="373"/>
      <c r="EZ650" s="9"/>
      <c r="FA650" s="373"/>
      <c r="FC650" s="9"/>
      <c r="FD650" s="373"/>
      <c r="FF650" s="9"/>
      <c r="FG650" s="373"/>
      <c r="FI650" s="9"/>
      <c r="FJ650" s="373"/>
      <c r="FL650" s="9"/>
      <c r="FM650" s="373"/>
      <c r="FO650" s="9"/>
      <c r="FP650" s="373"/>
      <c r="FR650" s="9"/>
      <c r="FS650" s="373"/>
      <c r="FU650" s="9"/>
      <c r="FV650" s="373"/>
      <c r="FX650" s="9"/>
      <c r="FY650" s="373"/>
      <c r="GA650" s="9"/>
      <c r="GB650" s="373"/>
      <c r="GD650" s="9"/>
      <c r="GE650" s="373"/>
      <c r="GG650" s="9"/>
      <c r="GH650" s="373"/>
      <c r="GJ650" s="9"/>
      <c r="GK650" s="373"/>
      <c r="GM650" s="9"/>
      <c r="GN650" s="373"/>
      <c r="GP650" s="9"/>
      <c r="GQ650" s="373"/>
      <c r="GS650" s="9"/>
      <c r="GT650" s="373"/>
      <c r="GV650" s="9"/>
      <c r="GW650" s="373"/>
      <c r="GY650" s="9"/>
      <c r="GZ650" s="373"/>
      <c r="HB650" s="9"/>
      <c r="HC650" s="373"/>
      <c r="HE650" s="9"/>
      <c r="HF650" s="373"/>
      <c r="HH650" s="9"/>
      <c r="HI650" s="373"/>
      <c r="HK650" s="9"/>
      <c r="HL650" s="373"/>
      <c r="HN650" s="9"/>
      <c r="HO650" s="373"/>
      <c r="HQ650" s="9"/>
      <c r="HR650" s="373"/>
      <c r="HT650" s="9"/>
      <c r="HU650" s="373"/>
      <c r="HW650" s="9"/>
      <c r="HX650" s="373"/>
      <c r="HZ650" s="9"/>
      <c r="IA650" s="373"/>
      <c r="IC650" s="9"/>
      <c r="ID650" s="373"/>
      <c r="IF650" s="9"/>
      <c r="IG650" s="373"/>
    </row>
    <row r="651" spans="2:241" s="171" customFormat="1" hidden="1" x14ac:dyDescent="0.2">
      <c r="F651" s="9"/>
      <c r="G651" s="373"/>
      <c r="I651" s="9"/>
      <c r="J651" s="373"/>
      <c r="L651" s="9"/>
      <c r="M651" s="373"/>
      <c r="O651" s="9"/>
      <c r="P651" s="373"/>
      <c r="R651" s="61"/>
      <c r="S651" s="62"/>
      <c r="T651" s="61"/>
      <c r="U651" s="61"/>
      <c r="V651" s="62"/>
      <c r="W651" s="61"/>
      <c r="X651" s="61"/>
      <c r="Y651" s="62"/>
      <c r="Z651" s="61"/>
      <c r="AA651" s="61"/>
      <c r="AB651" s="62"/>
      <c r="AC651" s="61"/>
      <c r="AD651" s="61"/>
      <c r="AE651" s="62"/>
      <c r="AF651" s="61"/>
      <c r="AG651" s="61"/>
      <c r="AH651" s="62"/>
      <c r="AI651" s="61"/>
      <c r="AJ651" s="61"/>
      <c r="AK651" s="62"/>
      <c r="AL651" s="61"/>
      <c r="AM651" s="61"/>
      <c r="AN651" s="62"/>
      <c r="AO651" s="61"/>
      <c r="AP651" s="61"/>
      <c r="AQ651" s="62"/>
      <c r="AR651" s="61"/>
      <c r="AS651" s="61"/>
      <c r="AT651" s="62"/>
      <c r="AV651" s="9"/>
      <c r="AW651" s="373"/>
      <c r="AY651" s="9"/>
      <c r="AZ651" s="373"/>
      <c r="BB651" s="9"/>
      <c r="BC651" s="373"/>
      <c r="BE651" s="9"/>
      <c r="BF651" s="373"/>
      <c r="BH651" s="9"/>
      <c r="BI651" s="373"/>
      <c r="BK651" s="9"/>
      <c r="BL651" s="373"/>
      <c r="BN651" s="9"/>
      <c r="BO651" s="373"/>
      <c r="BQ651" s="9"/>
      <c r="BR651" s="373"/>
      <c r="BT651" s="9"/>
      <c r="BU651" s="373"/>
      <c r="BW651" s="9"/>
      <c r="BX651" s="373"/>
      <c r="BZ651" s="9"/>
      <c r="CA651" s="373"/>
      <c r="CC651" s="9"/>
      <c r="CD651" s="373"/>
      <c r="CF651" s="9"/>
      <c r="CG651" s="373"/>
      <c r="CI651" s="9"/>
      <c r="CJ651" s="373"/>
      <c r="CL651" s="9"/>
      <c r="CM651" s="373"/>
      <c r="CO651" s="9"/>
      <c r="CP651" s="373"/>
      <c r="CR651" s="9"/>
      <c r="CS651" s="373"/>
      <c r="CU651" s="9"/>
      <c r="CV651" s="373"/>
      <c r="CX651" s="9"/>
      <c r="CY651" s="373"/>
      <c r="DA651" s="9"/>
      <c r="DB651" s="373"/>
      <c r="DD651" s="9"/>
      <c r="DE651" s="373"/>
      <c r="DG651" s="9"/>
      <c r="DH651" s="373"/>
      <c r="DJ651" s="9"/>
      <c r="DK651" s="373"/>
      <c r="DM651" s="9"/>
      <c r="DN651" s="373"/>
      <c r="DP651" s="9"/>
      <c r="DQ651" s="373"/>
      <c r="DS651" s="9"/>
      <c r="DT651" s="373"/>
      <c r="DV651" s="9"/>
      <c r="DW651" s="373"/>
      <c r="DY651" s="9"/>
      <c r="DZ651" s="373"/>
      <c r="EB651" s="9"/>
      <c r="EC651" s="373"/>
      <c r="EE651" s="9"/>
      <c r="EF651" s="373"/>
      <c r="EH651" s="9"/>
      <c r="EI651" s="373"/>
      <c r="EK651" s="9"/>
      <c r="EL651" s="373"/>
      <c r="EN651" s="9"/>
      <c r="EO651" s="373"/>
      <c r="EQ651" s="9"/>
      <c r="ER651" s="373"/>
      <c r="ET651" s="9"/>
      <c r="EU651" s="373"/>
      <c r="EW651" s="9"/>
      <c r="EX651" s="373"/>
      <c r="EZ651" s="9"/>
      <c r="FA651" s="373"/>
      <c r="FC651" s="9"/>
      <c r="FD651" s="373"/>
      <c r="FF651" s="9"/>
      <c r="FG651" s="373"/>
      <c r="FI651" s="9"/>
      <c r="FJ651" s="373"/>
      <c r="FL651" s="9"/>
      <c r="FM651" s="373"/>
      <c r="FO651" s="9"/>
      <c r="FP651" s="373"/>
      <c r="FR651" s="9"/>
      <c r="FS651" s="373"/>
      <c r="FU651" s="9"/>
      <c r="FV651" s="373"/>
      <c r="FX651" s="9"/>
      <c r="FY651" s="373"/>
      <c r="GA651" s="9"/>
      <c r="GB651" s="373"/>
      <c r="GD651" s="9"/>
      <c r="GE651" s="373"/>
      <c r="GG651" s="9"/>
      <c r="GH651" s="373"/>
      <c r="GJ651" s="9"/>
      <c r="GK651" s="373"/>
      <c r="GM651" s="9"/>
      <c r="GN651" s="373"/>
      <c r="GP651" s="9"/>
      <c r="GQ651" s="373"/>
      <c r="GS651" s="9"/>
      <c r="GT651" s="373"/>
      <c r="GV651" s="9"/>
      <c r="GW651" s="373"/>
      <c r="GY651" s="9"/>
      <c r="GZ651" s="373"/>
      <c r="HB651" s="9"/>
      <c r="HC651" s="373"/>
      <c r="HE651" s="9"/>
      <c r="HF651" s="373"/>
      <c r="HH651" s="9"/>
      <c r="HI651" s="373"/>
      <c r="HK651" s="9"/>
      <c r="HL651" s="373"/>
      <c r="HN651" s="9"/>
      <c r="HO651" s="373"/>
      <c r="HQ651" s="9"/>
      <c r="HR651" s="373"/>
      <c r="HT651" s="9"/>
      <c r="HU651" s="373"/>
      <c r="HW651" s="9"/>
      <c r="HX651" s="373"/>
      <c r="HZ651" s="9"/>
      <c r="IA651" s="373"/>
      <c r="IC651" s="9"/>
      <c r="ID651" s="373"/>
      <c r="IF651" s="9"/>
      <c r="IG651" s="373"/>
    </row>
    <row r="652" spans="2:241" s="171" customFormat="1" hidden="1" x14ac:dyDescent="0.2">
      <c r="B652" s="365">
        <v>0.01</v>
      </c>
      <c r="C652" s="791" t="s">
        <v>2169</v>
      </c>
      <c r="D652" s="791"/>
      <c r="E652" s="791"/>
      <c r="F652" s="791"/>
      <c r="G652" s="791"/>
      <c r="H652" s="791"/>
      <c r="I652" s="9"/>
      <c r="M652" s="373"/>
      <c r="O652" s="9"/>
      <c r="P652" s="373"/>
      <c r="R652" s="61"/>
      <c r="S652" s="62"/>
      <c r="T652" s="61"/>
      <c r="U652" s="61"/>
      <c r="V652" s="62"/>
      <c r="W652" s="61"/>
      <c r="X652" s="61"/>
      <c r="Y652" s="62"/>
      <c r="Z652" s="61"/>
      <c r="AA652" s="61"/>
      <c r="AB652" s="62"/>
      <c r="AC652" s="61"/>
      <c r="AD652" s="61"/>
      <c r="AE652" s="62"/>
      <c r="AF652" s="61"/>
      <c r="AG652" s="61"/>
      <c r="AH652" s="62"/>
      <c r="AI652" s="61"/>
      <c r="AJ652" s="61"/>
      <c r="AK652" s="62"/>
      <c r="AL652" s="61"/>
      <c r="AM652" s="61"/>
      <c r="AN652" s="62"/>
      <c r="AO652" s="61"/>
      <c r="AP652" s="61"/>
      <c r="AQ652" s="62"/>
      <c r="AR652" s="61"/>
      <c r="AS652" s="61"/>
      <c r="AT652" s="62"/>
      <c r="AV652" s="9"/>
      <c r="AW652" s="373"/>
      <c r="AY652" s="9"/>
      <c r="AZ652" s="373"/>
      <c r="BB652" s="9"/>
      <c r="BC652" s="373"/>
      <c r="BE652" s="9"/>
      <c r="BF652" s="373"/>
      <c r="BH652" s="9"/>
      <c r="BI652" s="373"/>
      <c r="BK652" s="9"/>
      <c r="BL652" s="373"/>
      <c r="BN652" s="9"/>
      <c r="BO652" s="373"/>
      <c r="BQ652" s="9"/>
      <c r="BR652" s="373"/>
      <c r="BT652" s="9"/>
      <c r="BU652" s="373"/>
      <c r="BW652" s="9"/>
      <c r="BX652" s="373"/>
      <c r="BZ652" s="9"/>
      <c r="CA652" s="373"/>
      <c r="CC652" s="9"/>
      <c r="CD652" s="373"/>
      <c r="CF652" s="9"/>
      <c r="CG652" s="373"/>
      <c r="CI652" s="9"/>
      <c r="CJ652" s="373"/>
      <c r="CL652" s="9"/>
      <c r="CM652" s="373"/>
      <c r="CO652" s="9"/>
      <c r="CP652" s="373"/>
      <c r="CR652" s="9"/>
      <c r="CS652" s="373"/>
      <c r="CU652" s="9"/>
      <c r="CV652" s="373"/>
      <c r="CX652" s="9"/>
      <c r="CY652" s="373"/>
      <c r="DA652" s="9"/>
      <c r="DB652" s="373"/>
      <c r="DD652" s="9"/>
      <c r="DE652" s="373"/>
      <c r="DG652" s="9"/>
      <c r="DH652" s="373"/>
      <c r="DJ652" s="9"/>
      <c r="DK652" s="373"/>
      <c r="DM652" s="9"/>
      <c r="DN652" s="373"/>
      <c r="DP652" s="9"/>
      <c r="DQ652" s="373"/>
      <c r="DS652" s="9"/>
      <c r="DT652" s="373"/>
      <c r="DV652" s="9"/>
      <c r="DW652" s="373"/>
      <c r="DY652" s="9"/>
      <c r="DZ652" s="373"/>
      <c r="EB652" s="9"/>
      <c r="EC652" s="373"/>
      <c r="EE652" s="9"/>
      <c r="EF652" s="373"/>
      <c r="EH652" s="9"/>
      <c r="EI652" s="373"/>
      <c r="EK652" s="9"/>
      <c r="EL652" s="373"/>
      <c r="EN652" s="9"/>
      <c r="EO652" s="373"/>
      <c r="EQ652" s="9"/>
      <c r="ER652" s="373"/>
      <c r="ET652" s="9"/>
      <c r="EU652" s="373"/>
      <c r="EW652" s="9"/>
      <c r="EX652" s="373"/>
      <c r="EZ652" s="9"/>
      <c r="FA652" s="373"/>
      <c r="FC652" s="9"/>
      <c r="FD652" s="373"/>
      <c r="FF652" s="9"/>
      <c r="FG652" s="373"/>
      <c r="FI652" s="9"/>
      <c r="FJ652" s="373"/>
      <c r="FL652" s="9"/>
      <c r="FM652" s="373"/>
      <c r="FO652" s="9"/>
      <c r="FP652" s="373"/>
      <c r="FR652" s="9"/>
      <c r="FS652" s="373"/>
      <c r="FU652" s="9"/>
      <c r="FV652" s="373"/>
      <c r="FX652" s="9"/>
      <c r="FY652" s="373"/>
      <c r="GA652" s="9"/>
      <c r="GB652" s="373"/>
      <c r="GD652" s="9"/>
      <c r="GE652" s="373"/>
      <c r="GG652" s="9"/>
      <c r="GH652" s="373"/>
      <c r="GJ652" s="9"/>
      <c r="GK652" s="373"/>
      <c r="GM652" s="9"/>
      <c r="GN652" s="373"/>
      <c r="GP652" s="9"/>
      <c r="GQ652" s="373"/>
      <c r="GS652" s="9"/>
      <c r="GT652" s="373"/>
      <c r="GV652" s="9"/>
      <c r="GW652" s="373"/>
      <c r="GY652" s="9"/>
      <c r="GZ652" s="373"/>
      <c r="HB652" s="9"/>
      <c r="HC652" s="373"/>
      <c r="HE652" s="9"/>
      <c r="HF652" s="373"/>
      <c r="HH652" s="9"/>
      <c r="HI652" s="373"/>
      <c r="HK652" s="9"/>
      <c r="HL652" s="373"/>
      <c r="HN652" s="9"/>
      <c r="HO652" s="373"/>
      <c r="HQ652" s="9"/>
      <c r="HR652" s="373"/>
      <c r="HT652" s="9"/>
      <c r="HU652" s="373"/>
      <c r="HW652" s="9"/>
      <c r="HX652" s="373"/>
      <c r="HZ652" s="9"/>
      <c r="IA652" s="373"/>
      <c r="IC652" s="9"/>
      <c r="ID652" s="373"/>
      <c r="IF652" s="9"/>
      <c r="IG652" s="373"/>
    </row>
    <row r="653" spans="2:241" hidden="1" x14ac:dyDescent="0.2">
      <c r="B653" s="365">
        <v>0.99</v>
      </c>
      <c r="C653" s="791" t="s">
        <v>2169</v>
      </c>
      <c r="D653" s="791"/>
      <c r="E653" s="791"/>
      <c r="F653" s="791"/>
      <c r="G653" s="791"/>
      <c r="H653" s="791"/>
      <c r="I653" s="10"/>
      <c r="J653" s="11"/>
      <c r="K653" s="10"/>
      <c r="L653" s="11"/>
      <c r="M653" s="10"/>
      <c r="N653" s="11"/>
      <c r="O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row>
    <row r="654" spans="2:241" hidden="1" x14ac:dyDescent="0.2">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row>
    <row r="655" spans="2:241" hidden="1" x14ac:dyDescent="0.2">
      <c r="C655" s="2"/>
      <c r="D655" s="2"/>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row>
    <row r="656" spans="2:241" hidden="1" x14ac:dyDescent="0.2">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row>
    <row r="657" spans="2:46" hidden="1" x14ac:dyDescent="0.2">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row>
    <row r="658" spans="2:46" hidden="1" x14ac:dyDescent="0.2">
      <c r="B658" s="761" t="s">
        <v>2170</v>
      </c>
      <c r="C658" s="2"/>
      <c r="D658" s="2"/>
      <c r="F658" s="2"/>
      <c r="G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row>
    <row r="659" spans="2:46" hidden="1" x14ac:dyDescent="0.2">
      <c r="B659" s="761"/>
      <c r="C659" s="2"/>
      <c r="D659" s="2"/>
      <c r="F659" s="2"/>
      <c r="G659" s="151"/>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row>
    <row r="660" spans="2:46" hidden="1" x14ac:dyDescent="0.2">
      <c r="B660" s="761"/>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row>
    <row r="661" spans="2:46" hidden="1" x14ac:dyDescent="0.2">
      <c r="B661" s="761"/>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row>
    <row r="662" spans="2:46" hidden="1" x14ac:dyDescent="0.2">
      <c r="B662" s="146" t="s">
        <v>1901</v>
      </c>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row>
    <row r="663" spans="2:46" hidden="1" x14ac:dyDescent="0.2">
      <c r="B663" s="146">
        <v>0</v>
      </c>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row>
    <row r="664" spans="2:46" hidden="1" x14ac:dyDescent="0.2">
      <c r="B664" s="146">
        <v>1</v>
      </c>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row>
    <row r="665" spans="2:46" hidden="1" x14ac:dyDescent="0.2">
      <c r="B665" s="146">
        <v>2</v>
      </c>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row>
    <row r="666" spans="2:46" hidden="1" x14ac:dyDescent="0.2">
      <c r="B666" s="146">
        <v>3</v>
      </c>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row>
    <row r="667" spans="2:46" hidden="1" x14ac:dyDescent="0.2">
      <c r="B667" s="146">
        <v>4</v>
      </c>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row>
    <row r="668" spans="2:46" hidden="1" x14ac:dyDescent="0.2">
      <c r="B668" s="146">
        <v>5</v>
      </c>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row>
    <row r="669" spans="2:46" hidden="1" x14ac:dyDescent="0.2">
      <c r="B669" s="146">
        <v>6</v>
      </c>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row>
    <row r="670" spans="2:46" hidden="1" x14ac:dyDescent="0.2">
      <c r="B670" s="146">
        <v>7</v>
      </c>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row>
    <row r="671" spans="2:46" hidden="1" x14ac:dyDescent="0.2">
      <c r="B671" s="146">
        <v>8</v>
      </c>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row>
    <row r="672" spans="2:46" hidden="1" x14ac:dyDescent="0.2">
      <c r="B672" s="146">
        <v>9</v>
      </c>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row>
    <row r="673" spans="2:46" hidden="1" x14ac:dyDescent="0.2">
      <c r="B673" s="146">
        <v>10</v>
      </c>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row>
    <row r="674" spans="2:46" hidden="1" x14ac:dyDescent="0.2">
      <c r="B674" s="146">
        <v>11</v>
      </c>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row>
    <row r="675" spans="2:46" hidden="1" x14ac:dyDescent="0.2">
      <c r="B675" s="146">
        <v>12</v>
      </c>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row>
    <row r="676" spans="2:46" hidden="1" x14ac:dyDescent="0.2">
      <c r="B676" s="146">
        <v>13</v>
      </c>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row>
    <row r="677" spans="2:46" hidden="1" x14ac:dyDescent="0.2">
      <c r="B677" s="146">
        <v>14</v>
      </c>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row>
    <row r="678" spans="2:46" hidden="1" x14ac:dyDescent="0.2">
      <c r="B678" s="146">
        <v>15</v>
      </c>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row>
    <row r="679" spans="2:46" hidden="1" x14ac:dyDescent="0.2">
      <c r="B679" s="146">
        <v>16</v>
      </c>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row>
    <row r="680" spans="2:46" hidden="1" x14ac:dyDescent="0.2">
      <c r="B680" s="146">
        <v>17</v>
      </c>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row>
    <row r="681" spans="2:46" hidden="1" x14ac:dyDescent="0.2">
      <c r="B681" s="146">
        <v>18</v>
      </c>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row>
    <row r="682" spans="2:46" hidden="1" x14ac:dyDescent="0.2">
      <c r="B682" s="146">
        <v>19</v>
      </c>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row>
    <row r="683" spans="2:46" hidden="1" x14ac:dyDescent="0.2">
      <c r="B683" s="146">
        <v>20</v>
      </c>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row>
    <row r="684" spans="2:46" hidden="1" x14ac:dyDescent="0.2">
      <c r="B684" s="146">
        <v>21</v>
      </c>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row>
    <row r="685" spans="2:46" hidden="1" x14ac:dyDescent="0.2">
      <c r="B685" s="146">
        <v>22</v>
      </c>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row>
    <row r="686" spans="2:46" hidden="1" x14ac:dyDescent="0.2">
      <c r="B686" s="146">
        <v>23</v>
      </c>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row>
    <row r="687" spans="2:46" hidden="1" x14ac:dyDescent="0.2">
      <c r="B687" s="146">
        <v>24</v>
      </c>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row>
    <row r="688" spans="2:46" hidden="1" x14ac:dyDescent="0.2">
      <c r="B688" s="146">
        <v>25</v>
      </c>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row>
    <row r="689" spans="2:46" hidden="1" x14ac:dyDescent="0.2">
      <c r="B689" s="146">
        <v>26</v>
      </c>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row>
    <row r="690" spans="2:46" hidden="1" x14ac:dyDescent="0.2">
      <c r="B690" s="146">
        <v>27</v>
      </c>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row>
    <row r="691" spans="2:46" hidden="1" x14ac:dyDescent="0.2">
      <c r="B691" s="146">
        <v>28</v>
      </c>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row>
    <row r="692" spans="2:46" hidden="1" x14ac:dyDescent="0.2">
      <c r="B692" s="146">
        <v>29</v>
      </c>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row>
    <row r="693" spans="2:46" hidden="1" x14ac:dyDescent="0.2">
      <c r="B693" s="146">
        <v>30</v>
      </c>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row>
    <row r="694" spans="2:46" hidden="1" x14ac:dyDescent="0.2">
      <c r="B694" s="146">
        <v>31</v>
      </c>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row>
    <row r="695" spans="2:46" hidden="1" x14ac:dyDescent="0.2">
      <c r="B695" s="146">
        <v>32</v>
      </c>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row>
    <row r="696" spans="2:46" hidden="1" x14ac:dyDescent="0.2">
      <c r="B696" s="146">
        <v>33</v>
      </c>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row>
    <row r="697" spans="2:46" hidden="1" x14ac:dyDescent="0.2">
      <c r="B697" s="146">
        <v>34</v>
      </c>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row>
    <row r="698" spans="2:46" hidden="1" x14ac:dyDescent="0.2">
      <c r="B698" s="146">
        <v>35</v>
      </c>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row>
    <row r="699" spans="2:46" hidden="1" x14ac:dyDescent="0.2">
      <c r="B699" s="146">
        <v>36</v>
      </c>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row>
    <row r="700" spans="2:46" hidden="1" x14ac:dyDescent="0.2">
      <c r="B700" s="146">
        <v>37</v>
      </c>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row>
    <row r="701" spans="2:46" hidden="1" x14ac:dyDescent="0.2">
      <c r="B701" s="146">
        <v>38</v>
      </c>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row>
    <row r="702" spans="2:46" hidden="1" x14ac:dyDescent="0.2">
      <c r="B702" s="146">
        <v>39</v>
      </c>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row>
    <row r="703" spans="2:46" hidden="1" x14ac:dyDescent="0.2">
      <c r="B703" s="146">
        <v>40</v>
      </c>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row>
    <row r="704" spans="2:46" hidden="1" x14ac:dyDescent="0.2">
      <c r="B704" s="146">
        <v>41</v>
      </c>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row>
    <row r="705" spans="2:46" hidden="1" x14ac:dyDescent="0.2">
      <c r="B705" s="146">
        <v>42</v>
      </c>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row>
    <row r="706" spans="2:46" hidden="1" x14ac:dyDescent="0.2">
      <c r="B706" s="146">
        <v>43</v>
      </c>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row>
    <row r="707" spans="2:46" hidden="1" x14ac:dyDescent="0.2">
      <c r="B707" s="146">
        <v>44</v>
      </c>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row>
    <row r="708" spans="2:46" hidden="1" x14ac:dyDescent="0.2">
      <c r="B708" s="146">
        <v>45</v>
      </c>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row>
    <row r="709" spans="2:46" hidden="1" x14ac:dyDescent="0.2">
      <c r="B709" s="146">
        <v>46</v>
      </c>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row>
    <row r="710" spans="2:46" hidden="1" x14ac:dyDescent="0.2">
      <c r="B710" s="146">
        <v>47</v>
      </c>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row>
    <row r="711" spans="2:46" hidden="1" x14ac:dyDescent="0.2">
      <c r="B711" s="146">
        <v>48</v>
      </c>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row>
    <row r="712" spans="2:46" hidden="1" x14ac:dyDescent="0.2">
      <c r="B712" s="146">
        <v>49</v>
      </c>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row>
    <row r="713" spans="2:46" hidden="1" x14ac:dyDescent="0.2">
      <c r="B713" s="146">
        <v>50</v>
      </c>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row>
    <row r="714" spans="2:46" hidden="1" x14ac:dyDescent="0.2">
      <c r="B714" s="146">
        <v>51</v>
      </c>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row>
    <row r="715" spans="2:46" hidden="1" x14ac:dyDescent="0.2">
      <c r="B715" s="146">
        <v>52</v>
      </c>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row>
    <row r="716" spans="2:46" hidden="1" x14ac:dyDescent="0.2">
      <c r="B716" s="146">
        <v>53</v>
      </c>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row>
    <row r="717" spans="2:46" hidden="1" x14ac:dyDescent="0.2">
      <c r="B717" s="146">
        <v>54</v>
      </c>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row>
    <row r="718" spans="2:46" hidden="1" x14ac:dyDescent="0.2">
      <c r="B718" s="146">
        <v>55</v>
      </c>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row>
    <row r="719" spans="2:46" hidden="1" x14ac:dyDescent="0.2">
      <c r="B719" s="146">
        <v>56</v>
      </c>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row>
    <row r="720" spans="2:46" hidden="1" x14ac:dyDescent="0.2">
      <c r="B720" s="146">
        <v>57</v>
      </c>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row>
    <row r="721" spans="2:46" hidden="1" x14ac:dyDescent="0.2">
      <c r="B721" s="146">
        <v>58</v>
      </c>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row>
    <row r="722" spans="2:46" hidden="1" x14ac:dyDescent="0.2">
      <c r="B722" s="146">
        <v>59</v>
      </c>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row>
    <row r="723" spans="2:46" hidden="1" x14ac:dyDescent="0.2">
      <c r="B723" s="146">
        <v>60</v>
      </c>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row>
    <row r="724" spans="2:46" hidden="1" x14ac:dyDescent="0.2">
      <c r="B724" s="146">
        <v>61</v>
      </c>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row>
    <row r="725" spans="2:46" hidden="1" x14ac:dyDescent="0.2">
      <c r="B725" s="146">
        <v>62</v>
      </c>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row>
    <row r="726" spans="2:46" hidden="1" x14ac:dyDescent="0.2">
      <c r="B726" s="146">
        <v>63</v>
      </c>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row>
    <row r="727" spans="2:46" hidden="1" x14ac:dyDescent="0.2">
      <c r="B727" s="146">
        <v>64</v>
      </c>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row>
    <row r="728" spans="2:46" hidden="1" x14ac:dyDescent="0.2">
      <c r="B728" s="146">
        <v>65</v>
      </c>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row>
    <row r="729" spans="2:46" hidden="1" x14ac:dyDescent="0.2">
      <c r="B729" s="146">
        <v>66</v>
      </c>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row>
    <row r="730" spans="2:46" hidden="1" x14ac:dyDescent="0.2">
      <c r="B730" s="146">
        <v>67</v>
      </c>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row>
    <row r="731" spans="2:46" hidden="1" x14ac:dyDescent="0.2">
      <c r="B731" s="146">
        <v>68</v>
      </c>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row>
    <row r="732" spans="2:46" hidden="1" x14ac:dyDescent="0.2">
      <c r="B732" s="146">
        <v>69</v>
      </c>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row>
    <row r="733" spans="2:46" hidden="1" x14ac:dyDescent="0.2">
      <c r="B733" s="146">
        <v>70</v>
      </c>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row>
    <row r="734" spans="2:46" hidden="1" x14ac:dyDescent="0.2">
      <c r="B734" s="146">
        <v>71</v>
      </c>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row>
    <row r="735" spans="2:46" hidden="1" x14ac:dyDescent="0.2">
      <c r="B735" s="146">
        <v>72</v>
      </c>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row>
    <row r="736" spans="2:46" hidden="1" x14ac:dyDescent="0.2">
      <c r="B736" s="146">
        <v>73</v>
      </c>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row>
    <row r="737" spans="2:46" hidden="1" x14ac:dyDescent="0.2">
      <c r="B737" s="146">
        <v>74</v>
      </c>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row>
    <row r="738" spans="2:46" hidden="1" x14ac:dyDescent="0.2">
      <c r="B738" s="146">
        <v>75</v>
      </c>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row>
    <row r="739" spans="2:46" hidden="1" x14ac:dyDescent="0.2">
      <c r="B739" s="146">
        <v>76</v>
      </c>
    </row>
    <row r="740" spans="2:46" hidden="1" x14ac:dyDescent="0.2">
      <c r="B740" s="146">
        <v>77</v>
      </c>
    </row>
    <row r="741" spans="2:46" hidden="1" x14ac:dyDescent="0.2">
      <c r="B741" s="146">
        <v>78</v>
      </c>
    </row>
    <row r="742" spans="2:46" hidden="1" x14ac:dyDescent="0.2">
      <c r="B742" s="146">
        <v>79</v>
      </c>
    </row>
    <row r="743" spans="2:46" hidden="1" x14ac:dyDescent="0.2">
      <c r="B743" s="146">
        <v>80</v>
      </c>
    </row>
    <row r="744" spans="2:46" hidden="1" x14ac:dyDescent="0.2">
      <c r="B744" s="146">
        <v>81</v>
      </c>
    </row>
    <row r="745" spans="2:46" hidden="1" x14ac:dyDescent="0.2">
      <c r="B745" s="146">
        <v>82</v>
      </c>
    </row>
    <row r="746" spans="2:46" hidden="1" x14ac:dyDescent="0.2">
      <c r="B746" s="146">
        <v>83</v>
      </c>
    </row>
    <row r="747" spans="2:46" hidden="1" x14ac:dyDescent="0.2">
      <c r="B747" s="146">
        <v>84</v>
      </c>
    </row>
    <row r="748" spans="2:46" hidden="1" x14ac:dyDescent="0.2">
      <c r="B748" s="146">
        <v>85</v>
      </c>
    </row>
    <row r="749" spans="2:46" hidden="1" x14ac:dyDescent="0.2">
      <c r="B749" s="146">
        <v>86</v>
      </c>
    </row>
    <row r="750" spans="2:46" hidden="1" x14ac:dyDescent="0.2">
      <c r="B750" s="146">
        <v>87</v>
      </c>
    </row>
    <row r="751" spans="2:46" hidden="1" x14ac:dyDescent="0.2">
      <c r="B751" s="146">
        <v>88</v>
      </c>
    </row>
    <row r="752" spans="2:46" hidden="1" x14ac:dyDescent="0.2">
      <c r="B752" s="146">
        <v>89</v>
      </c>
    </row>
    <row r="753" spans="2:2" hidden="1" x14ac:dyDescent="0.2">
      <c r="B753" s="146">
        <v>90</v>
      </c>
    </row>
    <row r="754" spans="2:2" hidden="1" x14ac:dyDescent="0.2">
      <c r="B754" s="146">
        <v>91</v>
      </c>
    </row>
    <row r="755" spans="2:2" hidden="1" x14ac:dyDescent="0.2">
      <c r="B755" s="146">
        <v>92</v>
      </c>
    </row>
    <row r="756" spans="2:2" hidden="1" x14ac:dyDescent="0.2">
      <c r="B756" s="146">
        <v>93</v>
      </c>
    </row>
    <row r="757" spans="2:2" hidden="1" x14ac:dyDescent="0.2">
      <c r="B757" s="146">
        <v>94</v>
      </c>
    </row>
    <row r="758" spans="2:2" hidden="1" x14ac:dyDescent="0.2">
      <c r="B758" s="146">
        <v>95</v>
      </c>
    </row>
    <row r="759" spans="2:2" hidden="1" x14ac:dyDescent="0.2">
      <c r="B759" s="146">
        <v>96</v>
      </c>
    </row>
    <row r="760" spans="2:2" hidden="1" x14ac:dyDescent="0.2">
      <c r="B760" s="146">
        <v>97</v>
      </c>
    </row>
    <row r="761" spans="2:2" hidden="1" x14ac:dyDescent="0.2">
      <c r="B761" s="146">
        <v>98</v>
      </c>
    </row>
    <row r="762" spans="2:2" hidden="1" x14ac:dyDescent="0.2">
      <c r="B762" s="146">
        <v>99</v>
      </c>
    </row>
    <row r="763" spans="2:2" hidden="1" x14ac:dyDescent="0.2">
      <c r="B763" s="146">
        <v>100</v>
      </c>
    </row>
    <row r="764" spans="2:2" hidden="1" x14ac:dyDescent="0.2">
      <c r="B764" s="146">
        <v>101</v>
      </c>
    </row>
    <row r="765" spans="2:2" hidden="1" x14ac:dyDescent="0.2">
      <c r="B765" s="146">
        <v>102</v>
      </c>
    </row>
    <row r="766" spans="2:2" hidden="1" x14ac:dyDescent="0.2">
      <c r="B766" s="146">
        <v>103</v>
      </c>
    </row>
    <row r="767" spans="2:2" hidden="1" x14ac:dyDescent="0.2">
      <c r="B767" s="146">
        <v>104</v>
      </c>
    </row>
    <row r="768" spans="2:2" hidden="1" x14ac:dyDescent="0.2">
      <c r="B768" s="146">
        <v>105</v>
      </c>
    </row>
    <row r="769" spans="2:2" hidden="1" x14ac:dyDescent="0.2">
      <c r="B769" s="146">
        <v>106</v>
      </c>
    </row>
    <row r="770" spans="2:2" hidden="1" x14ac:dyDescent="0.2">
      <c r="B770" s="146">
        <v>107</v>
      </c>
    </row>
    <row r="771" spans="2:2" hidden="1" x14ac:dyDescent="0.2">
      <c r="B771" s="146">
        <v>108</v>
      </c>
    </row>
    <row r="772" spans="2:2" hidden="1" x14ac:dyDescent="0.2">
      <c r="B772" s="146">
        <v>109</v>
      </c>
    </row>
    <row r="773" spans="2:2" hidden="1" x14ac:dyDescent="0.2">
      <c r="B773" s="146">
        <v>110</v>
      </c>
    </row>
    <row r="774" spans="2:2" hidden="1" x14ac:dyDescent="0.2">
      <c r="B774" s="146">
        <v>111</v>
      </c>
    </row>
    <row r="775" spans="2:2" hidden="1" x14ac:dyDescent="0.2">
      <c r="B775" s="146">
        <v>112</v>
      </c>
    </row>
    <row r="776" spans="2:2" hidden="1" x14ac:dyDescent="0.2">
      <c r="B776" s="146">
        <v>113</v>
      </c>
    </row>
    <row r="777" spans="2:2" hidden="1" x14ac:dyDescent="0.2">
      <c r="B777" s="146">
        <v>114</v>
      </c>
    </row>
    <row r="778" spans="2:2" hidden="1" x14ac:dyDescent="0.2">
      <c r="B778" s="146">
        <v>115</v>
      </c>
    </row>
    <row r="779" spans="2:2" hidden="1" x14ac:dyDescent="0.2">
      <c r="B779" s="146">
        <v>116</v>
      </c>
    </row>
    <row r="780" spans="2:2" hidden="1" x14ac:dyDescent="0.2">
      <c r="B780" s="146">
        <v>117</v>
      </c>
    </row>
    <row r="781" spans="2:2" hidden="1" x14ac:dyDescent="0.2">
      <c r="B781" s="146">
        <v>118</v>
      </c>
    </row>
    <row r="782" spans="2:2" hidden="1" x14ac:dyDescent="0.2">
      <c r="B782" s="146">
        <v>119</v>
      </c>
    </row>
    <row r="783" spans="2:2" hidden="1" x14ac:dyDescent="0.2">
      <c r="B783" s="146">
        <v>120</v>
      </c>
    </row>
    <row r="784" spans="2:2" hidden="1" x14ac:dyDescent="0.2">
      <c r="B784" s="146">
        <v>121</v>
      </c>
    </row>
    <row r="785" spans="2:2" hidden="1" x14ac:dyDescent="0.2">
      <c r="B785" s="146">
        <v>122</v>
      </c>
    </row>
    <row r="786" spans="2:2" hidden="1" x14ac:dyDescent="0.2">
      <c r="B786" s="146">
        <v>123</v>
      </c>
    </row>
    <row r="787" spans="2:2" hidden="1" x14ac:dyDescent="0.2">
      <c r="B787" s="146">
        <v>124</v>
      </c>
    </row>
    <row r="788" spans="2:2" hidden="1" x14ac:dyDescent="0.2">
      <c r="B788" s="146">
        <v>125</v>
      </c>
    </row>
    <row r="789" spans="2:2" hidden="1" x14ac:dyDescent="0.2">
      <c r="B789" s="146">
        <v>126</v>
      </c>
    </row>
    <row r="790" spans="2:2" hidden="1" x14ac:dyDescent="0.2">
      <c r="B790" s="146">
        <v>127</v>
      </c>
    </row>
    <row r="791" spans="2:2" hidden="1" x14ac:dyDescent="0.2">
      <c r="B791" s="146">
        <v>128</v>
      </c>
    </row>
    <row r="792" spans="2:2" hidden="1" x14ac:dyDescent="0.2">
      <c r="B792" s="146">
        <v>129</v>
      </c>
    </row>
    <row r="793" spans="2:2" hidden="1" x14ac:dyDescent="0.2">
      <c r="B793" s="146">
        <v>130</v>
      </c>
    </row>
    <row r="794" spans="2:2" hidden="1" x14ac:dyDescent="0.2">
      <c r="B794" s="146">
        <v>131</v>
      </c>
    </row>
    <row r="795" spans="2:2" hidden="1" x14ac:dyDescent="0.2">
      <c r="B795" s="146">
        <v>132</v>
      </c>
    </row>
    <row r="796" spans="2:2" hidden="1" x14ac:dyDescent="0.2">
      <c r="B796" s="146">
        <v>133</v>
      </c>
    </row>
    <row r="797" spans="2:2" hidden="1" x14ac:dyDescent="0.2">
      <c r="B797" s="146">
        <v>134</v>
      </c>
    </row>
    <row r="798" spans="2:2" hidden="1" x14ac:dyDescent="0.2">
      <c r="B798" s="146">
        <v>135</v>
      </c>
    </row>
    <row r="799" spans="2:2" hidden="1" x14ac:dyDescent="0.2">
      <c r="B799" s="146">
        <v>136</v>
      </c>
    </row>
    <row r="800" spans="2:2" hidden="1" x14ac:dyDescent="0.2">
      <c r="B800" s="146">
        <v>137</v>
      </c>
    </row>
    <row r="801" spans="2:2" hidden="1" x14ac:dyDescent="0.2">
      <c r="B801" s="146">
        <v>138</v>
      </c>
    </row>
    <row r="802" spans="2:2" hidden="1" x14ac:dyDescent="0.2">
      <c r="B802" s="146">
        <v>139</v>
      </c>
    </row>
    <row r="803" spans="2:2" hidden="1" x14ac:dyDescent="0.2">
      <c r="B803" s="146">
        <v>140</v>
      </c>
    </row>
    <row r="804" spans="2:2" hidden="1" x14ac:dyDescent="0.2">
      <c r="B804" s="146">
        <v>141</v>
      </c>
    </row>
    <row r="805" spans="2:2" hidden="1" x14ac:dyDescent="0.2">
      <c r="B805" s="146">
        <v>142</v>
      </c>
    </row>
    <row r="806" spans="2:2" hidden="1" x14ac:dyDescent="0.2">
      <c r="B806" s="146">
        <v>143</v>
      </c>
    </row>
    <row r="807" spans="2:2" hidden="1" x14ac:dyDescent="0.2">
      <c r="B807" s="146">
        <v>144</v>
      </c>
    </row>
    <row r="808" spans="2:2" hidden="1" x14ac:dyDescent="0.2">
      <c r="B808" s="146">
        <v>145</v>
      </c>
    </row>
    <row r="809" spans="2:2" hidden="1" x14ac:dyDescent="0.2">
      <c r="B809" s="146">
        <v>146</v>
      </c>
    </row>
    <row r="810" spans="2:2" hidden="1" x14ac:dyDescent="0.2">
      <c r="B810" s="146">
        <v>147</v>
      </c>
    </row>
    <row r="811" spans="2:2" hidden="1" x14ac:dyDescent="0.2">
      <c r="B811" s="146">
        <v>148</v>
      </c>
    </row>
    <row r="812" spans="2:2" hidden="1" x14ac:dyDescent="0.2">
      <c r="B812" s="146">
        <v>149</v>
      </c>
    </row>
    <row r="813" spans="2:2" hidden="1" x14ac:dyDescent="0.2">
      <c r="B813" s="146">
        <v>150</v>
      </c>
    </row>
    <row r="814" spans="2:2" hidden="1" x14ac:dyDescent="0.2"/>
    <row r="815" spans="2:2" hidden="1" x14ac:dyDescent="0.2"/>
    <row r="816" spans="2:2" hidden="1" x14ac:dyDescent="0.2"/>
    <row r="817" hidden="1" x14ac:dyDescent="0.2"/>
  </sheetData>
  <sheetProtection sheet="1" objects="1" scenarios="1"/>
  <mergeCells count="1946">
    <mergeCell ref="C652:H652"/>
    <mergeCell ref="C653:H653"/>
    <mergeCell ref="B658:B661"/>
    <mergeCell ref="V407:AC407"/>
    <mergeCell ref="S411:T411"/>
    <mergeCell ref="S414:T414"/>
    <mergeCell ref="S418:T418"/>
    <mergeCell ref="U418:X418"/>
    <mergeCell ref="R422:R423"/>
    <mergeCell ref="V577:AC577"/>
    <mergeCell ref="R591:R592"/>
    <mergeCell ref="X591:Y592"/>
    <mergeCell ref="R636:R637"/>
    <mergeCell ref="R435:R436"/>
    <mergeCell ref="R438:S443"/>
    <mergeCell ref="R449:S449"/>
    <mergeCell ref="AA464:AC464"/>
    <mergeCell ref="B590:O590"/>
    <mergeCell ref="B587:B589"/>
    <mergeCell ref="B592:N592"/>
    <mergeCell ref="R427:R434"/>
    <mergeCell ref="G427:O427"/>
    <mergeCell ref="G428:O428"/>
    <mergeCell ref="G429:O429"/>
    <mergeCell ref="G430:O430"/>
    <mergeCell ref="G431:O431"/>
    <mergeCell ref="G432:O432"/>
    <mergeCell ref="G433:O433"/>
    <mergeCell ref="G434:O434"/>
    <mergeCell ref="C646:I646"/>
    <mergeCell ref="C643:D643"/>
    <mergeCell ref="H643:J643"/>
    <mergeCell ref="BI190:BN190"/>
    <mergeCell ref="W394:X395"/>
    <mergeCell ref="V396:Y396"/>
    <mergeCell ref="Z386:AB386"/>
    <mergeCell ref="T392:U392"/>
    <mergeCell ref="AA366:AC369"/>
    <mergeCell ref="AM392:AM395"/>
    <mergeCell ref="AL392:AL395"/>
    <mergeCell ref="AK392:AK395"/>
    <mergeCell ref="B313:O313"/>
    <mergeCell ref="G324:H324"/>
    <mergeCell ref="I324:J324"/>
    <mergeCell ref="F334:O334"/>
    <mergeCell ref="K341:L341"/>
    <mergeCell ref="K320:O320"/>
    <mergeCell ref="K326:N326"/>
    <mergeCell ref="V364:X364"/>
    <mergeCell ref="B314:O314"/>
    <mergeCell ref="I327:J327"/>
    <mergeCell ref="K318:O318"/>
    <mergeCell ref="K339:L339"/>
    <mergeCell ref="J330:N330"/>
    <mergeCell ref="J331:O331"/>
    <mergeCell ref="K342:L342"/>
    <mergeCell ref="G343:H343"/>
    <mergeCell ref="I343:J343"/>
    <mergeCell ref="B316:O316"/>
    <mergeCell ref="C317:F317"/>
    <mergeCell ref="G317:J317"/>
    <mergeCell ref="C349:D349"/>
    <mergeCell ref="E349:F349"/>
    <mergeCell ref="M348:N348"/>
    <mergeCell ref="BR342:CA342"/>
    <mergeCell ref="W202:Z202"/>
    <mergeCell ref="W319:X319"/>
    <mergeCell ref="V214:X214"/>
    <mergeCell ref="AH266:AM266"/>
    <mergeCell ref="AO266:AS266"/>
    <mergeCell ref="AU266:AX266"/>
    <mergeCell ref="AZ266:BG266"/>
    <mergeCell ref="BI266:BN266"/>
    <mergeCell ref="BR267:CA267"/>
    <mergeCell ref="S341:X341"/>
    <mergeCell ref="AA341:AF341"/>
    <mergeCell ref="AH341:AM341"/>
    <mergeCell ref="V243:Y243"/>
    <mergeCell ref="S257:T257"/>
    <mergeCell ref="W278:Z278"/>
    <mergeCell ref="R286:S287"/>
    <mergeCell ref="R282:R284"/>
    <mergeCell ref="R309:R310"/>
    <mergeCell ref="W252:X252"/>
    <mergeCell ref="W248:X248"/>
    <mergeCell ref="T241:T242"/>
    <mergeCell ref="U316:U317"/>
    <mergeCell ref="AA291:AC294"/>
    <mergeCell ref="R234:R235"/>
    <mergeCell ref="V528:AD528"/>
    <mergeCell ref="J646:N646"/>
    <mergeCell ref="K605:O609"/>
    <mergeCell ref="G575:O575"/>
    <mergeCell ref="K576:O576"/>
    <mergeCell ref="B582:O582"/>
    <mergeCell ref="B255:I256"/>
    <mergeCell ref="B330:I331"/>
    <mergeCell ref="B427:B434"/>
    <mergeCell ref="C427:F427"/>
    <mergeCell ref="C428:F428"/>
    <mergeCell ref="C429:F429"/>
    <mergeCell ref="C430:F430"/>
    <mergeCell ref="C431:F431"/>
    <mergeCell ref="C432:F432"/>
    <mergeCell ref="C433:F433"/>
    <mergeCell ref="W353:Z353"/>
    <mergeCell ref="R357:R359"/>
    <mergeCell ref="R361:S362"/>
    <mergeCell ref="T316:T317"/>
    <mergeCell ref="R313:R314"/>
    <mergeCell ref="M338:N338"/>
    <mergeCell ref="E341:F341"/>
    <mergeCell ref="G341:H341"/>
    <mergeCell ref="I341:J341"/>
    <mergeCell ref="E340:F340"/>
    <mergeCell ref="E321:F321"/>
    <mergeCell ref="B332:O332"/>
    <mergeCell ref="C339:D339"/>
    <mergeCell ref="G364:J364"/>
    <mergeCell ref="P309:P310"/>
    <mergeCell ref="P312:P314"/>
    <mergeCell ref="BI114:BN114"/>
    <mergeCell ref="BR115:CA115"/>
    <mergeCell ref="S190:X190"/>
    <mergeCell ref="AA190:AF190"/>
    <mergeCell ref="R57:S58"/>
    <mergeCell ref="V60:X60"/>
    <mergeCell ref="W80:X80"/>
    <mergeCell ref="V90:Y90"/>
    <mergeCell ref="S105:T105"/>
    <mergeCell ref="W126:Z126"/>
    <mergeCell ref="R130:R132"/>
    <mergeCell ref="R134:S135"/>
    <mergeCell ref="V137:X137"/>
    <mergeCell ref="V167:Y167"/>
    <mergeCell ref="S181:T181"/>
    <mergeCell ref="AZ341:BG341"/>
    <mergeCell ref="BI341:BN341"/>
    <mergeCell ref="V289:X289"/>
    <mergeCell ref="V318:Y318"/>
    <mergeCell ref="S332:T332"/>
    <mergeCell ref="S266:X266"/>
    <mergeCell ref="AA266:AF266"/>
    <mergeCell ref="U241:U242"/>
    <mergeCell ref="W244:X244"/>
    <mergeCell ref="AO341:AS341"/>
    <mergeCell ref="BR191:CA191"/>
    <mergeCell ref="AH190:AM190"/>
    <mergeCell ref="AU341:AX341"/>
    <mergeCell ref="R206:R208"/>
    <mergeCell ref="R210:S211"/>
    <mergeCell ref="R238:R239"/>
    <mergeCell ref="AA216:AC219"/>
    <mergeCell ref="S43:T43"/>
    <mergeCell ref="W50:Z50"/>
    <mergeCell ref="R54:R55"/>
    <mergeCell ref="W95:X95"/>
    <mergeCell ref="W99:X99"/>
    <mergeCell ref="U88:U89"/>
    <mergeCell ref="AC165:AD165"/>
    <mergeCell ref="W172:X172"/>
    <mergeCell ref="W168:X168"/>
    <mergeCell ref="T165:T166"/>
    <mergeCell ref="U165:U166"/>
    <mergeCell ref="W176:X176"/>
    <mergeCell ref="R85:R86"/>
    <mergeCell ref="R81:R82"/>
    <mergeCell ref="R161:R162"/>
    <mergeCell ref="AA139:AC142"/>
    <mergeCell ref="R157:R158"/>
    <mergeCell ref="AX33:BC33"/>
    <mergeCell ref="AQ32:AT32"/>
    <mergeCell ref="S114:X114"/>
    <mergeCell ref="AA114:AF114"/>
    <mergeCell ref="AH114:AM114"/>
    <mergeCell ref="AO114:AS114"/>
    <mergeCell ref="AU114:AX114"/>
    <mergeCell ref="AZ114:BG114"/>
    <mergeCell ref="S32:V32"/>
    <mergeCell ref="X32:AA32"/>
    <mergeCell ref="AC32:AF32"/>
    <mergeCell ref="AH32:AJ32"/>
    <mergeCell ref="B292:D292"/>
    <mergeCell ref="I264:J264"/>
    <mergeCell ref="H279:J279"/>
    <mergeCell ref="E300:F300"/>
    <mergeCell ref="I266:J266"/>
    <mergeCell ref="G299:H299"/>
    <mergeCell ref="K289:O292"/>
    <mergeCell ref="I300:J300"/>
    <mergeCell ref="B293:D293"/>
    <mergeCell ref="I290:J290"/>
    <mergeCell ref="AL32:AO32"/>
    <mergeCell ref="AO190:AS190"/>
    <mergeCell ref="AU190:AX190"/>
    <mergeCell ref="AZ190:BG190"/>
    <mergeCell ref="D109:E109"/>
    <mergeCell ref="I114:J114"/>
    <mergeCell ref="I115:J115"/>
    <mergeCell ref="C114:D114"/>
    <mergeCell ref="E114:F114"/>
    <mergeCell ref="G114:H114"/>
    <mergeCell ref="E320:F320"/>
    <mergeCell ref="W323:X323"/>
    <mergeCell ref="W327:X327"/>
    <mergeCell ref="C328:D328"/>
    <mergeCell ref="E328:F328"/>
    <mergeCell ref="G328:H328"/>
    <mergeCell ref="I328:J328"/>
    <mergeCell ref="K328:O328"/>
    <mergeCell ref="F336:O336"/>
    <mergeCell ref="I339:J339"/>
    <mergeCell ref="D334:E334"/>
    <mergeCell ref="I340:J340"/>
    <mergeCell ref="M340:N340"/>
    <mergeCell ref="B337:O337"/>
    <mergeCell ref="G339:H339"/>
    <mergeCell ref="G344:H344"/>
    <mergeCell ref="C329:D329"/>
    <mergeCell ref="C338:D338"/>
    <mergeCell ref="E338:F338"/>
    <mergeCell ref="I338:J338"/>
    <mergeCell ref="C320:D320"/>
    <mergeCell ref="E329:F329"/>
    <mergeCell ref="B322:J322"/>
    <mergeCell ref="C340:D340"/>
    <mergeCell ref="G340:H340"/>
    <mergeCell ref="F333:O333"/>
    <mergeCell ref="K322:N322"/>
    <mergeCell ref="E365:F365"/>
    <mergeCell ref="B368:D368"/>
    <mergeCell ref="E368:F368"/>
    <mergeCell ref="E366:F366"/>
    <mergeCell ref="B367:D367"/>
    <mergeCell ref="I365:J365"/>
    <mergeCell ref="B372:D372"/>
    <mergeCell ref="B356:O356"/>
    <mergeCell ref="M347:N347"/>
    <mergeCell ref="L354:N354"/>
    <mergeCell ref="K340:L340"/>
    <mergeCell ref="K348:L348"/>
    <mergeCell ref="H353:J353"/>
    <mergeCell ref="L353:N353"/>
    <mergeCell ref="C354:G354"/>
    <mergeCell ref="H354:J354"/>
    <mergeCell ref="B362:N362"/>
    <mergeCell ref="G342:H342"/>
    <mergeCell ref="I342:J342"/>
    <mergeCell ref="C353:G353"/>
    <mergeCell ref="E343:F343"/>
    <mergeCell ref="K344:L344"/>
    <mergeCell ref="C341:D341"/>
    <mergeCell ref="M344:N344"/>
    <mergeCell ref="M349:N349"/>
    <mergeCell ref="C357:D357"/>
    <mergeCell ref="B361:N361"/>
    <mergeCell ref="K347:L347"/>
    <mergeCell ref="C347:D347"/>
    <mergeCell ref="E347:F347"/>
    <mergeCell ref="M341:N341"/>
    <mergeCell ref="G372:H372"/>
    <mergeCell ref="E319:F319"/>
    <mergeCell ref="D335:E335"/>
    <mergeCell ref="I265:J265"/>
    <mergeCell ref="K265:L265"/>
    <mergeCell ref="M265:N265"/>
    <mergeCell ref="G120:H120"/>
    <mergeCell ref="I120:J120"/>
    <mergeCell ref="K120:L120"/>
    <mergeCell ref="B140:D140"/>
    <mergeCell ref="G138:H138"/>
    <mergeCell ref="M120:N120"/>
    <mergeCell ref="G264:H264"/>
    <mergeCell ref="B301:D301"/>
    <mergeCell ref="I121:J121"/>
    <mergeCell ref="K167:O167"/>
    <mergeCell ref="C166:F166"/>
    <mergeCell ref="B152:D152"/>
    <mergeCell ref="G166:J166"/>
    <mergeCell ref="E250:F250"/>
    <mergeCell ref="G250:O250"/>
    <mergeCell ref="B251:J251"/>
    <mergeCell ref="K251:N251"/>
    <mergeCell ref="E193:F193"/>
    <mergeCell ref="E192:F192"/>
    <mergeCell ref="G192:H192"/>
    <mergeCell ref="M189:N189"/>
    <mergeCell ref="M188:N188"/>
    <mergeCell ref="G197:H197"/>
    <mergeCell ref="C196:D196"/>
    <mergeCell ref="E196:F196"/>
    <mergeCell ref="B134:N134"/>
    <mergeCell ref="L126:N126"/>
    <mergeCell ref="C126:G126"/>
    <mergeCell ref="B129:O129"/>
    <mergeCell ref="I151:J151"/>
    <mergeCell ref="B147:D147"/>
    <mergeCell ref="C327:D327"/>
    <mergeCell ref="C115:D115"/>
    <mergeCell ref="E112:F112"/>
    <mergeCell ref="M114:N114"/>
    <mergeCell ref="E121:F121"/>
    <mergeCell ref="G121:H121"/>
    <mergeCell ref="E191:F191"/>
    <mergeCell ref="G191:H191"/>
    <mergeCell ref="E113:F113"/>
    <mergeCell ref="G113:H113"/>
    <mergeCell ref="I113:J113"/>
    <mergeCell ref="G137:J137"/>
    <mergeCell ref="K114:L114"/>
    <mergeCell ref="B118:O118"/>
    <mergeCell ref="M121:N121"/>
    <mergeCell ref="G196:H196"/>
    <mergeCell ref="G327:H327"/>
    <mergeCell ref="G321:O321"/>
    <mergeCell ref="B310:O310"/>
    <mergeCell ref="G323:H323"/>
    <mergeCell ref="I323:J323"/>
    <mergeCell ref="K198:L198"/>
    <mergeCell ref="C198:D198"/>
    <mergeCell ref="B194:O194"/>
    <mergeCell ref="D182:E182"/>
    <mergeCell ref="E174:F174"/>
    <mergeCell ref="G174:O174"/>
    <mergeCell ref="E172:F172"/>
    <mergeCell ref="B62:D62"/>
    <mergeCell ref="E63:F63"/>
    <mergeCell ref="P84:P86"/>
    <mergeCell ref="K98:N98"/>
    <mergeCell ref="G64:H64"/>
    <mergeCell ref="B63:D63"/>
    <mergeCell ref="K90:O90"/>
    <mergeCell ref="C89:F89"/>
    <mergeCell ref="I65:J65"/>
    <mergeCell ref="E70:F70"/>
    <mergeCell ref="G62:H62"/>
    <mergeCell ref="B83:P83"/>
    <mergeCell ref="P60:P78"/>
    <mergeCell ref="B87:O87"/>
    <mergeCell ref="B104:P104"/>
    <mergeCell ref="C100:D100"/>
    <mergeCell ref="P88:P103"/>
    <mergeCell ref="G97:O97"/>
    <mergeCell ref="B94:J94"/>
    <mergeCell ref="J103:O103"/>
    <mergeCell ref="B70:D70"/>
    <mergeCell ref="G68:H68"/>
    <mergeCell ref="B88:O88"/>
    <mergeCell ref="I90:J90"/>
    <mergeCell ref="I91:J91"/>
    <mergeCell ref="I92:J92"/>
    <mergeCell ref="K91:O91"/>
    <mergeCell ref="E93:F93"/>
    <mergeCell ref="K100:O100"/>
    <mergeCell ref="J102:N102"/>
    <mergeCell ref="C99:D99"/>
    <mergeCell ref="E101:F101"/>
    <mergeCell ref="G67:H67"/>
    <mergeCell ref="I68:J68"/>
    <mergeCell ref="E100:F100"/>
    <mergeCell ref="I75:J75"/>
    <mergeCell ref="G77:H77"/>
    <mergeCell ref="B68:D68"/>
    <mergeCell ref="E65:F65"/>
    <mergeCell ref="I99:J99"/>
    <mergeCell ref="E99:F99"/>
    <mergeCell ref="G101:O101"/>
    <mergeCell ref="B75:D75"/>
    <mergeCell ref="E73:F73"/>
    <mergeCell ref="E76:F76"/>
    <mergeCell ref="I73:J73"/>
    <mergeCell ref="I66:J66"/>
    <mergeCell ref="E66:F66"/>
    <mergeCell ref="E72:F72"/>
    <mergeCell ref="E75:F75"/>
    <mergeCell ref="G74:H74"/>
    <mergeCell ref="I74:J74"/>
    <mergeCell ref="G76:H76"/>
    <mergeCell ref="I76:J76"/>
    <mergeCell ref="B80:P80"/>
    <mergeCell ref="B76:D76"/>
    <mergeCell ref="K99:O99"/>
    <mergeCell ref="C97:D97"/>
    <mergeCell ref="C95:D95"/>
    <mergeCell ref="I95:J95"/>
    <mergeCell ref="E97:F97"/>
    <mergeCell ref="E96:F96"/>
    <mergeCell ref="I96:J96"/>
    <mergeCell ref="C101:D101"/>
    <mergeCell ref="K65:O69"/>
    <mergeCell ref="I77:J77"/>
    <mergeCell ref="C121:D121"/>
    <mergeCell ref="G89:J89"/>
    <mergeCell ref="K89:O89"/>
    <mergeCell ref="C113:D113"/>
    <mergeCell ref="E294:F294"/>
    <mergeCell ref="B304:D304"/>
    <mergeCell ref="E304:F304"/>
    <mergeCell ref="G303:H303"/>
    <mergeCell ref="D45:E45"/>
    <mergeCell ref="F45:O45"/>
    <mergeCell ref="H52:J52"/>
    <mergeCell ref="B74:D74"/>
    <mergeCell ref="B73:D73"/>
    <mergeCell ref="B58:N58"/>
    <mergeCell ref="C96:D96"/>
    <mergeCell ref="G95:H95"/>
    <mergeCell ref="B81:O81"/>
    <mergeCell ref="B84:O84"/>
    <mergeCell ref="B86:O86"/>
    <mergeCell ref="B77:D77"/>
    <mergeCell ref="E74:F74"/>
    <mergeCell ref="B71:D71"/>
    <mergeCell ref="B85:O85"/>
    <mergeCell ref="E68:F68"/>
    <mergeCell ref="E62:F62"/>
    <mergeCell ref="G75:H75"/>
    <mergeCell ref="K73:O77"/>
    <mergeCell ref="B78:O78"/>
    <mergeCell ref="B66:D66"/>
    <mergeCell ref="B72:D72"/>
    <mergeCell ref="E115:F115"/>
    <mergeCell ref="G115:H115"/>
    <mergeCell ref="I116:J116"/>
    <mergeCell ref="C117:D117"/>
    <mergeCell ref="E117:F117"/>
    <mergeCell ref="G117:H117"/>
    <mergeCell ref="M115:N115"/>
    <mergeCell ref="K112:L112"/>
    <mergeCell ref="B110:O110"/>
    <mergeCell ref="F108:O108"/>
    <mergeCell ref="K115:L115"/>
    <mergeCell ref="G99:H99"/>
    <mergeCell ref="I100:J100"/>
    <mergeCell ref="G100:H100"/>
    <mergeCell ref="D106:E106"/>
    <mergeCell ref="D107:E107"/>
    <mergeCell ref="D108:E108"/>
    <mergeCell ref="B105:O105"/>
    <mergeCell ref="C112:D112"/>
    <mergeCell ref="E111:F111"/>
    <mergeCell ref="I111:J111"/>
    <mergeCell ref="M111:N111"/>
    <mergeCell ref="G60:J60"/>
    <mergeCell ref="I61:J61"/>
    <mergeCell ref="B65:D65"/>
    <mergeCell ref="C51:G51"/>
    <mergeCell ref="H51:J51"/>
    <mergeCell ref="B136:O136"/>
    <mergeCell ref="C111:D111"/>
    <mergeCell ref="H125:J125"/>
    <mergeCell ref="C324:D324"/>
    <mergeCell ref="I117:J117"/>
    <mergeCell ref="K116:L116"/>
    <mergeCell ref="M116:N116"/>
    <mergeCell ref="K117:L117"/>
    <mergeCell ref="M117:N117"/>
    <mergeCell ref="E116:F116"/>
    <mergeCell ref="G116:H116"/>
    <mergeCell ref="C122:D122"/>
    <mergeCell ref="E122:F122"/>
    <mergeCell ref="G122:H122"/>
    <mergeCell ref="E188:F188"/>
    <mergeCell ref="G188:H188"/>
    <mergeCell ref="M112:N112"/>
    <mergeCell ref="G112:H112"/>
    <mergeCell ref="I112:J112"/>
    <mergeCell ref="E95:F95"/>
    <mergeCell ref="B98:J98"/>
    <mergeCell ref="E71:F71"/>
    <mergeCell ref="E77:F77"/>
    <mergeCell ref="B102:I103"/>
    <mergeCell ref="F107:O107"/>
    <mergeCell ref="F109:O109"/>
    <mergeCell ref="B106:C109"/>
    <mergeCell ref="F46:O46"/>
    <mergeCell ref="B59:O59"/>
    <mergeCell ref="G69:H69"/>
    <mergeCell ref="I69:J69"/>
    <mergeCell ref="I70:J70"/>
    <mergeCell ref="I64:J64"/>
    <mergeCell ref="G65:H65"/>
    <mergeCell ref="B69:D69"/>
    <mergeCell ref="G70:H70"/>
    <mergeCell ref="I67:J67"/>
    <mergeCell ref="B64:D64"/>
    <mergeCell ref="E61:F61"/>
    <mergeCell ref="L50:O50"/>
    <mergeCell ref="L51:N51"/>
    <mergeCell ref="G72:H72"/>
    <mergeCell ref="I72:J72"/>
    <mergeCell ref="B67:D67"/>
    <mergeCell ref="C52:G52"/>
    <mergeCell ref="B57:N57"/>
    <mergeCell ref="B54:C55"/>
    <mergeCell ref="H50:J50"/>
    <mergeCell ref="C50:G50"/>
    <mergeCell ref="I71:J71"/>
    <mergeCell ref="G66:H66"/>
    <mergeCell ref="B61:D61"/>
    <mergeCell ref="D55:E55"/>
    <mergeCell ref="E69:F69"/>
    <mergeCell ref="E67:F67"/>
    <mergeCell ref="G71:H71"/>
    <mergeCell ref="B60:F60"/>
    <mergeCell ref="G61:H61"/>
    <mergeCell ref="K60:O64"/>
    <mergeCell ref="G172:H172"/>
    <mergeCell ref="I172:J172"/>
    <mergeCell ref="E170:F170"/>
    <mergeCell ref="G291:H291"/>
    <mergeCell ref="G292:H292"/>
    <mergeCell ref="B294:D294"/>
    <mergeCell ref="B295:D295"/>
    <mergeCell ref="B296:D296"/>
    <mergeCell ref="B291:D291"/>
    <mergeCell ref="E291:F291"/>
    <mergeCell ref="K317:O317"/>
    <mergeCell ref="G294:H294"/>
    <mergeCell ref="P237:P239"/>
    <mergeCell ref="C201:G201"/>
    <mergeCell ref="H201:J201"/>
    <mergeCell ref="G228:H228"/>
    <mergeCell ref="L204:N204"/>
    <mergeCell ref="G215:H215"/>
    <mergeCell ref="E220:F220"/>
    <mergeCell ref="B186:O186"/>
    <mergeCell ref="M192:N192"/>
    <mergeCell ref="K193:L193"/>
    <mergeCell ref="C280:G280"/>
    <mergeCell ref="H280:J280"/>
    <mergeCell ref="L280:N280"/>
    <mergeCell ref="M268:N268"/>
    <mergeCell ref="G268:H268"/>
    <mergeCell ref="I268:J268"/>
    <mergeCell ref="C269:D269"/>
    <mergeCell ref="B281:O281"/>
    <mergeCell ref="B282:B284"/>
    <mergeCell ref="K274:L274"/>
    <mergeCell ref="M272:N272"/>
    <mergeCell ref="I273:J273"/>
    <mergeCell ref="M273:N273"/>
    <mergeCell ref="G293:H293"/>
    <mergeCell ref="I295:J295"/>
    <mergeCell ref="B305:O305"/>
    <mergeCell ref="I303:J303"/>
    <mergeCell ref="E295:F295"/>
    <mergeCell ref="E296:F296"/>
    <mergeCell ref="I299:J299"/>
    <mergeCell ref="G301:H301"/>
    <mergeCell ref="G319:H319"/>
    <mergeCell ref="G300:H300"/>
    <mergeCell ref="E318:F318"/>
    <mergeCell ref="G318:H318"/>
    <mergeCell ref="K319:O319"/>
    <mergeCell ref="I318:J318"/>
    <mergeCell ref="B311:P311"/>
    <mergeCell ref="E301:F301"/>
    <mergeCell ref="I296:J296"/>
    <mergeCell ref="G297:H297"/>
    <mergeCell ref="B302:D302"/>
    <mergeCell ref="E302:F302"/>
    <mergeCell ref="I319:J319"/>
    <mergeCell ref="E290:F290"/>
    <mergeCell ref="E297:F297"/>
    <mergeCell ref="I292:J292"/>
    <mergeCell ref="K293:O297"/>
    <mergeCell ref="G290:H290"/>
    <mergeCell ref="I291:J291"/>
    <mergeCell ref="E292:F292"/>
    <mergeCell ref="G296:H296"/>
    <mergeCell ref="B645:P645"/>
    <mergeCell ref="B1:C1"/>
    <mergeCell ref="D1:K1"/>
    <mergeCell ref="M1:P1"/>
    <mergeCell ref="K602:O604"/>
    <mergeCell ref="B563:O563"/>
    <mergeCell ref="B498:O498"/>
    <mergeCell ref="B530:O530"/>
    <mergeCell ref="M29:N29"/>
    <mergeCell ref="E577:F577"/>
    <mergeCell ref="G577:O577"/>
    <mergeCell ref="K30:L30"/>
    <mergeCell ref="M30:N30"/>
    <mergeCell ref="P6:P7"/>
    <mergeCell ref="B5:P5"/>
    <mergeCell ref="P234:P235"/>
    <mergeCell ref="B233:P233"/>
    <mergeCell ref="B164:O164"/>
    <mergeCell ref="C29:D29"/>
    <mergeCell ref="P9:P10"/>
    <mergeCell ref="C127:G127"/>
    <mergeCell ref="L127:N127"/>
    <mergeCell ref="B56:P56"/>
    <mergeCell ref="G73:H73"/>
    <mergeCell ref="B631:P631"/>
    <mergeCell ref="C644:D644"/>
    <mergeCell ref="B599:O599"/>
    <mergeCell ref="C588:O588"/>
    <mergeCell ref="E298:F298"/>
    <mergeCell ref="B299:D299"/>
    <mergeCell ref="E299:F299"/>
    <mergeCell ref="B300:D300"/>
    <mergeCell ref="H644:J644"/>
    <mergeCell ref="L644:M644"/>
    <mergeCell ref="O644:P644"/>
    <mergeCell ref="O639:P639"/>
    <mergeCell ref="C640:D640"/>
    <mergeCell ref="H640:J640"/>
    <mergeCell ref="L640:M640"/>
    <mergeCell ref="P594:P595"/>
    <mergeCell ref="B585:F585"/>
    <mergeCell ref="C642:D642"/>
    <mergeCell ref="H642:J642"/>
    <mergeCell ref="L642:M642"/>
    <mergeCell ref="O642:P642"/>
    <mergeCell ref="O640:P640"/>
    <mergeCell ref="C641:D641"/>
    <mergeCell ref="H641:J641"/>
    <mergeCell ref="L641:M641"/>
    <mergeCell ref="O643:P643"/>
    <mergeCell ref="L643:M643"/>
    <mergeCell ref="C639:D639"/>
    <mergeCell ref="C634:E634"/>
    <mergeCell ref="F634:P634"/>
    <mergeCell ref="B635:P635"/>
    <mergeCell ref="B607:D607"/>
    <mergeCell ref="E607:F607"/>
    <mergeCell ref="G607:H607"/>
    <mergeCell ref="B633:P633"/>
    <mergeCell ref="B632:P632"/>
    <mergeCell ref="C630:D630"/>
    <mergeCell ref="E603:F603"/>
    <mergeCell ref="O637:P637"/>
    <mergeCell ref="C638:D638"/>
    <mergeCell ref="H638:J638"/>
    <mergeCell ref="C637:D637"/>
    <mergeCell ref="O641:P641"/>
    <mergeCell ref="F637:G637"/>
    <mergeCell ref="H637:J637"/>
    <mergeCell ref="L637:M637"/>
    <mergeCell ref="L638:M638"/>
    <mergeCell ref="O638:P638"/>
    <mergeCell ref="H639:J639"/>
    <mergeCell ref="L639:M639"/>
    <mergeCell ref="I607:J607"/>
    <mergeCell ref="B616:D616"/>
    <mergeCell ref="E616:F616"/>
    <mergeCell ref="F630:G630"/>
    <mergeCell ref="I630:L630"/>
    <mergeCell ref="M630:P630"/>
    <mergeCell ref="M624:P624"/>
    <mergeCell ref="I624:L624"/>
    <mergeCell ref="M626:P626"/>
    <mergeCell ref="I623:L623"/>
    <mergeCell ref="M623:P623"/>
    <mergeCell ref="C623:D623"/>
    <mergeCell ref="B613:D613"/>
    <mergeCell ref="K611:O616"/>
    <mergeCell ref="B610:D610"/>
    <mergeCell ref="E610:F610"/>
    <mergeCell ref="B611:D611"/>
    <mergeCell ref="C629:D629"/>
    <mergeCell ref="C628:D628"/>
    <mergeCell ref="F628:G628"/>
    <mergeCell ref="I628:L628"/>
    <mergeCell ref="M629:P629"/>
    <mergeCell ref="F629:G629"/>
    <mergeCell ref="I629:L629"/>
    <mergeCell ref="C626:D626"/>
    <mergeCell ref="F626:G626"/>
    <mergeCell ref="I626:L626"/>
    <mergeCell ref="B614:D614"/>
    <mergeCell ref="B615:D615"/>
    <mergeCell ref="E615:F615"/>
    <mergeCell ref="B609:D609"/>
    <mergeCell ref="E613:F613"/>
    <mergeCell ref="B636:P636"/>
    <mergeCell ref="P602:P617"/>
    <mergeCell ref="G616:H616"/>
    <mergeCell ref="I616:J616"/>
    <mergeCell ref="M628:P628"/>
    <mergeCell ref="I627:L627"/>
    <mergeCell ref="M627:P627"/>
    <mergeCell ref="C627:D627"/>
    <mergeCell ref="F627:G627"/>
    <mergeCell ref="C625:D625"/>
    <mergeCell ref="F625:G625"/>
    <mergeCell ref="I625:L625"/>
    <mergeCell ref="M625:P625"/>
    <mergeCell ref="C624:D624"/>
    <mergeCell ref="F624:G624"/>
    <mergeCell ref="I610:J610"/>
    <mergeCell ref="G611:H611"/>
    <mergeCell ref="B617:O617"/>
    <mergeCell ref="G615:H615"/>
    <mergeCell ref="E614:F614"/>
    <mergeCell ref="F623:G623"/>
    <mergeCell ref="I611:J611"/>
    <mergeCell ref="B601:O601"/>
    <mergeCell ref="E611:F611"/>
    <mergeCell ref="G608:H608"/>
    <mergeCell ref="I608:J608"/>
    <mergeCell ref="E576:F576"/>
    <mergeCell ref="C574:D574"/>
    <mergeCell ref="C575:D575"/>
    <mergeCell ref="E609:F609"/>
    <mergeCell ref="B604:D604"/>
    <mergeCell ref="E574:F574"/>
    <mergeCell ref="I576:J576"/>
    <mergeCell ref="I585:O585"/>
    <mergeCell ref="B586:O586"/>
    <mergeCell ref="B583:J583"/>
    <mergeCell ref="K574:O574"/>
    <mergeCell ref="B598:O598"/>
    <mergeCell ref="B593:O593"/>
    <mergeCell ref="B594:O594"/>
    <mergeCell ref="L596:O596"/>
    <mergeCell ref="B595:O595"/>
    <mergeCell ref="B591:N591"/>
    <mergeCell ref="C587:O587"/>
    <mergeCell ref="G609:H609"/>
    <mergeCell ref="I609:J609"/>
    <mergeCell ref="E608:F608"/>
    <mergeCell ref="E604:F604"/>
    <mergeCell ref="B605:D605"/>
    <mergeCell ref="E605:F605"/>
    <mergeCell ref="B606:D606"/>
    <mergeCell ref="E606:F606"/>
    <mergeCell ref="B608:D608"/>
    <mergeCell ref="I606:J606"/>
    <mergeCell ref="B622:P622"/>
    <mergeCell ref="I603:J603"/>
    <mergeCell ref="G604:H604"/>
    <mergeCell ref="I604:J604"/>
    <mergeCell ref="I615:J615"/>
    <mergeCell ref="B621:P621"/>
    <mergeCell ref="P598:P599"/>
    <mergeCell ref="B620:P620"/>
    <mergeCell ref="B612:D612"/>
    <mergeCell ref="E571:F571"/>
    <mergeCell ref="E573:F573"/>
    <mergeCell ref="G569:J569"/>
    <mergeCell ref="K569:O569"/>
    <mergeCell ref="L578:O578"/>
    <mergeCell ref="F458:K458"/>
    <mergeCell ref="B578:K578"/>
    <mergeCell ref="C577:D577"/>
    <mergeCell ref="G574:H574"/>
    <mergeCell ref="G576:H576"/>
    <mergeCell ref="M499:N499"/>
    <mergeCell ref="B497:O497"/>
    <mergeCell ref="I574:J574"/>
    <mergeCell ref="C576:D576"/>
    <mergeCell ref="E612:F612"/>
    <mergeCell ref="G571:O571"/>
    <mergeCell ref="E535:F535"/>
    <mergeCell ref="B564:O564"/>
    <mergeCell ref="B528:P528"/>
    <mergeCell ref="B529:O529"/>
    <mergeCell ref="C589:O589"/>
    <mergeCell ref="B596:K596"/>
    <mergeCell ref="B481:O481"/>
    <mergeCell ref="F507:K507"/>
    <mergeCell ref="F464:K464"/>
    <mergeCell ref="M451:N451"/>
    <mergeCell ref="E400:F400"/>
    <mergeCell ref="B408:O408"/>
    <mergeCell ref="L448:L449"/>
    <mergeCell ref="B435:F435"/>
    <mergeCell ref="H426:O426"/>
    <mergeCell ref="C404:D404"/>
    <mergeCell ref="C405:D405"/>
    <mergeCell ref="C416:O416"/>
    <mergeCell ref="C406:D406"/>
    <mergeCell ref="C413:O413"/>
    <mergeCell ref="I404:J404"/>
    <mergeCell ref="C415:O415"/>
    <mergeCell ref="E404:F404"/>
    <mergeCell ref="B421:O421"/>
    <mergeCell ref="B422:F422"/>
    <mergeCell ref="E407:F407"/>
    <mergeCell ref="F454:K454"/>
    <mergeCell ref="F502:K502"/>
    <mergeCell ref="G405:O405"/>
    <mergeCell ref="B373:D373"/>
    <mergeCell ref="G375:H375"/>
    <mergeCell ref="I370:J370"/>
    <mergeCell ref="I373:J373"/>
    <mergeCell ref="G373:H373"/>
    <mergeCell ref="I366:J366"/>
    <mergeCell ref="E367:F367"/>
    <mergeCell ref="I372:J372"/>
    <mergeCell ref="G368:H368"/>
    <mergeCell ref="E372:F372"/>
    <mergeCell ref="B369:D369"/>
    <mergeCell ref="B370:D370"/>
    <mergeCell ref="C395:D395"/>
    <mergeCell ref="M503:N503"/>
    <mergeCell ref="M504:N504"/>
    <mergeCell ref="E403:F403"/>
    <mergeCell ref="C434:F434"/>
    <mergeCell ref="M449:N449"/>
    <mergeCell ref="F460:K460"/>
    <mergeCell ref="M454:N454"/>
    <mergeCell ref="F493:K493"/>
    <mergeCell ref="M450:N450"/>
    <mergeCell ref="F500:K500"/>
    <mergeCell ref="M490:N490"/>
    <mergeCell ref="G442:K442"/>
    <mergeCell ref="B398:O398"/>
    <mergeCell ref="M474:N474"/>
    <mergeCell ref="M478:N478"/>
    <mergeCell ref="F479:K479"/>
    <mergeCell ref="M500:N500"/>
    <mergeCell ref="M469:O469"/>
    <mergeCell ref="B450:D454"/>
    <mergeCell ref="K393:O393"/>
    <mergeCell ref="C394:D394"/>
    <mergeCell ref="I394:J394"/>
    <mergeCell ref="E401:F401"/>
    <mergeCell ref="G402:H402"/>
    <mergeCell ref="C418:G418"/>
    <mergeCell ref="C402:D402"/>
    <mergeCell ref="P364:P380"/>
    <mergeCell ref="B391:O391"/>
    <mergeCell ref="F389:G389"/>
    <mergeCell ref="E394:F394"/>
    <mergeCell ref="I374:J374"/>
    <mergeCell ref="B366:D366"/>
    <mergeCell ref="G377:H377"/>
    <mergeCell ref="I377:J377"/>
    <mergeCell ref="G378:H378"/>
    <mergeCell ref="B410:O410"/>
    <mergeCell ref="B377:D377"/>
    <mergeCell ref="H389:O389"/>
    <mergeCell ref="F390:G390"/>
    <mergeCell ref="H390:O390"/>
    <mergeCell ref="F386:G386"/>
    <mergeCell ref="B384:O384"/>
    <mergeCell ref="G394:H394"/>
    <mergeCell ref="F388:G388"/>
    <mergeCell ref="E375:F375"/>
    <mergeCell ref="B371:D371"/>
    <mergeCell ref="E371:F371"/>
    <mergeCell ref="B374:D374"/>
    <mergeCell ref="G367:H367"/>
    <mergeCell ref="I367:J367"/>
    <mergeCell ref="E370:F370"/>
    <mergeCell ref="I368:J368"/>
    <mergeCell ref="E373:F373"/>
    <mergeCell ref="G366:H366"/>
    <mergeCell ref="E374:F374"/>
    <mergeCell ref="G365:H365"/>
    <mergeCell ref="B378:D378"/>
    <mergeCell ref="I378:J378"/>
    <mergeCell ref="G397:O397"/>
    <mergeCell ref="P411:P412"/>
    <mergeCell ref="E405:F405"/>
    <mergeCell ref="L518:O518"/>
    <mergeCell ref="M461:N461"/>
    <mergeCell ref="B457:P457"/>
    <mergeCell ref="I423:O423"/>
    <mergeCell ref="E395:F395"/>
    <mergeCell ref="E397:F397"/>
    <mergeCell ref="I400:J400"/>
    <mergeCell ref="L420:N420"/>
    <mergeCell ref="B409:O409"/>
    <mergeCell ref="B383:P383"/>
    <mergeCell ref="B385:O385"/>
    <mergeCell ref="H388:O388"/>
    <mergeCell ref="B387:E390"/>
    <mergeCell ref="F387:G387"/>
    <mergeCell ref="H418:J418"/>
    <mergeCell ref="I422:O422"/>
    <mergeCell ref="C323:D323"/>
    <mergeCell ref="E323:F323"/>
    <mergeCell ref="K324:O324"/>
    <mergeCell ref="K323:O323"/>
    <mergeCell ref="M342:N342"/>
    <mergeCell ref="C342:D342"/>
    <mergeCell ref="E342:F342"/>
    <mergeCell ref="H352:J352"/>
    <mergeCell ref="L352:O352"/>
    <mergeCell ref="I348:J348"/>
    <mergeCell ref="I349:J349"/>
    <mergeCell ref="K349:L349"/>
    <mergeCell ref="B350:O350"/>
    <mergeCell ref="C352:G352"/>
    <mergeCell ref="I344:J344"/>
    <mergeCell ref="I347:J347"/>
    <mergeCell ref="G348:H348"/>
    <mergeCell ref="M339:N339"/>
    <mergeCell ref="K327:O327"/>
    <mergeCell ref="E339:F339"/>
    <mergeCell ref="D333:E333"/>
    <mergeCell ref="K364:O367"/>
    <mergeCell ref="E376:F376"/>
    <mergeCell ref="E378:F378"/>
    <mergeCell ref="I369:J369"/>
    <mergeCell ref="P160:P162"/>
    <mergeCell ref="B139:D139"/>
    <mergeCell ref="C319:D319"/>
    <mergeCell ref="B312:O312"/>
    <mergeCell ref="P289:P305"/>
    <mergeCell ref="C283:D283"/>
    <mergeCell ref="E283:O283"/>
    <mergeCell ref="C284:D284"/>
    <mergeCell ref="C266:D266"/>
    <mergeCell ref="E266:F266"/>
    <mergeCell ref="G266:H266"/>
    <mergeCell ref="L278:N278"/>
    <mergeCell ref="M267:N267"/>
    <mergeCell ref="G302:H302"/>
    <mergeCell ref="I294:J294"/>
    <mergeCell ref="B289:F289"/>
    <mergeCell ref="I297:J297"/>
    <mergeCell ref="I196:J196"/>
    <mergeCell ref="P316:P331"/>
    <mergeCell ref="C321:D321"/>
    <mergeCell ref="C325:D325"/>
    <mergeCell ref="E325:F325"/>
    <mergeCell ref="G325:O325"/>
    <mergeCell ref="E324:F324"/>
    <mergeCell ref="I301:J301"/>
    <mergeCell ref="B357:B359"/>
    <mergeCell ref="B290:D290"/>
    <mergeCell ref="B303:D303"/>
    <mergeCell ref="M34:N34"/>
    <mergeCell ref="C33:D33"/>
    <mergeCell ref="E33:F33"/>
    <mergeCell ref="G33:H33"/>
    <mergeCell ref="I33:J33"/>
    <mergeCell ref="C34:D34"/>
    <mergeCell ref="E34:F34"/>
    <mergeCell ref="B36:O36"/>
    <mergeCell ref="C38:D38"/>
    <mergeCell ref="E38:F38"/>
    <mergeCell ref="I40:J40"/>
    <mergeCell ref="I39:J39"/>
    <mergeCell ref="K39:L39"/>
    <mergeCell ref="M39:N39"/>
    <mergeCell ref="N12:O12"/>
    <mergeCell ref="E18:F18"/>
    <mergeCell ref="G19:H19"/>
    <mergeCell ref="G20:H20"/>
    <mergeCell ref="I23:J23"/>
    <mergeCell ref="G38:H38"/>
    <mergeCell ref="I38:J38"/>
    <mergeCell ref="K38:L38"/>
    <mergeCell ref="M40:N40"/>
    <mergeCell ref="M38:N38"/>
    <mergeCell ref="I29:J29"/>
    <mergeCell ref="C31:D31"/>
    <mergeCell ref="E31:F31"/>
    <mergeCell ref="B28:O28"/>
    <mergeCell ref="G31:H31"/>
    <mergeCell ref="I31:J31"/>
    <mergeCell ref="K33:L33"/>
    <mergeCell ref="E30:F30"/>
    <mergeCell ref="G30:H30"/>
    <mergeCell ref="C32:D32"/>
    <mergeCell ref="E32:F32"/>
    <mergeCell ref="K32:L32"/>
    <mergeCell ref="I30:J30"/>
    <mergeCell ref="E19:F19"/>
    <mergeCell ref="E20:F20"/>
    <mergeCell ref="K26:N26"/>
    <mergeCell ref="K27:O27"/>
    <mergeCell ref="I24:J24"/>
    <mergeCell ref="K24:O24"/>
    <mergeCell ref="C25:D25"/>
    <mergeCell ref="M33:N33"/>
    <mergeCell ref="M31:N31"/>
    <mergeCell ref="M32:N32"/>
    <mergeCell ref="E29:F29"/>
    <mergeCell ref="G32:H32"/>
    <mergeCell ref="I32:J32"/>
    <mergeCell ref="G24:H24"/>
    <mergeCell ref="E24:F24"/>
    <mergeCell ref="B26:J27"/>
    <mergeCell ref="N13:O13"/>
    <mergeCell ref="N14:O14"/>
    <mergeCell ref="B11:M14"/>
    <mergeCell ref="N11:O11"/>
    <mergeCell ref="C19:D19"/>
    <mergeCell ref="K17:O17"/>
    <mergeCell ref="K4:L4"/>
    <mergeCell ref="M4:N4"/>
    <mergeCell ref="P16:P27"/>
    <mergeCell ref="C24:D24"/>
    <mergeCell ref="I19:J19"/>
    <mergeCell ref="I20:J20"/>
    <mergeCell ref="K22:N22"/>
    <mergeCell ref="B22:J22"/>
    <mergeCell ref="T6:T7"/>
    <mergeCell ref="B8:P8"/>
    <mergeCell ref="C18:D18"/>
    <mergeCell ref="C23:D23"/>
    <mergeCell ref="C20:D20"/>
    <mergeCell ref="C21:D21"/>
    <mergeCell ref="B15:P15"/>
    <mergeCell ref="G25:O25"/>
    <mergeCell ref="E25:F25"/>
    <mergeCell ref="E21:F21"/>
    <mergeCell ref="T10:Y10"/>
    <mergeCell ref="T16:U16"/>
    <mergeCell ref="W23:X23"/>
    <mergeCell ref="G23:H23"/>
    <mergeCell ref="W18:X18"/>
    <mergeCell ref="E23:F23"/>
    <mergeCell ref="V17:Y17"/>
    <mergeCell ref="K23:O23"/>
    <mergeCell ref="B41:O41"/>
    <mergeCell ref="B44:C47"/>
    <mergeCell ref="D44:E44"/>
    <mergeCell ref="F44:O44"/>
    <mergeCell ref="D46:E46"/>
    <mergeCell ref="B48:O48"/>
    <mergeCell ref="L52:N52"/>
    <mergeCell ref="G35:H35"/>
    <mergeCell ref="F47:O47"/>
    <mergeCell ref="D47:E47"/>
    <mergeCell ref="G39:H39"/>
    <mergeCell ref="I62:J62"/>
    <mergeCell ref="G63:H63"/>
    <mergeCell ref="I63:J63"/>
    <mergeCell ref="B2:P2"/>
    <mergeCell ref="B3:P3"/>
    <mergeCell ref="B6:O6"/>
    <mergeCell ref="B7:O7"/>
    <mergeCell ref="C4:D4"/>
    <mergeCell ref="E4:F4"/>
    <mergeCell ref="G4:H4"/>
    <mergeCell ref="I4:J4"/>
    <mergeCell ref="I18:J18"/>
    <mergeCell ref="C17:F17"/>
    <mergeCell ref="G17:J17"/>
    <mergeCell ref="K20:O20"/>
    <mergeCell ref="K18:O18"/>
    <mergeCell ref="G18:H18"/>
    <mergeCell ref="K19:O19"/>
    <mergeCell ref="B9:O9"/>
    <mergeCell ref="B10:O10"/>
    <mergeCell ref="B16:O16"/>
    <mergeCell ref="G96:H96"/>
    <mergeCell ref="K95:O95"/>
    <mergeCell ref="K96:O96"/>
    <mergeCell ref="K94:N94"/>
    <mergeCell ref="W91:X91"/>
    <mergeCell ref="C92:D92"/>
    <mergeCell ref="C91:D91"/>
    <mergeCell ref="G91:H91"/>
    <mergeCell ref="E91:F91"/>
    <mergeCell ref="E92:F92"/>
    <mergeCell ref="B82:O82"/>
    <mergeCell ref="P81:P82"/>
    <mergeCell ref="K92:O92"/>
    <mergeCell ref="G92:H92"/>
    <mergeCell ref="C90:D90"/>
    <mergeCell ref="G93:O93"/>
    <mergeCell ref="T88:T89"/>
    <mergeCell ref="E90:F90"/>
    <mergeCell ref="G90:H90"/>
    <mergeCell ref="C93:D93"/>
    <mergeCell ref="P50:P52"/>
    <mergeCell ref="F54:O54"/>
    <mergeCell ref="F55:O55"/>
    <mergeCell ref="B53:O53"/>
    <mergeCell ref="D54:E54"/>
    <mergeCell ref="B42:O42"/>
    <mergeCell ref="K40:L40"/>
    <mergeCell ref="E64:F64"/>
    <mergeCell ref="I35:J35"/>
    <mergeCell ref="G34:H34"/>
    <mergeCell ref="G21:O21"/>
    <mergeCell ref="P201:P204"/>
    <mergeCell ref="C207:D207"/>
    <mergeCell ref="B206:B208"/>
    <mergeCell ref="M193:N193"/>
    <mergeCell ref="C173:D173"/>
    <mergeCell ref="K188:L188"/>
    <mergeCell ref="G193:H193"/>
    <mergeCell ref="I193:J193"/>
    <mergeCell ref="E190:F190"/>
    <mergeCell ref="G190:H190"/>
    <mergeCell ref="K196:L196"/>
    <mergeCell ref="M196:N196"/>
    <mergeCell ref="E178:F178"/>
    <mergeCell ref="F183:O183"/>
    <mergeCell ref="F185:O185"/>
    <mergeCell ref="D183:E183"/>
    <mergeCell ref="F182:O182"/>
    <mergeCell ref="C188:D188"/>
    <mergeCell ref="C177:D177"/>
    <mergeCell ref="E177:F177"/>
    <mergeCell ref="G177:H177"/>
    <mergeCell ref="I177:J177"/>
    <mergeCell ref="K177:O177"/>
    <mergeCell ref="K190:L190"/>
    <mergeCell ref="C190:D190"/>
    <mergeCell ref="I191:J191"/>
    <mergeCell ref="K191:L191"/>
    <mergeCell ref="I192:J192"/>
    <mergeCell ref="I188:J188"/>
    <mergeCell ref="B179:I180"/>
    <mergeCell ref="C30:D30"/>
    <mergeCell ref="E198:F198"/>
    <mergeCell ref="G198:H198"/>
    <mergeCell ref="E206:O206"/>
    <mergeCell ref="B209:O209"/>
    <mergeCell ref="B212:O212"/>
    <mergeCell ref="C208:D208"/>
    <mergeCell ref="E208:O208"/>
    <mergeCell ref="E169:F169"/>
    <mergeCell ref="G168:H168"/>
    <mergeCell ref="I168:J168"/>
    <mergeCell ref="C176:D176"/>
    <mergeCell ref="C197:D197"/>
    <mergeCell ref="E173:F173"/>
    <mergeCell ref="M198:N198"/>
    <mergeCell ref="C204:G204"/>
    <mergeCell ref="B181:O181"/>
    <mergeCell ref="K31:L31"/>
    <mergeCell ref="I34:J34"/>
    <mergeCell ref="K34:L34"/>
    <mergeCell ref="K35:L35"/>
    <mergeCell ref="M35:N35"/>
    <mergeCell ref="C35:D35"/>
    <mergeCell ref="E35:F35"/>
    <mergeCell ref="C39:D39"/>
    <mergeCell ref="E39:F39"/>
    <mergeCell ref="C40:D40"/>
    <mergeCell ref="E40:F40"/>
    <mergeCell ref="G40:H40"/>
    <mergeCell ref="B220:D220"/>
    <mergeCell ref="K168:O168"/>
    <mergeCell ref="C167:D167"/>
    <mergeCell ref="E167:F167"/>
    <mergeCell ref="C168:D168"/>
    <mergeCell ref="E139:F139"/>
    <mergeCell ref="E168:F168"/>
    <mergeCell ref="B160:O160"/>
    <mergeCell ref="B146:D146"/>
    <mergeCell ref="G167:H167"/>
    <mergeCell ref="E140:F140"/>
    <mergeCell ref="E150:F150"/>
    <mergeCell ref="B161:O161"/>
    <mergeCell ref="B162:O162"/>
    <mergeCell ref="B148:D148"/>
    <mergeCell ref="K137:O140"/>
    <mergeCell ref="B158:O158"/>
    <mergeCell ref="B159:P159"/>
    <mergeCell ref="P157:P158"/>
    <mergeCell ref="B145:D145"/>
    <mergeCell ref="E145:F145"/>
    <mergeCell ref="G144:H144"/>
    <mergeCell ref="I144:J144"/>
    <mergeCell ref="P214:P230"/>
    <mergeCell ref="I224:J224"/>
    <mergeCell ref="I215:J215"/>
    <mergeCell ref="G142:H142"/>
    <mergeCell ref="P165:P180"/>
    <mergeCell ref="C174:D174"/>
    <mergeCell ref="E144:F144"/>
    <mergeCell ref="G170:O170"/>
    <mergeCell ref="C169:D169"/>
    <mergeCell ref="B135:N135"/>
    <mergeCell ref="C206:D206"/>
    <mergeCell ref="B216:D216"/>
    <mergeCell ref="E207:O207"/>
    <mergeCell ref="E216:F216"/>
    <mergeCell ref="G229:H229"/>
    <mergeCell ref="G221:H221"/>
    <mergeCell ref="B137:F137"/>
    <mergeCell ref="M191:N191"/>
    <mergeCell ref="C191:D191"/>
    <mergeCell ref="M197:N197"/>
    <mergeCell ref="C189:D189"/>
    <mergeCell ref="E189:F189"/>
    <mergeCell ref="G189:H189"/>
    <mergeCell ref="K197:L197"/>
    <mergeCell ref="I197:J197"/>
    <mergeCell ref="I141:J141"/>
    <mergeCell ref="I143:J143"/>
    <mergeCell ref="E146:F146"/>
    <mergeCell ref="G150:H150"/>
    <mergeCell ref="B214:F214"/>
    <mergeCell ref="G214:J214"/>
    <mergeCell ref="E143:F143"/>
    <mergeCell ref="B210:N210"/>
    <mergeCell ref="H203:J203"/>
    <mergeCell ref="G217:H217"/>
    <mergeCell ref="I217:J217"/>
    <mergeCell ref="B138:D138"/>
    <mergeCell ref="E138:F138"/>
    <mergeCell ref="I142:J142"/>
    <mergeCell ref="E218:F218"/>
    <mergeCell ref="B218:D218"/>
    <mergeCell ref="G224:H224"/>
    <mergeCell ref="B144:D144"/>
    <mergeCell ref="G169:H169"/>
    <mergeCell ref="I169:J169"/>
    <mergeCell ref="K245:O245"/>
    <mergeCell ref="I228:J228"/>
    <mergeCell ref="B221:D221"/>
    <mergeCell ref="B237:O237"/>
    <mergeCell ref="B238:O238"/>
    <mergeCell ref="E228:F228"/>
    <mergeCell ref="B225:D225"/>
    <mergeCell ref="E225:F225"/>
    <mergeCell ref="B226:D226"/>
    <mergeCell ref="B240:O240"/>
    <mergeCell ref="B211:N211"/>
    <mergeCell ref="K214:O217"/>
    <mergeCell ref="K218:O222"/>
    <mergeCell ref="G219:H219"/>
    <mergeCell ref="E245:F245"/>
    <mergeCell ref="I147:J147"/>
    <mergeCell ref="I167:J167"/>
    <mergeCell ref="B163:O163"/>
    <mergeCell ref="B165:O165"/>
    <mergeCell ref="K172:O172"/>
    <mergeCell ref="K169:O169"/>
    <mergeCell ref="C170:D170"/>
    <mergeCell ref="I198:J198"/>
    <mergeCell ref="B175:J175"/>
    <mergeCell ref="B171:J171"/>
    <mergeCell ref="J179:N179"/>
    <mergeCell ref="E217:F217"/>
    <mergeCell ref="E226:F226"/>
    <mergeCell ref="F258:O258"/>
    <mergeCell ref="P125:P128"/>
    <mergeCell ref="B156:P156"/>
    <mergeCell ref="L125:O125"/>
    <mergeCell ref="G152:H152"/>
    <mergeCell ref="B199:O199"/>
    <mergeCell ref="K166:O166"/>
    <mergeCell ref="B142:D142"/>
    <mergeCell ref="B143:D143"/>
    <mergeCell ref="E147:F147"/>
    <mergeCell ref="E142:F142"/>
    <mergeCell ref="E148:F148"/>
    <mergeCell ref="I138:J138"/>
    <mergeCell ref="G139:H139"/>
    <mergeCell ref="I139:J139"/>
    <mergeCell ref="G140:H140"/>
    <mergeCell ref="I140:J140"/>
    <mergeCell ref="G151:H151"/>
    <mergeCell ref="P137:P153"/>
    <mergeCell ref="E152:F152"/>
    <mergeCell ref="E149:F149"/>
    <mergeCell ref="I150:J150"/>
    <mergeCell ref="G141:H141"/>
    <mergeCell ref="L128:N128"/>
    <mergeCell ref="E130:O130"/>
    <mergeCell ref="E131:O131"/>
    <mergeCell ref="K141:O145"/>
    <mergeCell ref="C131:D131"/>
    <mergeCell ref="C125:G125"/>
    <mergeCell ref="H126:J126"/>
    <mergeCell ref="H127:J127"/>
    <mergeCell ref="H128:J128"/>
    <mergeCell ref="G223:H223"/>
    <mergeCell ref="I223:J223"/>
    <mergeCell ref="G248:H248"/>
    <mergeCell ref="M266:N266"/>
    <mergeCell ref="C252:D252"/>
    <mergeCell ref="E252:F252"/>
    <mergeCell ref="G252:H252"/>
    <mergeCell ref="I252:J252"/>
    <mergeCell ref="K252:O252"/>
    <mergeCell ref="C248:D248"/>
    <mergeCell ref="G289:J289"/>
    <mergeCell ref="I249:J249"/>
    <mergeCell ref="C282:D282"/>
    <mergeCell ref="E282:O282"/>
    <mergeCell ref="G249:H249"/>
    <mergeCell ref="J256:O256"/>
    <mergeCell ref="D258:E258"/>
    <mergeCell ref="C278:G278"/>
    <mergeCell ref="H278:J278"/>
    <mergeCell ref="B275:O275"/>
    <mergeCell ref="C277:G277"/>
    <mergeCell ref="H277:J277"/>
    <mergeCell ref="L279:N279"/>
    <mergeCell ref="E263:F263"/>
    <mergeCell ref="C272:D272"/>
    <mergeCell ref="M274:N274"/>
    <mergeCell ref="J255:N255"/>
    <mergeCell ref="C249:D249"/>
    <mergeCell ref="I274:J274"/>
    <mergeCell ref="F260:O260"/>
    <mergeCell ref="G272:H272"/>
    <mergeCell ref="G273:H273"/>
    <mergeCell ref="E268:F268"/>
    <mergeCell ref="E265:F265"/>
    <mergeCell ref="I293:J293"/>
    <mergeCell ref="I267:J267"/>
    <mergeCell ref="C267:D267"/>
    <mergeCell ref="E272:F272"/>
    <mergeCell ref="K269:L269"/>
    <mergeCell ref="M269:N269"/>
    <mergeCell ref="C263:D263"/>
    <mergeCell ref="P241:P256"/>
    <mergeCell ref="I248:J248"/>
    <mergeCell ref="C242:F242"/>
    <mergeCell ref="C253:D253"/>
    <mergeCell ref="E248:F248"/>
    <mergeCell ref="B247:J247"/>
    <mergeCell ref="K243:O243"/>
    <mergeCell ref="I245:J245"/>
    <mergeCell ref="E243:F243"/>
    <mergeCell ref="G243:H243"/>
    <mergeCell ref="E244:F244"/>
    <mergeCell ref="G245:H245"/>
    <mergeCell ref="C246:D246"/>
    <mergeCell ref="E246:F246"/>
    <mergeCell ref="C244:D244"/>
    <mergeCell ref="I244:J244"/>
    <mergeCell ref="K244:O244"/>
    <mergeCell ref="G244:H244"/>
    <mergeCell ref="I243:J243"/>
    <mergeCell ref="G246:O246"/>
    <mergeCell ref="C245:D245"/>
    <mergeCell ref="G274:H274"/>
    <mergeCell ref="E249:F249"/>
    <mergeCell ref="AD403:AG403"/>
    <mergeCell ref="G400:H400"/>
    <mergeCell ref="E402:F402"/>
    <mergeCell ref="C400:D400"/>
    <mergeCell ref="C407:D407"/>
    <mergeCell ref="G406:H406"/>
    <mergeCell ref="C401:D401"/>
    <mergeCell ref="C397:D397"/>
    <mergeCell ref="G395:H395"/>
    <mergeCell ref="B392:O392"/>
    <mergeCell ref="P277:P280"/>
    <mergeCell ref="P352:P355"/>
    <mergeCell ref="G304:H304"/>
    <mergeCell ref="I304:J304"/>
    <mergeCell ref="G320:H320"/>
    <mergeCell ref="I320:J320"/>
    <mergeCell ref="C318:D318"/>
    <mergeCell ref="G329:O329"/>
    <mergeCell ref="B326:J326"/>
    <mergeCell ref="E293:F293"/>
    <mergeCell ref="B285:O285"/>
    <mergeCell ref="B288:O288"/>
    <mergeCell ref="B286:N286"/>
    <mergeCell ref="E284:O284"/>
    <mergeCell ref="B309:O309"/>
    <mergeCell ref="G295:H295"/>
    <mergeCell ref="K343:L343"/>
    <mergeCell ref="E539:F539"/>
    <mergeCell ref="M506:N506"/>
    <mergeCell ref="N526:O526"/>
    <mergeCell ref="C525:E525"/>
    <mergeCell ref="N524:O524"/>
    <mergeCell ref="N525:O525"/>
    <mergeCell ref="B516:O516"/>
    <mergeCell ref="B536:D536"/>
    <mergeCell ref="B518:K518"/>
    <mergeCell ref="B437:O437"/>
    <mergeCell ref="G532:H532"/>
    <mergeCell ref="B442:F443"/>
    <mergeCell ref="L442:N442"/>
    <mergeCell ref="L443:N443"/>
    <mergeCell ref="G443:K443"/>
    <mergeCell ref="G435:N435"/>
    <mergeCell ref="F468:K468"/>
    <mergeCell ref="F473:K473"/>
    <mergeCell ref="F483:K483"/>
    <mergeCell ref="M484:N484"/>
    <mergeCell ref="M448:P448"/>
    <mergeCell ref="P438:P439"/>
    <mergeCell ref="M452:N452"/>
    <mergeCell ref="P531:P562"/>
    <mergeCell ref="M468:N468"/>
    <mergeCell ref="B534:D534"/>
    <mergeCell ref="B365:D365"/>
    <mergeCell ref="B379:D379"/>
    <mergeCell ref="G371:H371"/>
    <mergeCell ref="I371:J371"/>
    <mergeCell ref="G379:H379"/>
    <mergeCell ref="P522:P527"/>
    <mergeCell ref="P520:P521"/>
    <mergeCell ref="AL573:AL576"/>
    <mergeCell ref="AM573:AM576"/>
    <mergeCell ref="AJ573:AJ576"/>
    <mergeCell ref="AK573:AK576"/>
    <mergeCell ref="E558:F558"/>
    <mergeCell ref="B555:D555"/>
    <mergeCell ref="B558:D558"/>
    <mergeCell ref="E555:F555"/>
    <mergeCell ref="E556:F556"/>
    <mergeCell ref="B556:D556"/>
    <mergeCell ref="B561:D561"/>
    <mergeCell ref="E561:F561"/>
    <mergeCell ref="B559:D559"/>
    <mergeCell ref="B560:D560"/>
    <mergeCell ref="E559:F559"/>
    <mergeCell ref="E560:F560"/>
    <mergeCell ref="V569:Y569"/>
    <mergeCell ref="T568:U568"/>
    <mergeCell ref="B566:O566"/>
    <mergeCell ref="AI573:AI576"/>
    <mergeCell ref="C571:D571"/>
    <mergeCell ref="C572:D572"/>
    <mergeCell ref="C573:D573"/>
    <mergeCell ref="AD573:AG573"/>
    <mergeCell ref="AD574:AG574"/>
    <mergeCell ref="B568:O568"/>
    <mergeCell ref="C570:D570"/>
    <mergeCell ref="L524:M524"/>
    <mergeCell ref="F524:K524"/>
    <mergeCell ref="B521:O521"/>
    <mergeCell ref="W570:X570"/>
    <mergeCell ref="I537:J537"/>
    <mergeCell ref="G572:H572"/>
    <mergeCell ref="B540:D540"/>
    <mergeCell ref="B541:D541"/>
    <mergeCell ref="E541:F541"/>
    <mergeCell ref="B537:D537"/>
    <mergeCell ref="B539:D539"/>
    <mergeCell ref="G539:H539"/>
    <mergeCell ref="B538:D538"/>
    <mergeCell ref="E553:F553"/>
    <mergeCell ref="E554:F554"/>
    <mergeCell ref="B553:D553"/>
    <mergeCell ref="B554:D554"/>
    <mergeCell ref="G553:H553"/>
    <mergeCell ref="I553:J553"/>
    <mergeCell ref="G554:H554"/>
    <mergeCell ref="I554:J554"/>
    <mergeCell ref="E550:F550"/>
    <mergeCell ref="G544:H544"/>
    <mergeCell ref="I558:J558"/>
    <mergeCell ref="G560:H560"/>
    <mergeCell ref="I560:J560"/>
    <mergeCell ref="G545:H545"/>
    <mergeCell ref="I545:J545"/>
    <mergeCell ref="G546:H546"/>
    <mergeCell ref="B544:D544"/>
    <mergeCell ref="I555:J555"/>
    <mergeCell ref="G538:H538"/>
    <mergeCell ref="G585:H585"/>
    <mergeCell ref="G556:H556"/>
    <mergeCell ref="G542:H542"/>
    <mergeCell ref="I542:J542"/>
    <mergeCell ref="B542:D542"/>
    <mergeCell ref="B600:O600"/>
    <mergeCell ref="B580:O580"/>
    <mergeCell ref="B579:O579"/>
    <mergeCell ref="E570:F570"/>
    <mergeCell ref="K570:O570"/>
    <mergeCell ref="B545:D545"/>
    <mergeCell ref="E545:F545"/>
    <mergeCell ref="B543:D543"/>
    <mergeCell ref="E543:F543"/>
    <mergeCell ref="E542:F542"/>
    <mergeCell ref="B546:D546"/>
    <mergeCell ref="G561:H561"/>
    <mergeCell ref="I561:J561"/>
    <mergeCell ref="E546:F546"/>
    <mergeCell ref="G548:H548"/>
    <mergeCell ref="K572:O572"/>
    <mergeCell ref="B565:O565"/>
    <mergeCell ref="I556:J556"/>
    <mergeCell ref="B567:O567"/>
    <mergeCell ref="I572:J572"/>
    <mergeCell ref="B581:D581"/>
    <mergeCell ref="E572:F572"/>
    <mergeCell ref="C569:F569"/>
    <mergeCell ref="E557:F557"/>
    <mergeCell ref="G555:H555"/>
    <mergeCell ref="E575:F575"/>
    <mergeCell ref="B562:O562"/>
    <mergeCell ref="E551:F551"/>
    <mergeCell ref="B515:O515"/>
    <mergeCell ref="B557:D557"/>
    <mergeCell ref="I540:J540"/>
    <mergeCell ref="E552:F552"/>
    <mergeCell ref="B551:D551"/>
    <mergeCell ref="B552:D552"/>
    <mergeCell ref="B547:D547"/>
    <mergeCell ref="B548:D548"/>
    <mergeCell ref="B549:D549"/>
    <mergeCell ref="B550:D550"/>
    <mergeCell ref="G551:H551"/>
    <mergeCell ref="I551:J551"/>
    <mergeCell ref="G552:H552"/>
    <mergeCell ref="I552:J552"/>
    <mergeCell ref="I547:J547"/>
    <mergeCell ref="I539:J539"/>
    <mergeCell ref="I557:J557"/>
    <mergeCell ref="E547:F547"/>
    <mergeCell ref="E548:F548"/>
    <mergeCell ref="G603:H603"/>
    <mergeCell ref="B597:O597"/>
    <mergeCell ref="B603:D603"/>
    <mergeCell ref="K583:O583"/>
    <mergeCell ref="E581:O581"/>
    <mergeCell ref="G573:O573"/>
    <mergeCell ref="G570:H570"/>
    <mergeCell ref="G559:H559"/>
    <mergeCell ref="I559:J559"/>
    <mergeCell ref="G557:H557"/>
    <mergeCell ref="I535:J535"/>
    <mergeCell ref="B519:O519"/>
    <mergeCell ref="B527:O527"/>
    <mergeCell ref="L523:M523"/>
    <mergeCell ref="F523:K523"/>
    <mergeCell ref="M509:N509"/>
    <mergeCell ref="M491:N491"/>
    <mergeCell ref="M502:N502"/>
    <mergeCell ref="I570:J570"/>
    <mergeCell ref="K542:O547"/>
    <mergeCell ref="I550:J550"/>
    <mergeCell ref="F495:K495"/>
    <mergeCell ref="B496:O496"/>
    <mergeCell ref="I534:J534"/>
    <mergeCell ref="B514:O514"/>
    <mergeCell ref="G558:H558"/>
    <mergeCell ref="G536:H536"/>
    <mergeCell ref="F505:K505"/>
    <mergeCell ref="F499:K499"/>
    <mergeCell ref="E549:F549"/>
    <mergeCell ref="B535:D535"/>
    <mergeCell ref="E532:F532"/>
    <mergeCell ref="C120:D120"/>
    <mergeCell ref="K121:L121"/>
    <mergeCell ref="G178:O178"/>
    <mergeCell ref="K176:O176"/>
    <mergeCell ref="K171:N171"/>
    <mergeCell ref="C172:D172"/>
    <mergeCell ref="M492:N492"/>
    <mergeCell ref="B462:O462"/>
    <mergeCell ref="F476:K476"/>
    <mergeCell ref="M486:N486"/>
    <mergeCell ref="K556:O561"/>
    <mergeCell ref="G543:H543"/>
    <mergeCell ref="I543:J543"/>
    <mergeCell ref="I541:J541"/>
    <mergeCell ref="E540:F540"/>
    <mergeCell ref="G549:H549"/>
    <mergeCell ref="I533:J533"/>
    <mergeCell ref="I536:J536"/>
    <mergeCell ref="G531:J531"/>
    <mergeCell ref="F506:K506"/>
    <mergeCell ref="E544:F544"/>
    <mergeCell ref="K404:O404"/>
    <mergeCell ref="K406:O406"/>
    <mergeCell ref="G438:K438"/>
    <mergeCell ref="L438:N438"/>
    <mergeCell ref="M460:N460"/>
    <mergeCell ref="F484:K484"/>
    <mergeCell ref="L526:M526"/>
    <mergeCell ref="B456:O456"/>
    <mergeCell ref="G423:H423"/>
    <mergeCell ref="B424:O424"/>
    <mergeCell ref="G404:H404"/>
    <mergeCell ref="B151:D151"/>
    <mergeCell ref="E176:F176"/>
    <mergeCell ref="I176:J176"/>
    <mergeCell ref="G148:H148"/>
    <mergeCell ref="I148:J148"/>
    <mergeCell ref="G149:H149"/>
    <mergeCell ref="G541:H541"/>
    <mergeCell ref="I546:J546"/>
    <mergeCell ref="G550:H550"/>
    <mergeCell ref="G547:H547"/>
    <mergeCell ref="E132:O132"/>
    <mergeCell ref="C132:D132"/>
    <mergeCell ref="E151:F151"/>
    <mergeCell ref="L201:O201"/>
    <mergeCell ref="C202:G202"/>
    <mergeCell ref="H202:J202"/>
    <mergeCell ref="L202:N202"/>
    <mergeCell ref="I225:J225"/>
    <mergeCell ref="E222:F222"/>
    <mergeCell ref="E224:F224"/>
    <mergeCell ref="I173:J173"/>
    <mergeCell ref="K173:O173"/>
    <mergeCell ref="G143:H143"/>
    <mergeCell ref="I189:J189"/>
    <mergeCell ref="G145:H145"/>
    <mergeCell ref="I145:J145"/>
    <mergeCell ref="G146:H146"/>
    <mergeCell ref="I146:J146"/>
    <mergeCell ref="M501:N501"/>
    <mergeCell ref="E534:F534"/>
    <mergeCell ref="L522:M522"/>
    <mergeCell ref="L525:M525"/>
    <mergeCell ref="K122:L122"/>
    <mergeCell ref="M122:N122"/>
    <mergeCell ref="I122:J122"/>
    <mergeCell ref="B123:O123"/>
    <mergeCell ref="B130:B132"/>
    <mergeCell ref="B157:O157"/>
    <mergeCell ref="C192:D192"/>
    <mergeCell ref="C128:G128"/>
    <mergeCell ref="F106:O106"/>
    <mergeCell ref="K113:L113"/>
    <mergeCell ref="M113:N113"/>
    <mergeCell ref="E120:F120"/>
    <mergeCell ref="C116:D116"/>
    <mergeCell ref="C130:D130"/>
    <mergeCell ref="G220:H220"/>
    <mergeCell ref="I220:J220"/>
    <mergeCell ref="B182:C185"/>
    <mergeCell ref="M190:N190"/>
    <mergeCell ref="I149:J149"/>
    <mergeCell ref="D184:E184"/>
    <mergeCell ref="I152:J152"/>
    <mergeCell ref="B133:O133"/>
    <mergeCell ref="B213:O213"/>
    <mergeCell ref="G218:H218"/>
    <mergeCell ref="I218:J218"/>
    <mergeCell ref="C187:D187"/>
    <mergeCell ref="E187:F187"/>
    <mergeCell ref="I187:J187"/>
    <mergeCell ref="M187:N187"/>
    <mergeCell ref="K148:O152"/>
    <mergeCell ref="E219:F219"/>
    <mergeCell ref="G173:H173"/>
    <mergeCell ref="G147:H147"/>
    <mergeCell ref="G176:H176"/>
    <mergeCell ref="J180:O180"/>
    <mergeCell ref="B257:O257"/>
    <mergeCell ref="B258:C261"/>
    <mergeCell ref="E227:F227"/>
    <mergeCell ref="C243:D243"/>
    <mergeCell ref="I253:J253"/>
    <mergeCell ref="K192:L192"/>
    <mergeCell ref="B219:D219"/>
    <mergeCell ref="B153:O153"/>
    <mergeCell ref="B141:D141"/>
    <mergeCell ref="E141:F141"/>
    <mergeCell ref="G242:J242"/>
    <mergeCell ref="K242:O242"/>
    <mergeCell ref="B229:D229"/>
    <mergeCell ref="E229:F229"/>
    <mergeCell ref="B217:D217"/>
    <mergeCell ref="H204:J204"/>
    <mergeCell ref="K175:N175"/>
    <mergeCell ref="C178:D178"/>
    <mergeCell ref="B224:D224"/>
    <mergeCell ref="B228:D228"/>
    <mergeCell ref="B215:D215"/>
    <mergeCell ref="E215:F215"/>
    <mergeCell ref="B234:O234"/>
    <mergeCell ref="E223:F223"/>
    <mergeCell ref="E221:F221"/>
    <mergeCell ref="C203:G203"/>
    <mergeCell ref="L203:N203"/>
    <mergeCell ref="B227:D227"/>
    <mergeCell ref="G216:H216"/>
    <mergeCell ref="I229:J229"/>
    <mergeCell ref="B223:D223"/>
    <mergeCell ref="I219:J219"/>
    <mergeCell ref="B150:D150"/>
    <mergeCell ref="B149:D149"/>
    <mergeCell ref="K248:O248"/>
    <mergeCell ref="E253:F253"/>
    <mergeCell ref="G253:H253"/>
    <mergeCell ref="B205:O205"/>
    <mergeCell ref="I227:J227"/>
    <mergeCell ref="G225:H225"/>
    <mergeCell ref="I216:J216"/>
    <mergeCell ref="I221:J221"/>
    <mergeCell ref="G222:H222"/>
    <mergeCell ref="I222:J222"/>
    <mergeCell ref="C193:D193"/>
    <mergeCell ref="I190:J190"/>
    <mergeCell ref="F184:O184"/>
    <mergeCell ref="K189:L189"/>
    <mergeCell ref="D185:E185"/>
    <mergeCell ref="E197:F197"/>
    <mergeCell ref="K253:O253"/>
    <mergeCell ref="K249:O249"/>
    <mergeCell ref="C250:D250"/>
    <mergeCell ref="B239:O239"/>
    <mergeCell ref="B222:D222"/>
    <mergeCell ref="B235:O235"/>
    <mergeCell ref="B236:P236"/>
    <mergeCell ref="K247:N247"/>
    <mergeCell ref="B230:O230"/>
    <mergeCell ref="B241:O241"/>
    <mergeCell ref="K225:O229"/>
    <mergeCell ref="I226:J226"/>
    <mergeCell ref="G227:H227"/>
    <mergeCell ref="G226:H226"/>
    <mergeCell ref="E264:F264"/>
    <mergeCell ref="D261:E261"/>
    <mergeCell ref="K264:L264"/>
    <mergeCell ref="K266:L266"/>
    <mergeCell ref="M264:N264"/>
    <mergeCell ref="G265:H265"/>
    <mergeCell ref="C254:D254"/>
    <mergeCell ref="E254:F254"/>
    <mergeCell ref="C273:D273"/>
    <mergeCell ref="C274:D274"/>
    <mergeCell ref="D260:E260"/>
    <mergeCell ref="D259:E259"/>
    <mergeCell ref="F259:O259"/>
    <mergeCell ref="M263:N263"/>
    <mergeCell ref="I263:J263"/>
    <mergeCell ref="E274:F274"/>
    <mergeCell ref="K267:L267"/>
    <mergeCell ref="G267:H267"/>
    <mergeCell ref="E269:F269"/>
    <mergeCell ref="G269:H269"/>
    <mergeCell ref="I269:J269"/>
    <mergeCell ref="K268:L268"/>
    <mergeCell ref="I272:J272"/>
    <mergeCell ref="K272:L272"/>
    <mergeCell ref="K273:L273"/>
    <mergeCell ref="G254:O254"/>
    <mergeCell ref="E273:F273"/>
    <mergeCell ref="C265:D265"/>
    <mergeCell ref="B262:O262"/>
    <mergeCell ref="C264:D264"/>
    <mergeCell ref="F261:O261"/>
    <mergeCell ref="I538:J538"/>
    <mergeCell ref="E533:F533"/>
    <mergeCell ref="C279:G279"/>
    <mergeCell ref="I302:J302"/>
    <mergeCell ref="G298:H298"/>
    <mergeCell ref="I298:J298"/>
    <mergeCell ref="B333:C336"/>
    <mergeCell ref="B308:P308"/>
    <mergeCell ref="E327:F327"/>
    <mergeCell ref="F451:K451"/>
    <mergeCell ref="B447:P447"/>
    <mergeCell ref="F509:K509"/>
    <mergeCell ref="F503:K503"/>
    <mergeCell ref="M479:N479"/>
    <mergeCell ref="M494:N494"/>
    <mergeCell ref="M485:N485"/>
    <mergeCell ref="B445:O445"/>
    <mergeCell ref="M488:N488"/>
    <mergeCell ref="B520:O520"/>
    <mergeCell ref="P516:P517"/>
    <mergeCell ref="P442:P443"/>
    <mergeCell ref="C526:E526"/>
    <mergeCell ref="C523:E523"/>
    <mergeCell ref="G422:H422"/>
    <mergeCell ref="M483:N483"/>
    <mergeCell ref="M473:N473"/>
    <mergeCell ref="F466:K466"/>
    <mergeCell ref="N522:O522"/>
    <mergeCell ref="N523:O523"/>
    <mergeCell ref="B510:O510"/>
    <mergeCell ref="L439:N439"/>
    <mergeCell ref="G439:K439"/>
    <mergeCell ref="F477:K477"/>
    <mergeCell ref="F490:K490"/>
    <mergeCell ref="M476:N476"/>
    <mergeCell ref="F471:K471"/>
    <mergeCell ref="I532:J532"/>
    <mergeCell ref="B531:F531"/>
    <mergeCell ref="M458:N458"/>
    <mergeCell ref="M459:N459"/>
    <mergeCell ref="K535:O541"/>
    <mergeCell ref="C522:E522"/>
    <mergeCell ref="F487:K487"/>
    <mergeCell ref="F478:K478"/>
    <mergeCell ref="F450:K450"/>
    <mergeCell ref="C268:D268"/>
    <mergeCell ref="E267:F267"/>
    <mergeCell ref="B270:O270"/>
    <mergeCell ref="B512:O512"/>
    <mergeCell ref="M505:N505"/>
    <mergeCell ref="E536:F536"/>
    <mergeCell ref="M487:N487"/>
    <mergeCell ref="F485:K485"/>
    <mergeCell ref="G540:H540"/>
    <mergeCell ref="G537:H537"/>
    <mergeCell ref="C396:D396"/>
    <mergeCell ref="G403:O403"/>
    <mergeCell ref="B287:N287"/>
    <mergeCell ref="L277:O277"/>
    <mergeCell ref="F335:O335"/>
    <mergeCell ref="D336:E336"/>
    <mergeCell ref="B345:O345"/>
    <mergeCell ref="G614:H614"/>
    <mergeCell ref="I614:J614"/>
    <mergeCell ref="G612:H612"/>
    <mergeCell ref="I612:J612"/>
    <mergeCell ref="G613:H613"/>
    <mergeCell ref="I613:J613"/>
    <mergeCell ref="G610:H610"/>
    <mergeCell ref="G605:H605"/>
    <mergeCell ref="I605:J605"/>
    <mergeCell ref="G606:H606"/>
    <mergeCell ref="I549:J549"/>
    <mergeCell ref="P414:P415"/>
    <mergeCell ref="F494:K494"/>
    <mergeCell ref="F488:K488"/>
    <mergeCell ref="F486:K486"/>
    <mergeCell ref="I544:J544"/>
    <mergeCell ref="F508:K508"/>
    <mergeCell ref="F491:K491"/>
    <mergeCell ref="F465:K465"/>
    <mergeCell ref="H419:J419"/>
    <mergeCell ref="L419:N419"/>
    <mergeCell ref="F480:K480"/>
    <mergeCell ref="M480:N480"/>
    <mergeCell ref="M477:N477"/>
    <mergeCell ref="M464:N464"/>
    <mergeCell ref="B440:O440"/>
    <mergeCell ref="B444:O444"/>
    <mergeCell ref="F459:K459"/>
    <mergeCell ref="F461:K461"/>
    <mergeCell ref="M471:N471"/>
    <mergeCell ref="E538:F538"/>
    <mergeCell ref="E537:F537"/>
    <mergeCell ref="AN403:AN406"/>
    <mergeCell ref="AJ400:AM400"/>
    <mergeCell ref="AJ401:AM401"/>
    <mergeCell ref="AM403:AM406"/>
    <mergeCell ref="AJ403:AJ406"/>
    <mergeCell ref="AK403:AK406"/>
    <mergeCell ref="G399:J399"/>
    <mergeCell ref="K399:O399"/>
    <mergeCell ref="I402:J402"/>
    <mergeCell ref="K402:O402"/>
    <mergeCell ref="E396:F396"/>
    <mergeCell ref="I395:J395"/>
    <mergeCell ref="K394:O394"/>
    <mergeCell ref="K395:O395"/>
    <mergeCell ref="B533:D533"/>
    <mergeCell ref="M495:N495"/>
    <mergeCell ref="K531:O534"/>
    <mergeCell ref="F474:K474"/>
    <mergeCell ref="F467:K467"/>
    <mergeCell ref="B448:K448"/>
    <mergeCell ref="F492:K492"/>
    <mergeCell ref="F525:K525"/>
    <mergeCell ref="B532:D532"/>
    <mergeCell ref="B455:O455"/>
    <mergeCell ref="F453:K453"/>
    <mergeCell ref="M465:N465"/>
    <mergeCell ref="M466:N466"/>
    <mergeCell ref="M467:N467"/>
    <mergeCell ref="F452:K452"/>
    <mergeCell ref="M472:N472"/>
    <mergeCell ref="F489:K489"/>
    <mergeCell ref="M493:N493"/>
    <mergeCell ref="B298:D298"/>
    <mergeCell ref="B297:D297"/>
    <mergeCell ref="B315:O315"/>
    <mergeCell ref="L355:N355"/>
    <mergeCell ref="G347:H347"/>
    <mergeCell ref="H387:O387"/>
    <mergeCell ref="G374:H374"/>
    <mergeCell ref="G370:H370"/>
    <mergeCell ref="K368:O372"/>
    <mergeCell ref="B386:E386"/>
    <mergeCell ref="E357:O357"/>
    <mergeCell ref="C358:D358"/>
    <mergeCell ref="E358:O358"/>
    <mergeCell ref="C359:D359"/>
    <mergeCell ref="E359:O359"/>
    <mergeCell ref="B602:F602"/>
    <mergeCell ref="G602:J602"/>
    <mergeCell ref="I548:J548"/>
    <mergeCell ref="F522:K522"/>
    <mergeCell ref="F526:K526"/>
    <mergeCell ref="G535:H535"/>
    <mergeCell ref="M489:N489"/>
    <mergeCell ref="C524:E524"/>
    <mergeCell ref="G533:H533"/>
    <mergeCell ref="G534:H534"/>
    <mergeCell ref="G436:N436"/>
    <mergeCell ref="C449:K449"/>
    <mergeCell ref="F504:K504"/>
    <mergeCell ref="H420:J420"/>
    <mergeCell ref="B423:F423"/>
    <mergeCell ref="C420:G420"/>
    <mergeCell ref="B425:O425"/>
    <mergeCell ref="C355:G355"/>
    <mergeCell ref="H355:J355"/>
    <mergeCell ref="B364:F364"/>
    <mergeCell ref="E406:F406"/>
    <mergeCell ref="AJ392:AJ395"/>
    <mergeCell ref="AD395:AG395"/>
    <mergeCell ref="P392:P397"/>
    <mergeCell ref="AL403:AL406"/>
    <mergeCell ref="P399:P407"/>
    <mergeCell ref="W400:X400"/>
    <mergeCell ref="AD404:AG404"/>
    <mergeCell ref="V393:Y393"/>
    <mergeCell ref="K400:O400"/>
    <mergeCell ref="C399:F399"/>
    <mergeCell ref="I406:J406"/>
    <mergeCell ref="G407:O407"/>
    <mergeCell ref="G401:O401"/>
    <mergeCell ref="I379:J379"/>
    <mergeCell ref="K375:O379"/>
    <mergeCell ref="B360:O360"/>
    <mergeCell ref="B363:O363"/>
    <mergeCell ref="B375:D375"/>
    <mergeCell ref="B380:O380"/>
    <mergeCell ref="G369:H369"/>
    <mergeCell ref="I375:J375"/>
    <mergeCell ref="G376:H376"/>
    <mergeCell ref="I376:J376"/>
    <mergeCell ref="E377:F377"/>
    <mergeCell ref="H386:O386"/>
    <mergeCell ref="E379:F379"/>
    <mergeCell ref="B376:D376"/>
    <mergeCell ref="E369:F369"/>
    <mergeCell ref="L418:O418"/>
    <mergeCell ref="G396:O396"/>
    <mergeCell ref="B436:F436"/>
    <mergeCell ref="M507:N507"/>
    <mergeCell ref="M508:N508"/>
    <mergeCell ref="B517:O517"/>
    <mergeCell ref="B414:O414"/>
    <mergeCell ref="C412:O412"/>
    <mergeCell ref="B426:F426"/>
    <mergeCell ref="C419:G419"/>
    <mergeCell ref="B411:O411"/>
    <mergeCell ref="C403:D403"/>
    <mergeCell ref="M343:N343"/>
    <mergeCell ref="C344:D344"/>
    <mergeCell ref="C343:D343"/>
    <mergeCell ref="K300:O304"/>
    <mergeCell ref="M453:N453"/>
    <mergeCell ref="B469:L469"/>
    <mergeCell ref="B417:O417"/>
    <mergeCell ref="F472:K472"/>
    <mergeCell ref="F475:K475"/>
    <mergeCell ref="F501:K501"/>
    <mergeCell ref="M475:N475"/>
    <mergeCell ref="B446:P446"/>
    <mergeCell ref="B441:O441"/>
    <mergeCell ref="C348:D348"/>
    <mergeCell ref="E348:F348"/>
    <mergeCell ref="G349:H349"/>
    <mergeCell ref="E344:F344"/>
    <mergeCell ref="E303:F303"/>
    <mergeCell ref="C393:F393"/>
    <mergeCell ref="G393:J393"/>
  </mergeCells>
  <phoneticPr fontId="0" type="noConversion"/>
  <conditionalFormatting sqref="G532:J538">
    <cfRule type="cellIs" dxfId="44" priority="7" stopIfTrue="1" operator="lessThan">
      <formula>$AA$538</formula>
    </cfRule>
  </conditionalFormatting>
  <conditionalFormatting sqref="G539:J539">
    <cfRule type="cellIs" dxfId="43" priority="156" stopIfTrue="1" operator="lessThan">
      <formula>$AA$539</formula>
    </cfRule>
  </conditionalFormatting>
  <conditionalFormatting sqref="G396:O397">
    <cfRule type="cellIs" dxfId="42" priority="1" operator="equal">
      <formula>$AJ$400</formula>
    </cfRule>
  </conditionalFormatting>
  <conditionalFormatting sqref="G401:O401">
    <cfRule type="cellIs" dxfId="41" priority="6" operator="equal">
      <formula>$AJ$401</formula>
    </cfRule>
  </conditionalFormatting>
  <conditionalFormatting sqref="G403:O403">
    <cfRule type="cellIs" dxfId="40" priority="5" operator="equal">
      <formula>$AJ$401</formula>
    </cfRule>
  </conditionalFormatting>
  <conditionalFormatting sqref="G405:O405">
    <cfRule type="cellIs" dxfId="39" priority="4" operator="equal">
      <formula>$AJ$401</formula>
    </cfRule>
  </conditionalFormatting>
  <conditionalFormatting sqref="G407:O407">
    <cfRule type="cellIs" dxfId="38" priority="3" operator="equal">
      <formula>$AJ$401</formula>
    </cfRule>
  </conditionalFormatting>
  <dataValidations xWindow="921" yWindow="415" count="102">
    <dataValidation type="list" allowBlank="1" showInputMessage="1" showErrorMessage="1" promptTitle="Severity of joint instability" prompt="Mild, moderate, or severe" sqref="C51:G52" xr:uid="{B5DEDB95-538C-42E1-8A36-E4C5712DD99D}">
      <formula1>$W$52:$Z$52</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51:N52" xr:uid="{0EA9DDB8-EBAA-4FBE-9797-7037616AB7AA}">
      <formula1>$V$51:$Z$51</formula1>
    </dataValidation>
    <dataValidation type="list" allowBlank="1" showInputMessage="1" showErrorMessage="1" promptTitle="Thumb amputation" prompt="Select extent of loss." sqref="B7:O7" xr:uid="{67B57976-7441-4869-9732-972C0ACEEEAD}">
      <formula1>$U$6:$Z$6</formula1>
    </dataValidation>
    <dataValidation type="list" allowBlank="1" showInputMessage="1" showErrorMessage="1" promptTitle="Dermatological conditions" prompt="Select from classes 1-5. See OAR 436-035-0110." sqref="O57 O134 O210 O286 O361 O591" xr:uid="{3B151FA9-8B5E-4E16-A39F-723F7C7D6443}">
      <formula1>$T$57:$X$57</formula1>
    </dataValidation>
    <dataValidation type="list" allowBlank="1" showInputMessage="1" showErrorMessage="1" promptTitle="Loss of opposition" prompt="Ratings apply to the fingers." sqref="B10" xr:uid="{220177DC-C35B-49AF-879E-97BBB0B77166}">
      <formula1>$W$11:$AD$11</formula1>
    </dataValidation>
    <dataValidation type="list" allowBlank="1" showInputMessage="1" showErrorMessage="1" promptTitle="Vascular dysfunction" prompt="Select from classes 1-5. See OAR 436-035-0110." sqref="O58 O135 O211 O287 O362 O592" xr:uid="{66A61DB8-0403-427F-AD18-F5ECFA0205FD}">
      <formula1>$Z$57:$AD$57</formula1>
    </dataValidation>
    <dataValidation type="list" allowBlank="1" showInputMessage="1" showErrorMessage="1" promptTitle="Index finger amputation" prompt="Select extent of loss." sqref="B82:O82 B158:O158" xr:uid="{DA894052-302A-4418-82E2-B0E5752FF462}">
      <formula1>$S$81:$Y$81</formula1>
    </dataValidation>
    <dataValidation type="list" allowBlank="1" showInputMessage="1" showErrorMessage="1" promptTitle="Loss of opposition" prompt="Select extent of amputation or shortening of digit." sqref="B85:O85 B161:O161" xr:uid="{1813C893-E582-44A2-9DBA-7B6614F00EA5}">
      <formula1>$S$84:$AD$84</formula1>
    </dataValidation>
    <dataValidation type="list" allowBlank="1" showInputMessage="1" showErrorMessage="1" promptTitle="Severity of joint instability" prompt="Mild, moderate, or severe" sqref="C126:G128 C202:G204 C278:G280 C353:G355" xr:uid="{0563BF4C-CE90-4AAA-98C1-A1733B075CDF}">
      <formula1>$X$127:$Z$127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126:N128 L202:N204 L278:N280 L353:N355" xr:uid="{D016557B-F9BC-4CA2-B917-93EAE795E73C}">
      <formula1>$X$128:$AA$128</formula1>
    </dataValidation>
    <dataValidation type="list" allowBlank="1" showInputMessage="1" showErrorMessage="1" promptTitle="Loss of opposition" prompt="Select extent of amputation or shortening of digit." sqref="B238:O238" xr:uid="{AB828970-2A0C-4431-A193-E043F9CF8D0D}">
      <formula1>$S$237:$AD$237</formula1>
    </dataValidation>
    <dataValidation type="list" allowBlank="1" showInputMessage="1" showErrorMessage="1" promptTitle="Index finger amputation" prompt="Select extent of loss." sqref="B235:O235" xr:uid="{FB3BC520-4936-4194-99A3-60385105E224}">
      <formula1>$S$234:$Y$234</formula1>
    </dataValidation>
    <dataValidation type="list" allowBlank="1" showInputMessage="1" showErrorMessage="1" promptTitle="Index finger amputation" prompt="Select extent of loss." sqref="B310:O310" xr:uid="{FD3A18F8-91E4-43B8-BB98-8156C24D2DE1}">
      <formula1>$S$309:$Y$309</formula1>
    </dataValidation>
    <dataValidation type="list" allowBlank="1" showInputMessage="1" showErrorMessage="1" promptTitle="Loss of opposition" prompt="Select extent of amputation or shortening of digit." sqref="B313:O313" xr:uid="{1C55ECEC-A235-4F9C-A6B9-B7DE6B53D557}">
      <formula1>$S$312:$AD$312</formula1>
    </dataValidation>
    <dataValidation type="list" allowBlank="1" showInputMessage="1" showErrorMessage="1" promptTitle="Dermatological condition" prompt="Affecting wrist/forearm -- select from classes 1-5. See OAR 436-035-0110." sqref="L439:N439" xr:uid="{6243AC72-3E0B-416A-9E2D-7AE1EE64AFAE}">
      <formula1>$T$442:$X$442</formula1>
    </dataValidation>
    <dataValidation type="list" allowBlank="1" showInputMessage="1" showErrorMessage="1" promptTitle="Vascular dysfunction" prompt="Affecting wrist/forearm -- select from classes 1-5. See OAR 436-035-0110." sqref="L443:N443" xr:uid="{B18D81EE-3B6D-4C56-BFE4-0875E0556BEA}">
      <formula1>$T$442:$X$442</formula1>
    </dataValidation>
    <dataValidation type="list" allowBlank="1" showInputMessage="1" showErrorMessage="1" promptTitle="Dermatological condition" prompt="Affecting hand -- select from classes 1-5. See OAR 436-035-0110." sqref="L438:N438" xr:uid="{3FBD027D-4FFF-43EE-AAD9-F6B96A5FB648}">
      <formula1>$T$438:$X$438</formula1>
    </dataValidation>
    <dataValidation type="list" allowBlank="1" showInputMessage="1" showErrorMessage="1" promptTitle="Vascular dysfunction" prompt="Affecting hand -- select from classes 1-5. See OAR 436-035-0110." sqref="L442:N442" xr:uid="{3DB1B908-05A5-475A-89EB-7FC94E439080}">
      <formula1>$T$442:$X$442</formula1>
    </dataValidation>
    <dataValidation type="decimal" operator="equal" allowBlank="1" showInputMessage="1" showErrorMessage="1" promptTitle="Amputation - metatarsals" prompt="Check (click) the box next to amputated metatarsals, if any." sqref="A386" xr:uid="{09C26EC0-6BBE-4EFB-AB94-AE6D1BA4AE84}">
      <formula1>W386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450" xr:uid="{3A9780A1-13A8-4445-8294-AA66B516E3ED}">
      <formula1>AK452</formula1>
    </dataValidation>
    <dataValidation type="decimal" operator="equal" allowBlank="1" showInputMessage="1" showErrorMessage="1" promptTitle="Deformity of movement" prompt="Mark the type of deformity, if any." sqref="A44 A106 A182 A258 A333" xr:uid="{4EF09B05-20EB-468D-A6EE-0FD0CF9AA9BB}">
      <formula1>AG44</formula1>
    </dataValidation>
    <dataValidation type="decimal" operator="equal" allowBlank="1" showInputMessage="1" showErrorMessage="1" promptTitle="Joint replacement" prompt="Mark the type of prosthetic joint replacement, if any." sqref="A54 A130 A206 A282 A357" xr:uid="{33997C89-2C84-4A3C-8EB8-765A772CB015}">
      <formula1>AG54</formula1>
    </dataValidation>
    <dataValidation type="decimal" operator="equal" allowBlank="1" showInputMessage="1" showErrorMessage="1" promptTitle="Amputation" prompt="Show the level of loss, if any." sqref="A385" xr:uid="{7B07810E-4596-4973-B34F-2B9F810C462A}">
      <formula1>W385</formula1>
    </dataValidation>
    <dataValidation type="decimal" operator="equal" allowBlank="1" showInputMessage="1" showErrorMessage="1" promptTitle="Sensation impairment" prompt="Show type and extent of sensation impairment, if any." sqref="A412" xr:uid="{C94746E7-68B3-4A3D-9BF4-C07D5FE99384}">
      <formula1>Z412</formula1>
    </dataValidation>
    <dataValidation type="decimal" operator="equal" allowBlank="1" showInputMessage="1" showErrorMessage="1" promptTitle="Hypersensitivity" prompt="Show type and extent of hypersensitivity, if any." sqref="A415" xr:uid="{232CACE8-BF79-414E-A76B-EAC375623B14}">
      <formula1>Z415</formula1>
    </dataValidation>
    <dataValidation type="decimal" operator="equal" allowBlank="1" showInputMessage="1" showErrorMessage="1" promptTitle="Angulation or malalignment" prompt="Radius or ulna" sqref="A422" xr:uid="{2B0F84F6-B931-464E-A0C9-61667882B1EB}">
      <formula1>Z422</formula1>
    </dataValidation>
    <dataValidation type="decimal" operator="equal" allowBlank="1" showInputMessage="1" showErrorMessage="1" promptTitle="Chronic condition" prompt="Check Yes or No." sqref="A518 A596" xr:uid="{C8E09074-F430-4D1A-9D89-19A407FA548B}">
      <formula1>W518</formula1>
    </dataValidation>
    <dataValidation type="decimal" operator="equal" allowBlank="1" showInputMessage="1" showErrorMessage="1" promptTitle="Amputation" prompt="Show the level of loss or select &quot;NA.&quot;" sqref="A566" xr:uid="{4DD5F108-7960-459C-9D62-D6C3F7090954}">
      <formula1>W566</formula1>
    </dataValidation>
    <dataValidation type="decimal" operator="equal" allowBlank="1" showInputMessage="1" showErrorMessage="1" promptTitle="Arm surgery" prompt="Show the type of surgery performed, if any." sqref="A587" xr:uid="{C4D5E55E-A6C7-405D-BBB2-2DE5CE350319}">
      <formula1>W587</formula1>
    </dataValidation>
    <dataValidation allowBlank="1" showInputMessage="1" showErrorMessage="1" promptTitle="Date of injury" prompt="The dollar value of each degree of disability depends on the date of injury, and the program cannot calculate the disability award without the date." sqref="C634" xr:uid="{51F1377D-2945-4E52-9B1F-DE2FFD3A1E6F}"/>
    <dataValidation allowBlank="1" showInputMessage="1" showErrorMessage="1" promptTitle="End of worksheet" prompt="Press TAB to return to top of sheet." sqref="P646" xr:uid="{F45E5B9F-1DE6-4AD6-92FB-2BF46824EAF7}"/>
    <dataValidation type="list" allowBlank="1" showInputMessage="1" showErrorMessage="1" promptTitle="Carpometacarpal arthroplasty" prompt="Impairment equals 1/2 the lowest ankylosis value for the carpometacarpal joint of the thumb." sqref="G436:N436" xr:uid="{DE501161-F864-45EB-A558-2697D62DF65A}">
      <formula1>$R$436:$T$436</formula1>
    </dataValidation>
    <dataValidation type="list" allowBlank="1" showInputMessage="1" showErrorMessage="1" promptTitle="Severity of loss" prompt="Grade 1 = Normal_x000a_Grade 2 = Less than normal_x000a_Grade 3 = Protective sensation_x000a_Grade 4 = Total loss" sqref="C33:F35 I33:J35 M33:N35 I38:J40 C38:F40 M38:N40" xr:uid="{1F45D32C-0F61-47DD-BA1B-BAFC5AEAA3C1}">
      <formula1>$AH$31:$AK$31</formula1>
    </dataValidation>
    <dataValidation type="list" allowBlank="1" showInputMessage="1" showErrorMessage="1" promptTitle="Severity of loss" prompt="Grade 1 = Normal_x000a_Grade 2 = Less than normal_x000a_Grade 3 = Protective sensation_x000a_Grade 4 = Total loss" sqref="C115:N117 C120:N122" xr:uid="{13B090A1-00CD-4B53-82A4-24AD52820716}">
      <formula1>$AH$113:$AK$113</formula1>
    </dataValidation>
    <dataValidation type="list" allowBlank="1" showInputMessage="1" showErrorMessage="1" promptTitle="Severity of loss" prompt="Grade 1 = Normal_x000a_Grade 2 = Less than normal_x000a_Grade 3 = Protective sensation_x000a_Grade 4 = Total loss" sqref="C196:N198 C191:N193" xr:uid="{771B40B4-C1D5-4BA7-AFB1-FD4AD1415505}">
      <formula1>$AH$189:$AK$189</formula1>
    </dataValidation>
    <dataValidation type="list" allowBlank="1" showInputMessage="1" showErrorMessage="1" promptTitle="Severity of loss" prompt="Grade 1 = Normal_x000a_Grade 2 = Less than normal_x000a_Grade 3 = Protective sensation_x000a_Grade 4 = Total loss" sqref="C272:N274 C267:N269" xr:uid="{1F590DFC-FF1A-4139-8707-8EB83757B2A7}">
      <formula1>$AH$265:$AK$265</formula1>
    </dataValidation>
    <dataValidation type="list" allowBlank="1" showInputMessage="1" showErrorMessage="1" promptTitle="Severity of loss" prompt="Grade 1 = Normal_x000a_Grade 2 = Less than normal_x000a_Grade 3 = Protective sensation_x000a_Grade 4 = Total loss" sqref="M342:M344 K342:K344 I342:I344 G342:G344 E342:E344 C342:D342 C343:C344 E347:E349 G347:G349 I347:I349 K347:K349 M347:M349 C347:C349" xr:uid="{BA232AE9-E358-4CC2-919B-BEFEF1C2EDDC}">
      <formula1>$AH$340:$AK$340</formula1>
    </dataValidation>
    <dataValidation type="decimal" operator="equal" allowBlank="1" showInputMessage="1" showErrorMessage="1" promptTitle="Angulation or malalignment" prompt="Humerus" sqref="A585" xr:uid="{2F7ED3B4-713C-4E73-8905-2948C9BA8937}">
      <formula1>Z585</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419:N420" xr:uid="{49802DFA-4E3C-4883-ABE7-55E4455AFFAE}">
      <formula1>$U$420:$X$420</formula1>
    </dataValidation>
    <dataValidation type="list" allowBlank="1" showInputMessage="1" showErrorMessage="1" promptTitle="Severity of joint instability" prompt="Mild, moderate, or severe" sqref="C419:G420" xr:uid="{510442EC-54ED-4188-9A23-1F204B47DF96}">
      <formula1>$U$419:$W$419</formula1>
    </dataValidation>
    <dataValidation type="list" allowBlank="1" showInputMessage="1" showErrorMessage="1" promptTitle="Carpal bone fusion" prompt="5% each (Add values up to 30% maximum.)" sqref="G426" xr:uid="{22C270F8-3180-45EA-B4BE-CFDD5B3A1BEE}">
      <formula1>$T426:$AA426</formula1>
    </dataValidation>
    <dataValidation type="list" allowBlank="1" showInputMessage="1" showErrorMessage="1" promptTitle="Distal ulnar" prompt="Resection with prosthetic replacement = 5%; resection without replacement = 10% impairment." sqref="G435:N435" xr:uid="{134F81A6-B904-4C6D-A4C9-A118EFB309E1}">
      <formula1>$S$435:$T$435</formula1>
    </dataValidation>
    <dataValidation type="list" allowBlank="1" showInputMessage="1" showErrorMessage="1" promptTitle="Strength grade" prompt="Record strength using the 0 to 5  grading system as described in OAR 436-035-0011." sqref="M450:N454 M483:N495 M464:N468 M471:N480 M458:N461 M499:N509" xr:uid="{85AA4BCC-C3EF-4CCB-9908-3F01AF7BCE39}">
      <formula1>$T$447:$AH$447</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450:O454 O458:O461 O499:O509 O483:O495 O464:O468 O471:O480" xr:uid="{6B758B45-9AF2-48E6-974E-CD88E986736B}">
      <formula1>$S$447:$AH$447</formula1>
    </dataValidation>
    <dataValidation type="list" allowBlank="1" showInputMessage="1" showErrorMessage="1" promptTitle="Arm length discrepancy" prompt="Discrepancy in inches involving the injured arm and resulting from the injury/surgery" sqref="K581:O581" xr:uid="{8415C18A-03FB-465C-8BE2-0A7C9DF487D8}">
      <formula1>Z581:AE581</formula1>
    </dataValidation>
    <dataValidation type="list" allowBlank="1" showInputMessage="1" showErrorMessage="1" promptTitle="Arm length discrepancy" prompt="Discrepancy in inches involving the injured arm and resulting from the injury/surgery" sqref="E581" xr:uid="{5E1B5E5E-55E1-4D52-B9F7-3A3E0D0DFA3F}">
      <formula1>S581:W581</formula1>
    </dataValidation>
    <dataValidation type="list" allowBlank="1" showInputMessage="1" showErrorMessage="1" promptTitle="Arm length discrepancy" prompt="Discrepancy in inches involving the injured arm and resulting from the injury/surgery" sqref="F581:J581" xr:uid="{C13723E1-D9D0-4819-8632-5D45AE3CD0E5}">
      <formula1>S581:Z581</formula1>
    </dataValidation>
    <dataValidation type="list" allowBlank="1" showInputMessage="1" showErrorMessage="1" promptTitle="Lateral deviation" prompt="At or above elbow, mild, moderate, or severe" sqref="K583:O583" xr:uid="{171BA2D8-680A-41B6-80D2-0754CD3DC427}">
      <formula1>$S$583:$U$583</formula1>
    </dataValidation>
    <dataValidation type="list" allowBlank="1" showInputMessage="1" showErrorMessage="1" promptTitle="Motor loss, arm" prompt="Select the statement that best describes the severity of motor loss." sqref="B600:O600" xr:uid="{3D385D41-2BB8-4C94-BC45-34E3F6240321}">
      <formula1>$R$600:$U$600</formula1>
    </dataValidation>
    <dataValidation type="decimal" allowBlank="1" showInputMessage="1" showErrorMessage="1" promptTitle="Apportionment, if any" prompt="Enter percentage of impairment caused by the injury or illness. See OAR 436-035-0013." sqref="H537:H542 G532:H536 G557:H560 G537:G556 G290:H304 G215:H229 G138:H152 G61:H77 G365:H379 G603:H615" xr:uid="{E543F1B9-DCC5-465B-9789-66EC3A59A03C}">
      <formula1>$B$652</formula1>
      <formula2>$B$653</formula2>
    </dataValidation>
    <dataValidation type="list" showInputMessage="1" showErrorMessage="1" promptTitle="Thumb" prompt="Enter retained degrees of motion, interphalangeal joint, flexion. If joint was not affected by the injury, select &quot;NA&quot; or leave blank." sqref="C19:D19" xr:uid="{D74F18F0-3D8A-4559-8643-4BC39C3C7CE2}">
      <formula1>$B$662:$B$743</formula1>
    </dataValidation>
    <dataValidation type="list" showInputMessage="1" showErrorMessage="1" promptTitle="Thumb" prompt="Enter retained degrees of motion, metacarpophalangeal joint, flexion. If joint was not affected by the injury, select &quot;NA&quot; or leave blank." sqref="C23:D23" xr:uid="{0B0E1DCD-FF29-4B5C-AF20-B0D938509169}">
      <formula1>$B$662:$B$723</formula1>
    </dataValidation>
    <dataValidation type="list" showInputMessage="1" showErrorMessage="1" promptTitle="Hand" prompt="Enter retained degrees of motion, carpometacarpal joint of the thumb, flexion. If joint was not affected by the injury, select &quot;NA&quot; or leave blank." sqref="C394:D394" xr:uid="{5A2F1FEA-56E7-456E-B1A7-09D3A218C997}">
      <formula1>$B$662:$B$678</formula1>
    </dataValidation>
    <dataValidation type="list" showInputMessage="1" showErrorMessage="1" promptTitle="Wrist" prompt="Enter retained degrees of motion, extension. If joint was not affected by the injury, select &quot;NA&quot; or leave blank." sqref="C400:D400" xr:uid="{58436E93-3DB2-4CC8-935D-8BF635538FB2}">
      <formula1>$B$662:$B$723</formula1>
    </dataValidation>
    <dataValidation type="list" showInputMessage="1" showErrorMessage="1" promptTitle="Wrist" prompt="Radial deviation; enter retained degrees of motion.  If joint was not affected by the injury, select &quot;NA&quot; or leave blank." sqref="C404:D404" xr:uid="{9113B3C3-0F6D-42DB-BDF6-2BEE6EAEAC65}">
      <formula1>$B$662:$B$683</formula1>
    </dataValidation>
    <dataValidation type="list" showInputMessage="1" showErrorMessage="1" promptTitle="Elbow" prompt="Enter retained degrees of motion, flexion. If joint was not affected by the injury, select &quot;NA&quot; or leave blank." sqref="C570:D570" xr:uid="{A8B26966-6A14-4B78-BF66-8CAE17FA32DB}">
      <formula1>$B$662:$B$813</formula1>
    </dataValidation>
    <dataValidation type="list" showInputMessage="1" showErrorMessage="1" promptTitle="Arm" prompt="Supination; enter retained degrees of motion. If joint was not affected by the injury, select &quot;NA&quot; or leave blank." sqref="C574:D574" xr:uid="{FC7FB665-4D4E-41EF-A03C-4D02B5CF9FBF}">
      <formula1>$B$662:$B$743</formula1>
    </dataValidation>
    <dataValidation type="list" showInputMessage="1" showErrorMessage="1" promptTitle="Finger" prompt="Enter retained degrees of motion, distal interphalangeal joint, flexion.  If joint was not affected by the injury, select &quot;NA&quot; or leave blank." sqref="C91:D91 C244:D244 C168:D168 C319:D319" xr:uid="{C8CB86A9-4EB2-4818-AAD8-FB0B305A8F96}">
      <formula1>$B$662:$B$733</formula1>
    </dataValidation>
    <dataValidation type="list" showInputMessage="1" showErrorMessage="1" promptTitle="Finger" prompt="Enter retained degrees of motion, proximal interphalangeal joint, flexion.  If joint was not affected by the injury, select &quot;NA&quot; or leave blank." sqref="C95:D95 C248:D248 C172:D172 C323:D323" xr:uid="{93888465-500C-4237-B524-86C5B9F605A7}">
      <formula1>$B$662:$B$763</formula1>
    </dataValidation>
    <dataValidation type="list" showInputMessage="1" showErrorMessage="1" promptTitle="Finger" prompt="Enter retained degrees of motion, metacarpophalangeal joint, flexion.  If joint was not affected by the injury, select &quot;NA&quot; or leave blank." sqref="C99:D99 C252:D252 C176:D176 C327:D327" xr:uid="{E2DE04BE-13B2-4462-98FA-A7FFE4953AE5}">
      <formula1>$B$662:$B$753</formula1>
    </dataValidation>
    <dataValidation type="list" showInputMessage="1" showErrorMessage="1" promptTitle="Thumb" prompt="Enter degrees of interphalangeal joint, ankylosis. If joint was not affected by the injury, select &quot;NA&quot; or leave blank." sqref="C21:D21" xr:uid="{7A65F0D0-3BEE-46FD-B549-1F291F3EA158}">
      <formula1>$B$662:$B$743</formula1>
    </dataValidation>
    <dataValidation type="list" showInputMessage="1" showErrorMessage="1" promptTitle="Thumb" prompt="Enter retained degrees of motion, interphalangeal joint, extension. If joint was not affected by the injury, select &quot;NA&quot; or leave blank." sqref="C20:D20" xr:uid="{8DE4E04D-65AF-4B0C-A561-DC9E018FF3A7}">
      <formula1>$B$662:$B$743</formula1>
    </dataValidation>
    <dataValidation type="list" showInputMessage="1" showErrorMessage="1" promptTitle="Thumb" prompt="Enter retained degrees of motion or &quot;NA&quot; if contralateral joint has a history of injury or disease." sqref="G19:H20" xr:uid="{194A9B47-2CBC-4F0A-88FA-D63AA6EF7B53}">
      <formula1>$B$662:$B$743</formula1>
    </dataValidation>
    <dataValidation type="list" showInputMessage="1" showErrorMessage="1" promptTitle="Thumb" prompt="Enter degrees metacarpophalangeal joint, ankylosis. If joint was not affected by the injury, select &quot;NA&quot; or leave blank." sqref="C25:D25" xr:uid="{A5D65F87-7937-4F18-BADA-6C88288E8900}">
      <formula1>$B$662:$B$723</formula1>
    </dataValidation>
    <dataValidation type="list" showInputMessage="1" showErrorMessage="1" promptTitle="Thumb" prompt="Enter retained degrees of motion, metacarpophalangeal joint, extension. If joint was not affected by the injury, select &quot;NA&quot; or leave blank." sqref="C24:D24" xr:uid="{2C904505-A8BA-4C46-857A-11995432AADF}">
      <formula1>$B$662:$B$723</formula1>
    </dataValidation>
    <dataValidation type="list" showInputMessage="1" showErrorMessage="1" promptTitle="Thumb" prompt="Enter retained degrees of motion or &quot;NA&quot; if contralateral joint has a history of injury or disease." sqref="G23:H24" xr:uid="{14941370-FA87-47A1-8164-2E9199CCEB5E}">
      <formula1>$B$662:$B$723</formula1>
    </dataValidation>
    <dataValidation type="list" showInputMessage="1" showErrorMessage="1" promptTitle="Finger" prompt="Enter degrees distal interphalangeal joint, ankylosis  If joint was not affected by the injury, select &quot;NA&quot; or leave blank." sqref="C93:D93" xr:uid="{F5EADFFC-F3FF-46A6-B3D8-EDD250420342}">
      <formula1>$B$662:$B$733</formula1>
    </dataValidation>
    <dataValidation type="list" showInputMessage="1" showErrorMessage="1" promptTitle="Finger" prompt="Enter retained degrees of motion, distal interphalangeal joint, extension  If joint was not affected by the injury, select &quot;NA&quot; or leave blank." sqref="C92:D92" xr:uid="{5B063363-42F6-47F5-8046-7C49EA9B7B4E}">
      <formula1>$B$662:$B$733</formula1>
    </dataValidation>
    <dataValidation type="list" showInputMessage="1" showErrorMessage="1" promptTitle="Finger" prompt="Enter retained degrees of motion or &quot;NA&quot; if contralateral joint has a history of injury or disease." sqref="G91:H92 G319:H320 G244:H245 G168:H169" xr:uid="{FCDA1605-122C-49A0-A231-1D7681416ABF}">
      <formula1>$B$662:$B$733</formula1>
    </dataValidation>
    <dataValidation type="list" showInputMessage="1" showErrorMessage="1" promptTitle="Finger" prompt="Enter degrees of motion, proximal interphalangeal joint, ankylosis.  If joint was not affected by the injury, select &quot;NA&quot; or leave blank." sqref="C97:D97" xr:uid="{C596B2FF-0B8F-41D6-B69B-D051131A2F69}">
      <formula1>$B$662:$B$763</formula1>
    </dataValidation>
    <dataValidation type="list" showInputMessage="1" showErrorMessage="1" promptTitle="Finger" prompt="Enter retained degrees of motion, proximal interphalangeal joint, extension.  If joint was not affected by the injury, select &quot;NA&quot; or leave blank." sqref="C96:D96 C324:D324 C249:D249 C173:D173" xr:uid="{36CC2BD3-30E6-4BB5-914E-2F71D1F1F908}">
      <formula1>$B$662:$B$763</formula1>
    </dataValidation>
    <dataValidation type="list" showInputMessage="1" showErrorMessage="1" promptTitle="Finger" prompt="Enter retained degrees of motion or &quot;NA&quot; if contralateral joint has a history of injury or disease." sqref="G95:H96 G323:H324 G248:H249 G172:H173" xr:uid="{A0B311F1-1293-4652-BAA1-C7D846CD5285}">
      <formula1>$B$662:$B$763</formula1>
    </dataValidation>
    <dataValidation type="list" showInputMessage="1" showErrorMessage="1" promptTitle="Finger" prompt="Enter degrees of metacarpophalangeal joint, ankylosis.  If joint was not affected by the injury, select &quot;NA&quot; or leave blank." sqref="C101:D101 C329:D329" xr:uid="{197A5C04-EEE4-4932-9050-DC1F582A3DC0}">
      <formula1>$B$662:$B$753</formula1>
    </dataValidation>
    <dataValidation type="list" showInputMessage="1" showErrorMessage="1" promptTitle="Finger" prompt="Enter retained degrees of motion, metacarpophalangeal joint, extension.  If joint was not affected by the injury, select &quot;NA&quot; or leave blank." sqref="C100:D100 C328:D328 C253:D253 C177:D177" xr:uid="{9C18C83B-8D08-4A6C-A4E7-E65C0200D925}">
      <formula1>$B$662:$B$753</formula1>
    </dataValidation>
    <dataValidation type="list" showInputMessage="1" showErrorMessage="1" promptTitle="Finger" prompt="Enter retained degrees of motion or &quot;NA&quot; if contralateral joint has a history of injury or disease." sqref="G99:H100 G327:H328 G252:H253 G176:H177" xr:uid="{4F2F7C0B-DA63-4456-9E49-64846847C0FE}">
      <formula1>$B$662:$B$753</formula1>
    </dataValidation>
    <dataValidation type="list" showInputMessage="1" showErrorMessage="1" promptTitle="Finger" prompt="Enter degrees of distal interphalangeal joint, ankylosis.  If joint was not affected by the injury, select &quot;NA&quot; or leave blank." sqref="C170:D170" xr:uid="{D5E6E30E-270D-4AEB-87C9-C6059070B273}">
      <formula1>$B$662:$B$733</formula1>
    </dataValidation>
    <dataValidation type="list" showInputMessage="1" showErrorMessage="1" promptTitle="Finger" prompt="Enter retained degrees of motion, distal interphalangeal joint, extension.  If joint was not affected by the injury, select &quot;NA&quot; or leave blank." sqref="C169:D169 C320:D320 C245:D245" xr:uid="{377EC0A2-24AB-4F4C-A363-742F5785ED53}">
      <formula1>$B$662:$B$733</formula1>
    </dataValidation>
    <dataValidation type="list" showInputMessage="1" showErrorMessage="1" promptTitle="Finger" prompt="Enter retained degrees of proximal interphalangeal joint, ankylosis.  If joint was not affected by the injury, select &quot;NA&quot; or leave blank." sqref="C174:D174" xr:uid="{37DF7D12-2971-44E6-9797-91DC9773CB24}">
      <formula1>$B$662:$B$763</formula1>
    </dataValidation>
    <dataValidation type="list" showInputMessage="1" showErrorMessage="1" promptTitle="Finger" prompt="Enter degrees metacarpophalangeal joint, ankylosis.  If joint was not affected by the injury, select &quot;NA&quot; or leave blank." sqref="C178:D178" xr:uid="{4A2DB727-4061-4095-85DF-4A09EA11CE93}">
      <formula1>$B$662:$B$753</formula1>
    </dataValidation>
    <dataValidation type="list" showInputMessage="1" showErrorMessage="1" promptTitle="Finger" prompt="Enter degrees of distal interphalangeal joint ankylosis.  If joint was not affected by the injury, select &quot;NA&quot; or leave blank." sqref="C246:D246 C321:D321" xr:uid="{7E687ECB-658D-4EAC-AAAD-2DCBFD0B79C8}">
      <formula1>$B$662:$B$733</formula1>
    </dataValidation>
    <dataValidation type="list" showInputMessage="1" showErrorMessage="1" promptTitle="Finger" prompt="Enterdegrees of proximal interphalangeal joint ankylosis  If joint was not affected by the injury, select &quot;NA&quot; or leave blank." sqref="C250:D250" xr:uid="{5E208811-E84D-4449-AA90-512371AEA923}">
      <formula1>$B$662:$B$763</formula1>
    </dataValidation>
    <dataValidation type="list" showInputMessage="1" showErrorMessage="1" promptTitle="Finger" prompt="Enter degrees metacarpophalangeal joint ankylosis.  If joint was not affected by the injury, select &quot;NA&quot; or leave blank." sqref="C254:D254" xr:uid="{73F4186E-8D3E-47BD-958A-F4286F747F44}">
      <formula1>$B$662:$B$753</formula1>
    </dataValidation>
    <dataValidation type="list" showInputMessage="1" showErrorMessage="1" promptTitle="Finger" prompt="Enter degrees of proximal interphalangeal joint ankylosis  If joint was not affected by the injury, select &quot;NA&quot; or leave blank." sqref="C325:D325" xr:uid="{0E0DE573-F341-4830-8E07-4165EDC08F8B}">
      <formula1>$B$662:$B$763</formula1>
    </dataValidation>
    <dataValidation type="list" showInputMessage="1" showErrorMessage="1" promptTitle="Hand" prompt="Enter degrees of carpometacarpal joint ankylosis. If joint was not affected by the injury, select &quot;NA&quot; or leave blank." sqref="C396:D396" xr:uid="{C9441D4E-F7CE-4E83-960D-E5659C29850E}">
      <formula1>$B$662:$B$678</formula1>
    </dataValidation>
    <dataValidation type="list" showInputMessage="1" showErrorMessage="1" promptTitle="Hand" prompt="Enter retained degrees of motion, carpometacarpal joint of the thumb, extension. If joint was not affected by the injury, select &quot;NA&quot; or leave blank." sqref="C395:D395" xr:uid="{865184FD-707B-433F-BA9D-CDE2FC38BF55}">
      <formula1>$B$662:$B$693</formula1>
    </dataValidation>
    <dataValidation type="list" showInputMessage="1" showErrorMessage="1" promptTitle="Hand" prompt="Enter degrees of carpometacarpal joint ankylosis. If joint was not affected by the injury, select &quot;NA&quot; or leave blank." sqref="C397:D397" xr:uid="{CE48806F-C478-433B-8746-573E421B6B7C}">
      <formula1>$B$662:$B$693</formula1>
    </dataValidation>
    <dataValidation type="list" showInputMessage="1" showErrorMessage="1" promptTitle="Hand" prompt="Enter retained degrees of motion or &quot;NA&quot; if contralateral joint has a history of injury or disease." sqref="G395:H395" xr:uid="{EB1DD80F-7B09-45B5-8431-E8D5FB4F6BB2}">
      <formula1>$B$662:$B$693</formula1>
    </dataValidation>
    <dataValidation type="list" showInputMessage="1" showErrorMessage="1" promptTitle="Hand" prompt="Enter retained degrees of motion or &quot;NA&quot; if contralateral joint has a history of injury or disease." sqref="G394:H394" xr:uid="{BA55BA94-0672-4AFD-9EE8-5DF481994128}">
      <formula1>$B$662:$B$678</formula1>
    </dataValidation>
    <dataValidation type="list" showInputMessage="1" showErrorMessage="1" promptTitle="Wrist" prompt="Ulnar deviation; enter degrees of ankylosis.  If joint was not affected by the injury, select &quot;NA&quot; or leave blank." sqref="C407:D407" xr:uid="{B52CFCD2-8376-4547-8CD7-1842FCD4962D}">
      <formula1>$B$662:$B$693</formula1>
    </dataValidation>
    <dataValidation type="list" showInputMessage="1" showErrorMessage="1" promptTitle="Wrist" prompt="Radial deviation; enter degrees of radial deviation ankylosis.  If joint was not affected by the injury, select &quot;NA&quot; or leave blank." sqref="C405:D405" xr:uid="{15154D3C-4B1E-40EE-AA5F-EB3C9FF462B3}">
      <formula1>$B$662:$B$683</formula1>
    </dataValidation>
    <dataValidation type="list" showInputMessage="1" showErrorMessage="1" promptTitle="Wrist" prompt="Enter retained degrees of motion, flexion (palmar) flexion.  If joint was not affected by the injury, select &quot;NA&quot; or leave blank." sqref="C402:D402" xr:uid="{4D8E7CF9-5D59-4499-B0E1-BAB4B97930BC}">
      <formula1>$B$662:$B$733</formula1>
    </dataValidation>
    <dataValidation type="list" showInputMessage="1" showErrorMessage="1" promptTitle="Wrist" prompt="Enter degrees of extension ankylosis. If joint was not affected by the injury, select &quot;NA&quot; or leave blank." sqref="C401:D401" xr:uid="{793147F4-60B4-457F-A464-E607C76E594D}">
      <formula1>$B$662:$B$723</formula1>
    </dataValidation>
    <dataValidation type="list" showInputMessage="1" showErrorMessage="1" promptTitle="Wrist" prompt="Ulnar deviation; enter retained degrees of motion.  If joint was not affected by the injury, select &quot;NA&quot; or leave blank." sqref="C406:D406" xr:uid="{95FB334B-BB9E-4152-87FE-B66BC1EDCBBE}">
      <formula1>$B$662:$B$693</formula1>
    </dataValidation>
    <dataValidation type="list" showInputMessage="1" showErrorMessage="1" promptTitle="Wrist" prompt="Enter degrees of flexion ankylosis.  If joint was not affected by the injury, select &quot;NA&quot; or leave blank." sqref="C403:D403" xr:uid="{73CB26D1-FD45-48EC-B691-A578035445BD}">
      <formula1>$B$662:$B$733</formula1>
    </dataValidation>
    <dataValidation type="list" showInputMessage="1" showErrorMessage="1" promptTitle="Wrist" prompt="Enter retained degrees of motion or &quot;NA&quot; if contralateral joint has a history of injury or disease." sqref="G400:H400 G406:H406 G404:H404 G402:H402" xr:uid="{C2E10498-1D17-43AA-AD07-56B960BA09FF}">
      <formula1>$B$662:$B$723</formula1>
    </dataValidation>
    <dataValidation type="list" showInputMessage="1" showErrorMessage="1" promptTitle="Arm" prompt="Pronation; enter degrees of pronation ankylosis. If joint was not affected by the injury, select &quot;NA&quot; or leave blank." sqref="C577:D577" xr:uid="{F98D9604-14AD-4A30-AC93-4AD14597FCDA}">
      <formula1>$B$662:$B$743</formula1>
    </dataValidation>
    <dataValidation type="list" showInputMessage="1" showErrorMessage="1" promptTitle="Arm" prompt="Pronation; enter retained degrees of motion. If joint was not affected by the injury, select &quot;NA&quot; or leave blank." sqref="C576:D576" xr:uid="{5A9E506D-FBFD-4DA6-8FDE-AFEFCA24B6C3}">
      <formula1>$B$662:$B$743</formula1>
    </dataValidation>
    <dataValidation type="list" showInputMessage="1" showErrorMessage="1" promptTitle="Arm" prompt="Supination; enter degrees of supination ankylosis. If joint was not affected by the injury, select &quot;NA&quot; or leave blank." sqref="C575:D575" xr:uid="{3615A00D-7919-4441-88D2-138EDF5F672C}">
      <formula1>$B$662:$B$743</formula1>
    </dataValidation>
    <dataValidation type="list" showInputMessage="1" showErrorMessage="1" promptTitle="Elbow" prompt="Enter degrees of extension ankylosis. If joint was not affected by the injury, select &quot;NA&quot; or leave blank." sqref="C573:D573" xr:uid="{42D4B59E-54C2-473D-BE5D-E6162CC156F3}">
      <formula1>$B$662:$B$813</formula1>
    </dataValidation>
    <dataValidation type="list" showInputMessage="1" showErrorMessage="1" promptTitle="Elbow" prompt="Enter retained degrees of motion, extension. If joint was not affected by the injury, select &quot;NA&quot; or leave blank." sqref="C572:D572" xr:uid="{96A4F45E-6254-41F4-A094-6E4D64C7E2CB}">
      <formula1>$B$662:$B$813</formula1>
    </dataValidation>
    <dataValidation type="list" showInputMessage="1" showErrorMessage="1" promptTitle="Elbow" prompt="Enter degrees of flexion ankylosis. If joint was not affected by the injury, select &quot;NA&quot; or leave blank." sqref="C571:D571" xr:uid="{2C1968EE-4FB6-4C33-92D8-72D9723C7359}">
      <formula1>$B$662:$B$813</formula1>
    </dataValidation>
    <dataValidation type="list" showInputMessage="1" showErrorMessage="1" promptTitle="Elbow" prompt="Enter retained degrees of motion or &quot;NA&quot; if contralateral joint has a history of injury or disease." sqref="G570:H570 G576:H576 G574:H574 G572:H572" xr:uid="{70D6973B-8D81-4C51-AD14-3E7691394DB8}">
      <formula1>$B$662:$B$813</formula1>
    </dataValidation>
  </dataValidations>
  <hyperlinks>
    <hyperlink ref="B57:N57" location="Rules!A57" display="Dermatological conditions of the thumb, including burns" xr:uid="{00000000-0004-0000-0500-000000000000}"/>
    <hyperlink ref="B58:N58" location="Rules!A80" display="Vascular dysfunction - thumb; or neurological dysfunction resulting in cold intolerance " xr:uid="{00000000-0004-0000-0500-000001000000}"/>
    <hyperlink ref="B134:N134" location="Rules!A57" display="Dermatological conditions of the thumb, including burns" xr:uid="{00000000-0004-0000-0500-000002000000}"/>
    <hyperlink ref="B135:N135" location="Rules!A80" display="Vascular dysfunction - thumb; or neurological dysfunction resulting in cold intolerance " xr:uid="{00000000-0004-0000-0500-000003000000}"/>
    <hyperlink ref="B210:N210" location="Rules!A57" display="Dermatological conditions of the thumb, including burns" xr:uid="{00000000-0004-0000-0500-000004000000}"/>
    <hyperlink ref="B211:N211" location="Rules!A80" display="Vascular dysfunction - thumb; or neurological dysfunction resulting in cold intolerance " xr:uid="{00000000-0004-0000-0500-000005000000}"/>
    <hyperlink ref="B286:N286" location="Rules!A57" display="Dermatological conditions of the thumb, including burns" xr:uid="{00000000-0004-0000-0500-000006000000}"/>
    <hyperlink ref="B287:N287" location="Rules!A80" display="Vascular dysfunction - thumb; or neurological dysfunction resulting in cold intolerance " xr:uid="{00000000-0004-0000-0500-000007000000}"/>
    <hyperlink ref="B361:N361" location="Rules!A57" display="Dermatological conditions of the thumb, including burns" xr:uid="{00000000-0004-0000-0500-000008000000}"/>
    <hyperlink ref="B362:N362" location="Rules!A80" display="Vascular dysfunction - thumb; or neurological dysfunction resulting in cold intolerance " xr:uid="{00000000-0004-0000-0500-000009000000}"/>
    <hyperlink ref="B442:F443" location="Rules!A80" display="Vascular dysfunction; or neurological dysfunction resulting in cold intolerance:" xr:uid="{00000000-0004-0000-0500-00000A000000}"/>
    <hyperlink ref="B591:N591" location="Rules!A57" display="Dermatological conditions of the thumb, including burns" xr:uid="{00000000-0004-0000-0500-00000B000000}"/>
    <hyperlink ref="B592:N592" location="Rules!A80" display="Vascular dysfunction - thumb; or neurological dysfunction resulting in cold intolerance " xr:uid="{00000000-0004-0000-0500-00000C000000}"/>
    <hyperlink ref="M448:P448" location="Rules!A3" display="Strength grade &amp; loss " xr:uid="{00000000-0004-0000-0500-00000D000000}"/>
    <hyperlink ref="C4:D4" location="'Upper Extremity-Left'!B5" display="Thumb" xr:uid="{00000000-0004-0000-0500-00000E000000}"/>
    <hyperlink ref="E4:F4" location="'Upper Extremity-Left'!B80" display="Index finger" xr:uid="{00000000-0004-0000-0500-00000F000000}"/>
    <hyperlink ref="G4:H4" location="'Upper Extremity-Left'!B156" display="Middle finger" xr:uid="{00000000-0004-0000-0500-000010000000}"/>
    <hyperlink ref="I4:J4" location="'Upper Extremity-Left'!B233" display="Ring finger" xr:uid="{00000000-0004-0000-0500-000011000000}"/>
    <hyperlink ref="K4:L4" location="'Upper Extremity-Left'!B308" display="Little finger" xr:uid="{00000000-0004-0000-0500-000012000000}"/>
    <hyperlink ref="M4:N4" location="'Upper Extremity-Left'!B383" display="hand/ forearm" xr:uid="{00000000-0004-0000-0500-000013000000}"/>
    <hyperlink ref="O4" location="'Upper Extremity-Left'!B556" display="Arm" xr:uid="{00000000-0004-0000-0500-000014000000}"/>
    <hyperlink ref="P4" location="'Upper Extremity-Left'!B442" display="Strength" xr:uid="{00000000-0004-0000-0500-000015000000}"/>
    <hyperlink ref="P564" location="'Upper Extremity-Left'!A429" display="Arm" xr:uid="{00000000-0004-0000-0500-000016000000}"/>
    <hyperlink ref="B646" location="'Upper Extremity-Left'!A1" display="Return to top of sheet" xr:uid="{00000000-0004-0000-0500-000017000000}"/>
    <hyperlink ref="J646:N646" location="'PPD DOI on or after 2005'!A1" display="'PPD DOI on or after 2005'!A1" xr:uid="{00000000-0004-0000-0500-000018000000}"/>
    <hyperlink ref="C646:I646" location="'PPD DOI before 2005'!A1" display="'PPD DOI before 2005'!A1" xr:uid="{00000000-0004-0000-0500-000019000000}"/>
    <hyperlink ref="B438" location="Rules!A57" display="Dermatological conditions, " xr:uid="{00000000-0004-0000-0500-00001A000000}"/>
    <hyperlink ref="B32" location="Rules!A116" display="Loss of sensation" xr:uid="{00000000-0004-0000-0500-00001B000000}"/>
    <hyperlink ref="B114" location="Rules!A116" display="Loss of sensation" xr:uid="{00000000-0004-0000-0500-00001C000000}"/>
    <hyperlink ref="B190" location="Rules!A116" display="Loss of sensation" xr:uid="{00000000-0004-0000-0500-00001D000000}"/>
    <hyperlink ref="B266" location="Rules!A116" display="Loss of sensation" xr:uid="{00000000-0004-0000-0500-00001E000000}"/>
    <hyperlink ref="B341" location="Rules!A116" display="Loss of sensation" xr:uid="{00000000-0004-0000-0500-00001F000000}"/>
  </hyperlinks>
  <pageMargins left="0.66" right="0.55000000000000004" top="0.55000000000000004" bottom="0.86" header="0.44" footer="0.5"/>
  <pageSetup orientation="portrait" horizontalDpi="300" verticalDpi="300" r:id="rId1"/>
  <headerFooter alignWithMargins="0">
    <oddFooter>&amp;LUpper extremity, Left&amp;CPage &amp;P</oddFooter>
  </headerFooter>
  <rowBreaks count="17" manualBreakCount="17">
    <brk id="42" max="16383" man="1"/>
    <brk id="78" max="16383" man="1"/>
    <brk id="123" max="16383" man="1"/>
    <brk id="153" max="16383" man="1"/>
    <brk id="199" max="16383" man="1"/>
    <brk id="230" max="16383" man="1"/>
    <brk id="275" max="16383" man="1"/>
    <brk id="305" max="16383" man="1"/>
    <brk id="350" max="16383" man="1"/>
    <brk id="381" max="16383" man="1"/>
    <brk id="423" max="16383" man="1"/>
    <brk id="455" max="16383" man="1"/>
    <brk id="497" max="16383" man="1"/>
    <brk id="529" max="16383" man="1"/>
    <brk id="562" max="16383" man="1"/>
    <brk id="600" max="16383" man="1"/>
    <brk id="618" max="16383" man="1"/>
  </rowBreaks>
  <ignoredErrors>
    <ignoredError sqref="V29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7109" r:id="rId4" name="Check Box 5">
              <controlPr defaultSize="0" autoFill="0" autoLine="0" autoPict="0">
                <anchor moveWithCells="1">
                  <from>
                    <xdr:col>3</xdr:col>
                    <xdr:colOff>238125</xdr:colOff>
                    <xdr:row>52</xdr:row>
                    <xdr:rowOff>123825</xdr:rowOff>
                  </from>
                  <to>
                    <xdr:col>5</xdr:col>
                    <xdr:colOff>66675</xdr:colOff>
                    <xdr:row>54</xdr:row>
                    <xdr:rowOff>0</xdr:rowOff>
                  </to>
                </anchor>
              </controlPr>
            </control>
          </mc:Choice>
        </mc:AlternateContent>
        <mc:AlternateContent xmlns:mc="http://schemas.openxmlformats.org/markup-compatibility/2006">
          <mc:Choice Requires="x14">
            <control shapeId="47110" r:id="rId5" name="Check Box 6">
              <controlPr defaultSize="0" autoFill="0" autoLine="0" autoPict="0">
                <anchor moveWithCells="1">
                  <from>
                    <xdr:col>3</xdr:col>
                    <xdr:colOff>238125</xdr:colOff>
                    <xdr:row>53</xdr:row>
                    <xdr:rowOff>161925</xdr:rowOff>
                  </from>
                  <to>
                    <xdr:col>5</xdr:col>
                    <xdr:colOff>66675</xdr:colOff>
                    <xdr:row>55</xdr:row>
                    <xdr:rowOff>0</xdr:rowOff>
                  </to>
                </anchor>
              </controlPr>
            </control>
          </mc:Choice>
        </mc:AlternateContent>
        <mc:AlternateContent xmlns:mc="http://schemas.openxmlformats.org/markup-compatibility/2006">
          <mc:Choice Requires="x14">
            <control shapeId="47115" r:id="rId6" name="Check Box 11">
              <controlPr defaultSize="0" autoFill="0" autoLine="0" autoPict="0">
                <anchor moveWithCells="1">
                  <from>
                    <xdr:col>3</xdr:col>
                    <xdr:colOff>19050</xdr:colOff>
                    <xdr:row>128</xdr:row>
                    <xdr:rowOff>133350</xdr:rowOff>
                  </from>
                  <to>
                    <xdr:col>4</xdr:col>
                    <xdr:colOff>57150</xdr:colOff>
                    <xdr:row>130</xdr:row>
                    <xdr:rowOff>9525</xdr:rowOff>
                  </to>
                </anchor>
              </controlPr>
            </control>
          </mc:Choice>
        </mc:AlternateContent>
        <mc:AlternateContent xmlns:mc="http://schemas.openxmlformats.org/markup-compatibility/2006">
          <mc:Choice Requires="x14">
            <control shapeId="47116" r:id="rId7" name="Check Box 12">
              <controlPr defaultSize="0" autoFill="0" autoLine="0" autoPict="0">
                <anchor moveWithCells="1">
                  <from>
                    <xdr:col>3</xdr:col>
                    <xdr:colOff>19050</xdr:colOff>
                    <xdr:row>129</xdr:row>
                    <xdr:rowOff>161925</xdr:rowOff>
                  </from>
                  <to>
                    <xdr:col>4</xdr:col>
                    <xdr:colOff>57150</xdr:colOff>
                    <xdr:row>131</xdr:row>
                    <xdr:rowOff>0</xdr:rowOff>
                  </to>
                </anchor>
              </controlPr>
            </control>
          </mc:Choice>
        </mc:AlternateContent>
        <mc:AlternateContent xmlns:mc="http://schemas.openxmlformats.org/markup-compatibility/2006">
          <mc:Choice Requires="x14">
            <control shapeId="47117" r:id="rId8" name="Check Box 13">
              <controlPr defaultSize="0" autoFill="0" autoLine="0" autoPict="0">
                <anchor moveWithCells="1">
                  <from>
                    <xdr:col>3</xdr:col>
                    <xdr:colOff>19050</xdr:colOff>
                    <xdr:row>130</xdr:row>
                    <xdr:rowOff>171450</xdr:rowOff>
                  </from>
                  <to>
                    <xdr:col>4</xdr:col>
                    <xdr:colOff>57150</xdr:colOff>
                    <xdr:row>132</xdr:row>
                    <xdr:rowOff>9525</xdr:rowOff>
                  </to>
                </anchor>
              </controlPr>
            </control>
          </mc:Choice>
        </mc:AlternateContent>
        <mc:AlternateContent xmlns:mc="http://schemas.openxmlformats.org/markup-compatibility/2006">
          <mc:Choice Requires="x14">
            <control shapeId="47122" r:id="rId9" name="Check Box 18">
              <controlPr defaultSize="0" autoFill="0" autoLine="0" autoPict="0">
                <anchor moveWithCells="1">
                  <from>
                    <xdr:col>3</xdr:col>
                    <xdr:colOff>19050</xdr:colOff>
                    <xdr:row>204</xdr:row>
                    <xdr:rowOff>142875</xdr:rowOff>
                  </from>
                  <to>
                    <xdr:col>4</xdr:col>
                    <xdr:colOff>57150</xdr:colOff>
                    <xdr:row>206</xdr:row>
                    <xdr:rowOff>19050</xdr:rowOff>
                  </to>
                </anchor>
              </controlPr>
            </control>
          </mc:Choice>
        </mc:AlternateContent>
        <mc:AlternateContent xmlns:mc="http://schemas.openxmlformats.org/markup-compatibility/2006">
          <mc:Choice Requires="x14">
            <control shapeId="47123" r:id="rId10" name="Check Box 19">
              <controlPr defaultSize="0" autoFill="0" autoLine="0" autoPict="0">
                <anchor moveWithCells="1">
                  <from>
                    <xdr:col>3</xdr:col>
                    <xdr:colOff>19050</xdr:colOff>
                    <xdr:row>205</xdr:row>
                    <xdr:rowOff>171450</xdr:rowOff>
                  </from>
                  <to>
                    <xdr:col>4</xdr:col>
                    <xdr:colOff>57150</xdr:colOff>
                    <xdr:row>207</xdr:row>
                    <xdr:rowOff>9525</xdr:rowOff>
                  </to>
                </anchor>
              </controlPr>
            </control>
          </mc:Choice>
        </mc:AlternateContent>
        <mc:AlternateContent xmlns:mc="http://schemas.openxmlformats.org/markup-compatibility/2006">
          <mc:Choice Requires="x14">
            <control shapeId="47124" r:id="rId11" name="Check Box 20">
              <controlPr defaultSize="0" autoFill="0" autoLine="0" autoPict="0">
                <anchor moveWithCells="1">
                  <from>
                    <xdr:col>3</xdr:col>
                    <xdr:colOff>19050</xdr:colOff>
                    <xdr:row>206</xdr:row>
                    <xdr:rowOff>180975</xdr:rowOff>
                  </from>
                  <to>
                    <xdr:col>4</xdr:col>
                    <xdr:colOff>57150</xdr:colOff>
                    <xdr:row>208</xdr:row>
                    <xdr:rowOff>19050</xdr:rowOff>
                  </to>
                </anchor>
              </controlPr>
            </control>
          </mc:Choice>
        </mc:AlternateContent>
        <mc:AlternateContent xmlns:mc="http://schemas.openxmlformats.org/markup-compatibility/2006">
          <mc:Choice Requires="x14">
            <control shapeId="47129" r:id="rId12" name="Check Box 25">
              <controlPr defaultSize="0" autoFill="0" autoLine="0" autoPict="0">
                <anchor moveWithCells="1">
                  <from>
                    <xdr:col>3</xdr:col>
                    <xdr:colOff>28575</xdr:colOff>
                    <xdr:row>280</xdr:row>
                    <xdr:rowOff>133350</xdr:rowOff>
                  </from>
                  <to>
                    <xdr:col>4</xdr:col>
                    <xdr:colOff>66675</xdr:colOff>
                    <xdr:row>282</xdr:row>
                    <xdr:rowOff>9525</xdr:rowOff>
                  </to>
                </anchor>
              </controlPr>
            </control>
          </mc:Choice>
        </mc:AlternateContent>
        <mc:AlternateContent xmlns:mc="http://schemas.openxmlformats.org/markup-compatibility/2006">
          <mc:Choice Requires="x14">
            <control shapeId="47130" r:id="rId13" name="Check Box 26">
              <controlPr defaultSize="0" autoFill="0" autoLine="0" autoPict="0">
                <anchor moveWithCells="1">
                  <from>
                    <xdr:col>3</xdr:col>
                    <xdr:colOff>28575</xdr:colOff>
                    <xdr:row>281</xdr:row>
                    <xdr:rowOff>161925</xdr:rowOff>
                  </from>
                  <to>
                    <xdr:col>4</xdr:col>
                    <xdr:colOff>66675</xdr:colOff>
                    <xdr:row>283</xdr:row>
                    <xdr:rowOff>0</xdr:rowOff>
                  </to>
                </anchor>
              </controlPr>
            </control>
          </mc:Choice>
        </mc:AlternateContent>
        <mc:AlternateContent xmlns:mc="http://schemas.openxmlformats.org/markup-compatibility/2006">
          <mc:Choice Requires="x14">
            <control shapeId="47131" r:id="rId14" name="Check Box 27">
              <controlPr defaultSize="0" autoFill="0" autoLine="0" autoPict="0">
                <anchor moveWithCells="1">
                  <from>
                    <xdr:col>3</xdr:col>
                    <xdr:colOff>28575</xdr:colOff>
                    <xdr:row>282</xdr:row>
                    <xdr:rowOff>171450</xdr:rowOff>
                  </from>
                  <to>
                    <xdr:col>4</xdr:col>
                    <xdr:colOff>66675</xdr:colOff>
                    <xdr:row>284</xdr:row>
                    <xdr:rowOff>9525</xdr:rowOff>
                  </to>
                </anchor>
              </controlPr>
            </control>
          </mc:Choice>
        </mc:AlternateContent>
        <mc:AlternateContent xmlns:mc="http://schemas.openxmlformats.org/markup-compatibility/2006">
          <mc:Choice Requires="x14">
            <control shapeId="47136" r:id="rId15" name="Check Box 32">
              <controlPr defaultSize="0" autoFill="0" autoLine="0" autoPict="0">
                <anchor moveWithCells="1">
                  <from>
                    <xdr:col>3</xdr:col>
                    <xdr:colOff>38100</xdr:colOff>
                    <xdr:row>355</xdr:row>
                    <xdr:rowOff>133350</xdr:rowOff>
                  </from>
                  <to>
                    <xdr:col>4</xdr:col>
                    <xdr:colOff>76200</xdr:colOff>
                    <xdr:row>357</xdr:row>
                    <xdr:rowOff>9525</xdr:rowOff>
                  </to>
                </anchor>
              </controlPr>
            </control>
          </mc:Choice>
        </mc:AlternateContent>
        <mc:AlternateContent xmlns:mc="http://schemas.openxmlformats.org/markup-compatibility/2006">
          <mc:Choice Requires="x14">
            <control shapeId="47137" r:id="rId16" name="Check Box 33">
              <controlPr defaultSize="0" autoFill="0" autoLine="0" autoPict="0">
                <anchor moveWithCells="1">
                  <from>
                    <xdr:col>3</xdr:col>
                    <xdr:colOff>38100</xdr:colOff>
                    <xdr:row>356</xdr:row>
                    <xdr:rowOff>161925</xdr:rowOff>
                  </from>
                  <to>
                    <xdr:col>4</xdr:col>
                    <xdr:colOff>76200</xdr:colOff>
                    <xdr:row>358</xdr:row>
                    <xdr:rowOff>0</xdr:rowOff>
                  </to>
                </anchor>
              </controlPr>
            </control>
          </mc:Choice>
        </mc:AlternateContent>
        <mc:AlternateContent xmlns:mc="http://schemas.openxmlformats.org/markup-compatibility/2006">
          <mc:Choice Requires="x14">
            <control shapeId="47138" r:id="rId17" name="Check Box 34">
              <controlPr defaultSize="0" autoFill="0" autoLine="0" autoPict="0">
                <anchor moveWithCells="1">
                  <from>
                    <xdr:col>3</xdr:col>
                    <xdr:colOff>38100</xdr:colOff>
                    <xdr:row>357</xdr:row>
                    <xdr:rowOff>171450</xdr:rowOff>
                  </from>
                  <to>
                    <xdr:col>4</xdr:col>
                    <xdr:colOff>76200</xdr:colOff>
                    <xdr:row>359</xdr:row>
                    <xdr:rowOff>9525</xdr:rowOff>
                  </to>
                </anchor>
              </controlPr>
            </control>
          </mc:Choice>
        </mc:AlternateContent>
        <mc:AlternateContent xmlns:mc="http://schemas.openxmlformats.org/markup-compatibility/2006">
          <mc:Choice Requires="x14">
            <control shapeId="47139" r:id="rId18" name="Check Box 35">
              <controlPr defaultSize="0" autoFill="0" autoLine="0" autoPict="0">
                <anchor moveWithCells="1">
                  <from>
                    <xdr:col>5</xdr:col>
                    <xdr:colOff>247650</xdr:colOff>
                    <xdr:row>384</xdr:row>
                    <xdr:rowOff>266700</xdr:rowOff>
                  </from>
                  <to>
                    <xdr:col>7</xdr:col>
                    <xdr:colOff>238125</xdr:colOff>
                    <xdr:row>385</xdr:row>
                    <xdr:rowOff>219075</xdr:rowOff>
                  </to>
                </anchor>
              </controlPr>
            </control>
          </mc:Choice>
        </mc:AlternateContent>
        <mc:AlternateContent xmlns:mc="http://schemas.openxmlformats.org/markup-compatibility/2006">
          <mc:Choice Requires="x14">
            <control shapeId="47140" r:id="rId19" name="Check Box 36">
              <controlPr defaultSize="0" autoFill="0" autoLine="0" autoPict="0">
                <anchor moveWithCells="1">
                  <from>
                    <xdr:col>5</xdr:col>
                    <xdr:colOff>247650</xdr:colOff>
                    <xdr:row>385</xdr:row>
                    <xdr:rowOff>228600</xdr:rowOff>
                  </from>
                  <to>
                    <xdr:col>7</xdr:col>
                    <xdr:colOff>238125</xdr:colOff>
                    <xdr:row>387</xdr:row>
                    <xdr:rowOff>0</xdr:rowOff>
                  </to>
                </anchor>
              </controlPr>
            </control>
          </mc:Choice>
        </mc:AlternateContent>
        <mc:AlternateContent xmlns:mc="http://schemas.openxmlformats.org/markup-compatibility/2006">
          <mc:Choice Requires="x14">
            <control shapeId="47141" r:id="rId20" name="Check Box 37">
              <controlPr defaultSize="0" autoFill="0" autoLine="0" autoPict="0">
                <anchor moveWithCells="1">
                  <from>
                    <xdr:col>5</xdr:col>
                    <xdr:colOff>247650</xdr:colOff>
                    <xdr:row>387</xdr:row>
                    <xdr:rowOff>9525</xdr:rowOff>
                  </from>
                  <to>
                    <xdr:col>7</xdr:col>
                    <xdr:colOff>238125</xdr:colOff>
                    <xdr:row>388</xdr:row>
                    <xdr:rowOff>0</xdr:rowOff>
                  </to>
                </anchor>
              </controlPr>
            </control>
          </mc:Choice>
        </mc:AlternateContent>
        <mc:AlternateContent xmlns:mc="http://schemas.openxmlformats.org/markup-compatibility/2006">
          <mc:Choice Requires="x14">
            <control shapeId="47142" r:id="rId21" name="Check Box 38">
              <controlPr defaultSize="0" autoFill="0" autoLine="0" autoPict="0">
                <anchor moveWithCells="1">
                  <from>
                    <xdr:col>5</xdr:col>
                    <xdr:colOff>247650</xdr:colOff>
                    <xdr:row>388</xdr:row>
                    <xdr:rowOff>9525</xdr:rowOff>
                  </from>
                  <to>
                    <xdr:col>7</xdr:col>
                    <xdr:colOff>238125</xdr:colOff>
                    <xdr:row>389</xdr:row>
                    <xdr:rowOff>0</xdr:rowOff>
                  </to>
                </anchor>
              </controlPr>
            </control>
          </mc:Choice>
        </mc:AlternateContent>
        <mc:AlternateContent xmlns:mc="http://schemas.openxmlformats.org/markup-compatibility/2006">
          <mc:Choice Requires="x14">
            <control shapeId="47143" r:id="rId22" name="Check Box 39">
              <controlPr defaultSize="0" autoFill="0" autoLine="0" autoPict="0">
                <anchor moveWithCells="1">
                  <from>
                    <xdr:col>5</xdr:col>
                    <xdr:colOff>247650</xdr:colOff>
                    <xdr:row>389</xdr:row>
                    <xdr:rowOff>9525</xdr:rowOff>
                  </from>
                  <to>
                    <xdr:col>7</xdr:col>
                    <xdr:colOff>238125</xdr:colOff>
                    <xdr:row>390</xdr:row>
                    <xdr:rowOff>0</xdr:rowOff>
                  </to>
                </anchor>
              </controlPr>
            </control>
          </mc:Choice>
        </mc:AlternateContent>
        <mc:AlternateContent xmlns:mc="http://schemas.openxmlformats.org/markup-compatibility/2006">
          <mc:Choice Requires="x14">
            <control shapeId="47169" r:id="rId23" name="Check Box 65">
              <controlPr defaultSize="0" autoFill="0" autoLine="0" autoPict="0">
                <anchor moveWithCells="1">
                  <from>
                    <xdr:col>7</xdr:col>
                    <xdr:colOff>47625</xdr:colOff>
                    <xdr:row>420</xdr:row>
                    <xdr:rowOff>123825</xdr:rowOff>
                  </from>
                  <to>
                    <xdr:col>8</xdr:col>
                    <xdr:colOff>66675</xdr:colOff>
                    <xdr:row>421</xdr:row>
                    <xdr:rowOff>200025</xdr:rowOff>
                  </to>
                </anchor>
              </controlPr>
            </control>
          </mc:Choice>
        </mc:AlternateContent>
        <mc:AlternateContent xmlns:mc="http://schemas.openxmlformats.org/markup-compatibility/2006">
          <mc:Choice Requires="x14">
            <control shapeId="47170" r:id="rId24" name="Check Box 66">
              <controlPr defaultSize="0" autoFill="0" autoLine="0" autoPict="0">
                <anchor moveWithCells="1">
                  <from>
                    <xdr:col>7</xdr:col>
                    <xdr:colOff>47625</xdr:colOff>
                    <xdr:row>421</xdr:row>
                    <xdr:rowOff>209550</xdr:rowOff>
                  </from>
                  <to>
                    <xdr:col>8</xdr:col>
                    <xdr:colOff>66675</xdr:colOff>
                    <xdr:row>422</xdr:row>
                    <xdr:rowOff>200025</xdr:rowOff>
                  </to>
                </anchor>
              </controlPr>
            </control>
          </mc:Choice>
        </mc:AlternateContent>
        <mc:AlternateContent xmlns:mc="http://schemas.openxmlformats.org/markup-compatibility/2006">
          <mc:Choice Requires="x14">
            <control shapeId="47171" r:id="rId25" name="Check Box 67">
              <controlPr locked="0" defaultSize="0" autoFill="0" autoLine="0" autoPict="0">
                <anchor moveWithCells="1">
                  <from>
                    <xdr:col>4</xdr:col>
                    <xdr:colOff>9525</xdr:colOff>
                    <xdr:row>448</xdr:row>
                    <xdr:rowOff>190500</xdr:rowOff>
                  </from>
                  <to>
                    <xdr:col>5</xdr:col>
                    <xdr:colOff>104775</xdr:colOff>
                    <xdr:row>450</xdr:row>
                    <xdr:rowOff>28575</xdr:rowOff>
                  </to>
                </anchor>
              </controlPr>
            </control>
          </mc:Choice>
        </mc:AlternateContent>
        <mc:AlternateContent xmlns:mc="http://schemas.openxmlformats.org/markup-compatibility/2006">
          <mc:Choice Requires="x14">
            <control shapeId="47172" r:id="rId26" name="Check Box 68">
              <controlPr locked="0" defaultSize="0" autoFill="0" autoLine="0" autoPict="0">
                <anchor moveWithCells="1">
                  <from>
                    <xdr:col>4</xdr:col>
                    <xdr:colOff>9525</xdr:colOff>
                    <xdr:row>449</xdr:row>
                    <xdr:rowOff>180975</xdr:rowOff>
                  </from>
                  <to>
                    <xdr:col>5</xdr:col>
                    <xdr:colOff>104775</xdr:colOff>
                    <xdr:row>451</xdr:row>
                    <xdr:rowOff>19050</xdr:rowOff>
                  </to>
                </anchor>
              </controlPr>
            </control>
          </mc:Choice>
        </mc:AlternateContent>
        <mc:AlternateContent xmlns:mc="http://schemas.openxmlformats.org/markup-compatibility/2006">
          <mc:Choice Requires="x14">
            <control shapeId="47173" r:id="rId27" name="Check Box 69">
              <controlPr locked="0" defaultSize="0" autoFill="0" autoLine="0" autoPict="0">
                <anchor moveWithCells="1">
                  <from>
                    <xdr:col>4</xdr:col>
                    <xdr:colOff>9525</xdr:colOff>
                    <xdr:row>450</xdr:row>
                    <xdr:rowOff>171450</xdr:rowOff>
                  </from>
                  <to>
                    <xdr:col>5</xdr:col>
                    <xdr:colOff>104775</xdr:colOff>
                    <xdr:row>452</xdr:row>
                    <xdr:rowOff>9525</xdr:rowOff>
                  </to>
                </anchor>
              </controlPr>
            </control>
          </mc:Choice>
        </mc:AlternateContent>
        <mc:AlternateContent xmlns:mc="http://schemas.openxmlformats.org/markup-compatibility/2006">
          <mc:Choice Requires="x14">
            <control shapeId="47174" r:id="rId28" name="Check Box 70">
              <controlPr locked="0" defaultSize="0" autoFill="0" autoLine="0" autoPict="0">
                <anchor moveWithCells="1">
                  <from>
                    <xdr:col>4</xdr:col>
                    <xdr:colOff>9525</xdr:colOff>
                    <xdr:row>451</xdr:row>
                    <xdr:rowOff>161925</xdr:rowOff>
                  </from>
                  <to>
                    <xdr:col>5</xdr:col>
                    <xdr:colOff>104775</xdr:colOff>
                    <xdr:row>453</xdr:row>
                    <xdr:rowOff>0</xdr:rowOff>
                  </to>
                </anchor>
              </controlPr>
            </control>
          </mc:Choice>
        </mc:AlternateContent>
        <mc:AlternateContent xmlns:mc="http://schemas.openxmlformats.org/markup-compatibility/2006">
          <mc:Choice Requires="x14">
            <control shapeId="47175" r:id="rId29" name="Check Box 71">
              <controlPr locked="0" defaultSize="0" autoFill="0" autoLine="0" autoPict="0">
                <anchor moveWithCells="1">
                  <from>
                    <xdr:col>4</xdr:col>
                    <xdr:colOff>9525</xdr:colOff>
                    <xdr:row>452</xdr:row>
                    <xdr:rowOff>171450</xdr:rowOff>
                  </from>
                  <to>
                    <xdr:col>5</xdr:col>
                    <xdr:colOff>104775</xdr:colOff>
                    <xdr:row>454</xdr:row>
                    <xdr:rowOff>9525</xdr:rowOff>
                  </to>
                </anchor>
              </controlPr>
            </control>
          </mc:Choice>
        </mc:AlternateContent>
        <mc:AlternateContent xmlns:mc="http://schemas.openxmlformats.org/markup-compatibility/2006">
          <mc:Choice Requires="x14">
            <control shapeId="47176" r:id="rId30" name="Check Box 72">
              <controlPr locked="0" defaultSize="0" autoFill="0" autoLine="0" autoPict="0">
                <anchor moveWithCells="1">
                  <from>
                    <xdr:col>4</xdr:col>
                    <xdr:colOff>9525</xdr:colOff>
                    <xdr:row>456</xdr:row>
                    <xdr:rowOff>180975</xdr:rowOff>
                  </from>
                  <to>
                    <xdr:col>5</xdr:col>
                    <xdr:colOff>104775</xdr:colOff>
                    <xdr:row>457</xdr:row>
                    <xdr:rowOff>333375</xdr:rowOff>
                  </to>
                </anchor>
              </controlPr>
            </control>
          </mc:Choice>
        </mc:AlternateContent>
        <mc:AlternateContent xmlns:mc="http://schemas.openxmlformats.org/markup-compatibility/2006">
          <mc:Choice Requires="x14">
            <control shapeId="47177" r:id="rId31" name="Check Box 73">
              <controlPr locked="0" defaultSize="0" autoFill="0" autoLine="0" autoPict="0">
                <anchor moveWithCells="1">
                  <from>
                    <xdr:col>4</xdr:col>
                    <xdr:colOff>9525</xdr:colOff>
                    <xdr:row>457</xdr:row>
                    <xdr:rowOff>323850</xdr:rowOff>
                  </from>
                  <to>
                    <xdr:col>5</xdr:col>
                    <xdr:colOff>104775</xdr:colOff>
                    <xdr:row>459</xdr:row>
                    <xdr:rowOff>9525</xdr:rowOff>
                  </to>
                </anchor>
              </controlPr>
            </control>
          </mc:Choice>
        </mc:AlternateContent>
        <mc:AlternateContent xmlns:mc="http://schemas.openxmlformats.org/markup-compatibility/2006">
          <mc:Choice Requires="x14">
            <control shapeId="47178" r:id="rId32" name="Check Box 74">
              <controlPr locked="0" defaultSize="0" autoFill="0" autoLine="0" autoPict="0">
                <anchor moveWithCells="1">
                  <from>
                    <xdr:col>4</xdr:col>
                    <xdr:colOff>9525</xdr:colOff>
                    <xdr:row>458</xdr:row>
                    <xdr:rowOff>161925</xdr:rowOff>
                  </from>
                  <to>
                    <xdr:col>5</xdr:col>
                    <xdr:colOff>104775</xdr:colOff>
                    <xdr:row>460</xdr:row>
                    <xdr:rowOff>0</xdr:rowOff>
                  </to>
                </anchor>
              </controlPr>
            </control>
          </mc:Choice>
        </mc:AlternateContent>
        <mc:AlternateContent xmlns:mc="http://schemas.openxmlformats.org/markup-compatibility/2006">
          <mc:Choice Requires="x14">
            <control shapeId="47179" r:id="rId33" name="Check Box 75">
              <controlPr locked="0" defaultSize="0" autoFill="0" autoLine="0" autoPict="0">
                <anchor moveWithCells="1">
                  <from>
                    <xdr:col>4</xdr:col>
                    <xdr:colOff>9525</xdr:colOff>
                    <xdr:row>459</xdr:row>
                    <xdr:rowOff>152400</xdr:rowOff>
                  </from>
                  <to>
                    <xdr:col>5</xdr:col>
                    <xdr:colOff>104775</xdr:colOff>
                    <xdr:row>460</xdr:row>
                    <xdr:rowOff>180975</xdr:rowOff>
                  </to>
                </anchor>
              </controlPr>
            </control>
          </mc:Choice>
        </mc:AlternateContent>
        <mc:AlternateContent xmlns:mc="http://schemas.openxmlformats.org/markup-compatibility/2006">
          <mc:Choice Requires="x14">
            <control shapeId="47187" r:id="rId34" name="Check Box 83">
              <controlPr locked="0" defaultSize="0" autoFill="0" autoLine="0" autoPict="0">
                <anchor moveWithCells="1">
                  <from>
                    <xdr:col>4</xdr:col>
                    <xdr:colOff>9525</xdr:colOff>
                    <xdr:row>493</xdr:row>
                    <xdr:rowOff>161925</xdr:rowOff>
                  </from>
                  <to>
                    <xdr:col>5</xdr:col>
                    <xdr:colOff>104775</xdr:colOff>
                    <xdr:row>495</xdr:row>
                    <xdr:rowOff>0</xdr:rowOff>
                  </to>
                </anchor>
              </controlPr>
            </control>
          </mc:Choice>
        </mc:AlternateContent>
        <mc:AlternateContent xmlns:mc="http://schemas.openxmlformats.org/markup-compatibility/2006">
          <mc:Choice Requires="x14">
            <control shapeId="47189" r:id="rId35" name="Check Box 85">
              <controlPr locked="0" defaultSize="0" autoFill="0" autoLine="0" autoPict="0">
                <anchor moveWithCells="1">
                  <from>
                    <xdr:col>4</xdr:col>
                    <xdr:colOff>9525</xdr:colOff>
                    <xdr:row>492</xdr:row>
                    <xdr:rowOff>142875</xdr:rowOff>
                  </from>
                  <to>
                    <xdr:col>5</xdr:col>
                    <xdr:colOff>104775</xdr:colOff>
                    <xdr:row>493</xdr:row>
                    <xdr:rowOff>171450</xdr:rowOff>
                  </to>
                </anchor>
              </controlPr>
            </control>
          </mc:Choice>
        </mc:AlternateContent>
        <mc:AlternateContent xmlns:mc="http://schemas.openxmlformats.org/markup-compatibility/2006">
          <mc:Choice Requires="x14">
            <control shapeId="47203" r:id="rId36" name="Check Box 99">
              <controlPr locked="0" defaultSize="0" autoFill="0" autoLine="0" autoPict="0">
                <anchor moveWithCells="1">
                  <from>
                    <xdr:col>4</xdr:col>
                    <xdr:colOff>9525</xdr:colOff>
                    <xdr:row>481</xdr:row>
                    <xdr:rowOff>161925</xdr:rowOff>
                  </from>
                  <to>
                    <xdr:col>5</xdr:col>
                    <xdr:colOff>104775</xdr:colOff>
                    <xdr:row>483</xdr:row>
                    <xdr:rowOff>0</xdr:rowOff>
                  </to>
                </anchor>
              </controlPr>
            </control>
          </mc:Choice>
        </mc:AlternateContent>
        <mc:AlternateContent xmlns:mc="http://schemas.openxmlformats.org/markup-compatibility/2006">
          <mc:Choice Requires="x14">
            <control shapeId="47204" r:id="rId37" name="Check Box 100">
              <controlPr locked="0" defaultSize="0" autoFill="0" autoLine="0" autoPict="0">
                <anchor moveWithCells="1">
                  <from>
                    <xdr:col>4</xdr:col>
                    <xdr:colOff>9525</xdr:colOff>
                    <xdr:row>482</xdr:row>
                    <xdr:rowOff>161925</xdr:rowOff>
                  </from>
                  <to>
                    <xdr:col>5</xdr:col>
                    <xdr:colOff>104775</xdr:colOff>
                    <xdr:row>484</xdr:row>
                    <xdr:rowOff>0</xdr:rowOff>
                  </to>
                </anchor>
              </controlPr>
            </control>
          </mc:Choice>
        </mc:AlternateContent>
        <mc:AlternateContent xmlns:mc="http://schemas.openxmlformats.org/markup-compatibility/2006">
          <mc:Choice Requires="x14">
            <control shapeId="47205" r:id="rId38" name="Check Box 101">
              <controlPr locked="0" defaultSize="0" autoFill="0" autoLine="0" autoPict="0">
                <anchor moveWithCells="1">
                  <from>
                    <xdr:col>4</xdr:col>
                    <xdr:colOff>9525</xdr:colOff>
                    <xdr:row>483</xdr:row>
                    <xdr:rowOff>142875</xdr:rowOff>
                  </from>
                  <to>
                    <xdr:col>5</xdr:col>
                    <xdr:colOff>104775</xdr:colOff>
                    <xdr:row>484</xdr:row>
                    <xdr:rowOff>171450</xdr:rowOff>
                  </to>
                </anchor>
              </controlPr>
            </control>
          </mc:Choice>
        </mc:AlternateContent>
        <mc:AlternateContent xmlns:mc="http://schemas.openxmlformats.org/markup-compatibility/2006">
          <mc:Choice Requires="x14">
            <control shapeId="47206" r:id="rId39" name="Check Box 102">
              <controlPr locked="0" defaultSize="0" autoFill="0" autoLine="0" autoPict="0">
                <anchor moveWithCells="1">
                  <from>
                    <xdr:col>4</xdr:col>
                    <xdr:colOff>9525</xdr:colOff>
                    <xdr:row>484</xdr:row>
                    <xdr:rowOff>133350</xdr:rowOff>
                  </from>
                  <to>
                    <xdr:col>5</xdr:col>
                    <xdr:colOff>104775</xdr:colOff>
                    <xdr:row>485</xdr:row>
                    <xdr:rowOff>161925</xdr:rowOff>
                  </to>
                </anchor>
              </controlPr>
            </control>
          </mc:Choice>
        </mc:AlternateContent>
        <mc:AlternateContent xmlns:mc="http://schemas.openxmlformats.org/markup-compatibility/2006">
          <mc:Choice Requires="x14">
            <control shapeId="47207" r:id="rId40" name="Check Box 103">
              <controlPr locked="0" defaultSize="0" autoFill="0" autoLine="0" autoPict="0">
                <anchor moveWithCells="1">
                  <from>
                    <xdr:col>4</xdr:col>
                    <xdr:colOff>9525</xdr:colOff>
                    <xdr:row>485</xdr:row>
                    <xdr:rowOff>142875</xdr:rowOff>
                  </from>
                  <to>
                    <xdr:col>5</xdr:col>
                    <xdr:colOff>104775</xdr:colOff>
                    <xdr:row>486</xdr:row>
                    <xdr:rowOff>171450</xdr:rowOff>
                  </to>
                </anchor>
              </controlPr>
            </control>
          </mc:Choice>
        </mc:AlternateContent>
        <mc:AlternateContent xmlns:mc="http://schemas.openxmlformats.org/markup-compatibility/2006">
          <mc:Choice Requires="x14">
            <control shapeId="47208" r:id="rId41" name="Check Box 104">
              <controlPr locked="0" defaultSize="0" autoFill="0" autoLine="0" autoPict="0">
                <anchor moveWithCells="1">
                  <from>
                    <xdr:col>4</xdr:col>
                    <xdr:colOff>9525</xdr:colOff>
                    <xdr:row>486</xdr:row>
                    <xdr:rowOff>142875</xdr:rowOff>
                  </from>
                  <to>
                    <xdr:col>5</xdr:col>
                    <xdr:colOff>104775</xdr:colOff>
                    <xdr:row>487</xdr:row>
                    <xdr:rowOff>171450</xdr:rowOff>
                  </to>
                </anchor>
              </controlPr>
            </control>
          </mc:Choice>
        </mc:AlternateContent>
        <mc:AlternateContent xmlns:mc="http://schemas.openxmlformats.org/markup-compatibility/2006">
          <mc:Choice Requires="x14">
            <control shapeId="47209" r:id="rId42" name="Check Box 105">
              <controlPr locked="0" defaultSize="0" autoFill="0" autoLine="0" autoPict="0">
                <anchor moveWithCells="1">
                  <from>
                    <xdr:col>4</xdr:col>
                    <xdr:colOff>9525</xdr:colOff>
                    <xdr:row>487</xdr:row>
                    <xdr:rowOff>142875</xdr:rowOff>
                  </from>
                  <to>
                    <xdr:col>5</xdr:col>
                    <xdr:colOff>104775</xdr:colOff>
                    <xdr:row>488</xdr:row>
                    <xdr:rowOff>171450</xdr:rowOff>
                  </to>
                </anchor>
              </controlPr>
            </control>
          </mc:Choice>
        </mc:AlternateContent>
        <mc:AlternateContent xmlns:mc="http://schemas.openxmlformats.org/markup-compatibility/2006">
          <mc:Choice Requires="x14">
            <control shapeId="47210" r:id="rId43" name="Check Box 106">
              <controlPr locked="0" defaultSize="0" autoFill="0" autoLine="0" autoPict="0">
                <anchor moveWithCells="1">
                  <from>
                    <xdr:col>4</xdr:col>
                    <xdr:colOff>9525</xdr:colOff>
                    <xdr:row>488</xdr:row>
                    <xdr:rowOff>161925</xdr:rowOff>
                  </from>
                  <to>
                    <xdr:col>5</xdr:col>
                    <xdr:colOff>104775</xdr:colOff>
                    <xdr:row>490</xdr:row>
                    <xdr:rowOff>0</xdr:rowOff>
                  </to>
                </anchor>
              </controlPr>
            </control>
          </mc:Choice>
        </mc:AlternateContent>
        <mc:AlternateContent xmlns:mc="http://schemas.openxmlformats.org/markup-compatibility/2006">
          <mc:Choice Requires="x14">
            <control shapeId="47211" r:id="rId44" name="Check Box 107">
              <controlPr locked="0" defaultSize="0" autoFill="0" autoLine="0" autoPict="0">
                <anchor moveWithCells="1">
                  <from>
                    <xdr:col>4</xdr:col>
                    <xdr:colOff>9525</xdr:colOff>
                    <xdr:row>489</xdr:row>
                    <xdr:rowOff>142875</xdr:rowOff>
                  </from>
                  <to>
                    <xdr:col>5</xdr:col>
                    <xdr:colOff>104775</xdr:colOff>
                    <xdr:row>490</xdr:row>
                    <xdr:rowOff>171450</xdr:rowOff>
                  </to>
                </anchor>
              </controlPr>
            </control>
          </mc:Choice>
        </mc:AlternateContent>
        <mc:AlternateContent xmlns:mc="http://schemas.openxmlformats.org/markup-compatibility/2006">
          <mc:Choice Requires="x14">
            <control shapeId="47212" r:id="rId45" name="Check Box 108">
              <controlPr locked="0" defaultSize="0" autoFill="0" autoLine="0" autoPict="0">
                <anchor moveWithCells="1">
                  <from>
                    <xdr:col>4</xdr:col>
                    <xdr:colOff>9525</xdr:colOff>
                    <xdr:row>490</xdr:row>
                    <xdr:rowOff>152400</xdr:rowOff>
                  </from>
                  <to>
                    <xdr:col>5</xdr:col>
                    <xdr:colOff>104775</xdr:colOff>
                    <xdr:row>491</xdr:row>
                    <xdr:rowOff>180975</xdr:rowOff>
                  </to>
                </anchor>
              </controlPr>
            </control>
          </mc:Choice>
        </mc:AlternateContent>
        <mc:AlternateContent xmlns:mc="http://schemas.openxmlformats.org/markup-compatibility/2006">
          <mc:Choice Requires="x14">
            <control shapeId="47213" r:id="rId46" name="Check Box 109">
              <controlPr locked="0" defaultSize="0" autoFill="0" autoLine="0" autoPict="0">
                <anchor moveWithCells="1">
                  <from>
                    <xdr:col>4</xdr:col>
                    <xdr:colOff>9525</xdr:colOff>
                    <xdr:row>491</xdr:row>
                    <xdr:rowOff>142875</xdr:rowOff>
                  </from>
                  <to>
                    <xdr:col>5</xdr:col>
                    <xdr:colOff>104775</xdr:colOff>
                    <xdr:row>492</xdr:row>
                    <xdr:rowOff>171450</xdr:rowOff>
                  </to>
                </anchor>
              </controlPr>
            </control>
          </mc:Choice>
        </mc:AlternateContent>
        <mc:AlternateContent xmlns:mc="http://schemas.openxmlformats.org/markup-compatibility/2006">
          <mc:Choice Requires="x14">
            <control shapeId="47224" r:id="rId47" name="Check Box 120">
              <controlPr defaultSize="0" autoFill="0" autoLine="0" autoPict="0">
                <anchor moveWithCells="1">
                  <from>
                    <xdr:col>4</xdr:col>
                    <xdr:colOff>9525</xdr:colOff>
                    <xdr:row>497</xdr:row>
                    <xdr:rowOff>133350</xdr:rowOff>
                  </from>
                  <to>
                    <xdr:col>5</xdr:col>
                    <xdr:colOff>104775</xdr:colOff>
                    <xdr:row>499</xdr:row>
                    <xdr:rowOff>9525</xdr:rowOff>
                  </to>
                </anchor>
              </controlPr>
            </control>
          </mc:Choice>
        </mc:AlternateContent>
        <mc:AlternateContent xmlns:mc="http://schemas.openxmlformats.org/markup-compatibility/2006">
          <mc:Choice Requires="x14">
            <control shapeId="47225" r:id="rId48" name="Check Box 121">
              <controlPr defaultSize="0" autoFill="0" autoLine="0" autoPict="0">
                <anchor moveWithCells="1">
                  <from>
                    <xdr:col>4</xdr:col>
                    <xdr:colOff>9525</xdr:colOff>
                    <xdr:row>498</xdr:row>
                    <xdr:rowOff>171450</xdr:rowOff>
                  </from>
                  <to>
                    <xdr:col>5</xdr:col>
                    <xdr:colOff>104775</xdr:colOff>
                    <xdr:row>500</xdr:row>
                    <xdr:rowOff>9525</xdr:rowOff>
                  </to>
                </anchor>
              </controlPr>
            </control>
          </mc:Choice>
        </mc:AlternateContent>
        <mc:AlternateContent xmlns:mc="http://schemas.openxmlformats.org/markup-compatibility/2006">
          <mc:Choice Requires="x14">
            <control shapeId="47226" r:id="rId49" name="Check Box 122">
              <controlPr defaultSize="0" autoFill="0" autoLine="0" autoPict="0">
                <anchor moveWithCells="1">
                  <from>
                    <xdr:col>4</xdr:col>
                    <xdr:colOff>9525</xdr:colOff>
                    <xdr:row>500</xdr:row>
                    <xdr:rowOff>9525</xdr:rowOff>
                  </from>
                  <to>
                    <xdr:col>5</xdr:col>
                    <xdr:colOff>104775</xdr:colOff>
                    <xdr:row>500</xdr:row>
                    <xdr:rowOff>228600</xdr:rowOff>
                  </to>
                </anchor>
              </controlPr>
            </control>
          </mc:Choice>
        </mc:AlternateContent>
        <mc:AlternateContent xmlns:mc="http://schemas.openxmlformats.org/markup-compatibility/2006">
          <mc:Choice Requires="x14">
            <control shapeId="47227" r:id="rId50" name="Check Box 123">
              <controlPr defaultSize="0" autoFill="0" autoLine="0" autoPict="0">
                <anchor moveWithCells="1">
                  <from>
                    <xdr:col>4</xdr:col>
                    <xdr:colOff>9525</xdr:colOff>
                    <xdr:row>500</xdr:row>
                    <xdr:rowOff>314325</xdr:rowOff>
                  </from>
                  <to>
                    <xdr:col>5</xdr:col>
                    <xdr:colOff>104775</xdr:colOff>
                    <xdr:row>502</xdr:row>
                    <xdr:rowOff>0</xdr:rowOff>
                  </to>
                </anchor>
              </controlPr>
            </control>
          </mc:Choice>
        </mc:AlternateContent>
        <mc:AlternateContent xmlns:mc="http://schemas.openxmlformats.org/markup-compatibility/2006">
          <mc:Choice Requires="x14">
            <control shapeId="47228" r:id="rId51" name="Check Box 124">
              <controlPr defaultSize="0" autoFill="0" autoLine="0" autoPict="0">
                <anchor moveWithCells="1">
                  <from>
                    <xdr:col>4</xdr:col>
                    <xdr:colOff>9525</xdr:colOff>
                    <xdr:row>501</xdr:row>
                    <xdr:rowOff>161925</xdr:rowOff>
                  </from>
                  <to>
                    <xdr:col>5</xdr:col>
                    <xdr:colOff>104775</xdr:colOff>
                    <xdr:row>503</xdr:row>
                    <xdr:rowOff>0</xdr:rowOff>
                  </to>
                </anchor>
              </controlPr>
            </control>
          </mc:Choice>
        </mc:AlternateContent>
        <mc:AlternateContent xmlns:mc="http://schemas.openxmlformats.org/markup-compatibility/2006">
          <mc:Choice Requires="x14">
            <control shapeId="47229" r:id="rId52" name="Check Box 125">
              <controlPr defaultSize="0" autoFill="0" autoLine="0" autoPict="0">
                <anchor moveWithCells="1">
                  <from>
                    <xdr:col>4</xdr:col>
                    <xdr:colOff>9525</xdr:colOff>
                    <xdr:row>502</xdr:row>
                    <xdr:rowOff>161925</xdr:rowOff>
                  </from>
                  <to>
                    <xdr:col>5</xdr:col>
                    <xdr:colOff>104775</xdr:colOff>
                    <xdr:row>504</xdr:row>
                    <xdr:rowOff>0</xdr:rowOff>
                  </to>
                </anchor>
              </controlPr>
            </control>
          </mc:Choice>
        </mc:AlternateContent>
        <mc:AlternateContent xmlns:mc="http://schemas.openxmlformats.org/markup-compatibility/2006">
          <mc:Choice Requires="x14">
            <control shapeId="47230" r:id="rId53" name="Check Box 126">
              <controlPr defaultSize="0" autoFill="0" autoLine="0" autoPict="0">
                <anchor moveWithCells="1">
                  <from>
                    <xdr:col>4</xdr:col>
                    <xdr:colOff>9525</xdr:colOff>
                    <xdr:row>503</xdr:row>
                    <xdr:rowOff>161925</xdr:rowOff>
                  </from>
                  <to>
                    <xdr:col>5</xdr:col>
                    <xdr:colOff>104775</xdr:colOff>
                    <xdr:row>505</xdr:row>
                    <xdr:rowOff>0</xdr:rowOff>
                  </to>
                </anchor>
              </controlPr>
            </control>
          </mc:Choice>
        </mc:AlternateContent>
        <mc:AlternateContent xmlns:mc="http://schemas.openxmlformats.org/markup-compatibility/2006">
          <mc:Choice Requires="x14">
            <control shapeId="47231" r:id="rId54" name="Check Box 127">
              <controlPr defaultSize="0" autoFill="0" autoLine="0" autoPict="0">
                <anchor moveWithCells="1">
                  <from>
                    <xdr:col>4</xdr:col>
                    <xdr:colOff>9525</xdr:colOff>
                    <xdr:row>504</xdr:row>
                    <xdr:rowOff>161925</xdr:rowOff>
                  </from>
                  <to>
                    <xdr:col>5</xdr:col>
                    <xdr:colOff>104775</xdr:colOff>
                    <xdr:row>506</xdr:row>
                    <xdr:rowOff>0</xdr:rowOff>
                  </to>
                </anchor>
              </controlPr>
            </control>
          </mc:Choice>
        </mc:AlternateContent>
        <mc:AlternateContent xmlns:mc="http://schemas.openxmlformats.org/markup-compatibility/2006">
          <mc:Choice Requires="x14">
            <control shapeId="47232" r:id="rId55" name="Check Box 128">
              <controlPr defaultSize="0" autoFill="0" autoLine="0" autoPict="0">
                <anchor moveWithCells="1">
                  <from>
                    <xdr:col>4</xdr:col>
                    <xdr:colOff>9525</xdr:colOff>
                    <xdr:row>505</xdr:row>
                    <xdr:rowOff>161925</xdr:rowOff>
                  </from>
                  <to>
                    <xdr:col>5</xdr:col>
                    <xdr:colOff>104775</xdr:colOff>
                    <xdr:row>507</xdr:row>
                    <xdr:rowOff>0</xdr:rowOff>
                  </to>
                </anchor>
              </controlPr>
            </control>
          </mc:Choice>
        </mc:AlternateContent>
        <mc:AlternateContent xmlns:mc="http://schemas.openxmlformats.org/markup-compatibility/2006">
          <mc:Choice Requires="x14">
            <control shapeId="47233" r:id="rId56" name="Check Box 129">
              <controlPr defaultSize="0" autoFill="0" autoLine="0" autoPict="0">
                <anchor moveWithCells="1">
                  <from>
                    <xdr:col>4</xdr:col>
                    <xdr:colOff>9525</xdr:colOff>
                    <xdr:row>506</xdr:row>
                    <xdr:rowOff>161925</xdr:rowOff>
                  </from>
                  <to>
                    <xdr:col>5</xdr:col>
                    <xdr:colOff>104775</xdr:colOff>
                    <xdr:row>508</xdr:row>
                    <xdr:rowOff>0</xdr:rowOff>
                  </to>
                </anchor>
              </controlPr>
            </control>
          </mc:Choice>
        </mc:AlternateContent>
        <mc:AlternateContent xmlns:mc="http://schemas.openxmlformats.org/markup-compatibility/2006">
          <mc:Choice Requires="x14">
            <control shapeId="47234" r:id="rId57" name="Check Box 130">
              <controlPr defaultSize="0" autoFill="0" autoLine="0" autoPict="0">
                <anchor moveWithCells="1">
                  <from>
                    <xdr:col>4</xdr:col>
                    <xdr:colOff>9525</xdr:colOff>
                    <xdr:row>507</xdr:row>
                    <xdr:rowOff>104775</xdr:rowOff>
                  </from>
                  <to>
                    <xdr:col>5</xdr:col>
                    <xdr:colOff>104775</xdr:colOff>
                    <xdr:row>508</xdr:row>
                    <xdr:rowOff>314325</xdr:rowOff>
                  </to>
                </anchor>
              </controlPr>
            </control>
          </mc:Choice>
        </mc:AlternateContent>
        <mc:AlternateContent xmlns:mc="http://schemas.openxmlformats.org/markup-compatibility/2006">
          <mc:Choice Requires="x14">
            <control shapeId="47235" r:id="rId58" name="Group Box 131">
              <controlPr defaultSize="0" autoFill="0" autoPict="0">
                <anchor moveWithCells="1">
                  <from>
                    <xdr:col>11</xdr:col>
                    <xdr:colOff>9525</xdr:colOff>
                    <xdr:row>516</xdr:row>
                    <xdr:rowOff>514350</xdr:rowOff>
                  </from>
                  <to>
                    <xdr:col>15</xdr:col>
                    <xdr:colOff>19050</xdr:colOff>
                    <xdr:row>518</xdr:row>
                    <xdr:rowOff>0</xdr:rowOff>
                  </to>
                </anchor>
              </controlPr>
            </control>
          </mc:Choice>
        </mc:AlternateContent>
        <mc:AlternateContent xmlns:mc="http://schemas.openxmlformats.org/markup-compatibility/2006">
          <mc:Choice Requires="x14">
            <control shapeId="47236" r:id="rId59" name="Option Button 132">
              <controlPr defaultSize="0" autoFill="0" autoLine="0" autoPict="0">
                <anchor moveWithCells="1">
                  <from>
                    <xdr:col>11</xdr:col>
                    <xdr:colOff>190500</xdr:colOff>
                    <xdr:row>516</xdr:row>
                    <xdr:rowOff>514350</xdr:rowOff>
                  </from>
                  <to>
                    <xdr:col>13</xdr:col>
                    <xdr:colOff>66675</xdr:colOff>
                    <xdr:row>517</xdr:row>
                    <xdr:rowOff>228600</xdr:rowOff>
                  </to>
                </anchor>
              </controlPr>
            </control>
          </mc:Choice>
        </mc:AlternateContent>
        <mc:AlternateContent xmlns:mc="http://schemas.openxmlformats.org/markup-compatibility/2006">
          <mc:Choice Requires="x14">
            <control shapeId="47237" r:id="rId60" name="Option Button 133">
              <controlPr defaultSize="0" autoFill="0" autoLine="0" autoPict="0">
                <anchor moveWithCells="1">
                  <from>
                    <xdr:col>13</xdr:col>
                    <xdr:colOff>104775</xdr:colOff>
                    <xdr:row>516</xdr:row>
                    <xdr:rowOff>514350</xdr:rowOff>
                  </from>
                  <to>
                    <xdr:col>14</xdr:col>
                    <xdr:colOff>342900</xdr:colOff>
                    <xdr:row>517</xdr:row>
                    <xdr:rowOff>228600</xdr:rowOff>
                  </to>
                </anchor>
              </controlPr>
            </control>
          </mc:Choice>
        </mc:AlternateContent>
        <mc:AlternateContent xmlns:mc="http://schemas.openxmlformats.org/markup-compatibility/2006">
          <mc:Choice Requires="x14">
            <control shapeId="47238" r:id="rId61" name="Group Box 134">
              <controlPr defaultSize="0" autoFill="0" autoPict="0">
                <anchor moveWithCells="1">
                  <from>
                    <xdr:col>1</xdr:col>
                    <xdr:colOff>0</xdr:colOff>
                    <xdr:row>565</xdr:row>
                    <xdr:rowOff>0</xdr:rowOff>
                  </from>
                  <to>
                    <xdr:col>15</xdr:col>
                    <xdr:colOff>19050</xdr:colOff>
                    <xdr:row>566</xdr:row>
                    <xdr:rowOff>0</xdr:rowOff>
                  </to>
                </anchor>
              </controlPr>
            </control>
          </mc:Choice>
        </mc:AlternateContent>
        <mc:AlternateContent xmlns:mc="http://schemas.openxmlformats.org/markup-compatibility/2006">
          <mc:Choice Requires="x14">
            <control shapeId="47239" r:id="rId62" name="Option Button 135">
              <controlPr defaultSize="0" autoFill="0" autoLine="0" autoPict="0">
                <anchor moveWithCells="1">
                  <from>
                    <xdr:col>1</xdr:col>
                    <xdr:colOff>57150</xdr:colOff>
                    <xdr:row>565</xdr:row>
                    <xdr:rowOff>0</xdr:rowOff>
                  </from>
                  <to>
                    <xdr:col>1</xdr:col>
                    <xdr:colOff>628650</xdr:colOff>
                    <xdr:row>565</xdr:row>
                    <xdr:rowOff>238125</xdr:rowOff>
                  </to>
                </anchor>
              </controlPr>
            </control>
          </mc:Choice>
        </mc:AlternateContent>
        <mc:AlternateContent xmlns:mc="http://schemas.openxmlformats.org/markup-compatibility/2006">
          <mc:Choice Requires="x14">
            <control shapeId="47240" r:id="rId63" name="Option Button 136">
              <controlPr defaultSize="0" autoFill="0" autoLine="0" autoPict="0">
                <anchor moveWithCells="1">
                  <from>
                    <xdr:col>1</xdr:col>
                    <xdr:colOff>742950</xdr:colOff>
                    <xdr:row>565</xdr:row>
                    <xdr:rowOff>0</xdr:rowOff>
                  </from>
                  <to>
                    <xdr:col>15</xdr:col>
                    <xdr:colOff>0</xdr:colOff>
                    <xdr:row>565</xdr:row>
                    <xdr:rowOff>238125</xdr:rowOff>
                  </to>
                </anchor>
              </controlPr>
            </control>
          </mc:Choice>
        </mc:AlternateContent>
        <mc:AlternateContent xmlns:mc="http://schemas.openxmlformats.org/markup-compatibility/2006">
          <mc:Choice Requires="x14">
            <control shapeId="47270" r:id="rId64" name="Check Box 166">
              <controlPr defaultSize="0" autoFill="0" autoLine="0" autoPict="0">
                <anchor moveWithCells="1">
                  <from>
                    <xdr:col>4</xdr:col>
                    <xdr:colOff>0</xdr:colOff>
                    <xdr:row>42</xdr:row>
                    <xdr:rowOff>133350</xdr:rowOff>
                  </from>
                  <to>
                    <xdr:col>5</xdr:col>
                    <xdr:colOff>95250</xdr:colOff>
                    <xdr:row>44</xdr:row>
                    <xdr:rowOff>19050</xdr:rowOff>
                  </to>
                </anchor>
              </controlPr>
            </control>
          </mc:Choice>
        </mc:AlternateContent>
        <mc:AlternateContent xmlns:mc="http://schemas.openxmlformats.org/markup-compatibility/2006">
          <mc:Choice Requires="x14">
            <control shapeId="47271" r:id="rId65" name="Check Box 167">
              <controlPr defaultSize="0" autoFill="0" autoLine="0" autoPict="0">
                <anchor moveWithCells="1">
                  <from>
                    <xdr:col>4</xdr:col>
                    <xdr:colOff>0</xdr:colOff>
                    <xdr:row>43</xdr:row>
                    <xdr:rowOff>142875</xdr:rowOff>
                  </from>
                  <to>
                    <xdr:col>5</xdr:col>
                    <xdr:colOff>95250</xdr:colOff>
                    <xdr:row>45</xdr:row>
                    <xdr:rowOff>28575</xdr:rowOff>
                  </to>
                </anchor>
              </controlPr>
            </control>
          </mc:Choice>
        </mc:AlternateContent>
        <mc:AlternateContent xmlns:mc="http://schemas.openxmlformats.org/markup-compatibility/2006">
          <mc:Choice Requires="x14">
            <control shapeId="47272" r:id="rId66" name="Check Box 168">
              <controlPr defaultSize="0" autoFill="0" autoLine="0" autoPict="0">
                <anchor moveWithCells="1">
                  <from>
                    <xdr:col>4</xdr:col>
                    <xdr:colOff>0</xdr:colOff>
                    <xdr:row>45</xdr:row>
                    <xdr:rowOff>123825</xdr:rowOff>
                  </from>
                  <to>
                    <xdr:col>5</xdr:col>
                    <xdr:colOff>95250</xdr:colOff>
                    <xdr:row>47</xdr:row>
                    <xdr:rowOff>9525</xdr:rowOff>
                  </to>
                </anchor>
              </controlPr>
            </control>
          </mc:Choice>
        </mc:AlternateContent>
        <mc:AlternateContent xmlns:mc="http://schemas.openxmlformats.org/markup-compatibility/2006">
          <mc:Choice Requires="x14">
            <control shapeId="47273" r:id="rId67" name="Check Box 169">
              <controlPr defaultSize="0" autoFill="0" autoLine="0" autoPict="0">
                <anchor moveWithCells="1">
                  <from>
                    <xdr:col>4</xdr:col>
                    <xdr:colOff>0</xdr:colOff>
                    <xdr:row>44</xdr:row>
                    <xdr:rowOff>123825</xdr:rowOff>
                  </from>
                  <to>
                    <xdr:col>5</xdr:col>
                    <xdr:colOff>95250</xdr:colOff>
                    <xdr:row>46</xdr:row>
                    <xdr:rowOff>19050</xdr:rowOff>
                  </to>
                </anchor>
              </controlPr>
            </control>
          </mc:Choice>
        </mc:AlternateContent>
        <mc:AlternateContent xmlns:mc="http://schemas.openxmlformats.org/markup-compatibility/2006">
          <mc:Choice Requires="x14">
            <control shapeId="47274" r:id="rId68" name="Check Box 170">
              <controlPr defaultSize="0" autoFill="0" autoLine="0" autoPict="0">
                <anchor moveWithCells="1">
                  <from>
                    <xdr:col>4</xdr:col>
                    <xdr:colOff>0</xdr:colOff>
                    <xdr:row>104</xdr:row>
                    <xdr:rowOff>133350</xdr:rowOff>
                  </from>
                  <to>
                    <xdr:col>5</xdr:col>
                    <xdr:colOff>95250</xdr:colOff>
                    <xdr:row>106</xdr:row>
                    <xdr:rowOff>19050</xdr:rowOff>
                  </to>
                </anchor>
              </controlPr>
            </control>
          </mc:Choice>
        </mc:AlternateContent>
        <mc:AlternateContent xmlns:mc="http://schemas.openxmlformats.org/markup-compatibility/2006">
          <mc:Choice Requires="x14">
            <control shapeId="47275" r:id="rId69" name="Check Box 171">
              <controlPr defaultSize="0" autoFill="0" autoLine="0" autoPict="0">
                <anchor moveWithCells="1">
                  <from>
                    <xdr:col>4</xdr:col>
                    <xdr:colOff>0</xdr:colOff>
                    <xdr:row>105</xdr:row>
                    <xdr:rowOff>142875</xdr:rowOff>
                  </from>
                  <to>
                    <xdr:col>5</xdr:col>
                    <xdr:colOff>95250</xdr:colOff>
                    <xdr:row>107</xdr:row>
                    <xdr:rowOff>38100</xdr:rowOff>
                  </to>
                </anchor>
              </controlPr>
            </control>
          </mc:Choice>
        </mc:AlternateContent>
        <mc:AlternateContent xmlns:mc="http://schemas.openxmlformats.org/markup-compatibility/2006">
          <mc:Choice Requires="x14">
            <control shapeId="47276" r:id="rId70" name="Check Box 172">
              <controlPr defaultSize="0" autoFill="0" autoLine="0" autoPict="0">
                <anchor moveWithCells="1">
                  <from>
                    <xdr:col>4</xdr:col>
                    <xdr:colOff>0</xdr:colOff>
                    <xdr:row>107</xdr:row>
                    <xdr:rowOff>133350</xdr:rowOff>
                  </from>
                  <to>
                    <xdr:col>5</xdr:col>
                    <xdr:colOff>95250</xdr:colOff>
                    <xdr:row>109</xdr:row>
                    <xdr:rowOff>19050</xdr:rowOff>
                  </to>
                </anchor>
              </controlPr>
            </control>
          </mc:Choice>
        </mc:AlternateContent>
        <mc:AlternateContent xmlns:mc="http://schemas.openxmlformats.org/markup-compatibility/2006">
          <mc:Choice Requires="x14">
            <control shapeId="47277" r:id="rId71" name="Check Box 173">
              <controlPr defaultSize="0" autoFill="0" autoLine="0" autoPict="0">
                <anchor moveWithCells="1">
                  <from>
                    <xdr:col>4</xdr:col>
                    <xdr:colOff>0</xdr:colOff>
                    <xdr:row>106</xdr:row>
                    <xdr:rowOff>133350</xdr:rowOff>
                  </from>
                  <to>
                    <xdr:col>5</xdr:col>
                    <xdr:colOff>95250</xdr:colOff>
                    <xdr:row>108</xdr:row>
                    <xdr:rowOff>19050</xdr:rowOff>
                  </to>
                </anchor>
              </controlPr>
            </control>
          </mc:Choice>
        </mc:AlternateContent>
        <mc:AlternateContent xmlns:mc="http://schemas.openxmlformats.org/markup-compatibility/2006">
          <mc:Choice Requires="x14">
            <control shapeId="47278" r:id="rId72" name="Check Box 174">
              <controlPr defaultSize="0" autoFill="0" autoLine="0" autoPict="0">
                <anchor moveWithCells="1">
                  <from>
                    <xdr:col>4</xdr:col>
                    <xdr:colOff>0</xdr:colOff>
                    <xdr:row>180</xdr:row>
                    <xdr:rowOff>142875</xdr:rowOff>
                  </from>
                  <to>
                    <xdr:col>5</xdr:col>
                    <xdr:colOff>95250</xdr:colOff>
                    <xdr:row>182</xdr:row>
                    <xdr:rowOff>38100</xdr:rowOff>
                  </to>
                </anchor>
              </controlPr>
            </control>
          </mc:Choice>
        </mc:AlternateContent>
        <mc:AlternateContent xmlns:mc="http://schemas.openxmlformats.org/markup-compatibility/2006">
          <mc:Choice Requires="x14">
            <control shapeId="47279" r:id="rId73" name="Check Box 175">
              <controlPr defaultSize="0" autoFill="0" autoLine="0" autoPict="0">
                <anchor moveWithCells="1">
                  <from>
                    <xdr:col>4</xdr:col>
                    <xdr:colOff>0</xdr:colOff>
                    <xdr:row>181</xdr:row>
                    <xdr:rowOff>142875</xdr:rowOff>
                  </from>
                  <to>
                    <xdr:col>5</xdr:col>
                    <xdr:colOff>95250</xdr:colOff>
                    <xdr:row>183</xdr:row>
                    <xdr:rowOff>47625</xdr:rowOff>
                  </to>
                </anchor>
              </controlPr>
            </control>
          </mc:Choice>
        </mc:AlternateContent>
        <mc:AlternateContent xmlns:mc="http://schemas.openxmlformats.org/markup-compatibility/2006">
          <mc:Choice Requires="x14">
            <control shapeId="47280" r:id="rId74" name="Check Box 176">
              <controlPr defaultSize="0" autoFill="0" autoLine="0" autoPict="0">
                <anchor moveWithCells="1">
                  <from>
                    <xdr:col>4</xdr:col>
                    <xdr:colOff>0</xdr:colOff>
                    <xdr:row>183</xdr:row>
                    <xdr:rowOff>133350</xdr:rowOff>
                  </from>
                  <to>
                    <xdr:col>5</xdr:col>
                    <xdr:colOff>95250</xdr:colOff>
                    <xdr:row>185</xdr:row>
                    <xdr:rowOff>28575</xdr:rowOff>
                  </to>
                </anchor>
              </controlPr>
            </control>
          </mc:Choice>
        </mc:AlternateContent>
        <mc:AlternateContent xmlns:mc="http://schemas.openxmlformats.org/markup-compatibility/2006">
          <mc:Choice Requires="x14">
            <control shapeId="47281" r:id="rId75" name="Check Box 177">
              <controlPr defaultSize="0" autoFill="0" autoLine="0" autoPict="0">
                <anchor moveWithCells="1">
                  <from>
                    <xdr:col>4</xdr:col>
                    <xdr:colOff>0</xdr:colOff>
                    <xdr:row>182</xdr:row>
                    <xdr:rowOff>142875</xdr:rowOff>
                  </from>
                  <to>
                    <xdr:col>5</xdr:col>
                    <xdr:colOff>95250</xdr:colOff>
                    <xdr:row>184</xdr:row>
                    <xdr:rowOff>28575</xdr:rowOff>
                  </to>
                </anchor>
              </controlPr>
            </control>
          </mc:Choice>
        </mc:AlternateContent>
        <mc:AlternateContent xmlns:mc="http://schemas.openxmlformats.org/markup-compatibility/2006">
          <mc:Choice Requires="x14">
            <control shapeId="47282" r:id="rId76" name="Check Box 178">
              <controlPr defaultSize="0" autoFill="0" autoLine="0" autoPict="0">
                <anchor moveWithCells="1">
                  <from>
                    <xdr:col>4</xdr:col>
                    <xdr:colOff>0</xdr:colOff>
                    <xdr:row>256</xdr:row>
                    <xdr:rowOff>133350</xdr:rowOff>
                  </from>
                  <to>
                    <xdr:col>5</xdr:col>
                    <xdr:colOff>95250</xdr:colOff>
                    <xdr:row>258</xdr:row>
                    <xdr:rowOff>19050</xdr:rowOff>
                  </to>
                </anchor>
              </controlPr>
            </control>
          </mc:Choice>
        </mc:AlternateContent>
        <mc:AlternateContent xmlns:mc="http://schemas.openxmlformats.org/markup-compatibility/2006">
          <mc:Choice Requires="x14">
            <control shapeId="47283" r:id="rId77" name="Check Box 179">
              <controlPr defaultSize="0" autoFill="0" autoLine="0" autoPict="0">
                <anchor moveWithCells="1">
                  <from>
                    <xdr:col>4</xdr:col>
                    <xdr:colOff>0</xdr:colOff>
                    <xdr:row>257</xdr:row>
                    <xdr:rowOff>152400</xdr:rowOff>
                  </from>
                  <to>
                    <xdr:col>5</xdr:col>
                    <xdr:colOff>95250</xdr:colOff>
                    <xdr:row>259</xdr:row>
                    <xdr:rowOff>47625</xdr:rowOff>
                  </to>
                </anchor>
              </controlPr>
            </control>
          </mc:Choice>
        </mc:AlternateContent>
        <mc:AlternateContent xmlns:mc="http://schemas.openxmlformats.org/markup-compatibility/2006">
          <mc:Choice Requires="x14">
            <control shapeId="47284" r:id="rId78" name="Check Box 180">
              <controlPr defaultSize="0" autoFill="0" autoLine="0" autoPict="0">
                <anchor moveWithCells="1">
                  <from>
                    <xdr:col>4</xdr:col>
                    <xdr:colOff>0</xdr:colOff>
                    <xdr:row>259</xdr:row>
                    <xdr:rowOff>142875</xdr:rowOff>
                  </from>
                  <to>
                    <xdr:col>5</xdr:col>
                    <xdr:colOff>95250</xdr:colOff>
                    <xdr:row>261</xdr:row>
                    <xdr:rowOff>38100</xdr:rowOff>
                  </to>
                </anchor>
              </controlPr>
            </control>
          </mc:Choice>
        </mc:AlternateContent>
        <mc:AlternateContent xmlns:mc="http://schemas.openxmlformats.org/markup-compatibility/2006">
          <mc:Choice Requires="x14">
            <control shapeId="47285" r:id="rId79" name="Check Box 181">
              <controlPr defaultSize="0" autoFill="0" autoLine="0" autoPict="0">
                <anchor moveWithCells="1">
                  <from>
                    <xdr:col>4</xdr:col>
                    <xdr:colOff>0</xdr:colOff>
                    <xdr:row>258</xdr:row>
                    <xdr:rowOff>133350</xdr:rowOff>
                  </from>
                  <to>
                    <xdr:col>5</xdr:col>
                    <xdr:colOff>95250</xdr:colOff>
                    <xdr:row>260</xdr:row>
                    <xdr:rowOff>28575</xdr:rowOff>
                  </to>
                </anchor>
              </controlPr>
            </control>
          </mc:Choice>
        </mc:AlternateContent>
        <mc:AlternateContent xmlns:mc="http://schemas.openxmlformats.org/markup-compatibility/2006">
          <mc:Choice Requires="x14">
            <control shapeId="47286" r:id="rId80" name="Check Box 182">
              <controlPr defaultSize="0" autoFill="0" autoLine="0" autoPict="0">
                <anchor moveWithCells="1">
                  <from>
                    <xdr:col>4</xdr:col>
                    <xdr:colOff>0</xdr:colOff>
                    <xdr:row>331</xdr:row>
                    <xdr:rowOff>152400</xdr:rowOff>
                  </from>
                  <to>
                    <xdr:col>5</xdr:col>
                    <xdr:colOff>95250</xdr:colOff>
                    <xdr:row>333</xdr:row>
                    <xdr:rowOff>47625</xdr:rowOff>
                  </to>
                </anchor>
              </controlPr>
            </control>
          </mc:Choice>
        </mc:AlternateContent>
        <mc:AlternateContent xmlns:mc="http://schemas.openxmlformats.org/markup-compatibility/2006">
          <mc:Choice Requires="x14">
            <control shapeId="47287" r:id="rId81" name="Check Box 183">
              <controlPr defaultSize="0" autoFill="0" autoLine="0" autoPict="0">
                <anchor moveWithCells="1">
                  <from>
                    <xdr:col>4</xdr:col>
                    <xdr:colOff>0</xdr:colOff>
                    <xdr:row>332</xdr:row>
                    <xdr:rowOff>152400</xdr:rowOff>
                  </from>
                  <to>
                    <xdr:col>5</xdr:col>
                    <xdr:colOff>95250</xdr:colOff>
                    <xdr:row>334</xdr:row>
                    <xdr:rowOff>57150</xdr:rowOff>
                  </to>
                </anchor>
              </controlPr>
            </control>
          </mc:Choice>
        </mc:AlternateContent>
        <mc:AlternateContent xmlns:mc="http://schemas.openxmlformats.org/markup-compatibility/2006">
          <mc:Choice Requires="x14">
            <control shapeId="47288" r:id="rId82" name="Check Box 184">
              <controlPr defaultSize="0" autoFill="0" autoLine="0" autoPict="0">
                <anchor moveWithCells="1">
                  <from>
                    <xdr:col>4</xdr:col>
                    <xdr:colOff>0</xdr:colOff>
                    <xdr:row>334</xdr:row>
                    <xdr:rowOff>142875</xdr:rowOff>
                  </from>
                  <to>
                    <xdr:col>5</xdr:col>
                    <xdr:colOff>95250</xdr:colOff>
                    <xdr:row>336</xdr:row>
                    <xdr:rowOff>38100</xdr:rowOff>
                  </to>
                </anchor>
              </controlPr>
            </control>
          </mc:Choice>
        </mc:AlternateContent>
        <mc:AlternateContent xmlns:mc="http://schemas.openxmlformats.org/markup-compatibility/2006">
          <mc:Choice Requires="x14">
            <control shapeId="47289" r:id="rId83" name="Check Box 185">
              <controlPr defaultSize="0" autoFill="0" autoLine="0" autoPict="0">
                <anchor moveWithCells="1">
                  <from>
                    <xdr:col>4</xdr:col>
                    <xdr:colOff>0</xdr:colOff>
                    <xdr:row>333</xdr:row>
                    <xdr:rowOff>133350</xdr:rowOff>
                  </from>
                  <to>
                    <xdr:col>5</xdr:col>
                    <xdr:colOff>95250</xdr:colOff>
                    <xdr:row>335</xdr:row>
                    <xdr:rowOff>28575</xdr:rowOff>
                  </to>
                </anchor>
              </controlPr>
            </control>
          </mc:Choice>
        </mc:AlternateContent>
        <mc:AlternateContent xmlns:mc="http://schemas.openxmlformats.org/markup-compatibility/2006">
          <mc:Choice Requires="x14">
            <control shapeId="47391" r:id="rId84" name="Check Box 287">
              <controlPr defaultSize="0" autoFill="0" autoLine="0" autoPict="0">
                <anchor moveWithCells="1">
                  <from>
                    <xdr:col>7</xdr:col>
                    <xdr:colOff>47625</xdr:colOff>
                    <xdr:row>584</xdr:row>
                    <xdr:rowOff>28575</xdr:rowOff>
                  </from>
                  <to>
                    <xdr:col>8</xdr:col>
                    <xdr:colOff>66675</xdr:colOff>
                    <xdr:row>585</xdr:row>
                    <xdr:rowOff>9525</xdr:rowOff>
                  </to>
                </anchor>
              </controlPr>
            </control>
          </mc:Choice>
        </mc:AlternateContent>
        <mc:AlternateContent xmlns:mc="http://schemas.openxmlformats.org/markup-compatibility/2006">
          <mc:Choice Requires="x14">
            <control shapeId="47470" r:id="rId85" name="Check Box 366">
              <controlPr locked="0" defaultSize="0" autoFill="0" autoLine="0" autoPict="0">
                <anchor moveWithCells="1">
                  <from>
                    <xdr:col>4</xdr:col>
                    <xdr:colOff>9525</xdr:colOff>
                    <xdr:row>462</xdr:row>
                    <xdr:rowOff>123825</xdr:rowOff>
                  </from>
                  <to>
                    <xdr:col>5</xdr:col>
                    <xdr:colOff>104775</xdr:colOff>
                    <xdr:row>463</xdr:row>
                    <xdr:rowOff>200025</xdr:rowOff>
                  </to>
                </anchor>
              </controlPr>
            </control>
          </mc:Choice>
        </mc:AlternateContent>
        <mc:AlternateContent xmlns:mc="http://schemas.openxmlformats.org/markup-compatibility/2006">
          <mc:Choice Requires="x14">
            <control shapeId="47471" r:id="rId86" name="Check Box 367">
              <controlPr locked="0" defaultSize="0" autoFill="0" autoLine="0" autoPict="0">
                <anchor moveWithCells="1">
                  <from>
                    <xdr:col>4</xdr:col>
                    <xdr:colOff>9525</xdr:colOff>
                    <xdr:row>463</xdr:row>
                    <xdr:rowOff>200025</xdr:rowOff>
                  </from>
                  <to>
                    <xdr:col>5</xdr:col>
                    <xdr:colOff>104775</xdr:colOff>
                    <xdr:row>464</xdr:row>
                    <xdr:rowOff>190500</xdr:rowOff>
                  </to>
                </anchor>
              </controlPr>
            </control>
          </mc:Choice>
        </mc:AlternateContent>
        <mc:AlternateContent xmlns:mc="http://schemas.openxmlformats.org/markup-compatibility/2006">
          <mc:Choice Requires="x14">
            <control shapeId="47472" r:id="rId87" name="Check Box 368">
              <controlPr locked="0" defaultSize="0" autoFill="0" autoLine="0" autoPict="0">
                <anchor moveWithCells="1">
                  <from>
                    <xdr:col>4</xdr:col>
                    <xdr:colOff>9525</xdr:colOff>
                    <xdr:row>464</xdr:row>
                    <xdr:rowOff>200025</xdr:rowOff>
                  </from>
                  <to>
                    <xdr:col>5</xdr:col>
                    <xdr:colOff>104775</xdr:colOff>
                    <xdr:row>465</xdr:row>
                    <xdr:rowOff>200025</xdr:rowOff>
                  </to>
                </anchor>
              </controlPr>
            </control>
          </mc:Choice>
        </mc:AlternateContent>
        <mc:AlternateContent xmlns:mc="http://schemas.openxmlformats.org/markup-compatibility/2006">
          <mc:Choice Requires="x14">
            <control shapeId="47473" r:id="rId88" name="Check Box 369">
              <controlPr locked="0" defaultSize="0" autoFill="0" autoLine="0" autoPict="0">
                <anchor moveWithCells="1">
                  <from>
                    <xdr:col>4</xdr:col>
                    <xdr:colOff>9525</xdr:colOff>
                    <xdr:row>465</xdr:row>
                    <xdr:rowOff>209550</xdr:rowOff>
                  </from>
                  <to>
                    <xdr:col>5</xdr:col>
                    <xdr:colOff>104775</xdr:colOff>
                    <xdr:row>466</xdr:row>
                    <xdr:rowOff>200025</xdr:rowOff>
                  </to>
                </anchor>
              </controlPr>
            </control>
          </mc:Choice>
        </mc:AlternateContent>
        <mc:AlternateContent xmlns:mc="http://schemas.openxmlformats.org/markup-compatibility/2006">
          <mc:Choice Requires="x14">
            <control shapeId="47474" r:id="rId89" name="Check Box 370">
              <controlPr locked="0" defaultSize="0" autoFill="0" autoLine="0" autoPict="0">
                <anchor moveWithCells="1">
                  <from>
                    <xdr:col>4</xdr:col>
                    <xdr:colOff>9525</xdr:colOff>
                    <xdr:row>466</xdr:row>
                    <xdr:rowOff>209550</xdr:rowOff>
                  </from>
                  <to>
                    <xdr:col>5</xdr:col>
                    <xdr:colOff>104775</xdr:colOff>
                    <xdr:row>467</xdr:row>
                    <xdr:rowOff>200025</xdr:rowOff>
                  </to>
                </anchor>
              </controlPr>
            </control>
          </mc:Choice>
        </mc:AlternateContent>
        <mc:AlternateContent xmlns:mc="http://schemas.openxmlformats.org/markup-compatibility/2006">
          <mc:Choice Requires="x14">
            <control shapeId="47475" r:id="rId90" name="Check Box 371">
              <controlPr locked="0" defaultSize="0" autoFill="0" autoLine="0" autoPict="0">
                <anchor moveWithCells="1">
                  <from>
                    <xdr:col>4</xdr:col>
                    <xdr:colOff>9525</xdr:colOff>
                    <xdr:row>477</xdr:row>
                    <xdr:rowOff>161925</xdr:rowOff>
                  </from>
                  <to>
                    <xdr:col>5</xdr:col>
                    <xdr:colOff>104775</xdr:colOff>
                    <xdr:row>479</xdr:row>
                    <xdr:rowOff>0</xdr:rowOff>
                  </to>
                </anchor>
              </controlPr>
            </control>
          </mc:Choice>
        </mc:AlternateContent>
        <mc:AlternateContent xmlns:mc="http://schemas.openxmlformats.org/markup-compatibility/2006">
          <mc:Choice Requires="x14">
            <control shapeId="47476" r:id="rId91" name="Check Box 372">
              <controlPr locked="0" defaultSize="0" autoFill="0" autoLine="0" autoPict="0">
                <anchor moveWithCells="1">
                  <from>
                    <xdr:col>4</xdr:col>
                    <xdr:colOff>9525</xdr:colOff>
                    <xdr:row>478</xdr:row>
                    <xdr:rowOff>152400</xdr:rowOff>
                  </from>
                  <to>
                    <xdr:col>5</xdr:col>
                    <xdr:colOff>104775</xdr:colOff>
                    <xdr:row>479</xdr:row>
                    <xdr:rowOff>180975</xdr:rowOff>
                  </to>
                </anchor>
              </controlPr>
            </control>
          </mc:Choice>
        </mc:AlternateContent>
        <mc:AlternateContent xmlns:mc="http://schemas.openxmlformats.org/markup-compatibility/2006">
          <mc:Choice Requires="x14">
            <control shapeId="47477" r:id="rId92" name="Check Box 373">
              <controlPr locked="0" defaultSize="0" autoFill="0" autoLine="0" autoPict="0">
                <anchor moveWithCells="1">
                  <from>
                    <xdr:col>4</xdr:col>
                    <xdr:colOff>9525</xdr:colOff>
                    <xdr:row>469</xdr:row>
                    <xdr:rowOff>123825</xdr:rowOff>
                  </from>
                  <to>
                    <xdr:col>5</xdr:col>
                    <xdr:colOff>104775</xdr:colOff>
                    <xdr:row>471</xdr:row>
                    <xdr:rowOff>0</xdr:rowOff>
                  </to>
                </anchor>
              </controlPr>
            </control>
          </mc:Choice>
        </mc:AlternateContent>
        <mc:AlternateContent xmlns:mc="http://schemas.openxmlformats.org/markup-compatibility/2006">
          <mc:Choice Requires="x14">
            <control shapeId="47478" r:id="rId93" name="Check Box 374">
              <controlPr locked="0" defaultSize="0" autoFill="0" autoLine="0" autoPict="0">
                <anchor moveWithCells="1">
                  <from>
                    <xdr:col>4</xdr:col>
                    <xdr:colOff>9525</xdr:colOff>
                    <xdr:row>476</xdr:row>
                    <xdr:rowOff>114300</xdr:rowOff>
                  </from>
                  <to>
                    <xdr:col>5</xdr:col>
                    <xdr:colOff>104775</xdr:colOff>
                    <xdr:row>477</xdr:row>
                    <xdr:rowOff>142875</xdr:rowOff>
                  </to>
                </anchor>
              </controlPr>
            </control>
          </mc:Choice>
        </mc:AlternateContent>
        <mc:AlternateContent xmlns:mc="http://schemas.openxmlformats.org/markup-compatibility/2006">
          <mc:Choice Requires="x14">
            <control shapeId="47479" r:id="rId94" name="Group Box 375">
              <controlPr defaultSize="0" autoFill="0" autoPict="0">
                <anchor moveWithCells="1" sizeWithCells="1">
                  <from>
                    <xdr:col>1</xdr:col>
                    <xdr:colOff>9525</xdr:colOff>
                    <xdr:row>462</xdr:row>
                    <xdr:rowOff>76200</xdr:rowOff>
                  </from>
                  <to>
                    <xdr:col>3</xdr:col>
                    <xdr:colOff>257175</xdr:colOff>
                    <xdr:row>467</xdr:row>
                    <xdr:rowOff>161925</xdr:rowOff>
                  </to>
                </anchor>
              </controlPr>
            </control>
          </mc:Choice>
        </mc:AlternateContent>
        <mc:AlternateContent xmlns:mc="http://schemas.openxmlformats.org/markup-compatibility/2006">
          <mc:Choice Requires="x14">
            <control shapeId="47480" r:id="rId95" name="Option Button 376">
              <controlPr defaultSize="0" autoFill="0" autoLine="0" autoPict="0">
                <anchor moveWithCells="1" sizeWithCells="1">
                  <from>
                    <xdr:col>1</xdr:col>
                    <xdr:colOff>19050</xdr:colOff>
                    <xdr:row>464</xdr:row>
                    <xdr:rowOff>47625</xdr:rowOff>
                  </from>
                  <to>
                    <xdr:col>3</xdr:col>
                    <xdr:colOff>238125</xdr:colOff>
                    <xdr:row>465</xdr:row>
                    <xdr:rowOff>47625</xdr:rowOff>
                  </to>
                </anchor>
              </controlPr>
            </control>
          </mc:Choice>
        </mc:AlternateContent>
        <mc:AlternateContent xmlns:mc="http://schemas.openxmlformats.org/markup-compatibility/2006">
          <mc:Choice Requires="x14">
            <control shapeId="47481" r:id="rId96" name="Option Button 377">
              <controlPr defaultSize="0" autoFill="0" autoLine="0" autoPict="0">
                <anchor moveWithCells="1" sizeWithCells="1">
                  <from>
                    <xdr:col>1</xdr:col>
                    <xdr:colOff>19050</xdr:colOff>
                    <xdr:row>465</xdr:row>
                    <xdr:rowOff>47625</xdr:rowOff>
                  </from>
                  <to>
                    <xdr:col>3</xdr:col>
                    <xdr:colOff>238125</xdr:colOff>
                    <xdr:row>466</xdr:row>
                    <xdr:rowOff>38100</xdr:rowOff>
                  </to>
                </anchor>
              </controlPr>
            </control>
          </mc:Choice>
        </mc:AlternateContent>
        <mc:AlternateContent xmlns:mc="http://schemas.openxmlformats.org/markup-compatibility/2006">
          <mc:Choice Requires="x14">
            <control shapeId="47482" r:id="rId97" name="Option Button 378">
              <controlPr defaultSize="0" autoFill="0" autoLine="0" autoPict="0">
                <anchor moveWithCells="1" sizeWithCells="1">
                  <from>
                    <xdr:col>1</xdr:col>
                    <xdr:colOff>19050</xdr:colOff>
                    <xdr:row>466</xdr:row>
                    <xdr:rowOff>171450</xdr:rowOff>
                  </from>
                  <to>
                    <xdr:col>3</xdr:col>
                    <xdr:colOff>238125</xdr:colOff>
                    <xdr:row>467</xdr:row>
                    <xdr:rowOff>161925</xdr:rowOff>
                  </to>
                </anchor>
              </controlPr>
            </control>
          </mc:Choice>
        </mc:AlternateContent>
        <mc:AlternateContent xmlns:mc="http://schemas.openxmlformats.org/markup-compatibility/2006">
          <mc:Choice Requires="x14">
            <control shapeId="47483" r:id="rId98" name="Check Box 379">
              <controlPr locked="0" defaultSize="0" autoFill="0" autoLine="0" autoPict="0">
                <anchor moveWithCells="1">
                  <from>
                    <xdr:col>4</xdr:col>
                    <xdr:colOff>9525</xdr:colOff>
                    <xdr:row>471</xdr:row>
                    <xdr:rowOff>142875</xdr:rowOff>
                  </from>
                  <to>
                    <xdr:col>5</xdr:col>
                    <xdr:colOff>104775</xdr:colOff>
                    <xdr:row>472</xdr:row>
                    <xdr:rowOff>171450</xdr:rowOff>
                  </to>
                </anchor>
              </controlPr>
            </control>
          </mc:Choice>
        </mc:AlternateContent>
        <mc:AlternateContent xmlns:mc="http://schemas.openxmlformats.org/markup-compatibility/2006">
          <mc:Choice Requires="x14">
            <control shapeId="47484" r:id="rId99" name="Check Box 380">
              <controlPr locked="0" defaultSize="0" autoFill="0" autoLine="0" autoPict="0">
                <anchor moveWithCells="1">
                  <from>
                    <xdr:col>4</xdr:col>
                    <xdr:colOff>9525</xdr:colOff>
                    <xdr:row>472</xdr:row>
                    <xdr:rowOff>142875</xdr:rowOff>
                  </from>
                  <to>
                    <xdr:col>5</xdr:col>
                    <xdr:colOff>104775</xdr:colOff>
                    <xdr:row>473</xdr:row>
                    <xdr:rowOff>171450</xdr:rowOff>
                  </to>
                </anchor>
              </controlPr>
            </control>
          </mc:Choice>
        </mc:AlternateContent>
        <mc:AlternateContent xmlns:mc="http://schemas.openxmlformats.org/markup-compatibility/2006">
          <mc:Choice Requires="x14">
            <control shapeId="47485" r:id="rId100" name="Check Box 381">
              <controlPr locked="0" defaultSize="0" autoFill="0" autoLine="0" autoPict="0">
                <anchor moveWithCells="1">
                  <from>
                    <xdr:col>4</xdr:col>
                    <xdr:colOff>9525</xdr:colOff>
                    <xdr:row>473</xdr:row>
                    <xdr:rowOff>142875</xdr:rowOff>
                  </from>
                  <to>
                    <xdr:col>5</xdr:col>
                    <xdr:colOff>104775</xdr:colOff>
                    <xdr:row>474</xdr:row>
                    <xdr:rowOff>171450</xdr:rowOff>
                  </to>
                </anchor>
              </controlPr>
            </control>
          </mc:Choice>
        </mc:AlternateContent>
        <mc:AlternateContent xmlns:mc="http://schemas.openxmlformats.org/markup-compatibility/2006">
          <mc:Choice Requires="x14">
            <control shapeId="47486" r:id="rId101" name="Check Box 382">
              <controlPr locked="0" defaultSize="0" autoFill="0" autoLine="0" autoPict="0">
                <anchor moveWithCells="1">
                  <from>
                    <xdr:col>4</xdr:col>
                    <xdr:colOff>9525</xdr:colOff>
                    <xdr:row>474</xdr:row>
                    <xdr:rowOff>133350</xdr:rowOff>
                  </from>
                  <to>
                    <xdr:col>5</xdr:col>
                    <xdr:colOff>104775</xdr:colOff>
                    <xdr:row>475</xdr:row>
                    <xdr:rowOff>161925</xdr:rowOff>
                  </to>
                </anchor>
              </controlPr>
            </control>
          </mc:Choice>
        </mc:AlternateContent>
        <mc:AlternateContent xmlns:mc="http://schemas.openxmlformats.org/markup-compatibility/2006">
          <mc:Choice Requires="x14">
            <control shapeId="47487" r:id="rId102" name="Check Box 383">
              <controlPr locked="0" defaultSize="0" autoFill="0" autoLine="0" autoPict="0">
                <anchor moveWithCells="1">
                  <from>
                    <xdr:col>4</xdr:col>
                    <xdr:colOff>9525</xdr:colOff>
                    <xdr:row>475</xdr:row>
                    <xdr:rowOff>142875</xdr:rowOff>
                  </from>
                  <to>
                    <xdr:col>5</xdr:col>
                    <xdr:colOff>104775</xdr:colOff>
                    <xdr:row>476</xdr:row>
                    <xdr:rowOff>171450</xdr:rowOff>
                  </to>
                </anchor>
              </controlPr>
            </control>
          </mc:Choice>
        </mc:AlternateContent>
        <mc:AlternateContent xmlns:mc="http://schemas.openxmlformats.org/markup-compatibility/2006">
          <mc:Choice Requires="x14">
            <control shapeId="47488" r:id="rId103" name="Check Box 384">
              <controlPr locked="0" defaultSize="0" autoFill="0" autoLine="0" autoPict="0">
                <anchor moveWithCells="1">
                  <from>
                    <xdr:col>4</xdr:col>
                    <xdr:colOff>9525</xdr:colOff>
                    <xdr:row>476</xdr:row>
                    <xdr:rowOff>142875</xdr:rowOff>
                  </from>
                  <to>
                    <xdr:col>5</xdr:col>
                    <xdr:colOff>104775</xdr:colOff>
                    <xdr:row>477</xdr:row>
                    <xdr:rowOff>171450</xdr:rowOff>
                  </to>
                </anchor>
              </controlPr>
            </control>
          </mc:Choice>
        </mc:AlternateContent>
        <mc:AlternateContent xmlns:mc="http://schemas.openxmlformats.org/markup-compatibility/2006">
          <mc:Choice Requires="x14">
            <control shapeId="47489" r:id="rId104" name="Label 385">
              <controlPr defaultSize="0" autoFill="0" autoLine="0" autoPict="0">
                <anchor moveWithCells="1" sizeWithCells="1">
                  <from>
                    <xdr:col>1</xdr:col>
                    <xdr:colOff>200025</xdr:colOff>
                    <xdr:row>466</xdr:row>
                    <xdr:rowOff>19050</xdr:rowOff>
                  </from>
                  <to>
                    <xdr:col>1</xdr:col>
                    <xdr:colOff>819150</xdr:colOff>
                    <xdr:row>466</xdr:row>
                    <xdr:rowOff>161925</xdr:rowOff>
                  </to>
                </anchor>
              </controlPr>
            </control>
          </mc:Choice>
        </mc:AlternateContent>
        <mc:AlternateContent xmlns:mc="http://schemas.openxmlformats.org/markup-compatibility/2006">
          <mc:Choice Requires="x14">
            <control shapeId="47490" r:id="rId105" name="Check Box 386">
              <controlPr locked="0" defaultSize="0" autoFill="0" autoLine="0" autoPict="0">
                <anchor moveWithCells="1">
                  <from>
                    <xdr:col>4</xdr:col>
                    <xdr:colOff>9525</xdr:colOff>
                    <xdr:row>470</xdr:row>
                    <xdr:rowOff>152400</xdr:rowOff>
                  </from>
                  <to>
                    <xdr:col>5</xdr:col>
                    <xdr:colOff>104775</xdr:colOff>
                    <xdr:row>471</xdr:row>
                    <xdr:rowOff>180975</xdr:rowOff>
                  </to>
                </anchor>
              </controlPr>
            </control>
          </mc:Choice>
        </mc:AlternateContent>
        <mc:AlternateContent xmlns:mc="http://schemas.openxmlformats.org/markup-compatibility/2006">
          <mc:Choice Requires="x14">
            <control shapeId="47150" r:id="rId106" name="Group Box 46">
              <controlPr defaultSize="0" autoFill="0" autoPict="0">
                <anchor moveWithCells="1" sizeWithCells="1">
                  <from>
                    <xdr:col>2</xdr:col>
                    <xdr:colOff>0</xdr:colOff>
                    <xdr:row>411</xdr:row>
                    <xdr:rowOff>0</xdr:rowOff>
                  </from>
                  <to>
                    <xdr:col>15</xdr:col>
                    <xdr:colOff>0</xdr:colOff>
                    <xdr:row>412</xdr:row>
                    <xdr:rowOff>0</xdr:rowOff>
                  </to>
                </anchor>
              </controlPr>
            </control>
          </mc:Choice>
        </mc:AlternateContent>
        <mc:AlternateContent xmlns:mc="http://schemas.openxmlformats.org/markup-compatibility/2006">
          <mc:Choice Requires="x14">
            <control shapeId="47151" r:id="rId107" name="Option Button 47">
              <controlPr defaultSize="0" autoFill="0" autoLine="0" autoPict="0">
                <anchor moveWithCells="1" sizeWithCells="1">
                  <from>
                    <xdr:col>2</xdr:col>
                    <xdr:colOff>0</xdr:colOff>
                    <xdr:row>411</xdr:row>
                    <xdr:rowOff>19050</xdr:rowOff>
                  </from>
                  <to>
                    <xdr:col>5</xdr:col>
                    <xdr:colOff>9525</xdr:colOff>
                    <xdr:row>411</xdr:row>
                    <xdr:rowOff>238125</xdr:rowOff>
                  </to>
                </anchor>
              </controlPr>
            </control>
          </mc:Choice>
        </mc:AlternateContent>
        <mc:AlternateContent xmlns:mc="http://schemas.openxmlformats.org/markup-compatibility/2006">
          <mc:Choice Requires="x14">
            <control shapeId="47152" r:id="rId108" name="Option Button 48">
              <controlPr defaultSize="0" autoFill="0" autoLine="0" autoPict="0">
                <anchor moveWithCells="1" sizeWithCells="1">
                  <from>
                    <xdr:col>5</xdr:col>
                    <xdr:colOff>76200</xdr:colOff>
                    <xdr:row>411</xdr:row>
                    <xdr:rowOff>19050</xdr:rowOff>
                  </from>
                  <to>
                    <xdr:col>10</xdr:col>
                    <xdr:colOff>57150</xdr:colOff>
                    <xdr:row>411</xdr:row>
                    <xdr:rowOff>238125</xdr:rowOff>
                  </to>
                </anchor>
              </controlPr>
            </control>
          </mc:Choice>
        </mc:AlternateContent>
        <mc:AlternateContent xmlns:mc="http://schemas.openxmlformats.org/markup-compatibility/2006">
          <mc:Choice Requires="x14">
            <control shapeId="47153" r:id="rId109" name="Option Button 49">
              <controlPr defaultSize="0" autoFill="0" autoLine="0" autoPict="0">
                <anchor moveWithCells="1" sizeWithCells="1">
                  <from>
                    <xdr:col>11</xdr:col>
                    <xdr:colOff>104775</xdr:colOff>
                    <xdr:row>411</xdr:row>
                    <xdr:rowOff>19050</xdr:rowOff>
                  </from>
                  <to>
                    <xdr:col>14</xdr:col>
                    <xdr:colOff>495300</xdr:colOff>
                    <xdr:row>411</xdr:row>
                    <xdr:rowOff>238125</xdr:rowOff>
                  </to>
                </anchor>
              </controlPr>
            </control>
          </mc:Choice>
        </mc:AlternateContent>
        <mc:AlternateContent xmlns:mc="http://schemas.openxmlformats.org/markup-compatibility/2006">
          <mc:Choice Requires="x14">
            <control shapeId="47155" r:id="rId110" name="Group Box 51">
              <controlPr defaultSize="0" autoFill="0" autoPict="0">
                <anchor moveWithCells="1" sizeWithCells="1">
                  <from>
                    <xdr:col>2</xdr:col>
                    <xdr:colOff>0</xdr:colOff>
                    <xdr:row>412</xdr:row>
                    <xdr:rowOff>0</xdr:rowOff>
                  </from>
                  <to>
                    <xdr:col>15</xdr:col>
                    <xdr:colOff>0</xdr:colOff>
                    <xdr:row>413</xdr:row>
                    <xdr:rowOff>0</xdr:rowOff>
                  </to>
                </anchor>
              </controlPr>
            </control>
          </mc:Choice>
        </mc:AlternateContent>
        <mc:AlternateContent xmlns:mc="http://schemas.openxmlformats.org/markup-compatibility/2006">
          <mc:Choice Requires="x14">
            <control shapeId="47156" r:id="rId111" name="Option Button 52">
              <controlPr defaultSize="0" autoFill="0" autoLine="0" autoPict="0">
                <anchor moveWithCells="1" sizeWithCells="1">
                  <from>
                    <xdr:col>2</xdr:col>
                    <xdr:colOff>0</xdr:colOff>
                    <xdr:row>412</xdr:row>
                    <xdr:rowOff>19050</xdr:rowOff>
                  </from>
                  <to>
                    <xdr:col>5</xdr:col>
                    <xdr:colOff>9525</xdr:colOff>
                    <xdr:row>412</xdr:row>
                    <xdr:rowOff>238125</xdr:rowOff>
                  </to>
                </anchor>
              </controlPr>
            </control>
          </mc:Choice>
        </mc:AlternateContent>
        <mc:AlternateContent xmlns:mc="http://schemas.openxmlformats.org/markup-compatibility/2006">
          <mc:Choice Requires="x14">
            <control shapeId="47157" r:id="rId112" name="Option Button 53">
              <controlPr defaultSize="0" autoFill="0" autoLine="0" autoPict="0">
                <anchor moveWithCells="1" sizeWithCells="1">
                  <from>
                    <xdr:col>5</xdr:col>
                    <xdr:colOff>76200</xdr:colOff>
                    <xdr:row>412</xdr:row>
                    <xdr:rowOff>19050</xdr:rowOff>
                  </from>
                  <to>
                    <xdr:col>10</xdr:col>
                    <xdr:colOff>19050</xdr:colOff>
                    <xdr:row>412</xdr:row>
                    <xdr:rowOff>238125</xdr:rowOff>
                  </to>
                </anchor>
              </controlPr>
            </control>
          </mc:Choice>
        </mc:AlternateContent>
        <mc:AlternateContent xmlns:mc="http://schemas.openxmlformats.org/markup-compatibility/2006">
          <mc:Choice Requires="x14">
            <control shapeId="47158" r:id="rId113" name="Option Button 54">
              <controlPr defaultSize="0" autoFill="0" autoLine="0" autoPict="0">
                <anchor moveWithCells="1" sizeWithCells="1">
                  <from>
                    <xdr:col>11</xdr:col>
                    <xdr:colOff>104775</xdr:colOff>
                    <xdr:row>412</xdr:row>
                    <xdr:rowOff>19050</xdr:rowOff>
                  </from>
                  <to>
                    <xdr:col>14</xdr:col>
                    <xdr:colOff>495300</xdr:colOff>
                    <xdr:row>412</xdr:row>
                    <xdr:rowOff>238125</xdr:rowOff>
                  </to>
                </anchor>
              </controlPr>
            </control>
          </mc:Choice>
        </mc:AlternateContent>
        <mc:AlternateContent xmlns:mc="http://schemas.openxmlformats.org/markup-compatibility/2006">
          <mc:Choice Requires="x14">
            <control shapeId="47160" r:id="rId114" name="Group Box 56">
              <controlPr defaultSize="0" autoFill="0" autoPict="0">
                <anchor moveWithCells="1" sizeWithCells="1">
                  <from>
                    <xdr:col>2</xdr:col>
                    <xdr:colOff>0</xdr:colOff>
                    <xdr:row>414</xdr:row>
                    <xdr:rowOff>0</xdr:rowOff>
                  </from>
                  <to>
                    <xdr:col>15</xdr:col>
                    <xdr:colOff>0</xdr:colOff>
                    <xdr:row>415</xdr:row>
                    <xdr:rowOff>0</xdr:rowOff>
                  </to>
                </anchor>
              </controlPr>
            </control>
          </mc:Choice>
        </mc:AlternateContent>
        <mc:AlternateContent xmlns:mc="http://schemas.openxmlformats.org/markup-compatibility/2006">
          <mc:Choice Requires="x14">
            <control shapeId="47161" r:id="rId115" name="Option Button 57">
              <controlPr defaultSize="0" autoFill="0" autoLine="0" autoPict="0">
                <anchor moveWithCells="1" sizeWithCells="1">
                  <from>
                    <xdr:col>2</xdr:col>
                    <xdr:colOff>0</xdr:colOff>
                    <xdr:row>414</xdr:row>
                    <xdr:rowOff>19050</xdr:rowOff>
                  </from>
                  <to>
                    <xdr:col>4</xdr:col>
                    <xdr:colOff>190500</xdr:colOff>
                    <xdr:row>414</xdr:row>
                    <xdr:rowOff>238125</xdr:rowOff>
                  </to>
                </anchor>
              </controlPr>
            </control>
          </mc:Choice>
        </mc:AlternateContent>
        <mc:AlternateContent xmlns:mc="http://schemas.openxmlformats.org/markup-compatibility/2006">
          <mc:Choice Requires="x14">
            <control shapeId="47162" r:id="rId116" name="Option Button 58">
              <controlPr defaultSize="0" autoFill="0" autoLine="0" autoPict="0">
                <anchor moveWithCells="1" sizeWithCells="1">
                  <from>
                    <xdr:col>5</xdr:col>
                    <xdr:colOff>76200</xdr:colOff>
                    <xdr:row>414</xdr:row>
                    <xdr:rowOff>19050</xdr:rowOff>
                  </from>
                  <to>
                    <xdr:col>10</xdr:col>
                    <xdr:colOff>190500</xdr:colOff>
                    <xdr:row>414</xdr:row>
                    <xdr:rowOff>238125</xdr:rowOff>
                  </to>
                </anchor>
              </controlPr>
            </control>
          </mc:Choice>
        </mc:AlternateContent>
        <mc:AlternateContent xmlns:mc="http://schemas.openxmlformats.org/markup-compatibility/2006">
          <mc:Choice Requires="x14">
            <control shapeId="47163" r:id="rId117" name="Option Button 59">
              <controlPr defaultSize="0" autoFill="0" autoLine="0" autoPict="0">
                <anchor moveWithCells="1" sizeWithCells="1">
                  <from>
                    <xdr:col>11</xdr:col>
                    <xdr:colOff>95250</xdr:colOff>
                    <xdr:row>414</xdr:row>
                    <xdr:rowOff>19050</xdr:rowOff>
                  </from>
                  <to>
                    <xdr:col>14</xdr:col>
                    <xdr:colOff>571500</xdr:colOff>
                    <xdr:row>414</xdr:row>
                    <xdr:rowOff>238125</xdr:rowOff>
                  </to>
                </anchor>
              </controlPr>
            </control>
          </mc:Choice>
        </mc:AlternateContent>
        <mc:AlternateContent xmlns:mc="http://schemas.openxmlformats.org/markup-compatibility/2006">
          <mc:Choice Requires="x14">
            <control shapeId="47165" r:id="rId118" name="Group Box 61">
              <controlPr defaultSize="0" autoFill="0" autoPict="0">
                <anchor moveWithCells="1" sizeWithCells="1">
                  <from>
                    <xdr:col>2</xdr:col>
                    <xdr:colOff>0</xdr:colOff>
                    <xdr:row>415</xdr:row>
                    <xdr:rowOff>0</xdr:rowOff>
                  </from>
                  <to>
                    <xdr:col>15</xdr:col>
                    <xdr:colOff>0</xdr:colOff>
                    <xdr:row>416</xdr:row>
                    <xdr:rowOff>0</xdr:rowOff>
                  </to>
                </anchor>
              </controlPr>
            </control>
          </mc:Choice>
        </mc:AlternateContent>
        <mc:AlternateContent xmlns:mc="http://schemas.openxmlformats.org/markup-compatibility/2006">
          <mc:Choice Requires="x14">
            <control shapeId="47166" r:id="rId119" name="Option Button 62">
              <controlPr defaultSize="0" autoFill="0" autoLine="0" autoPict="0">
                <anchor moveWithCells="1" sizeWithCells="1">
                  <from>
                    <xdr:col>2</xdr:col>
                    <xdr:colOff>0</xdr:colOff>
                    <xdr:row>415</xdr:row>
                    <xdr:rowOff>19050</xdr:rowOff>
                  </from>
                  <to>
                    <xdr:col>4</xdr:col>
                    <xdr:colOff>190500</xdr:colOff>
                    <xdr:row>415</xdr:row>
                    <xdr:rowOff>238125</xdr:rowOff>
                  </to>
                </anchor>
              </controlPr>
            </control>
          </mc:Choice>
        </mc:AlternateContent>
        <mc:AlternateContent xmlns:mc="http://schemas.openxmlformats.org/markup-compatibility/2006">
          <mc:Choice Requires="x14">
            <control shapeId="47167" r:id="rId120" name="Option Button 63">
              <controlPr defaultSize="0" autoFill="0" autoLine="0" autoPict="0">
                <anchor moveWithCells="1" sizeWithCells="1">
                  <from>
                    <xdr:col>5</xdr:col>
                    <xdr:colOff>76200</xdr:colOff>
                    <xdr:row>415</xdr:row>
                    <xdr:rowOff>19050</xdr:rowOff>
                  </from>
                  <to>
                    <xdr:col>10</xdr:col>
                    <xdr:colOff>219075</xdr:colOff>
                    <xdr:row>415</xdr:row>
                    <xdr:rowOff>238125</xdr:rowOff>
                  </to>
                </anchor>
              </controlPr>
            </control>
          </mc:Choice>
        </mc:AlternateContent>
        <mc:AlternateContent xmlns:mc="http://schemas.openxmlformats.org/markup-compatibility/2006">
          <mc:Choice Requires="x14">
            <control shapeId="47168" r:id="rId121" name="Option Button 64">
              <controlPr defaultSize="0" autoFill="0" autoLine="0" autoPict="0">
                <anchor moveWithCells="1" sizeWithCells="1">
                  <from>
                    <xdr:col>11</xdr:col>
                    <xdr:colOff>95250</xdr:colOff>
                    <xdr:row>415</xdr:row>
                    <xdr:rowOff>19050</xdr:rowOff>
                  </from>
                  <to>
                    <xdr:col>14</xdr:col>
                    <xdr:colOff>571500</xdr:colOff>
                    <xdr:row>415</xdr:row>
                    <xdr:rowOff>238125</xdr:rowOff>
                  </to>
                </anchor>
              </controlPr>
            </control>
          </mc:Choice>
        </mc:AlternateContent>
        <mc:AlternateContent xmlns:mc="http://schemas.openxmlformats.org/markup-compatibility/2006">
          <mc:Choice Requires="x14">
            <control shapeId="47215" r:id="rId122" name="Group Box 111">
              <controlPr defaultSize="0" autoFill="0" autoPict="0">
                <anchor moveWithCells="1" sizeWithCells="1">
                  <from>
                    <xdr:col>1</xdr:col>
                    <xdr:colOff>0</xdr:colOff>
                    <xdr:row>482</xdr:row>
                    <xdr:rowOff>0</xdr:rowOff>
                  </from>
                  <to>
                    <xdr:col>4</xdr:col>
                    <xdr:colOff>0</xdr:colOff>
                    <xdr:row>495</xdr:row>
                    <xdr:rowOff>0</xdr:rowOff>
                  </to>
                </anchor>
              </controlPr>
            </control>
          </mc:Choice>
        </mc:AlternateContent>
        <mc:AlternateContent xmlns:mc="http://schemas.openxmlformats.org/markup-compatibility/2006">
          <mc:Choice Requires="x14">
            <control shapeId="47216" r:id="rId123" name="Option Button 112">
              <controlPr defaultSize="0" autoFill="0" autoLine="0" autoPict="0">
                <anchor moveWithCells="1" sizeWithCells="1">
                  <from>
                    <xdr:col>1</xdr:col>
                    <xdr:colOff>28575</xdr:colOff>
                    <xdr:row>483</xdr:row>
                    <xdr:rowOff>38100</xdr:rowOff>
                  </from>
                  <to>
                    <xdr:col>3</xdr:col>
                    <xdr:colOff>180975</xdr:colOff>
                    <xdr:row>484</xdr:row>
                    <xdr:rowOff>104775</xdr:rowOff>
                  </to>
                </anchor>
              </controlPr>
            </control>
          </mc:Choice>
        </mc:AlternateContent>
        <mc:AlternateContent xmlns:mc="http://schemas.openxmlformats.org/markup-compatibility/2006">
          <mc:Choice Requires="x14">
            <control shapeId="47217" r:id="rId124" name="Option Button 113">
              <controlPr defaultSize="0" autoFill="0" autoLine="0" autoPict="0">
                <anchor moveWithCells="1" sizeWithCells="1">
                  <from>
                    <xdr:col>1</xdr:col>
                    <xdr:colOff>28575</xdr:colOff>
                    <xdr:row>484</xdr:row>
                    <xdr:rowOff>133350</xdr:rowOff>
                  </from>
                  <to>
                    <xdr:col>3</xdr:col>
                    <xdr:colOff>171450</xdr:colOff>
                    <xdr:row>486</xdr:row>
                    <xdr:rowOff>19050</xdr:rowOff>
                  </to>
                </anchor>
              </controlPr>
            </control>
          </mc:Choice>
        </mc:AlternateContent>
        <mc:AlternateContent xmlns:mc="http://schemas.openxmlformats.org/markup-compatibility/2006">
          <mc:Choice Requires="x14">
            <control shapeId="47218" r:id="rId125" name="Option Button 114">
              <controlPr defaultSize="0" autoFill="0" autoLine="0" autoPict="0">
                <anchor moveWithCells="1" sizeWithCells="1">
                  <from>
                    <xdr:col>1</xdr:col>
                    <xdr:colOff>28575</xdr:colOff>
                    <xdr:row>486</xdr:row>
                    <xdr:rowOff>38100</xdr:rowOff>
                  </from>
                  <to>
                    <xdr:col>3</xdr:col>
                    <xdr:colOff>133350</xdr:colOff>
                    <xdr:row>487</xdr:row>
                    <xdr:rowOff>104775</xdr:rowOff>
                  </to>
                </anchor>
              </controlPr>
            </control>
          </mc:Choice>
        </mc:AlternateContent>
        <mc:AlternateContent xmlns:mc="http://schemas.openxmlformats.org/markup-compatibility/2006">
          <mc:Choice Requires="x14">
            <control shapeId="47220" r:id="rId126" name="Group Box 116">
              <controlPr defaultSize="0" autoFill="0" autoPict="0">
                <anchor moveWithCells="1" sizeWithCells="1">
                  <from>
                    <xdr:col>0</xdr:col>
                    <xdr:colOff>95250</xdr:colOff>
                    <xdr:row>498</xdr:row>
                    <xdr:rowOff>0</xdr:rowOff>
                  </from>
                  <to>
                    <xdr:col>4</xdr:col>
                    <xdr:colOff>0</xdr:colOff>
                    <xdr:row>509</xdr:row>
                    <xdr:rowOff>0</xdr:rowOff>
                  </to>
                </anchor>
              </controlPr>
            </control>
          </mc:Choice>
        </mc:AlternateContent>
        <mc:AlternateContent xmlns:mc="http://schemas.openxmlformats.org/markup-compatibility/2006">
          <mc:Choice Requires="x14">
            <control shapeId="47221" r:id="rId127" name="Option Button 117">
              <controlPr defaultSize="0" autoFill="0" autoLine="0" autoPict="0">
                <anchor moveWithCells="1" sizeWithCells="1">
                  <from>
                    <xdr:col>1</xdr:col>
                    <xdr:colOff>19050</xdr:colOff>
                    <xdr:row>499</xdr:row>
                    <xdr:rowOff>9525</xdr:rowOff>
                  </from>
                  <to>
                    <xdr:col>3</xdr:col>
                    <xdr:colOff>209550</xdr:colOff>
                    <xdr:row>500</xdr:row>
                    <xdr:rowOff>66675</xdr:rowOff>
                  </to>
                </anchor>
              </controlPr>
            </control>
          </mc:Choice>
        </mc:AlternateContent>
        <mc:AlternateContent xmlns:mc="http://schemas.openxmlformats.org/markup-compatibility/2006">
          <mc:Choice Requires="x14">
            <control shapeId="47222" r:id="rId128" name="Option Button 118">
              <controlPr defaultSize="0" autoFill="0" autoLine="0" autoPict="0">
                <anchor moveWithCells="1" sizeWithCells="1">
                  <from>
                    <xdr:col>1</xdr:col>
                    <xdr:colOff>19050</xdr:colOff>
                    <xdr:row>500</xdr:row>
                    <xdr:rowOff>104775</xdr:rowOff>
                  </from>
                  <to>
                    <xdr:col>3</xdr:col>
                    <xdr:colOff>209550</xdr:colOff>
                    <xdr:row>501</xdr:row>
                    <xdr:rowOff>9525</xdr:rowOff>
                  </to>
                </anchor>
              </controlPr>
            </control>
          </mc:Choice>
        </mc:AlternateContent>
        <mc:AlternateContent xmlns:mc="http://schemas.openxmlformats.org/markup-compatibility/2006">
          <mc:Choice Requires="x14">
            <control shapeId="47223" r:id="rId129" name="Option Button 119">
              <controlPr defaultSize="0" autoFill="0" autoLine="0" autoPict="0">
                <anchor moveWithCells="1" sizeWithCells="1">
                  <from>
                    <xdr:col>1</xdr:col>
                    <xdr:colOff>28575</xdr:colOff>
                    <xdr:row>501</xdr:row>
                    <xdr:rowOff>66675</xdr:rowOff>
                  </from>
                  <to>
                    <xdr:col>3</xdr:col>
                    <xdr:colOff>219075</xdr:colOff>
                    <xdr:row>502</xdr:row>
                    <xdr:rowOff>123825</xdr:rowOff>
                  </to>
                </anchor>
              </controlPr>
            </control>
          </mc:Choice>
        </mc:AlternateContent>
        <mc:AlternateContent xmlns:mc="http://schemas.openxmlformats.org/markup-compatibility/2006">
          <mc:Choice Requires="x14">
            <control shapeId="47242" r:id="rId130" name="Group Box 138">
              <controlPr defaultSize="0" autoFill="0" autoPict="0">
                <anchor moveWithCells="1" sizeWithCells="1">
                  <from>
                    <xdr:col>2</xdr:col>
                    <xdr:colOff>0</xdr:colOff>
                    <xdr:row>586</xdr:row>
                    <xdr:rowOff>0</xdr:rowOff>
                  </from>
                  <to>
                    <xdr:col>15</xdr:col>
                    <xdr:colOff>0</xdr:colOff>
                    <xdr:row>587</xdr:row>
                    <xdr:rowOff>0</xdr:rowOff>
                  </to>
                </anchor>
              </controlPr>
            </control>
          </mc:Choice>
        </mc:AlternateContent>
        <mc:AlternateContent xmlns:mc="http://schemas.openxmlformats.org/markup-compatibility/2006">
          <mc:Choice Requires="x14">
            <control shapeId="47243" r:id="rId131" name="Option Button 139">
              <controlPr defaultSize="0" autoFill="0" autoLine="0" autoPict="0">
                <anchor moveWithCells="1" sizeWithCells="1">
                  <from>
                    <xdr:col>2</xdr:col>
                    <xdr:colOff>19050</xdr:colOff>
                    <xdr:row>586</xdr:row>
                    <xdr:rowOff>123825</xdr:rowOff>
                  </from>
                  <to>
                    <xdr:col>3</xdr:col>
                    <xdr:colOff>190500</xdr:colOff>
                    <xdr:row>586</xdr:row>
                    <xdr:rowOff>342900</xdr:rowOff>
                  </to>
                </anchor>
              </controlPr>
            </control>
          </mc:Choice>
        </mc:AlternateContent>
        <mc:AlternateContent xmlns:mc="http://schemas.openxmlformats.org/markup-compatibility/2006">
          <mc:Choice Requires="x14">
            <control shapeId="47244" r:id="rId132" name="Option Button 140">
              <controlPr defaultSize="0" autoFill="0" autoLine="0" autoPict="0">
                <anchor moveWithCells="1" sizeWithCells="1">
                  <from>
                    <xdr:col>4</xdr:col>
                    <xdr:colOff>180975</xdr:colOff>
                    <xdr:row>586</xdr:row>
                    <xdr:rowOff>0</xdr:rowOff>
                  </from>
                  <to>
                    <xdr:col>14</xdr:col>
                    <xdr:colOff>47625</xdr:colOff>
                    <xdr:row>586</xdr:row>
                    <xdr:rowOff>219075</xdr:rowOff>
                  </to>
                </anchor>
              </controlPr>
            </control>
          </mc:Choice>
        </mc:AlternateContent>
        <mc:AlternateContent xmlns:mc="http://schemas.openxmlformats.org/markup-compatibility/2006">
          <mc:Choice Requires="x14">
            <control shapeId="47245" r:id="rId133" name="Option Button 141">
              <controlPr defaultSize="0" autoFill="0" autoLine="0" autoPict="0">
                <anchor moveWithCells="1" sizeWithCells="1">
                  <from>
                    <xdr:col>4</xdr:col>
                    <xdr:colOff>180975</xdr:colOff>
                    <xdr:row>586</xdr:row>
                    <xdr:rowOff>228600</xdr:rowOff>
                  </from>
                  <to>
                    <xdr:col>14</xdr:col>
                    <xdr:colOff>409575</xdr:colOff>
                    <xdr:row>586</xdr:row>
                    <xdr:rowOff>447675</xdr:rowOff>
                  </to>
                </anchor>
              </controlPr>
            </control>
          </mc:Choice>
        </mc:AlternateContent>
        <mc:AlternateContent xmlns:mc="http://schemas.openxmlformats.org/markup-compatibility/2006">
          <mc:Choice Requires="x14">
            <control shapeId="47247" r:id="rId134" name="Group Box 143">
              <controlPr defaultSize="0" autoFill="0" autoPict="0">
                <anchor moveWithCells="1" sizeWithCells="1">
                  <from>
                    <xdr:col>2</xdr:col>
                    <xdr:colOff>0</xdr:colOff>
                    <xdr:row>587</xdr:row>
                    <xdr:rowOff>0</xdr:rowOff>
                  </from>
                  <to>
                    <xdr:col>15</xdr:col>
                    <xdr:colOff>0</xdr:colOff>
                    <xdr:row>588</xdr:row>
                    <xdr:rowOff>0</xdr:rowOff>
                  </to>
                </anchor>
              </controlPr>
            </control>
          </mc:Choice>
        </mc:AlternateContent>
        <mc:AlternateContent xmlns:mc="http://schemas.openxmlformats.org/markup-compatibility/2006">
          <mc:Choice Requires="x14">
            <control shapeId="47248" r:id="rId135" name="Option Button 144">
              <controlPr defaultSize="0" autoFill="0" autoLine="0" autoPict="0">
                <anchor moveWithCells="1" sizeWithCells="1">
                  <from>
                    <xdr:col>2</xdr:col>
                    <xdr:colOff>19050</xdr:colOff>
                    <xdr:row>587</xdr:row>
                    <xdr:rowOff>9525</xdr:rowOff>
                  </from>
                  <to>
                    <xdr:col>3</xdr:col>
                    <xdr:colOff>238125</xdr:colOff>
                    <xdr:row>587</xdr:row>
                    <xdr:rowOff>228600</xdr:rowOff>
                  </to>
                </anchor>
              </controlPr>
            </control>
          </mc:Choice>
        </mc:AlternateContent>
        <mc:AlternateContent xmlns:mc="http://schemas.openxmlformats.org/markup-compatibility/2006">
          <mc:Choice Requires="x14">
            <control shapeId="47249" r:id="rId136" name="Option Button 145">
              <controlPr defaultSize="0" autoFill="0" autoLine="0" autoPict="0">
                <anchor moveWithCells="1" sizeWithCells="1">
                  <from>
                    <xdr:col>4</xdr:col>
                    <xdr:colOff>180975</xdr:colOff>
                    <xdr:row>587</xdr:row>
                    <xdr:rowOff>19050</xdr:rowOff>
                  </from>
                  <to>
                    <xdr:col>14</xdr:col>
                    <xdr:colOff>266700</xdr:colOff>
                    <xdr:row>587</xdr:row>
                    <xdr:rowOff>238125</xdr:rowOff>
                  </to>
                </anchor>
              </controlPr>
            </control>
          </mc:Choice>
        </mc:AlternateContent>
        <mc:AlternateContent xmlns:mc="http://schemas.openxmlformats.org/markup-compatibility/2006">
          <mc:Choice Requires="x14">
            <control shapeId="47251" r:id="rId137" name="Group Box 147">
              <controlPr defaultSize="0" autoFill="0" autoPict="0">
                <anchor moveWithCells="1" sizeWithCells="1">
                  <from>
                    <xdr:col>2</xdr:col>
                    <xdr:colOff>0</xdr:colOff>
                    <xdr:row>588</xdr:row>
                    <xdr:rowOff>0</xdr:rowOff>
                  </from>
                  <to>
                    <xdr:col>15</xdr:col>
                    <xdr:colOff>0</xdr:colOff>
                    <xdr:row>589</xdr:row>
                    <xdr:rowOff>0</xdr:rowOff>
                  </to>
                </anchor>
              </controlPr>
            </control>
          </mc:Choice>
        </mc:AlternateContent>
        <mc:AlternateContent xmlns:mc="http://schemas.openxmlformats.org/markup-compatibility/2006">
          <mc:Choice Requires="x14">
            <control shapeId="47252" r:id="rId138" name="Option Button 148">
              <controlPr defaultSize="0" autoFill="0" autoLine="0" autoPict="0">
                <anchor moveWithCells="1" sizeWithCells="1">
                  <from>
                    <xdr:col>2</xdr:col>
                    <xdr:colOff>19050</xdr:colOff>
                    <xdr:row>588</xdr:row>
                    <xdr:rowOff>9525</xdr:rowOff>
                  </from>
                  <to>
                    <xdr:col>4</xdr:col>
                    <xdr:colOff>95250</xdr:colOff>
                    <xdr:row>588</xdr:row>
                    <xdr:rowOff>228600</xdr:rowOff>
                  </to>
                </anchor>
              </controlPr>
            </control>
          </mc:Choice>
        </mc:AlternateContent>
        <mc:AlternateContent xmlns:mc="http://schemas.openxmlformats.org/markup-compatibility/2006">
          <mc:Choice Requires="x14">
            <control shapeId="47253" r:id="rId139" name="Option Button 149">
              <controlPr defaultSize="0" autoFill="0" autoLine="0" autoPict="0">
                <anchor moveWithCells="1" sizeWithCells="1">
                  <from>
                    <xdr:col>4</xdr:col>
                    <xdr:colOff>180975</xdr:colOff>
                    <xdr:row>588</xdr:row>
                    <xdr:rowOff>19050</xdr:rowOff>
                  </from>
                  <to>
                    <xdr:col>13</xdr:col>
                    <xdr:colOff>228600</xdr:colOff>
                    <xdr:row>588</xdr:row>
                    <xdr:rowOff>238125</xdr:rowOff>
                  </to>
                </anchor>
              </controlPr>
            </control>
          </mc:Choice>
        </mc:AlternateContent>
        <mc:AlternateContent xmlns:mc="http://schemas.openxmlformats.org/markup-compatibility/2006">
          <mc:Choice Requires="x14">
            <control shapeId="47255" r:id="rId140" name="Group Box 151">
              <controlPr defaultSize="0" autoFill="0" autoPict="0">
                <anchor moveWithCells="1" sizeWithCells="1">
                  <from>
                    <xdr:col>11</xdr:col>
                    <xdr:colOff>0</xdr:colOff>
                    <xdr:row>595</xdr:row>
                    <xdr:rowOff>0</xdr:rowOff>
                  </from>
                  <to>
                    <xdr:col>15</xdr:col>
                    <xdr:colOff>0</xdr:colOff>
                    <xdr:row>596</xdr:row>
                    <xdr:rowOff>0</xdr:rowOff>
                  </to>
                </anchor>
              </controlPr>
            </control>
          </mc:Choice>
        </mc:AlternateContent>
        <mc:AlternateContent xmlns:mc="http://schemas.openxmlformats.org/markup-compatibility/2006">
          <mc:Choice Requires="x14">
            <control shapeId="47256" r:id="rId141" name="Option Button 152">
              <controlPr defaultSize="0" autoFill="0" autoLine="0" autoPict="0">
                <anchor moveWithCells="1" sizeWithCells="1">
                  <from>
                    <xdr:col>11</xdr:col>
                    <xdr:colOff>180975</xdr:colOff>
                    <xdr:row>595</xdr:row>
                    <xdr:rowOff>19050</xdr:rowOff>
                  </from>
                  <to>
                    <xdr:col>13</xdr:col>
                    <xdr:colOff>47625</xdr:colOff>
                    <xdr:row>595</xdr:row>
                    <xdr:rowOff>238125</xdr:rowOff>
                  </to>
                </anchor>
              </controlPr>
            </control>
          </mc:Choice>
        </mc:AlternateContent>
        <mc:AlternateContent xmlns:mc="http://schemas.openxmlformats.org/markup-compatibility/2006">
          <mc:Choice Requires="x14">
            <control shapeId="47257" r:id="rId142" name="Option Button 153">
              <controlPr defaultSize="0" autoFill="0" autoLine="0" autoPict="0">
                <anchor moveWithCells="1" sizeWithCells="1">
                  <from>
                    <xdr:col>13</xdr:col>
                    <xdr:colOff>85725</xdr:colOff>
                    <xdr:row>595</xdr:row>
                    <xdr:rowOff>19050</xdr:rowOff>
                  </from>
                  <to>
                    <xdr:col>14</xdr:col>
                    <xdr:colOff>323850</xdr:colOff>
                    <xdr:row>595</xdr:row>
                    <xdr:rowOff>238125</xdr:rowOff>
                  </to>
                </anchor>
              </controlPr>
            </control>
          </mc:Choice>
        </mc:AlternateContent>
        <mc:AlternateContent xmlns:mc="http://schemas.openxmlformats.org/markup-compatibility/2006">
          <mc:Choice Requires="x14">
            <control shapeId="47145" r:id="rId143" name="Group Box 41">
              <controlPr defaultSize="0" autoFill="0" autoPict="0">
                <anchor moveWithCells="1" sizeWithCells="1">
                  <from>
                    <xdr:col>1</xdr:col>
                    <xdr:colOff>0</xdr:colOff>
                    <xdr:row>384</xdr:row>
                    <xdr:rowOff>0</xdr:rowOff>
                  </from>
                  <to>
                    <xdr:col>15</xdr:col>
                    <xdr:colOff>0</xdr:colOff>
                    <xdr:row>385</xdr:row>
                    <xdr:rowOff>0</xdr:rowOff>
                  </to>
                </anchor>
              </controlPr>
            </control>
          </mc:Choice>
        </mc:AlternateContent>
        <mc:AlternateContent xmlns:mc="http://schemas.openxmlformats.org/markup-compatibility/2006">
          <mc:Choice Requires="x14">
            <control shapeId="47146" r:id="rId144" name="Option Button 42">
              <controlPr defaultSize="0" autoFill="0" autoLine="0" autoPict="0">
                <anchor moveWithCells="1" sizeWithCells="1">
                  <from>
                    <xdr:col>1</xdr:col>
                    <xdr:colOff>9525</xdr:colOff>
                    <xdr:row>384</xdr:row>
                    <xdr:rowOff>9525</xdr:rowOff>
                  </from>
                  <to>
                    <xdr:col>1</xdr:col>
                    <xdr:colOff>390525</xdr:colOff>
                    <xdr:row>384</xdr:row>
                    <xdr:rowOff>247650</xdr:rowOff>
                  </to>
                </anchor>
              </controlPr>
            </control>
          </mc:Choice>
        </mc:AlternateContent>
        <mc:AlternateContent xmlns:mc="http://schemas.openxmlformats.org/markup-compatibility/2006">
          <mc:Choice Requires="x14">
            <control shapeId="47147" r:id="rId145" name="Option Button 43">
              <controlPr defaultSize="0" autoFill="0" autoLine="0" autoPict="0">
                <anchor moveWithCells="1" sizeWithCells="1">
                  <from>
                    <xdr:col>1</xdr:col>
                    <xdr:colOff>581025</xdr:colOff>
                    <xdr:row>384</xdr:row>
                    <xdr:rowOff>9525</xdr:rowOff>
                  </from>
                  <to>
                    <xdr:col>5</xdr:col>
                    <xdr:colOff>285750</xdr:colOff>
                    <xdr:row>384</xdr:row>
                    <xdr:rowOff>247650</xdr:rowOff>
                  </to>
                </anchor>
              </controlPr>
            </control>
          </mc:Choice>
        </mc:AlternateContent>
        <mc:AlternateContent xmlns:mc="http://schemas.openxmlformats.org/markup-compatibility/2006">
          <mc:Choice Requires="x14">
            <control shapeId="47148" r:id="rId146" name="Option Button 44">
              <controlPr defaultSize="0" autoFill="0" autoLine="0" autoPict="0">
                <anchor moveWithCells="1" sizeWithCells="1">
                  <from>
                    <xdr:col>6</xdr:col>
                    <xdr:colOff>85725</xdr:colOff>
                    <xdr:row>384</xdr:row>
                    <xdr:rowOff>0</xdr:rowOff>
                  </from>
                  <to>
                    <xdr:col>14</xdr:col>
                    <xdr:colOff>561975</xdr:colOff>
                    <xdr:row>384</xdr:row>
                    <xdr:rowOff>238125</xdr:rowOff>
                  </to>
                </anchor>
              </controlPr>
            </control>
          </mc:Choice>
        </mc:AlternateContent>
        <mc:AlternateContent xmlns:mc="http://schemas.openxmlformats.org/markup-compatibility/2006">
          <mc:Choice Requires="x14">
            <control shapeId="168241" r:id="rId147" name="Group Box 1329">
              <controlPr defaultSize="0" autoFill="0" autoPict="0">
                <anchor moveWithCells="1">
                  <from>
                    <xdr:col>6</xdr:col>
                    <xdr:colOff>19050</xdr:colOff>
                    <xdr:row>426</xdr:row>
                    <xdr:rowOff>0</xdr:rowOff>
                  </from>
                  <to>
                    <xdr:col>14</xdr:col>
                    <xdr:colOff>609600</xdr:colOff>
                    <xdr:row>427</xdr:row>
                    <xdr:rowOff>0</xdr:rowOff>
                  </to>
                </anchor>
              </controlPr>
            </control>
          </mc:Choice>
        </mc:AlternateContent>
        <mc:AlternateContent xmlns:mc="http://schemas.openxmlformats.org/markup-compatibility/2006">
          <mc:Choice Requires="x14">
            <control shapeId="168242" r:id="rId148" name="Option Button 1330">
              <controlPr defaultSize="0" autoFill="0" autoLine="0" autoPict="0">
                <anchor moveWithCells="1">
                  <from>
                    <xdr:col>6</xdr:col>
                    <xdr:colOff>152400</xdr:colOff>
                    <xdr:row>426</xdr:row>
                    <xdr:rowOff>28575</xdr:rowOff>
                  </from>
                  <to>
                    <xdr:col>10</xdr:col>
                    <xdr:colOff>9525</xdr:colOff>
                    <xdr:row>426</xdr:row>
                    <xdr:rowOff>247650</xdr:rowOff>
                  </to>
                </anchor>
              </controlPr>
            </control>
          </mc:Choice>
        </mc:AlternateContent>
        <mc:AlternateContent xmlns:mc="http://schemas.openxmlformats.org/markup-compatibility/2006">
          <mc:Choice Requires="x14">
            <control shapeId="168243" r:id="rId149" name="Option Button 1331">
              <controlPr defaultSize="0" autoFill="0" autoLine="0" autoPict="0">
                <anchor moveWithCells="1">
                  <from>
                    <xdr:col>10</xdr:col>
                    <xdr:colOff>133350</xdr:colOff>
                    <xdr:row>426</xdr:row>
                    <xdr:rowOff>28575</xdr:rowOff>
                  </from>
                  <to>
                    <xdr:col>13</xdr:col>
                    <xdr:colOff>28575</xdr:colOff>
                    <xdr:row>426</xdr:row>
                    <xdr:rowOff>247650</xdr:rowOff>
                  </to>
                </anchor>
              </controlPr>
            </control>
          </mc:Choice>
        </mc:AlternateContent>
        <mc:AlternateContent xmlns:mc="http://schemas.openxmlformats.org/markup-compatibility/2006">
          <mc:Choice Requires="x14">
            <control shapeId="168244" r:id="rId150" name="Option Button 1332">
              <controlPr defaultSize="0" autoFill="0" autoLine="0" autoPict="0">
                <anchor moveWithCells="1">
                  <from>
                    <xdr:col>13</xdr:col>
                    <xdr:colOff>104775</xdr:colOff>
                    <xdr:row>426</xdr:row>
                    <xdr:rowOff>38100</xdr:rowOff>
                  </from>
                  <to>
                    <xdr:col>14</xdr:col>
                    <xdr:colOff>428625</xdr:colOff>
                    <xdr:row>426</xdr:row>
                    <xdr:rowOff>257175</xdr:rowOff>
                  </to>
                </anchor>
              </controlPr>
            </control>
          </mc:Choice>
        </mc:AlternateContent>
        <mc:AlternateContent xmlns:mc="http://schemas.openxmlformats.org/markup-compatibility/2006">
          <mc:Choice Requires="x14">
            <control shapeId="168245" r:id="rId151" name="Group Box 1333">
              <controlPr defaultSize="0" autoFill="0" autoPict="0">
                <anchor moveWithCells="1">
                  <from>
                    <xdr:col>6</xdr:col>
                    <xdr:colOff>19050</xdr:colOff>
                    <xdr:row>427</xdr:row>
                    <xdr:rowOff>0</xdr:rowOff>
                  </from>
                  <to>
                    <xdr:col>14</xdr:col>
                    <xdr:colOff>609600</xdr:colOff>
                    <xdr:row>428</xdr:row>
                    <xdr:rowOff>0</xdr:rowOff>
                  </to>
                </anchor>
              </controlPr>
            </control>
          </mc:Choice>
        </mc:AlternateContent>
        <mc:AlternateContent xmlns:mc="http://schemas.openxmlformats.org/markup-compatibility/2006">
          <mc:Choice Requires="x14">
            <control shapeId="168246" r:id="rId152" name="Option Button 1334">
              <controlPr defaultSize="0" autoFill="0" autoLine="0" autoPict="0">
                <anchor moveWithCells="1">
                  <from>
                    <xdr:col>6</xdr:col>
                    <xdr:colOff>152400</xdr:colOff>
                    <xdr:row>427</xdr:row>
                    <xdr:rowOff>28575</xdr:rowOff>
                  </from>
                  <to>
                    <xdr:col>10</xdr:col>
                    <xdr:colOff>9525</xdr:colOff>
                    <xdr:row>427</xdr:row>
                    <xdr:rowOff>247650</xdr:rowOff>
                  </to>
                </anchor>
              </controlPr>
            </control>
          </mc:Choice>
        </mc:AlternateContent>
        <mc:AlternateContent xmlns:mc="http://schemas.openxmlformats.org/markup-compatibility/2006">
          <mc:Choice Requires="x14">
            <control shapeId="168247" r:id="rId153" name="Option Button 1335">
              <controlPr defaultSize="0" autoFill="0" autoLine="0" autoPict="0">
                <anchor moveWithCells="1">
                  <from>
                    <xdr:col>10</xdr:col>
                    <xdr:colOff>133350</xdr:colOff>
                    <xdr:row>427</xdr:row>
                    <xdr:rowOff>28575</xdr:rowOff>
                  </from>
                  <to>
                    <xdr:col>13</xdr:col>
                    <xdr:colOff>28575</xdr:colOff>
                    <xdr:row>427</xdr:row>
                    <xdr:rowOff>247650</xdr:rowOff>
                  </to>
                </anchor>
              </controlPr>
            </control>
          </mc:Choice>
        </mc:AlternateContent>
        <mc:AlternateContent xmlns:mc="http://schemas.openxmlformats.org/markup-compatibility/2006">
          <mc:Choice Requires="x14">
            <control shapeId="168248" r:id="rId154" name="Option Button 1336">
              <controlPr defaultSize="0" autoFill="0" autoLine="0" autoPict="0">
                <anchor moveWithCells="1">
                  <from>
                    <xdr:col>13</xdr:col>
                    <xdr:colOff>104775</xdr:colOff>
                    <xdr:row>427</xdr:row>
                    <xdr:rowOff>38100</xdr:rowOff>
                  </from>
                  <to>
                    <xdr:col>14</xdr:col>
                    <xdr:colOff>428625</xdr:colOff>
                    <xdr:row>427</xdr:row>
                    <xdr:rowOff>257175</xdr:rowOff>
                  </to>
                </anchor>
              </controlPr>
            </control>
          </mc:Choice>
        </mc:AlternateContent>
        <mc:AlternateContent xmlns:mc="http://schemas.openxmlformats.org/markup-compatibility/2006">
          <mc:Choice Requires="x14">
            <control shapeId="168249" r:id="rId155" name="Group Box 1337">
              <controlPr defaultSize="0" autoFill="0" autoPict="0">
                <anchor moveWithCells="1">
                  <from>
                    <xdr:col>6</xdr:col>
                    <xdr:colOff>19050</xdr:colOff>
                    <xdr:row>428</xdr:row>
                    <xdr:rowOff>0</xdr:rowOff>
                  </from>
                  <to>
                    <xdr:col>14</xdr:col>
                    <xdr:colOff>609600</xdr:colOff>
                    <xdr:row>429</xdr:row>
                    <xdr:rowOff>0</xdr:rowOff>
                  </to>
                </anchor>
              </controlPr>
            </control>
          </mc:Choice>
        </mc:AlternateContent>
        <mc:AlternateContent xmlns:mc="http://schemas.openxmlformats.org/markup-compatibility/2006">
          <mc:Choice Requires="x14">
            <control shapeId="168250" r:id="rId156" name="Option Button 1338">
              <controlPr defaultSize="0" autoFill="0" autoLine="0" autoPict="0">
                <anchor moveWithCells="1">
                  <from>
                    <xdr:col>6</xdr:col>
                    <xdr:colOff>152400</xdr:colOff>
                    <xdr:row>428</xdr:row>
                    <xdr:rowOff>28575</xdr:rowOff>
                  </from>
                  <to>
                    <xdr:col>10</xdr:col>
                    <xdr:colOff>9525</xdr:colOff>
                    <xdr:row>428</xdr:row>
                    <xdr:rowOff>247650</xdr:rowOff>
                  </to>
                </anchor>
              </controlPr>
            </control>
          </mc:Choice>
        </mc:AlternateContent>
        <mc:AlternateContent xmlns:mc="http://schemas.openxmlformats.org/markup-compatibility/2006">
          <mc:Choice Requires="x14">
            <control shapeId="168251" r:id="rId157" name="Option Button 1339">
              <controlPr defaultSize="0" autoFill="0" autoLine="0" autoPict="0">
                <anchor moveWithCells="1">
                  <from>
                    <xdr:col>10</xdr:col>
                    <xdr:colOff>133350</xdr:colOff>
                    <xdr:row>428</xdr:row>
                    <xdr:rowOff>28575</xdr:rowOff>
                  </from>
                  <to>
                    <xdr:col>13</xdr:col>
                    <xdr:colOff>28575</xdr:colOff>
                    <xdr:row>428</xdr:row>
                    <xdr:rowOff>247650</xdr:rowOff>
                  </to>
                </anchor>
              </controlPr>
            </control>
          </mc:Choice>
        </mc:AlternateContent>
        <mc:AlternateContent xmlns:mc="http://schemas.openxmlformats.org/markup-compatibility/2006">
          <mc:Choice Requires="x14">
            <control shapeId="168252" r:id="rId158" name="Option Button 1340">
              <controlPr defaultSize="0" autoFill="0" autoLine="0" autoPict="0">
                <anchor moveWithCells="1">
                  <from>
                    <xdr:col>13</xdr:col>
                    <xdr:colOff>104775</xdr:colOff>
                    <xdr:row>428</xdr:row>
                    <xdr:rowOff>38100</xdr:rowOff>
                  </from>
                  <to>
                    <xdr:col>14</xdr:col>
                    <xdr:colOff>428625</xdr:colOff>
                    <xdr:row>428</xdr:row>
                    <xdr:rowOff>257175</xdr:rowOff>
                  </to>
                </anchor>
              </controlPr>
            </control>
          </mc:Choice>
        </mc:AlternateContent>
        <mc:AlternateContent xmlns:mc="http://schemas.openxmlformats.org/markup-compatibility/2006">
          <mc:Choice Requires="x14">
            <control shapeId="168253" r:id="rId159" name="Group Box 1341">
              <controlPr defaultSize="0" autoFill="0" autoPict="0">
                <anchor moveWithCells="1">
                  <from>
                    <xdr:col>6</xdr:col>
                    <xdr:colOff>9525</xdr:colOff>
                    <xdr:row>429</xdr:row>
                    <xdr:rowOff>0</xdr:rowOff>
                  </from>
                  <to>
                    <xdr:col>14</xdr:col>
                    <xdr:colOff>609600</xdr:colOff>
                    <xdr:row>430</xdr:row>
                    <xdr:rowOff>0</xdr:rowOff>
                  </to>
                </anchor>
              </controlPr>
            </control>
          </mc:Choice>
        </mc:AlternateContent>
        <mc:AlternateContent xmlns:mc="http://schemas.openxmlformats.org/markup-compatibility/2006">
          <mc:Choice Requires="x14">
            <control shapeId="168254" r:id="rId160" name="Option Button 1342">
              <controlPr defaultSize="0" autoFill="0" autoLine="0" autoPict="0">
                <anchor moveWithCells="1">
                  <from>
                    <xdr:col>6</xdr:col>
                    <xdr:colOff>152400</xdr:colOff>
                    <xdr:row>429</xdr:row>
                    <xdr:rowOff>28575</xdr:rowOff>
                  </from>
                  <to>
                    <xdr:col>10</xdr:col>
                    <xdr:colOff>9525</xdr:colOff>
                    <xdr:row>429</xdr:row>
                    <xdr:rowOff>247650</xdr:rowOff>
                  </to>
                </anchor>
              </controlPr>
            </control>
          </mc:Choice>
        </mc:AlternateContent>
        <mc:AlternateContent xmlns:mc="http://schemas.openxmlformats.org/markup-compatibility/2006">
          <mc:Choice Requires="x14">
            <control shapeId="168255" r:id="rId161" name="Option Button 1343">
              <controlPr defaultSize="0" autoFill="0" autoLine="0" autoPict="0">
                <anchor moveWithCells="1">
                  <from>
                    <xdr:col>10</xdr:col>
                    <xdr:colOff>133350</xdr:colOff>
                    <xdr:row>429</xdr:row>
                    <xdr:rowOff>28575</xdr:rowOff>
                  </from>
                  <to>
                    <xdr:col>13</xdr:col>
                    <xdr:colOff>28575</xdr:colOff>
                    <xdr:row>429</xdr:row>
                    <xdr:rowOff>247650</xdr:rowOff>
                  </to>
                </anchor>
              </controlPr>
            </control>
          </mc:Choice>
        </mc:AlternateContent>
        <mc:AlternateContent xmlns:mc="http://schemas.openxmlformats.org/markup-compatibility/2006">
          <mc:Choice Requires="x14">
            <control shapeId="168256" r:id="rId162" name="Option Button 1344">
              <controlPr defaultSize="0" autoFill="0" autoLine="0" autoPict="0">
                <anchor moveWithCells="1">
                  <from>
                    <xdr:col>13</xdr:col>
                    <xdr:colOff>104775</xdr:colOff>
                    <xdr:row>429</xdr:row>
                    <xdr:rowOff>38100</xdr:rowOff>
                  </from>
                  <to>
                    <xdr:col>14</xdr:col>
                    <xdr:colOff>428625</xdr:colOff>
                    <xdr:row>429</xdr:row>
                    <xdr:rowOff>257175</xdr:rowOff>
                  </to>
                </anchor>
              </controlPr>
            </control>
          </mc:Choice>
        </mc:AlternateContent>
        <mc:AlternateContent xmlns:mc="http://schemas.openxmlformats.org/markup-compatibility/2006">
          <mc:Choice Requires="x14">
            <control shapeId="168257" r:id="rId163" name="Group Box 1345">
              <controlPr defaultSize="0" autoFill="0" autoPict="0">
                <anchor moveWithCells="1">
                  <from>
                    <xdr:col>6</xdr:col>
                    <xdr:colOff>19050</xdr:colOff>
                    <xdr:row>430</xdr:row>
                    <xdr:rowOff>0</xdr:rowOff>
                  </from>
                  <to>
                    <xdr:col>14</xdr:col>
                    <xdr:colOff>609600</xdr:colOff>
                    <xdr:row>431</xdr:row>
                    <xdr:rowOff>0</xdr:rowOff>
                  </to>
                </anchor>
              </controlPr>
            </control>
          </mc:Choice>
        </mc:AlternateContent>
        <mc:AlternateContent xmlns:mc="http://schemas.openxmlformats.org/markup-compatibility/2006">
          <mc:Choice Requires="x14">
            <control shapeId="168258" r:id="rId164" name="Option Button 1346">
              <controlPr defaultSize="0" autoFill="0" autoLine="0" autoPict="0">
                <anchor moveWithCells="1">
                  <from>
                    <xdr:col>6</xdr:col>
                    <xdr:colOff>152400</xdr:colOff>
                    <xdr:row>430</xdr:row>
                    <xdr:rowOff>28575</xdr:rowOff>
                  </from>
                  <to>
                    <xdr:col>10</xdr:col>
                    <xdr:colOff>9525</xdr:colOff>
                    <xdr:row>430</xdr:row>
                    <xdr:rowOff>247650</xdr:rowOff>
                  </to>
                </anchor>
              </controlPr>
            </control>
          </mc:Choice>
        </mc:AlternateContent>
        <mc:AlternateContent xmlns:mc="http://schemas.openxmlformats.org/markup-compatibility/2006">
          <mc:Choice Requires="x14">
            <control shapeId="168259" r:id="rId165" name="Option Button 1347">
              <controlPr defaultSize="0" autoFill="0" autoLine="0" autoPict="0">
                <anchor moveWithCells="1">
                  <from>
                    <xdr:col>10</xdr:col>
                    <xdr:colOff>133350</xdr:colOff>
                    <xdr:row>430</xdr:row>
                    <xdr:rowOff>28575</xdr:rowOff>
                  </from>
                  <to>
                    <xdr:col>13</xdr:col>
                    <xdr:colOff>28575</xdr:colOff>
                    <xdr:row>430</xdr:row>
                    <xdr:rowOff>247650</xdr:rowOff>
                  </to>
                </anchor>
              </controlPr>
            </control>
          </mc:Choice>
        </mc:AlternateContent>
        <mc:AlternateContent xmlns:mc="http://schemas.openxmlformats.org/markup-compatibility/2006">
          <mc:Choice Requires="x14">
            <control shapeId="168260" r:id="rId166" name="Option Button 1348">
              <controlPr defaultSize="0" autoFill="0" autoLine="0" autoPict="0">
                <anchor moveWithCells="1">
                  <from>
                    <xdr:col>13</xdr:col>
                    <xdr:colOff>104775</xdr:colOff>
                    <xdr:row>430</xdr:row>
                    <xdr:rowOff>38100</xdr:rowOff>
                  </from>
                  <to>
                    <xdr:col>14</xdr:col>
                    <xdr:colOff>428625</xdr:colOff>
                    <xdr:row>430</xdr:row>
                    <xdr:rowOff>257175</xdr:rowOff>
                  </to>
                </anchor>
              </controlPr>
            </control>
          </mc:Choice>
        </mc:AlternateContent>
        <mc:AlternateContent xmlns:mc="http://schemas.openxmlformats.org/markup-compatibility/2006">
          <mc:Choice Requires="x14">
            <control shapeId="168261" r:id="rId167" name="Group Box 1349">
              <controlPr defaultSize="0" autoFill="0" autoPict="0">
                <anchor moveWithCells="1">
                  <from>
                    <xdr:col>6</xdr:col>
                    <xdr:colOff>19050</xdr:colOff>
                    <xdr:row>431</xdr:row>
                    <xdr:rowOff>0</xdr:rowOff>
                  </from>
                  <to>
                    <xdr:col>14</xdr:col>
                    <xdr:colOff>609600</xdr:colOff>
                    <xdr:row>432</xdr:row>
                    <xdr:rowOff>0</xdr:rowOff>
                  </to>
                </anchor>
              </controlPr>
            </control>
          </mc:Choice>
        </mc:AlternateContent>
        <mc:AlternateContent xmlns:mc="http://schemas.openxmlformats.org/markup-compatibility/2006">
          <mc:Choice Requires="x14">
            <control shapeId="168262" r:id="rId168" name="Option Button 1350">
              <controlPr defaultSize="0" autoFill="0" autoLine="0" autoPict="0">
                <anchor moveWithCells="1">
                  <from>
                    <xdr:col>6</xdr:col>
                    <xdr:colOff>152400</xdr:colOff>
                    <xdr:row>431</xdr:row>
                    <xdr:rowOff>28575</xdr:rowOff>
                  </from>
                  <to>
                    <xdr:col>10</xdr:col>
                    <xdr:colOff>9525</xdr:colOff>
                    <xdr:row>431</xdr:row>
                    <xdr:rowOff>247650</xdr:rowOff>
                  </to>
                </anchor>
              </controlPr>
            </control>
          </mc:Choice>
        </mc:AlternateContent>
        <mc:AlternateContent xmlns:mc="http://schemas.openxmlformats.org/markup-compatibility/2006">
          <mc:Choice Requires="x14">
            <control shapeId="168263" r:id="rId169" name="Option Button 1351">
              <controlPr defaultSize="0" autoFill="0" autoLine="0" autoPict="0">
                <anchor moveWithCells="1">
                  <from>
                    <xdr:col>10</xdr:col>
                    <xdr:colOff>133350</xdr:colOff>
                    <xdr:row>431</xdr:row>
                    <xdr:rowOff>28575</xdr:rowOff>
                  </from>
                  <to>
                    <xdr:col>13</xdr:col>
                    <xdr:colOff>28575</xdr:colOff>
                    <xdr:row>431</xdr:row>
                    <xdr:rowOff>247650</xdr:rowOff>
                  </to>
                </anchor>
              </controlPr>
            </control>
          </mc:Choice>
        </mc:AlternateContent>
        <mc:AlternateContent xmlns:mc="http://schemas.openxmlformats.org/markup-compatibility/2006">
          <mc:Choice Requires="x14">
            <control shapeId="168264" r:id="rId170" name="Option Button 1352">
              <controlPr defaultSize="0" autoFill="0" autoLine="0" autoPict="0">
                <anchor moveWithCells="1">
                  <from>
                    <xdr:col>13</xdr:col>
                    <xdr:colOff>104775</xdr:colOff>
                    <xdr:row>431</xdr:row>
                    <xdr:rowOff>38100</xdr:rowOff>
                  </from>
                  <to>
                    <xdr:col>14</xdr:col>
                    <xdr:colOff>428625</xdr:colOff>
                    <xdr:row>431</xdr:row>
                    <xdr:rowOff>257175</xdr:rowOff>
                  </to>
                </anchor>
              </controlPr>
            </control>
          </mc:Choice>
        </mc:AlternateContent>
        <mc:AlternateContent xmlns:mc="http://schemas.openxmlformats.org/markup-compatibility/2006">
          <mc:Choice Requires="x14">
            <control shapeId="168265" r:id="rId171" name="Group Box 1353">
              <controlPr defaultSize="0" autoFill="0" autoPict="0">
                <anchor moveWithCells="1">
                  <from>
                    <xdr:col>6</xdr:col>
                    <xdr:colOff>19050</xdr:colOff>
                    <xdr:row>432</xdr:row>
                    <xdr:rowOff>0</xdr:rowOff>
                  </from>
                  <to>
                    <xdr:col>14</xdr:col>
                    <xdr:colOff>609600</xdr:colOff>
                    <xdr:row>433</xdr:row>
                    <xdr:rowOff>0</xdr:rowOff>
                  </to>
                </anchor>
              </controlPr>
            </control>
          </mc:Choice>
        </mc:AlternateContent>
        <mc:AlternateContent xmlns:mc="http://schemas.openxmlformats.org/markup-compatibility/2006">
          <mc:Choice Requires="x14">
            <control shapeId="168266" r:id="rId172" name="Option Button 1354">
              <controlPr defaultSize="0" autoFill="0" autoLine="0" autoPict="0">
                <anchor moveWithCells="1">
                  <from>
                    <xdr:col>6</xdr:col>
                    <xdr:colOff>152400</xdr:colOff>
                    <xdr:row>432</xdr:row>
                    <xdr:rowOff>28575</xdr:rowOff>
                  </from>
                  <to>
                    <xdr:col>10</xdr:col>
                    <xdr:colOff>9525</xdr:colOff>
                    <xdr:row>432</xdr:row>
                    <xdr:rowOff>247650</xdr:rowOff>
                  </to>
                </anchor>
              </controlPr>
            </control>
          </mc:Choice>
        </mc:AlternateContent>
        <mc:AlternateContent xmlns:mc="http://schemas.openxmlformats.org/markup-compatibility/2006">
          <mc:Choice Requires="x14">
            <control shapeId="168267" r:id="rId173" name="Option Button 1355">
              <controlPr defaultSize="0" autoFill="0" autoLine="0" autoPict="0">
                <anchor moveWithCells="1">
                  <from>
                    <xdr:col>10</xdr:col>
                    <xdr:colOff>133350</xdr:colOff>
                    <xdr:row>432</xdr:row>
                    <xdr:rowOff>28575</xdr:rowOff>
                  </from>
                  <to>
                    <xdr:col>13</xdr:col>
                    <xdr:colOff>28575</xdr:colOff>
                    <xdr:row>432</xdr:row>
                    <xdr:rowOff>247650</xdr:rowOff>
                  </to>
                </anchor>
              </controlPr>
            </control>
          </mc:Choice>
        </mc:AlternateContent>
        <mc:AlternateContent xmlns:mc="http://schemas.openxmlformats.org/markup-compatibility/2006">
          <mc:Choice Requires="x14">
            <control shapeId="168268" r:id="rId174" name="Option Button 1356">
              <controlPr defaultSize="0" autoFill="0" autoLine="0" autoPict="0">
                <anchor moveWithCells="1">
                  <from>
                    <xdr:col>13</xdr:col>
                    <xdr:colOff>104775</xdr:colOff>
                    <xdr:row>432</xdr:row>
                    <xdr:rowOff>38100</xdr:rowOff>
                  </from>
                  <to>
                    <xdr:col>14</xdr:col>
                    <xdr:colOff>428625</xdr:colOff>
                    <xdr:row>432</xdr:row>
                    <xdr:rowOff>257175</xdr:rowOff>
                  </to>
                </anchor>
              </controlPr>
            </control>
          </mc:Choice>
        </mc:AlternateContent>
        <mc:AlternateContent xmlns:mc="http://schemas.openxmlformats.org/markup-compatibility/2006">
          <mc:Choice Requires="x14">
            <control shapeId="168269" r:id="rId175" name="Group Box 1357">
              <controlPr defaultSize="0" autoFill="0" autoPict="0">
                <anchor moveWithCells="1">
                  <from>
                    <xdr:col>6</xdr:col>
                    <xdr:colOff>19050</xdr:colOff>
                    <xdr:row>433</xdr:row>
                    <xdr:rowOff>0</xdr:rowOff>
                  </from>
                  <to>
                    <xdr:col>14</xdr:col>
                    <xdr:colOff>609600</xdr:colOff>
                    <xdr:row>434</xdr:row>
                    <xdr:rowOff>0</xdr:rowOff>
                  </to>
                </anchor>
              </controlPr>
            </control>
          </mc:Choice>
        </mc:AlternateContent>
        <mc:AlternateContent xmlns:mc="http://schemas.openxmlformats.org/markup-compatibility/2006">
          <mc:Choice Requires="x14">
            <control shapeId="168270" r:id="rId176" name="Option Button 1358">
              <controlPr defaultSize="0" autoFill="0" autoLine="0" autoPict="0">
                <anchor moveWithCells="1">
                  <from>
                    <xdr:col>6</xdr:col>
                    <xdr:colOff>152400</xdr:colOff>
                    <xdr:row>433</xdr:row>
                    <xdr:rowOff>28575</xdr:rowOff>
                  </from>
                  <to>
                    <xdr:col>10</xdr:col>
                    <xdr:colOff>9525</xdr:colOff>
                    <xdr:row>433</xdr:row>
                    <xdr:rowOff>247650</xdr:rowOff>
                  </to>
                </anchor>
              </controlPr>
            </control>
          </mc:Choice>
        </mc:AlternateContent>
        <mc:AlternateContent xmlns:mc="http://schemas.openxmlformats.org/markup-compatibility/2006">
          <mc:Choice Requires="x14">
            <control shapeId="168271" r:id="rId177" name="Option Button 1359">
              <controlPr defaultSize="0" autoFill="0" autoLine="0" autoPict="0">
                <anchor moveWithCells="1">
                  <from>
                    <xdr:col>10</xdr:col>
                    <xdr:colOff>133350</xdr:colOff>
                    <xdr:row>433</xdr:row>
                    <xdr:rowOff>28575</xdr:rowOff>
                  </from>
                  <to>
                    <xdr:col>13</xdr:col>
                    <xdr:colOff>28575</xdr:colOff>
                    <xdr:row>433</xdr:row>
                    <xdr:rowOff>247650</xdr:rowOff>
                  </to>
                </anchor>
              </controlPr>
            </control>
          </mc:Choice>
        </mc:AlternateContent>
        <mc:AlternateContent xmlns:mc="http://schemas.openxmlformats.org/markup-compatibility/2006">
          <mc:Choice Requires="x14">
            <control shapeId="168272" r:id="rId178" name="Option Button 1360">
              <controlPr defaultSize="0" autoFill="0" autoLine="0" autoPict="0">
                <anchor moveWithCells="1">
                  <from>
                    <xdr:col>13</xdr:col>
                    <xdr:colOff>104775</xdr:colOff>
                    <xdr:row>433</xdr:row>
                    <xdr:rowOff>38100</xdr:rowOff>
                  </from>
                  <to>
                    <xdr:col>14</xdr:col>
                    <xdr:colOff>428625</xdr:colOff>
                    <xdr:row>433</xdr:row>
                    <xdr:rowOff>257175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IG695"/>
  <sheetViews>
    <sheetView showGridLines="0" zoomScale="120" workbookViewId="0"/>
  </sheetViews>
  <sheetFormatPr defaultColWidth="3" defaultRowHeight="12.75" x14ac:dyDescent="0.2"/>
  <cols>
    <col min="1" max="1" width="0.85546875" style="2" customWidth="1"/>
    <col min="2" max="2" width="21.7109375" style="2" customWidth="1"/>
    <col min="3" max="3" width="3.28515625" style="2" customWidth="1"/>
    <col min="4" max="4" width="6.140625" style="2" customWidth="1"/>
    <col min="5" max="5" width="3.42578125" style="2" customWidth="1"/>
    <col min="6" max="6" width="3.85546875" style="2" customWidth="1"/>
    <col min="7" max="7" width="4" style="2" customWidth="1"/>
    <col min="8" max="8" width="1.42578125" style="2" customWidth="1"/>
    <col min="9" max="9" width="1.85546875" style="2" customWidth="1"/>
    <col min="10" max="10" width="3.85546875" style="2" customWidth="1"/>
    <col min="11" max="11" width="3.7109375" style="2" customWidth="1"/>
    <col min="12" max="12" width="3.28515625" style="2" customWidth="1"/>
    <col min="13" max="13" width="6" style="2" customWidth="1"/>
    <col min="14" max="15" width="8.85546875" style="2" customWidth="1"/>
    <col min="16" max="16" width="8.5703125" style="2" customWidth="1"/>
    <col min="17" max="17" width="0.42578125" style="2" customWidth="1"/>
    <col min="18" max="18" width="14.7109375" style="2" hidden="1" customWidth="1"/>
    <col min="19" max="19" width="12" style="2" hidden="1" customWidth="1"/>
    <col min="20" max="20" width="11.5703125" style="2" hidden="1" customWidth="1"/>
    <col min="21" max="21" width="17" style="2" hidden="1" customWidth="1"/>
    <col min="22" max="22" width="19.140625" style="2" hidden="1" customWidth="1"/>
    <col min="23" max="23" width="14.140625" style="2" hidden="1" customWidth="1"/>
    <col min="24" max="24" width="10.7109375" style="2" hidden="1" customWidth="1"/>
    <col min="25" max="25" width="20" style="2" hidden="1" customWidth="1"/>
    <col min="26" max="26" width="19.28515625" style="2" hidden="1" customWidth="1"/>
    <col min="27" max="27" width="13.140625" style="2" hidden="1" customWidth="1"/>
    <col min="28" max="28" width="23.5703125" style="2" hidden="1" customWidth="1"/>
    <col min="29" max="29" width="10" style="2" hidden="1" customWidth="1"/>
    <col min="30" max="30" width="9.140625" style="2" hidden="1" customWidth="1"/>
    <col min="31" max="31" width="12.85546875" style="2" hidden="1" customWidth="1"/>
    <col min="32" max="32" width="9.5703125" style="2" hidden="1" customWidth="1"/>
    <col min="33" max="33" width="9.28515625" style="2" hidden="1" customWidth="1"/>
    <col min="34" max="34" width="10.28515625" style="2" hidden="1" customWidth="1"/>
    <col min="35" max="36" width="10.5703125" style="2" hidden="1" customWidth="1"/>
    <col min="37" max="37" width="8.85546875" style="2" hidden="1" customWidth="1"/>
    <col min="38" max="130" width="3" style="2" hidden="1" customWidth="1"/>
    <col min="131" max="255" width="3" style="2" customWidth="1"/>
    <col min="256" max="16384" width="3" style="2"/>
  </cols>
  <sheetData>
    <row r="1" spans="1:170" ht="15" customHeight="1" x14ac:dyDescent="0.2">
      <c r="B1" s="724" t="s">
        <v>1697</v>
      </c>
      <c r="C1" s="771"/>
      <c r="D1" s="732" t="str">
        <f>IF('Start here'!A6="","",'Start here'!A6)</f>
        <v/>
      </c>
      <c r="E1" s="736"/>
      <c r="F1" s="736"/>
      <c r="G1" s="736"/>
      <c r="H1" s="736"/>
      <c r="I1" s="736"/>
      <c r="J1" s="736"/>
      <c r="K1" s="737"/>
      <c r="M1" s="732" t="str">
        <f>IF('Start here'!A7="","",'Start here'!A7)</f>
        <v/>
      </c>
      <c r="N1" s="736"/>
      <c r="O1" s="736"/>
      <c r="P1" s="737"/>
      <c r="R1" s="242">
        <v>38353</v>
      </c>
      <c r="S1" s="910" t="str">
        <f>IF(R2&lt;R1,"Go to PPD Worksheet","")</f>
        <v>Go to PPD Worksheet</v>
      </c>
      <c r="T1" s="910"/>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4.25" customHeight="1" x14ac:dyDescent="0.2">
      <c r="B2" s="777"/>
      <c r="C2" s="777"/>
      <c r="D2" s="777"/>
      <c r="E2" s="777"/>
      <c r="F2" s="777"/>
      <c r="G2" s="777"/>
      <c r="H2" s="777"/>
      <c r="I2" s="777"/>
      <c r="J2" s="777"/>
      <c r="K2" s="777"/>
      <c r="L2" s="777"/>
      <c r="M2" s="777"/>
      <c r="N2" s="777"/>
      <c r="O2" s="777"/>
      <c r="P2" s="777"/>
      <c r="R2" s="242">
        <f>'Start here'!A8</f>
        <v>0</v>
      </c>
      <c r="S2" s="910" t="str">
        <f>IF(R2&gt;=R1,"Go to PPD Worksheet","")</f>
        <v/>
      </c>
      <c r="T2" s="9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row>
    <row r="3" spans="1:170" s="6" customFormat="1" ht="20.25" customHeight="1" x14ac:dyDescent="0.3">
      <c r="A3" s="2"/>
      <c r="B3" s="778" t="s">
        <v>1404</v>
      </c>
      <c r="C3" s="779"/>
      <c r="D3" s="779"/>
      <c r="E3" s="779"/>
      <c r="F3" s="779"/>
      <c r="G3" s="779"/>
      <c r="H3" s="779"/>
      <c r="I3" s="779"/>
      <c r="J3" s="779"/>
      <c r="K3" s="779"/>
      <c r="L3" s="779"/>
      <c r="M3" s="779"/>
      <c r="N3" s="779"/>
      <c r="O3" s="779"/>
      <c r="P3" s="1090"/>
      <c r="Q3" s="2"/>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row>
    <row r="4" spans="1:170" s="6" customFormat="1" ht="30" customHeight="1" x14ac:dyDescent="0.3">
      <c r="A4" s="2"/>
      <c r="B4" s="179" t="s">
        <v>396</v>
      </c>
      <c r="C4" s="1062" t="s">
        <v>335</v>
      </c>
      <c r="D4" s="1062"/>
      <c r="E4" s="1062" t="s">
        <v>336</v>
      </c>
      <c r="F4" s="1062"/>
      <c r="G4" s="1062" t="s">
        <v>337</v>
      </c>
      <c r="H4" s="1062"/>
      <c r="I4" s="1062"/>
      <c r="J4" s="1062" t="s">
        <v>338</v>
      </c>
      <c r="K4" s="1062"/>
      <c r="L4" s="1062" t="s">
        <v>339</v>
      </c>
      <c r="M4" s="1062"/>
      <c r="N4" s="364" t="s">
        <v>700</v>
      </c>
      <c r="O4" s="364" t="s">
        <v>658</v>
      </c>
      <c r="P4" s="364" t="s">
        <v>1859</v>
      </c>
      <c r="Q4" s="376"/>
      <c r="R4" s="377"/>
      <c r="S4" s="20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row>
    <row r="5" spans="1:170" s="6" customFormat="1" ht="9" customHeight="1" x14ac:dyDescent="0.2">
      <c r="A5" s="2"/>
      <c r="B5" s="777"/>
      <c r="C5" s="777"/>
      <c r="D5" s="777"/>
      <c r="E5" s="777"/>
      <c r="F5" s="777"/>
      <c r="G5" s="777"/>
      <c r="H5" s="777"/>
      <c r="I5" s="777"/>
      <c r="J5" s="777"/>
      <c r="K5" s="777"/>
      <c r="L5" s="777"/>
      <c r="M5" s="777"/>
      <c r="N5" s="777"/>
      <c r="O5" s="777"/>
      <c r="P5" s="777"/>
      <c r="Q5" s="2"/>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row>
    <row r="6" spans="1:170" s="6" customFormat="1" ht="18" customHeight="1" x14ac:dyDescent="0.2">
      <c r="A6" s="2"/>
      <c r="B6" s="947" t="s">
        <v>1405</v>
      </c>
      <c r="C6" s="863"/>
      <c r="D6" s="863"/>
      <c r="E6" s="863"/>
      <c r="F6" s="863"/>
      <c r="G6" s="863"/>
      <c r="H6" s="863"/>
      <c r="I6" s="863"/>
      <c r="J6" s="863"/>
      <c r="K6" s="863"/>
      <c r="L6" s="863"/>
      <c r="M6" s="863"/>
      <c r="N6" s="863"/>
      <c r="O6" s="863"/>
      <c r="P6" s="863"/>
      <c r="Q6" s="2"/>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row>
    <row r="7" spans="1:170" s="6" customFormat="1" ht="15" customHeight="1" x14ac:dyDescent="0.2">
      <c r="A7" s="2"/>
      <c r="B7" s="910" t="s">
        <v>1252</v>
      </c>
      <c r="C7" s="910"/>
      <c r="D7" s="910"/>
      <c r="E7" s="910"/>
      <c r="F7" s="910"/>
      <c r="G7" s="910"/>
      <c r="H7" s="910"/>
      <c r="I7" s="910"/>
      <c r="J7" s="910"/>
      <c r="K7" s="910"/>
      <c r="L7" s="910"/>
      <c r="M7" s="910"/>
      <c r="N7" s="910"/>
      <c r="O7" s="910"/>
      <c r="P7" s="910"/>
      <c r="Q7" s="2"/>
      <c r="R7" s="10"/>
      <c r="S7" s="10"/>
      <c r="T7" s="761" t="s">
        <v>1253</v>
      </c>
      <c r="U7" s="50" t="s">
        <v>1298</v>
      </c>
      <c r="V7" s="50" t="s">
        <v>1745</v>
      </c>
      <c r="W7" s="552" t="s">
        <v>690</v>
      </c>
      <c r="X7" s="50" t="s">
        <v>691</v>
      </c>
      <c r="Y7" s="50" t="s">
        <v>692</v>
      </c>
      <c r="Z7" s="50" t="s">
        <v>693</v>
      </c>
      <c r="AA7" s="147" t="s">
        <v>1617</v>
      </c>
      <c r="AB7" s="147" t="s">
        <v>1618</v>
      </c>
      <c r="AC7" s="147" t="s">
        <v>1619</v>
      </c>
      <c r="AD7" s="50" t="s">
        <v>1086</v>
      </c>
      <c r="AE7" s="50" t="s">
        <v>1087</v>
      </c>
      <c r="AF7" s="50" t="s">
        <v>1088</v>
      </c>
      <c r="AG7" s="50" t="s">
        <v>1585</v>
      </c>
      <c r="AH7" s="50" t="s">
        <v>1028</v>
      </c>
      <c r="AI7" s="50" t="s">
        <v>1029</v>
      </c>
      <c r="AJ7" s="50" t="s">
        <v>1636</v>
      </c>
      <c r="AK7" s="50" t="s">
        <v>1328</v>
      </c>
      <c r="AL7" s="50" t="s">
        <v>1329</v>
      </c>
      <c r="AM7" s="50" t="s">
        <v>1330</v>
      </c>
      <c r="AN7" s="50" t="s">
        <v>193</v>
      </c>
      <c r="AO7" s="50" t="s">
        <v>194</v>
      </c>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row>
    <row r="8" spans="1:170" s="6" customFormat="1" ht="18" customHeight="1" x14ac:dyDescent="0.2">
      <c r="A8" s="2"/>
      <c r="B8" s="1012"/>
      <c r="C8" s="1012"/>
      <c r="D8" s="1012"/>
      <c r="E8" s="1012"/>
      <c r="F8" s="1012"/>
      <c r="G8" s="1012"/>
      <c r="H8" s="1012"/>
      <c r="I8" s="1012"/>
      <c r="J8" s="1012"/>
      <c r="K8" s="1012"/>
      <c r="L8" s="1012"/>
      <c r="M8" s="1012"/>
      <c r="N8" s="1012"/>
      <c r="O8" s="1012"/>
      <c r="P8" s="21">
        <f>SUMIF(U7:AO7,B8,U8:AO8)</f>
        <v>0</v>
      </c>
      <c r="Q8" s="2"/>
      <c r="R8" s="10"/>
      <c r="S8" s="10"/>
      <c r="T8" s="761"/>
      <c r="U8" s="548">
        <v>0</v>
      </c>
      <c r="V8" s="147">
        <v>0.05</v>
      </c>
      <c r="W8" s="147">
        <v>0.1</v>
      </c>
      <c r="X8" s="147">
        <v>0.15</v>
      </c>
      <c r="Y8" s="147">
        <v>0.2</v>
      </c>
      <c r="Z8" s="147">
        <v>0.25</v>
      </c>
      <c r="AA8" s="147">
        <v>0.3</v>
      </c>
      <c r="AB8" s="147">
        <v>0.35</v>
      </c>
      <c r="AC8" s="147">
        <v>0.4</v>
      </c>
      <c r="AD8" s="147">
        <v>0.45</v>
      </c>
      <c r="AE8" s="147">
        <v>0.5</v>
      </c>
      <c r="AF8" s="147">
        <v>0.55000000000000004</v>
      </c>
      <c r="AG8" s="147">
        <v>0.6</v>
      </c>
      <c r="AH8" s="147">
        <v>0.65</v>
      </c>
      <c r="AI8" s="147">
        <v>0.7</v>
      </c>
      <c r="AJ8" s="147">
        <v>0.75</v>
      </c>
      <c r="AK8" s="147">
        <v>0.8</v>
      </c>
      <c r="AL8" s="147">
        <v>0.85</v>
      </c>
      <c r="AM8" s="147">
        <v>0.9</v>
      </c>
      <c r="AN8" s="147">
        <v>0.95</v>
      </c>
      <c r="AO8" s="147">
        <v>1</v>
      </c>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row>
    <row r="9" spans="1:170" s="6" customFormat="1" ht="12" customHeight="1" x14ac:dyDescent="0.25">
      <c r="A9" s="2"/>
      <c r="B9" s="1220"/>
      <c r="C9" s="1220"/>
      <c r="D9" s="1220"/>
      <c r="E9" s="1220"/>
      <c r="F9" s="1220"/>
      <c r="G9" s="1220"/>
      <c r="H9" s="1220"/>
      <c r="I9" s="1220"/>
      <c r="J9" s="1220"/>
      <c r="K9" s="1220"/>
      <c r="L9" s="1220"/>
      <c r="M9" s="1220"/>
      <c r="N9" s="1220"/>
      <c r="O9" s="1220"/>
      <c r="P9" s="1220"/>
      <c r="Q9" s="2"/>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row>
    <row r="10" spans="1:170" s="6" customFormat="1" ht="15" customHeight="1" x14ac:dyDescent="0.2">
      <c r="A10" s="2"/>
      <c r="B10" s="944" t="s">
        <v>1174</v>
      </c>
      <c r="C10" s="945"/>
      <c r="D10" s="945"/>
      <c r="E10" s="945"/>
      <c r="F10" s="945"/>
      <c r="G10" s="945"/>
      <c r="H10" s="945"/>
      <c r="I10" s="945"/>
      <c r="J10" s="945"/>
      <c r="K10" s="945"/>
      <c r="L10" s="945"/>
      <c r="M10" s="945"/>
      <c r="N10" s="945"/>
      <c r="O10" s="945"/>
      <c r="P10" s="830"/>
      <c r="Q10" s="2"/>
      <c r="R10" s="10"/>
      <c r="U10" s="58"/>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row>
    <row r="11" spans="1:170" s="6" customFormat="1" ht="27" customHeight="1" x14ac:dyDescent="0.25">
      <c r="A11" s="2"/>
      <c r="B11" s="378"/>
      <c r="C11" s="832" t="s">
        <v>1564</v>
      </c>
      <c r="D11" s="832"/>
      <c r="E11" s="832"/>
      <c r="F11" s="832"/>
      <c r="G11" s="1066" t="s">
        <v>1064</v>
      </c>
      <c r="H11" s="1066"/>
      <c r="I11" s="1066"/>
      <c r="J11" s="1066"/>
      <c r="K11" s="1066"/>
      <c r="L11" s="1179"/>
      <c r="M11" s="1179"/>
      <c r="N11" s="1179"/>
      <c r="O11" s="1179"/>
      <c r="P11" s="831"/>
      <c r="Q11" s="2"/>
      <c r="R11" s="10"/>
      <c r="S11" s="2"/>
      <c r="T11" s="912" t="s">
        <v>1238</v>
      </c>
      <c r="U11" s="912"/>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row>
    <row r="12" spans="1:170" s="6" customFormat="1" ht="15" customHeight="1" x14ac:dyDescent="0.2">
      <c r="A12" s="2"/>
      <c r="B12" s="293" t="s">
        <v>1065</v>
      </c>
      <c r="C12" s="910" t="s">
        <v>355</v>
      </c>
      <c r="D12" s="910"/>
      <c r="E12" s="910" t="s">
        <v>1759</v>
      </c>
      <c r="F12" s="910"/>
      <c r="G12" s="910" t="s">
        <v>355</v>
      </c>
      <c r="H12" s="910"/>
      <c r="I12" s="910"/>
      <c r="J12" s="910" t="s">
        <v>1759</v>
      </c>
      <c r="K12" s="910"/>
      <c r="L12" s="1235"/>
      <c r="M12" s="1236"/>
      <c r="N12" s="1236"/>
      <c r="O12" s="1237"/>
      <c r="P12" s="831"/>
      <c r="Q12" s="2"/>
      <c r="R12" s="10"/>
      <c r="S12" s="127" t="s">
        <v>1541</v>
      </c>
      <c r="T12" s="498" t="s">
        <v>1564</v>
      </c>
      <c r="U12" s="256" t="s">
        <v>1565</v>
      </c>
      <c r="V12" s="910" t="s">
        <v>1066</v>
      </c>
      <c r="W12" s="910"/>
      <c r="X12" s="2"/>
      <c r="Y12" s="10"/>
      <c r="Z12" s="10"/>
      <c r="AA12" s="10"/>
      <c r="AB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row>
    <row r="13" spans="1:170" s="6" customFormat="1" ht="15" customHeight="1" x14ac:dyDescent="0.2">
      <c r="A13" s="2"/>
      <c r="B13" s="293" t="s">
        <v>1237</v>
      </c>
      <c r="C13" s="1222"/>
      <c r="D13" s="1223"/>
      <c r="E13" s="1171">
        <f>LETable!AJ3</f>
        <v>0</v>
      </c>
      <c r="F13" s="1171"/>
      <c r="G13" s="730"/>
      <c r="H13" s="877"/>
      <c r="I13" s="877"/>
      <c r="J13" s="1228">
        <f>IF(C13="",0,IF(OR(C13&lt;=0,G13&lt;=0),E13,IF(G13&lt;C13,0,LETable!AO3)))</f>
        <v>0</v>
      </c>
      <c r="K13" s="1229"/>
      <c r="L13" s="1181" t="str">
        <f>IF(OR(C13="NA",G13="NA"),"",IF(AND(C13&lt;&gt;"",G13=""),"Enter contralateral or NA.",IF(AND(C13="",G13&lt;&gt;""),"Need data","")))</f>
        <v/>
      </c>
      <c r="M13" s="1182"/>
      <c r="N13" s="1182"/>
      <c r="O13" s="1182"/>
      <c r="P13" s="831"/>
      <c r="Q13" s="2"/>
      <c r="R13" s="131"/>
      <c r="S13" s="50">
        <v>30</v>
      </c>
      <c r="T13" s="566" t="str">
        <f>IF(OR(C13="",C13="NA"),"",IF(C13&gt;S13,S13,IF(C13&lt;0,0,C13)))</f>
        <v/>
      </c>
      <c r="U13" s="50" t="str">
        <f>IF(OR(G13="",G13="NA"),"",IF(G13&gt;S13,S13,IF(G13&lt;0,0,G13)))</f>
        <v/>
      </c>
      <c r="V13" s="553" t="str">
        <f>IF(W13="","",ROUND(W13,0))</f>
        <v/>
      </c>
      <c r="W13" s="554" t="str">
        <f>IF(T13="","",IF(OR(U13="",U13=0,U13&lt;T13),T13,(T13*S13)/U13))</f>
        <v/>
      </c>
      <c r="X13" s="10"/>
      <c r="Y13" s="58"/>
      <c r="Z13" s="58"/>
      <c r="AA13" s="58"/>
      <c r="AB13" s="58"/>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row>
    <row r="14" spans="1:170" s="6" customFormat="1" ht="15" customHeight="1" x14ac:dyDescent="0.2">
      <c r="A14" s="2"/>
      <c r="B14" s="293" t="s">
        <v>1801</v>
      </c>
      <c r="C14" s="1222"/>
      <c r="D14" s="1223"/>
      <c r="E14" s="1276">
        <f>IF(AND(C14&lt;&gt;"",C14&lt;&gt;"NA",C13&lt;&gt;"NA",C13&lt;&gt;""),"ERROR",LETable!AJ4)</f>
        <v>0</v>
      </c>
      <c r="F14" s="1277"/>
      <c r="G14" s="931" t="str">
        <f>IF(E14="ERROR","Error: Cannot rate ROM and ankylosis.","")</f>
        <v/>
      </c>
      <c r="H14" s="1180"/>
      <c r="I14" s="1180"/>
      <c r="J14" s="1180"/>
      <c r="K14" s="1180"/>
      <c r="L14" s="1180"/>
      <c r="M14" s="1180"/>
      <c r="N14" s="1180"/>
      <c r="O14" s="1180"/>
      <c r="P14" s="831"/>
      <c r="Q14" s="2"/>
      <c r="S14" s="50">
        <v>30</v>
      </c>
      <c r="T14" s="566" t="str">
        <f>IF(OR(C14="",C14="NA"),"",IF(C14&gt;S14,S14,IF(C14&lt;0,0,C14)))</f>
        <v/>
      </c>
      <c r="U14" s="10"/>
      <c r="V14" s="61"/>
      <c r="W14" s="130"/>
      <c r="X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row>
    <row r="15" spans="1:170" s="6" customFormat="1" ht="15" customHeight="1" x14ac:dyDescent="0.2">
      <c r="A15" s="2"/>
      <c r="B15" s="293" t="s">
        <v>1802</v>
      </c>
      <c r="C15" s="1267"/>
      <c r="D15" s="1268"/>
      <c r="E15" s="1268"/>
      <c r="F15" s="1268"/>
      <c r="G15" s="1268"/>
      <c r="H15" s="1268"/>
      <c r="I15" s="1268"/>
      <c r="J15" s="1268"/>
      <c r="K15" s="1269"/>
      <c r="L15" s="1006" t="s">
        <v>1803</v>
      </c>
      <c r="M15" s="1007"/>
      <c r="N15" s="1008"/>
      <c r="O15" s="59">
        <f>IF(E14="ERROR","ERROR",IF(R15&gt;1,1,R15))</f>
        <v>0</v>
      </c>
      <c r="P15" s="831"/>
      <c r="Q15" s="2"/>
      <c r="R15" s="193">
        <f>J13+E14</f>
        <v>0</v>
      </c>
      <c r="S15" s="50"/>
      <c r="T15" s="10"/>
      <c r="U15" s="10"/>
      <c r="V15" s="10"/>
      <c r="W15" s="10"/>
      <c r="X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row>
    <row r="16" spans="1:170" s="6" customFormat="1" ht="15" customHeight="1" x14ac:dyDescent="0.2">
      <c r="A16" s="2"/>
      <c r="B16" s="294" t="s">
        <v>1312</v>
      </c>
      <c r="C16" s="1035"/>
      <c r="D16" s="1035"/>
      <c r="E16" s="1171">
        <f>LETable!AJ6</f>
        <v>0</v>
      </c>
      <c r="F16" s="1171"/>
      <c r="G16" s="730"/>
      <c r="H16" s="877"/>
      <c r="I16" s="877"/>
      <c r="J16" s="1228">
        <f>IF(C16="",0,IF(OR(C16&lt;=0,G16&lt;=0),E16,IF(G16&lt;C16,0,LETable!AO6)))</f>
        <v>0</v>
      </c>
      <c r="K16" s="1229"/>
      <c r="L16" s="1230" t="str">
        <f>IF(OR(C16="NA",G16="NA"),"",IF(AND(C16&lt;&gt;"",G16=""),"Enter contralateral or NA.",IF(AND(C16="",G16&lt;&gt;""),"Need data","")))</f>
        <v/>
      </c>
      <c r="M16" s="1231"/>
      <c r="N16" s="1231"/>
      <c r="O16" s="1231"/>
      <c r="P16" s="831"/>
      <c r="Q16" s="2"/>
      <c r="S16" s="50">
        <v>50</v>
      </c>
      <c r="T16" s="566" t="str">
        <f>IF(OR(C16="",C16="NA"),"",IF(C16&gt;S16,S16,IF(C16&lt;0,0,C16)))</f>
        <v/>
      </c>
      <c r="U16" s="50" t="str">
        <f>IF(OR(G16="",G16="NA"),"",IF(G16&gt;S16,S16,IF(G16&lt;0,0,G16)))</f>
        <v/>
      </c>
      <c r="V16" s="553" t="str">
        <f>IF(W16="","",ROUND(W16,0))</f>
        <v/>
      </c>
      <c r="W16" s="554" t="str">
        <f>IF(T16="","",IF(OR(U16="",U16=0,U16&lt;T16),T16,(T16*S16)/U16))</f>
        <v/>
      </c>
      <c r="X16" s="10"/>
      <c r="Z16" s="2"/>
      <c r="AA16" s="2"/>
      <c r="AB16" s="2"/>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row>
    <row r="17" spans="1:142" s="6" customFormat="1" ht="15" customHeight="1" x14ac:dyDescent="0.2">
      <c r="A17" s="2"/>
      <c r="B17" s="294" t="s">
        <v>1313</v>
      </c>
      <c r="C17" s="1227"/>
      <c r="D17" s="1227"/>
      <c r="E17" s="1171">
        <f>IF(AND(C17&lt;&gt;"",C17&lt;&gt;"NA",C16&lt;&gt;"NA",C16&lt;&gt;""),"ERROR",IF(AND(C17&lt;&gt;"",C17&lt;&gt;"NA",C18&lt;&gt;"",C18&lt;&gt;"NA"),"ERROR",LETable!AJ7))</f>
        <v>0</v>
      </c>
      <c r="F17" s="1171"/>
      <c r="G17" s="1265" t="str">
        <f>IF(E17="ERROR","Error: Cannot rate ROM and ankylosis.","")</f>
        <v/>
      </c>
      <c r="H17" s="1266"/>
      <c r="I17" s="1266"/>
      <c r="J17" s="1266"/>
      <c r="K17" s="1266"/>
      <c r="L17" s="1266"/>
      <c r="M17" s="1266"/>
      <c r="N17" s="1266"/>
      <c r="O17" s="1266"/>
      <c r="P17" s="831"/>
      <c r="Q17" s="2"/>
      <c r="R17" s="10"/>
      <c r="S17" s="50">
        <v>50</v>
      </c>
      <c r="T17" s="566" t="str">
        <f>IF(OR(C17="",C17="NA"),"",IF(C17&gt;S17,S17,IF(C17&lt;0,0,C17)))</f>
        <v/>
      </c>
      <c r="U17" s="10"/>
      <c r="V17" s="10"/>
      <c r="W17" s="10"/>
      <c r="X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row>
    <row r="18" spans="1:142" s="6" customFormat="1" ht="15" customHeight="1" x14ac:dyDescent="0.2">
      <c r="A18" s="2"/>
      <c r="B18" s="127" t="s">
        <v>1237</v>
      </c>
      <c r="C18" s="1227"/>
      <c r="D18" s="1227"/>
      <c r="E18" s="1171">
        <f>LETable!AJ8</f>
        <v>0</v>
      </c>
      <c r="F18" s="1171"/>
      <c r="G18" s="730"/>
      <c r="H18" s="877"/>
      <c r="I18" s="877"/>
      <c r="J18" s="1228">
        <f>IF(C18="",0,IF(OR(C18&lt;=0,G18&lt;=0),E18,IF(G18&lt;C18,0,LETable!AO8)))</f>
        <v>0</v>
      </c>
      <c r="K18" s="1229"/>
      <c r="L18" s="1181" t="str">
        <f>IF(OR(C18="NA",G18="NA"),"",IF(AND(C18&lt;&gt;"",G18=""),"Enter contralateral or NA.",IF(AND(C18="",G18&lt;&gt;""),"Need data","")))</f>
        <v/>
      </c>
      <c r="M18" s="1182"/>
      <c r="N18" s="1182"/>
      <c r="O18" s="1182"/>
      <c r="P18" s="831"/>
      <c r="Q18" s="2"/>
      <c r="R18" s="10"/>
      <c r="S18" s="50">
        <v>30</v>
      </c>
      <c r="T18" s="566" t="str">
        <f>IF(OR(C18="",C18="NA"),"",IF(C18&gt;S18,S18,IF(C18&lt;0,0,C18)))</f>
        <v/>
      </c>
      <c r="U18" s="50" t="str">
        <f>IF(OR(G18="",G18="NA"),"",IF(G18&gt;S18,S18,IF(G18&lt;0,0,G18)))</f>
        <v/>
      </c>
      <c r="V18" s="553" t="str">
        <f>IF(W18="","",ROUND(W18,0))</f>
        <v/>
      </c>
      <c r="W18" s="554" t="str">
        <f>IF(T18="","",IF(OR(U18="",U18=0,U18&lt;T18),T18,(T18*S18)/U18))</f>
        <v/>
      </c>
      <c r="X18" s="10"/>
      <c r="Y18" s="50" t="s">
        <v>1287</v>
      </c>
      <c r="Z18" s="50" t="s">
        <v>1285</v>
      </c>
      <c r="AA18" s="50" t="s">
        <v>1286</v>
      </c>
      <c r="AB18" s="50" t="s">
        <v>1287</v>
      </c>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row>
    <row r="19" spans="1:142" s="6" customFormat="1" ht="15" customHeight="1" x14ac:dyDescent="0.2">
      <c r="A19" s="2"/>
      <c r="B19" s="293" t="s">
        <v>1801</v>
      </c>
      <c r="C19" s="1222"/>
      <c r="D19" s="1223"/>
      <c r="E19" s="1171">
        <f>IF(AND(C19&lt;&gt;"",C19&lt;&gt;"NA",C18&lt;&gt;"NA",C18&lt;&gt;""),"ERROR",IF(AND(C19&lt;&gt;"",C19&lt;&gt;"NA",C16&lt;&gt;"",C16&lt;&gt;"NA"),"ERROR",LETable!AJ9))</f>
        <v>0</v>
      </c>
      <c r="F19" s="1171"/>
      <c r="G19" s="1172" t="str">
        <f>IF(E19="ERROR","Error: Cannot rate ROM and ankylosis.",IF(AND(C17&lt;&gt;"",C17&lt;&gt;"NA",C19&lt;&gt;"",C19&lt;&gt;"NA"),"Multiple ankylosis values; use higher value only.",""))</f>
        <v/>
      </c>
      <c r="H19" s="1173"/>
      <c r="I19" s="1173"/>
      <c r="J19" s="1173"/>
      <c r="K19" s="1173"/>
      <c r="L19" s="1173"/>
      <c r="M19" s="1173"/>
      <c r="N19" s="1173"/>
      <c r="O19" s="1174"/>
      <c r="P19" s="831"/>
      <c r="Q19" s="2"/>
      <c r="R19" s="10"/>
      <c r="S19" s="50">
        <v>30</v>
      </c>
      <c r="T19" s="566" t="str">
        <f>IF(OR(C19="",C19="NA"),"",IF(C19&gt;S19,S19,IF(C19&lt;0,0,C19)))</f>
        <v/>
      </c>
      <c r="U19" s="10"/>
      <c r="V19" s="10"/>
      <c r="W19" s="10"/>
      <c r="X19" s="10"/>
      <c r="Y19" s="548">
        <f>IF(AND(O15&gt;0,O15&lt;0.01),0.01,ROUND(O15,2))</f>
        <v>0</v>
      </c>
      <c r="Z19" s="147">
        <f>LARGE(Y19:Y20,1)</f>
        <v>0</v>
      </c>
      <c r="AA19" s="544">
        <f>Z19+Z20*(1-Z19)</f>
        <v>0</v>
      </c>
      <c r="AB19" s="544">
        <f>ROUND(AA19,2)</f>
        <v>0</v>
      </c>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row>
    <row r="20" spans="1:142" s="6" customFormat="1" ht="21" customHeight="1" x14ac:dyDescent="0.2">
      <c r="A20" s="2"/>
      <c r="B20" s="1089"/>
      <c r="C20" s="1089"/>
      <c r="D20" s="1089"/>
      <c r="E20" s="1089"/>
      <c r="F20" s="1089"/>
      <c r="G20" s="1089"/>
      <c r="H20" s="1089"/>
      <c r="I20" s="1089"/>
      <c r="J20" s="1089"/>
      <c r="K20" s="1006" t="s">
        <v>1803</v>
      </c>
      <c r="L20" s="1007"/>
      <c r="M20" s="1007"/>
      <c r="N20" s="1008"/>
      <c r="O20" s="59">
        <f>IF(OR(E17="ERROR",E19="ERROR"),"ERROR",IF(R20&gt;1,1,R20))</f>
        <v>0</v>
      </c>
      <c r="P20" s="832"/>
      <c r="Q20" s="2"/>
      <c r="R20" s="193">
        <f>SUM(J16,J18,W20)</f>
        <v>0</v>
      </c>
      <c r="S20" s="10"/>
      <c r="T20" s="10"/>
      <c r="U20" s="10"/>
      <c r="V20" s="10"/>
      <c r="W20" s="581">
        <f>IF(AND(E17&lt;&gt;"ERROR",E19&lt;&gt;"ERROR",C19&lt;&gt;"",E19&lt;&gt;""),MAX(E17,E19),E17+E19)</f>
        <v>0</v>
      </c>
      <c r="X20" s="10"/>
      <c r="Y20" s="548">
        <f>IF(AND(O20&gt;0,O20&lt;0.01),0.01,ROUND(O20,2))</f>
        <v>0</v>
      </c>
      <c r="Z20" s="147">
        <f>LARGE(Y19:Y20,2)</f>
        <v>0</v>
      </c>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row>
    <row r="21" spans="1:142" s="6" customFormat="1" ht="21" customHeight="1" x14ac:dyDescent="0.2">
      <c r="A21" s="2"/>
      <c r="B21" s="1089"/>
      <c r="C21" s="1089"/>
      <c r="D21" s="1089"/>
      <c r="E21" s="1089"/>
      <c r="F21" s="1089"/>
      <c r="G21" s="1089"/>
      <c r="H21" s="1089"/>
      <c r="I21" s="1089"/>
      <c r="J21" s="1089"/>
      <c r="K21" s="1006" t="s">
        <v>1406</v>
      </c>
      <c r="L21" s="1007"/>
      <c r="M21" s="1007"/>
      <c r="N21" s="1007"/>
      <c r="O21" s="1008"/>
      <c r="P21" s="245">
        <f>IF(OR(O15="ERROR",O20="ERROR"),"ERROR",AB19)</f>
        <v>0</v>
      </c>
      <c r="Q21" s="2"/>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row>
    <row r="22" spans="1:142" s="6" customFormat="1" ht="12" customHeight="1" x14ac:dyDescent="0.25">
      <c r="A22" s="2"/>
      <c r="B22" s="1183"/>
      <c r="C22" s="1183"/>
      <c r="D22" s="1183"/>
      <c r="E22" s="1183"/>
      <c r="F22" s="1183"/>
      <c r="G22" s="1183"/>
      <c r="H22" s="1183"/>
      <c r="I22" s="1183"/>
      <c r="J22" s="1183"/>
      <c r="K22" s="1183"/>
      <c r="L22" s="1183"/>
      <c r="M22" s="1183"/>
      <c r="N22" s="1183"/>
      <c r="O22" s="1183"/>
      <c r="P22" s="379"/>
      <c r="Q22" s="2"/>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row>
    <row r="23" spans="1:142" s="6" customFormat="1" ht="15" customHeight="1" x14ac:dyDescent="0.25">
      <c r="A23" s="2"/>
      <c r="B23" s="910" t="s">
        <v>1955</v>
      </c>
      <c r="C23" s="910"/>
      <c r="D23" s="910"/>
      <c r="E23" s="910"/>
      <c r="F23" s="910"/>
      <c r="G23" s="910"/>
      <c r="H23" s="910"/>
      <c r="I23" s="910"/>
      <c r="J23" s="910"/>
      <c r="K23" s="910"/>
      <c r="L23" s="910"/>
      <c r="M23" s="910"/>
      <c r="N23" s="910"/>
      <c r="O23" s="910"/>
      <c r="P23" s="380"/>
      <c r="Q23" s="2"/>
      <c r="R23" s="10"/>
      <c r="S23" s="863" t="s">
        <v>2147</v>
      </c>
      <c r="T23" s="863"/>
      <c r="U23" s="863"/>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row>
    <row r="24" spans="1:142" s="6" customFormat="1" ht="15" customHeight="1" x14ac:dyDescent="0.25">
      <c r="A24" s="2"/>
      <c r="B24" s="304" t="s">
        <v>1971</v>
      </c>
      <c r="C24" s="694"/>
      <c r="D24" s="694"/>
      <c r="E24" s="694"/>
      <c r="F24" s="694"/>
      <c r="G24" s="694"/>
      <c r="H24" s="694"/>
      <c r="I24" s="694"/>
      <c r="J24" s="694"/>
      <c r="K24" s="694"/>
      <c r="L24" s="694"/>
      <c r="M24" s="694"/>
      <c r="N24" s="694"/>
      <c r="O24" s="60"/>
      <c r="P24" s="21">
        <f>IF($W$238&gt;0,0,R24)</f>
        <v>0</v>
      </c>
      <c r="Q24" s="2"/>
      <c r="R24" s="147">
        <f>IF(C24=S24,0,IF(C24=T24,0.05,IF(C24=U24,0.1,0)))</f>
        <v>0</v>
      </c>
      <c r="S24" s="50" t="s">
        <v>1901</v>
      </c>
      <c r="T24" s="50" t="s">
        <v>1748</v>
      </c>
      <c r="U24" s="50" t="s">
        <v>1749</v>
      </c>
      <c r="V24" s="97"/>
      <c r="W24" s="96"/>
      <c r="X24" s="132"/>
      <c r="Z24" s="61"/>
      <c r="AA24" s="61"/>
      <c r="AB24" s="62"/>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row>
    <row r="25" spans="1:142" s="6" customFormat="1" ht="15" customHeight="1" x14ac:dyDescent="0.25">
      <c r="A25" s="2"/>
      <c r="B25" s="304" t="s">
        <v>1972</v>
      </c>
      <c r="C25" s="694"/>
      <c r="D25" s="694"/>
      <c r="E25" s="694"/>
      <c r="F25" s="694"/>
      <c r="G25" s="694"/>
      <c r="H25" s="694"/>
      <c r="I25" s="694"/>
      <c r="J25" s="694"/>
      <c r="K25" s="694"/>
      <c r="L25" s="694"/>
      <c r="M25" s="694"/>
      <c r="N25" s="694"/>
      <c r="O25" s="60"/>
      <c r="P25" s="21">
        <f>IF($W$238&gt;0,0,R25)</f>
        <v>0</v>
      </c>
      <c r="Q25" s="2"/>
      <c r="R25" s="147">
        <f>IF(C25=S25,0,IF(C25=T25,0.05,IF(C25=U25,0.1,0)))</f>
        <v>0</v>
      </c>
      <c r="S25" s="50" t="s">
        <v>1901</v>
      </c>
      <c r="T25" s="50" t="s">
        <v>1956</v>
      </c>
      <c r="U25" s="50" t="s">
        <v>1957</v>
      </c>
      <c r="V25" s="517"/>
      <c r="W25" s="96"/>
      <c r="X25" s="132"/>
      <c r="Y25" s="517"/>
      <c r="Z25" s="61"/>
      <c r="AA25" s="61"/>
      <c r="AB25" s="62"/>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row>
    <row r="26" spans="1:142" s="6" customFormat="1" ht="27" customHeight="1" x14ac:dyDescent="0.2">
      <c r="A26" s="2"/>
      <c r="B26" s="1085" t="str">
        <f>IF(AND(OR(R24&gt;0,R25&gt;0),$W$238&gt;0),"A value has been given for loss of sensation or hypersensitivity in the foot. No additional value is allowed for the toes.","")</f>
        <v/>
      </c>
      <c r="C26" s="1085"/>
      <c r="D26" s="1085"/>
      <c r="E26" s="1085"/>
      <c r="F26" s="1085"/>
      <c r="G26" s="1085"/>
      <c r="H26" s="1085"/>
      <c r="I26" s="1085"/>
      <c r="J26" s="1085"/>
      <c r="K26" s="1085"/>
      <c r="L26" s="1085"/>
      <c r="M26" s="1085"/>
      <c r="N26" s="1085"/>
      <c r="O26" s="1085"/>
      <c r="P26" s="196"/>
      <c r="Q26" s="2"/>
      <c r="R26" s="10"/>
      <c r="S26" s="14"/>
      <c r="T26" s="14"/>
      <c r="U26" s="14"/>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row>
    <row r="27" spans="1:142" s="6" customFormat="1" ht="12" customHeight="1" x14ac:dyDescent="0.25">
      <c r="A27" s="2"/>
      <c r="B27" s="697"/>
      <c r="C27" s="777"/>
      <c r="D27" s="777"/>
      <c r="E27" s="777"/>
      <c r="F27" s="777"/>
      <c r="G27" s="777"/>
      <c r="H27" s="777"/>
      <c r="I27" s="777"/>
      <c r="J27" s="777"/>
      <c r="K27" s="777"/>
      <c r="L27" s="777"/>
      <c r="M27" s="777"/>
      <c r="N27" s="777"/>
      <c r="O27" s="777"/>
      <c r="P27" s="63"/>
      <c r="Q27" s="2"/>
      <c r="R27" s="10"/>
      <c r="S27" s="10"/>
      <c r="Y27" s="10"/>
      <c r="Z27" s="724"/>
      <c r="AA27" s="724"/>
      <c r="AB27" s="724"/>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row>
    <row r="28" spans="1:142" s="6" customFormat="1" ht="15" customHeight="1" x14ac:dyDescent="0.2">
      <c r="A28" s="2"/>
      <c r="B28" s="761" t="s">
        <v>1975</v>
      </c>
      <c r="C28" s="761"/>
      <c r="D28" s="761"/>
      <c r="E28" s="761"/>
      <c r="F28" s="761"/>
      <c r="G28" s="761"/>
      <c r="H28" s="761"/>
      <c r="I28" s="761"/>
      <c r="J28" s="761"/>
      <c r="K28" s="761"/>
      <c r="L28" s="761"/>
      <c r="M28" s="761"/>
      <c r="N28" s="694"/>
      <c r="O28" s="694"/>
      <c r="P28" s="21">
        <f>IF(N28=T28,0.03,IF(N28=U28,0.15,IF(N28=V28,0.38,IF(N28=W28,0.68,IF(N28=X28,0.9,0)))))</f>
        <v>0</v>
      </c>
      <c r="Q28" s="2"/>
      <c r="R28" s="863" t="s">
        <v>2147</v>
      </c>
      <c r="S28" s="863"/>
      <c r="T28" s="50" t="s">
        <v>1928</v>
      </c>
      <c r="U28" s="50" t="s">
        <v>1929</v>
      </c>
      <c r="V28" s="147" t="s">
        <v>1931</v>
      </c>
      <c r="W28" s="50" t="s">
        <v>929</v>
      </c>
      <c r="X28" s="147" t="s">
        <v>545</v>
      </c>
      <c r="Y28" s="10"/>
      <c r="Z28" s="724"/>
      <c r="AA28" s="724"/>
      <c r="AB28" s="724"/>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row>
    <row r="29" spans="1:142" s="6" customFormat="1" ht="12" customHeight="1" x14ac:dyDescent="0.25">
      <c r="A29" s="2"/>
      <c r="B29" s="521"/>
      <c r="C29" s="521"/>
      <c r="D29" s="521"/>
      <c r="E29" s="521"/>
      <c r="F29" s="521"/>
      <c r="G29" s="521"/>
      <c r="H29" s="521"/>
      <c r="I29" s="521"/>
      <c r="J29" s="521"/>
      <c r="K29" s="521"/>
      <c r="L29" s="521"/>
      <c r="M29" s="521"/>
      <c r="N29" s="521"/>
      <c r="O29" s="521"/>
      <c r="P29" s="63"/>
      <c r="Q29" s="2"/>
      <c r="R29" s="10"/>
      <c r="S29" s="14"/>
      <c r="T29" s="14"/>
      <c r="U29" s="14"/>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row>
    <row r="30" spans="1:142" s="6" customFormat="1" ht="18" customHeight="1" x14ac:dyDescent="0.2">
      <c r="A30" s="15">
        <v>1E-4</v>
      </c>
      <c r="B30" s="256" t="s">
        <v>611</v>
      </c>
      <c r="C30" s="995"/>
      <c r="D30" s="997"/>
      <c r="E30" s="742" t="s">
        <v>612</v>
      </c>
      <c r="F30" s="743"/>
      <c r="G30" s="743"/>
      <c r="H30" s="743"/>
      <c r="I30" s="743"/>
      <c r="J30" s="743"/>
      <c r="K30" s="743"/>
      <c r="L30" s="743"/>
      <c r="M30" s="743"/>
      <c r="N30" s="743"/>
      <c r="O30" s="744"/>
      <c r="P30" s="245">
        <f>IF(T30=1,0.2,0)</f>
        <v>0</v>
      </c>
      <c r="Q30" s="2"/>
      <c r="R30" s="10"/>
      <c r="S30" s="561" t="b">
        <v>0</v>
      </c>
      <c r="T30" s="50">
        <f>IF(S30=TRUE,1,0)</f>
        <v>0</v>
      </c>
      <c r="U30" s="10"/>
      <c r="V30" s="10"/>
      <c r="W30" s="10">
        <v>1E-4</v>
      </c>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row>
    <row r="31" spans="1:142" s="6" customFormat="1" ht="18" customHeight="1" x14ac:dyDescent="0.2">
      <c r="A31" s="2"/>
      <c r="B31" s="381" t="s">
        <v>613</v>
      </c>
      <c r="C31" s="1018"/>
      <c r="D31" s="1018"/>
      <c r="E31" s="941" t="s">
        <v>614</v>
      </c>
      <c r="F31" s="942"/>
      <c r="G31" s="942"/>
      <c r="H31" s="942"/>
      <c r="I31" s="942"/>
      <c r="J31" s="942"/>
      <c r="K31" s="942"/>
      <c r="L31" s="942"/>
      <c r="M31" s="942"/>
      <c r="N31" s="942"/>
      <c r="O31" s="943"/>
      <c r="P31" s="275">
        <f>IF(T31=1,0.3,0)</f>
        <v>0</v>
      </c>
      <c r="Q31" s="2"/>
      <c r="R31" s="10"/>
      <c r="S31" s="561" t="b">
        <v>0</v>
      </c>
      <c r="T31" s="50">
        <f>IF(S31=TRUE,1,0)</f>
        <v>0</v>
      </c>
      <c r="U31" s="10"/>
      <c r="V31" s="10"/>
      <c r="W31" s="10"/>
      <c r="X31" s="2"/>
      <c r="Y31" s="2"/>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row>
    <row r="32" spans="1:142" s="6" customFormat="1" ht="12" customHeight="1" x14ac:dyDescent="0.2">
      <c r="A32" s="2"/>
      <c r="B32" s="1221"/>
      <c r="C32" s="1221"/>
      <c r="D32" s="1221"/>
      <c r="E32" s="1221"/>
      <c r="F32" s="1221"/>
      <c r="G32" s="1221"/>
      <c r="H32" s="1221"/>
      <c r="I32" s="1221"/>
      <c r="J32" s="1221"/>
      <c r="K32" s="1221"/>
      <c r="L32" s="1221"/>
      <c r="M32" s="1221"/>
      <c r="N32" s="1221"/>
      <c r="O32" s="1221"/>
      <c r="P32" s="2"/>
      <c r="Q32" s="2"/>
      <c r="R32" s="10"/>
      <c r="S32" s="10"/>
      <c r="T32" s="10"/>
      <c r="U32" s="10"/>
      <c r="V32" s="10"/>
      <c r="X32" s="2"/>
      <c r="Y32" s="2"/>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row>
    <row r="33" spans="1:142" s="6" customFormat="1" ht="31.5" customHeight="1" x14ac:dyDescent="0.2">
      <c r="A33" s="2"/>
      <c r="B33" s="864" t="s">
        <v>429</v>
      </c>
      <c r="C33" s="865"/>
      <c r="D33" s="865"/>
      <c r="E33" s="865"/>
      <c r="F33" s="865"/>
      <c r="G33" s="907" t="s">
        <v>1495</v>
      </c>
      <c r="H33" s="945"/>
      <c r="I33" s="945"/>
      <c r="J33" s="945"/>
      <c r="K33" s="946"/>
      <c r="L33" s="967"/>
      <c r="M33" s="968"/>
      <c r="N33" s="968"/>
      <c r="O33" s="969"/>
      <c r="P33" s="857">
        <f>V39</f>
        <v>0</v>
      </c>
      <c r="Q33" s="2"/>
      <c r="R33" s="10"/>
      <c r="S33" s="50" t="s">
        <v>1826</v>
      </c>
      <c r="T33" s="50" t="s">
        <v>1285</v>
      </c>
      <c r="U33" s="50" t="s">
        <v>1286</v>
      </c>
      <c r="V33" s="50" t="s">
        <v>1287</v>
      </c>
      <c r="W33" s="50" t="s">
        <v>498</v>
      </c>
      <c r="X33" s="2"/>
      <c r="Y33" s="2"/>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row>
    <row r="34" spans="1:142" s="6" customFormat="1" ht="18" customHeight="1" x14ac:dyDescent="0.2">
      <c r="A34" s="2"/>
      <c r="B34" s="776" t="s">
        <v>615</v>
      </c>
      <c r="C34" s="776"/>
      <c r="D34" s="776"/>
      <c r="E34" s="962">
        <f>P8</f>
        <v>0</v>
      </c>
      <c r="F34" s="862"/>
      <c r="G34" s="1005"/>
      <c r="H34" s="1005"/>
      <c r="I34" s="1005"/>
      <c r="J34" s="1151">
        <f t="shared" ref="J34:J35" si="0">IF(AND(W34&lt;0.01,W34&gt;0),0.01,ROUND(W34,2))</f>
        <v>0</v>
      </c>
      <c r="K34" s="1151"/>
      <c r="L34" s="970"/>
      <c r="M34" s="971"/>
      <c r="N34" s="971"/>
      <c r="O34" s="972"/>
      <c r="P34" s="961"/>
      <c r="Q34" s="2"/>
      <c r="R34" s="10"/>
      <c r="S34" s="147">
        <f t="shared" ref="S34:S37" si="1">IF(J34&gt;0,J34,E34)</f>
        <v>0</v>
      </c>
      <c r="T34" s="147">
        <f>LARGE($S$34:$S$40,1)</f>
        <v>0</v>
      </c>
      <c r="U34" s="544">
        <f>T34+T35*(1-T34)</f>
        <v>0</v>
      </c>
      <c r="V34" s="548">
        <f t="shared" ref="V34:V39" si="2">ROUND(U34,2)</f>
        <v>0</v>
      </c>
      <c r="W34" s="21">
        <f t="shared" ref="W34:W40" si="3">G34*E34</f>
        <v>0</v>
      </c>
      <c r="X34" s="2"/>
      <c r="Y34" s="2"/>
      <c r="Z34" s="2"/>
      <c r="AA34" s="2"/>
      <c r="AB34" s="2"/>
      <c r="AC34" s="2"/>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row>
    <row r="35" spans="1:142" s="6" customFormat="1" ht="18" customHeight="1" x14ac:dyDescent="0.2">
      <c r="A35" s="2"/>
      <c r="B35" s="791" t="s">
        <v>1918</v>
      </c>
      <c r="C35" s="791"/>
      <c r="D35" s="791"/>
      <c r="E35" s="755">
        <f>IF(P426&gt;0,0,P21)</f>
        <v>0</v>
      </c>
      <c r="F35" s="732"/>
      <c r="G35" s="1005"/>
      <c r="H35" s="1005"/>
      <c r="I35" s="1005"/>
      <c r="J35" s="1151">
        <f t="shared" si="0"/>
        <v>0</v>
      </c>
      <c r="K35" s="1151"/>
      <c r="L35" s="970"/>
      <c r="M35" s="971"/>
      <c r="N35" s="971"/>
      <c r="O35" s="972"/>
      <c r="P35" s="961"/>
      <c r="Q35" s="2"/>
      <c r="S35" s="147">
        <f t="shared" si="1"/>
        <v>0</v>
      </c>
      <c r="T35" s="147">
        <f>LARGE($S$34:$S$40,2)</f>
        <v>0</v>
      </c>
      <c r="U35" s="544">
        <f>V34+T36*(1-V34)</f>
        <v>0</v>
      </c>
      <c r="V35" s="548">
        <f t="shared" si="2"/>
        <v>0</v>
      </c>
      <c r="W35" s="21">
        <f t="shared" si="3"/>
        <v>0</v>
      </c>
      <c r="X35" s="10"/>
      <c r="Y35" s="10"/>
      <c r="Z35" s="1"/>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row>
    <row r="36" spans="1:142" s="6" customFormat="1" ht="18" customHeight="1" x14ac:dyDescent="0.2">
      <c r="A36" s="2"/>
      <c r="B36" s="791" t="s">
        <v>1976</v>
      </c>
      <c r="C36" s="791"/>
      <c r="D36" s="791"/>
      <c r="E36" s="755">
        <f>P24</f>
        <v>0</v>
      </c>
      <c r="F36" s="732"/>
      <c r="G36" s="1005"/>
      <c r="H36" s="1005"/>
      <c r="I36" s="1005"/>
      <c r="J36" s="1151">
        <f>IF(AND(W36&lt;0.01,W36&gt;0),0.01,ROUND(W36,2))</f>
        <v>0</v>
      </c>
      <c r="K36" s="1151"/>
      <c r="L36" s="970"/>
      <c r="M36" s="971"/>
      <c r="N36" s="971"/>
      <c r="O36" s="972"/>
      <c r="P36" s="961"/>
      <c r="Q36" s="2"/>
      <c r="S36" s="147">
        <f t="shared" si="1"/>
        <v>0</v>
      </c>
      <c r="T36" s="147">
        <f>LARGE($S$34:$S$40,3)</f>
        <v>0</v>
      </c>
      <c r="U36" s="544">
        <f>V35+T37*(1-V35)</f>
        <v>0</v>
      </c>
      <c r="V36" s="548">
        <f t="shared" si="2"/>
        <v>0</v>
      </c>
      <c r="W36" s="21">
        <f t="shared" si="3"/>
        <v>0</v>
      </c>
      <c r="Y36" s="2"/>
      <c r="Z36" s="2"/>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row>
    <row r="37" spans="1:142" s="6" customFormat="1" ht="18" customHeight="1" x14ac:dyDescent="0.2">
      <c r="A37" s="2"/>
      <c r="B37" s="742" t="s">
        <v>1208</v>
      </c>
      <c r="C37" s="743"/>
      <c r="D37" s="744"/>
      <c r="E37" s="755">
        <f>P25</f>
        <v>0</v>
      </c>
      <c r="F37" s="732"/>
      <c r="G37" s="1005"/>
      <c r="H37" s="1005"/>
      <c r="I37" s="1005"/>
      <c r="J37" s="1151">
        <f>IF(AND(W37&lt;0.01,W37&gt;0),0.01,ROUND(W37,2))</f>
        <v>0</v>
      </c>
      <c r="K37" s="1151"/>
      <c r="L37" s="915" t="str">
        <f>IF(AND(P21&gt;0,$P$426&gt;0),"The worker has motor loss impairment. No additional impairment value is allowed for reduced range of motion in the same extremity.","")</f>
        <v/>
      </c>
      <c r="M37" s="916"/>
      <c r="N37" s="916"/>
      <c r="O37" s="917"/>
      <c r="P37" s="961"/>
      <c r="Q37" s="2"/>
      <c r="S37" s="147">
        <f t="shared" si="1"/>
        <v>0</v>
      </c>
      <c r="T37" s="147">
        <f>LARGE($S$34:$S$40,4)</f>
        <v>0</v>
      </c>
      <c r="U37" s="544">
        <f>V36+T38*(1-V36)</f>
        <v>0</v>
      </c>
      <c r="V37" s="548">
        <f t="shared" si="2"/>
        <v>0</v>
      </c>
      <c r="W37" s="21">
        <f t="shared" ref="W37" si="4">G37*E37</f>
        <v>0</v>
      </c>
      <c r="X37" s="2"/>
      <c r="Y37" s="2"/>
      <c r="Z37" s="2"/>
      <c r="AA37" s="2"/>
      <c r="AB37" s="2"/>
      <c r="AC37" s="2"/>
      <c r="AD37" s="2"/>
      <c r="AE37" s="2"/>
      <c r="AF37" s="2"/>
      <c r="AG37" s="2"/>
      <c r="AH37" s="2"/>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row>
    <row r="38" spans="1:142" s="6" customFormat="1" ht="18" customHeight="1" x14ac:dyDescent="0.2">
      <c r="A38" s="2"/>
      <c r="B38" s="742" t="s">
        <v>1419</v>
      </c>
      <c r="C38" s="743"/>
      <c r="D38" s="744"/>
      <c r="E38" s="727">
        <f>P28</f>
        <v>0</v>
      </c>
      <c r="F38" s="729"/>
      <c r="G38" s="1005"/>
      <c r="H38" s="1005"/>
      <c r="I38" s="1005"/>
      <c r="J38" s="1151">
        <f>IF(AND(W38&lt;0.01,W38&gt;0),0.01,ROUND(W38,2))</f>
        <v>0</v>
      </c>
      <c r="K38" s="1151"/>
      <c r="L38" s="915"/>
      <c r="M38" s="916"/>
      <c r="N38" s="916"/>
      <c r="O38" s="917"/>
      <c r="P38" s="961"/>
      <c r="Q38" s="2"/>
      <c r="S38" s="147">
        <f>IF(J38&gt;0,J38,E38)</f>
        <v>0</v>
      </c>
      <c r="T38" s="147">
        <f>LARGE($S$34:$S$40,5)</f>
        <v>0</v>
      </c>
      <c r="U38" s="544">
        <f>V37+T39*(1-V37)</f>
        <v>0</v>
      </c>
      <c r="V38" s="548">
        <f t="shared" si="2"/>
        <v>0</v>
      </c>
      <c r="W38" s="21">
        <f t="shared" si="3"/>
        <v>0</v>
      </c>
      <c r="X38" s="2"/>
      <c r="Y38" s="2"/>
      <c r="Z38" s="2"/>
      <c r="AA38" s="2"/>
      <c r="AB38" s="2"/>
      <c r="AC38" s="2"/>
      <c r="AD38" s="2"/>
      <c r="AE38" s="2"/>
      <c r="AF38" s="2"/>
      <c r="AG38" s="2"/>
      <c r="AH38" s="2"/>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row>
    <row r="39" spans="1:142" s="6" customFormat="1" ht="18" customHeight="1" x14ac:dyDescent="0.2">
      <c r="A39" s="2"/>
      <c r="B39" s="791" t="s">
        <v>1109</v>
      </c>
      <c r="C39" s="791"/>
      <c r="D39" s="791"/>
      <c r="E39" s="755">
        <f>P30</f>
        <v>0</v>
      </c>
      <c r="F39" s="732"/>
      <c r="G39" s="1005"/>
      <c r="H39" s="1005"/>
      <c r="I39" s="1005"/>
      <c r="J39" s="1151">
        <f t="shared" ref="J39:J40" si="5">IF(AND(W39&lt;0.01,W39&gt;0),0.01,ROUND(W39,2))</f>
        <v>0</v>
      </c>
      <c r="K39" s="1151"/>
      <c r="L39" s="915"/>
      <c r="M39" s="916"/>
      <c r="N39" s="916"/>
      <c r="O39" s="917"/>
      <c r="P39" s="961"/>
      <c r="Q39" s="2"/>
      <c r="R39" s="10"/>
      <c r="S39" s="147">
        <f t="shared" ref="S39:S40" si="6">IF(J39&gt;0,J39,E39)</f>
        <v>0</v>
      </c>
      <c r="T39" s="147">
        <f>LARGE($S$34:$S$40,6)</f>
        <v>0</v>
      </c>
      <c r="U39" s="544">
        <f>V38+T40*(1-V38)</f>
        <v>0</v>
      </c>
      <c r="V39" s="548">
        <f t="shared" si="2"/>
        <v>0</v>
      </c>
      <c r="W39" s="21">
        <f t="shared" si="3"/>
        <v>0</v>
      </c>
      <c r="X39" s="2"/>
      <c r="Y39" s="2"/>
      <c r="Z39" s="2"/>
      <c r="AA39" s="2"/>
      <c r="AB39" s="2"/>
      <c r="AC39" s="2"/>
      <c r="AD39" s="2"/>
      <c r="AE39" s="2"/>
      <c r="AF39" s="2"/>
      <c r="AG39" s="2"/>
      <c r="AH39" s="2"/>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row>
    <row r="40" spans="1:142" s="6" customFormat="1" ht="18" customHeight="1" x14ac:dyDescent="0.2">
      <c r="A40" s="2"/>
      <c r="B40" s="782" t="s">
        <v>1110</v>
      </c>
      <c r="C40" s="783"/>
      <c r="D40" s="784"/>
      <c r="E40" s="1067">
        <f>P31</f>
        <v>0</v>
      </c>
      <c r="F40" s="1157"/>
      <c r="G40" s="1005"/>
      <c r="H40" s="1005"/>
      <c r="I40" s="1005"/>
      <c r="J40" s="1151">
        <f t="shared" si="5"/>
        <v>0</v>
      </c>
      <c r="K40" s="1151"/>
      <c r="L40" s="915"/>
      <c r="M40" s="916"/>
      <c r="N40" s="916"/>
      <c r="O40" s="917"/>
      <c r="P40" s="961"/>
      <c r="Q40" s="2"/>
      <c r="R40" s="10"/>
      <c r="S40" s="147">
        <f t="shared" si="6"/>
        <v>0</v>
      </c>
      <c r="T40" s="147">
        <f>LARGE($S$34:$S$40,7)</f>
        <v>0</v>
      </c>
      <c r="U40" s="96"/>
      <c r="V40" s="128"/>
      <c r="W40" s="21">
        <f t="shared" si="3"/>
        <v>0</v>
      </c>
      <c r="X40" s="2"/>
      <c r="Y40" s="2"/>
      <c r="Z40" s="2"/>
      <c r="AA40" s="2"/>
      <c r="AB40" s="2"/>
      <c r="AC40" s="2"/>
      <c r="AD40" s="2"/>
      <c r="AE40" s="2"/>
      <c r="AF40" s="2"/>
      <c r="AG40" s="2"/>
      <c r="AH40" s="2"/>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row>
    <row r="41" spans="1:142" s="6" customFormat="1" ht="18" customHeight="1" x14ac:dyDescent="0.2">
      <c r="A41" s="2"/>
      <c r="B41" s="956" t="s">
        <v>1407</v>
      </c>
      <c r="C41" s="956"/>
      <c r="D41" s="956"/>
      <c r="E41" s="956"/>
      <c r="F41" s="956"/>
      <c r="G41" s="956"/>
      <c r="H41" s="956"/>
      <c r="I41" s="956"/>
      <c r="J41" s="956"/>
      <c r="K41" s="956"/>
      <c r="L41" s="956"/>
      <c r="M41" s="956"/>
      <c r="N41" s="956"/>
      <c r="O41" s="956"/>
      <c r="P41" s="962"/>
      <c r="Q41" s="2"/>
      <c r="R41" s="10"/>
      <c r="S41" s="14"/>
      <c r="T41" s="96"/>
      <c r="U41" s="128"/>
      <c r="V41" s="10"/>
      <c r="W41" s="10"/>
      <c r="X41" s="2"/>
      <c r="Y41" s="2"/>
      <c r="Z41" s="2"/>
      <c r="AA41" s="2"/>
      <c r="AB41" s="2"/>
      <c r="AC41" s="2"/>
      <c r="AD41" s="2"/>
      <c r="AE41" s="2"/>
      <c r="AF41" s="2"/>
      <c r="AG41" s="2"/>
      <c r="AH41" s="2"/>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row>
    <row r="42" spans="1:142" s="6" customFormat="1" ht="12" customHeight="1" x14ac:dyDescent="0.2">
      <c r="A42" s="2"/>
      <c r="B42" s="777"/>
      <c r="C42" s="777"/>
      <c r="D42" s="777"/>
      <c r="E42" s="777"/>
      <c r="F42" s="777"/>
      <c r="G42" s="777"/>
      <c r="H42" s="777"/>
      <c r="I42" s="777"/>
      <c r="J42" s="777"/>
      <c r="K42" s="777"/>
      <c r="L42" s="777"/>
      <c r="M42" s="777"/>
      <c r="N42" s="777"/>
      <c r="O42" s="777"/>
      <c r="P42" s="777"/>
      <c r="Q42" s="2"/>
      <c r="R42" s="10"/>
      <c r="S42" s="10"/>
      <c r="T42" s="10"/>
      <c r="U42" s="10"/>
      <c r="V42" s="10"/>
      <c r="W42" s="10"/>
      <c r="X42" s="2"/>
      <c r="Y42" s="2"/>
      <c r="Z42" s="2"/>
      <c r="AA42" s="2"/>
      <c r="AB42" s="2"/>
      <c r="AC42" s="2"/>
      <c r="AD42" s="2"/>
      <c r="AE42" s="2"/>
      <c r="AF42" s="2"/>
      <c r="AG42" s="2"/>
      <c r="AH42" s="2"/>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row>
    <row r="43" spans="1:142" s="6" customFormat="1" ht="12" customHeight="1" x14ac:dyDescent="0.2">
      <c r="A43" s="2"/>
      <c r="B43" s="777"/>
      <c r="C43" s="777"/>
      <c r="D43" s="777"/>
      <c r="E43" s="777"/>
      <c r="F43" s="777"/>
      <c r="G43" s="777"/>
      <c r="H43" s="777"/>
      <c r="I43" s="777"/>
      <c r="J43" s="777"/>
      <c r="K43" s="777"/>
      <c r="L43" s="777"/>
      <c r="M43" s="777"/>
      <c r="N43" s="777"/>
      <c r="O43" s="777"/>
      <c r="P43" s="777"/>
      <c r="Q43" s="2"/>
      <c r="R43" s="10"/>
      <c r="S43" s="10"/>
      <c r="T43" s="10"/>
      <c r="U43" s="10"/>
      <c r="V43" s="10"/>
      <c r="W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row>
    <row r="44" spans="1:142" s="6" customFormat="1" ht="21" customHeight="1" x14ac:dyDescent="0.2">
      <c r="A44" s="2"/>
      <c r="B44" s="947" t="s">
        <v>1408</v>
      </c>
      <c r="C44" s="863"/>
      <c r="D44" s="863"/>
      <c r="E44" s="863"/>
      <c r="F44" s="863"/>
      <c r="G44" s="863"/>
      <c r="H44" s="863"/>
      <c r="I44" s="863"/>
      <c r="J44" s="863"/>
      <c r="K44" s="863"/>
      <c r="L44" s="863"/>
      <c r="M44" s="863"/>
      <c r="N44" s="863"/>
      <c r="O44" s="863"/>
      <c r="P44" s="863"/>
      <c r="Q44" s="2"/>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row>
    <row r="45" spans="1:142" s="6" customFormat="1" ht="15" customHeight="1" x14ac:dyDescent="0.2">
      <c r="A45" s="2"/>
      <c r="B45" s="910" t="s">
        <v>1112</v>
      </c>
      <c r="C45" s="910"/>
      <c r="D45" s="910"/>
      <c r="E45" s="910"/>
      <c r="F45" s="910"/>
      <c r="G45" s="910"/>
      <c r="H45" s="910"/>
      <c r="I45" s="910"/>
      <c r="J45" s="910"/>
      <c r="K45" s="910"/>
      <c r="L45" s="910"/>
      <c r="M45" s="910"/>
      <c r="N45" s="910"/>
      <c r="O45" s="910"/>
      <c r="P45" s="910"/>
      <c r="Q45" s="2"/>
      <c r="R45" s="10"/>
      <c r="S45" s="10"/>
      <c r="T45" s="761" t="s">
        <v>1113</v>
      </c>
      <c r="U45" s="50" t="s">
        <v>1298</v>
      </c>
      <c r="V45" s="50" t="s">
        <v>1058</v>
      </c>
      <c r="W45" s="552" t="s">
        <v>1059</v>
      </c>
      <c r="X45" s="50" t="s">
        <v>1244</v>
      </c>
      <c r="Y45" s="50" t="s">
        <v>1245</v>
      </c>
      <c r="Z45" s="50" t="s">
        <v>1827</v>
      </c>
      <c r="AA45" s="147" t="s">
        <v>1671</v>
      </c>
      <c r="AB45" s="147" t="s">
        <v>97</v>
      </c>
      <c r="AC45" s="147" t="s">
        <v>98</v>
      </c>
      <c r="AD45" s="50" t="s">
        <v>1705</v>
      </c>
      <c r="AE45" s="50" t="s">
        <v>1706</v>
      </c>
      <c r="AF45" s="50" t="s">
        <v>1707</v>
      </c>
      <c r="AG45" s="50" t="s">
        <v>76</v>
      </c>
      <c r="AH45" s="50" t="s">
        <v>77</v>
      </c>
      <c r="AI45" s="50" t="s">
        <v>805</v>
      </c>
      <c r="AJ45" s="50" t="s">
        <v>806</v>
      </c>
      <c r="AK45" s="50" t="s">
        <v>807</v>
      </c>
      <c r="AL45" s="50" t="s">
        <v>808</v>
      </c>
      <c r="AM45" s="50" t="s">
        <v>1116</v>
      </c>
      <c r="AN45" s="50" t="s">
        <v>1514</v>
      </c>
      <c r="AO45" s="50" t="s">
        <v>194</v>
      </c>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row>
    <row r="46" spans="1:142" s="6" customFormat="1" ht="27" customHeight="1" x14ac:dyDescent="0.2">
      <c r="A46" s="2"/>
      <c r="B46" s="1012"/>
      <c r="C46" s="1012"/>
      <c r="D46" s="1012"/>
      <c r="E46" s="1012"/>
      <c r="F46" s="1012"/>
      <c r="G46" s="1012"/>
      <c r="H46" s="1012"/>
      <c r="I46" s="1012"/>
      <c r="J46" s="1012"/>
      <c r="K46" s="1012"/>
      <c r="L46" s="1012"/>
      <c r="M46" s="1012"/>
      <c r="N46" s="1012"/>
      <c r="O46" s="1012"/>
      <c r="P46" s="21">
        <f>SUMIF(U45:AO45,B46,U46:AO46)</f>
        <v>0</v>
      </c>
      <c r="Q46" s="2"/>
      <c r="R46" s="10"/>
      <c r="S46" s="10"/>
      <c r="T46" s="761"/>
      <c r="U46" s="548">
        <v>0</v>
      </c>
      <c r="V46" s="147">
        <v>0.05</v>
      </c>
      <c r="W46" s="147">
        <v>0.1</v>
      </c>
      <c r="X46" s="147">
        <v>0.15</v>
      </c>
      <c r="Y46" s="147">
        <v>0.2</v>
      </c>
      <c r="Z46" s="147">
        <v>0.25</v>
      </c>
      <c r="AA46" s="147">
        <v>0.3</v>
      </c>
      <c r="AB46" s="147">
        <v>0.35</v>
      </c>
      <c r="AC46" s="147">
        <v>0.4</v>
      </c>
      <c r="AD46" s="147">
        <v>0.45</v>
      </c>
      <c r="AE46" s="147">
        <v>0.5</v>
      </c>
      <c r="AF46" s="147">
        <v>0.55000000000000004</v>
      </c>
      <c r="AG46" s="147">
        <v>0.6</v>
      </c>
      <c r="AH46" s="147">
        <v>0.65</v>
      </c>
      <c r="AI46" s="147">
        <v>0.7</v>
      </c>
      <c r="AJ46" s="147">
        <v>0.75</v>
      </c>
      <c r="AK46" s="147">
        <v>0.8</v>
      </c>
      <c r="AL46" s="147">
        <v>0.85</v>
      </c>
      <c r="AM46" s="147">
        <v>0.9</v>
      </c>
      <c r="AN46" s="147">
        <v>0.95</v>
      </c>
      <c r="AO46" s="147">
        <v>1</v>
      </c>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row>
    <row r="47" spans="1:142" s="6" customFormat="1" ht="15" customHeight="1" x14ac:dyDescent="0.25">
      <c r="A47" s="2"/>
      <c r="B47" s="1220"/>
      <c r="C47" s="1220"/>
      <c r="D47" s="1220"/>
      <c r="E47" s="1220"/>
      <c r="F47" s="1220"/>
      <c r="G47" s="1220"/>
      <c r="H47" s="1220"/>
      <c r="I47" s="1220"/>
      <c r="J47" s="1220"/>
      <c r="K47" s="1220"/>
      <c r="L47" s="1220"/>
      <c r="M47" s="1220"/>
      <c r="N47" s="1220"/>
      <c r="O47" s="1220"/>
      <c r="P47" s="1220"/>
      <c r="Q47" s="2"/>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row>
    <row r="48" spans="1:142" s="6" customFormat="1" ht="15" customHeight="1" x14ac:dyDescent="0.2">
      <c r="A48" s="2"/>
      <c r="B48" s="1134" t="s">
        <v>1409</v>
      </c>
      <c r="C48" s="1129"/>
      <c r="D48" s="1129"/>
      <c r="E48" s="1129"/>
      <c r="F48" s="1129"/>
      <c r="G48" s="1129"/>
      <c r="H48" s="1129"/>
      <c r="I48" s="1129"/>
      <c r="J48" s="1129"/>
      <c r="K48" s="1129"/>
      <c r="L48" s="1129"/>
      <c r="M48" s="1129"/>
      <c r="N48" s="1129"/>
      <c r="O48" s="1129"/>
      <c r="P48" s="830"/>
      <c r="Q48" s="2"/>
      <c r="R48" s="10"/>
      <c r="S48" s="10"/>
      <c r="T48" s="10"/>
      <c r="U48" s="10"/>
      <c r="V48" s="10"/>
      <c r="W48" s="10"/>
      <c r="X48" s="10"/>
      <c r="Y48" s="10"/>
      <c r="Z48" s="10"/>
      <c r="AA48" s="2"/>
      <c r="AB48" s="2"/>
      <c r="AC48" s="2"/>
      <c r="AD48" s="2"/>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row>
    <row r="49" spans="1:142" s="6" customFormat="1" ht="15" customHeight="1" x14ac:dyDescent="0.2">
      <c r="A49" s="2"/>
      <c r="B49" s="256" t="s">
        <v>1516</v>
      </c>
      <c r="C49" s="1035"/>
      <c r="D49" s="1035"/>
      <c r="E49" s="1035"/>
      <c r="F49" s="1035"/>
      <c r="G49" s="1035"/>
      <c r="H49" s="1035"/>
      <c r="I49" s="1035"/>
      <c r="J49" s="1035"/>
      <c r="K49" s="1035"/>
      <c r="L49" s="1024"/>
      <c r="M49" s="1024"/>
      <c r="N49" s="1024"/>
      <c r="O49" s="64">
        <f>IF(C49=T49,0.45,IF(C49=U49,0.3,IF(C49=V49,0.45,0)))</f>
        <v>0</v>
      </c>
      <c r="P49" s="831"/>
      <c r="Q49" s="2"/>
      <c r="R49" s="912" t="s">
        <v>2147</v>
      </c>
      <c r="S49" s="50" t="s">
        <v>1901</v>
      </c>
      <c r="T49" s="50" t="s">
        <v>1517</v>
      </c>
      <c r="U49" s="256" t="s">
        <v>1518</v>
      </c>
      <c r="V49" s="50" t="s">
        <v>1519</v>
      </c>
      <c r="W49" s="10"/>
      <c r="X49" s="10"/>
      <c r="Y49" s="10"/>
      <c r="Z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row>
    <row r="50" spans="1:142" s="6" customFormat="1" ht="15" customHeight="1" x14ac:dyDescent="0.2">
      <c r="A50" s="2"/>
      <c r="B50" s="256" t="s">
        <v>1673</v>
      </c>
      <c r="C50" s="1035"/>
      <c r="D50" s="1035"/>
      <c r="E50" s="1035"/>
      <c r="F50" s="1035"/>
      <c r="G50" s="1035"/>
      <c r="H50" s="1035"/>
      <c r="I50" s="1035"/>
      <c r="J50" s="1035"/>
      <c r="K50" s="1035"/>
      <c r="L50" s="1024"/>
      <c r="M50" s="1024"/>
      <c r="N50" s="1024"/>
      <c r="O50" s="64">
        <f>IF(C50=T50,0.8,IF(C50=U50,0.45,IF(C50=V50,0.8,0)))</f>
        <v>0</v>
      </c>
      <c r="P50" s="831"/>
      <c r="Q50" s="2"/>
      <c r="R50" s="912"/>
      <c r="S50" s="50" t="s">
        <v>1901</v>
      </c>
      <c r="T50" s="50" t="s">
        <v>1517</v>
      </c>
      <c r="U50" s="256" t="s">
        <v>1518</v>
      </c>
      <c r="V50" s="50" t="s">
        <v>1519</v>
      </c>
      <c r="W50" s="10"/>
      <c r="Y50" s="10"/>
      <c r="Z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row>
    <row r="51" spans="1:142" s="6" customFormat="1" ht="15" customHeight="1" x14ac:dyDescent="0.25">
      <c r="A51" s="2"/>
      <c r="B51" s="1240"/>
      <c r="C51" s="1183"/>
      <c r="D51" s="1183"/>
      <c r="E51" s="1183"/>
      <c r="F51" s="1183"/>
      <c r="G51" s="1183"/>
      <c r="H51" s="1183"/>
      <c r="I51" s="1183"/>
      <c r="J51" s="1183"/>
      <c r="K51" s="1183"/>
      <c r="L51" s="1183"/>
      <c r="M51" s="1183"/>
      <c r="N51" s="1183"/>
      <c r="O51" s="1183"/>
      <c r="P51" s="831"/>
      <c r="Q51" s="2"/>
      <c r="R51" s="10"/>
      <c r="U51" s="595"/>
      <c r="V51" s="10"/>
      <c r="W51" s="10"/>
      <c r="X51" s="10"/>
      <c r="Y51" s="10"/>
      <c r="Z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row>
    <row r="52" spans="1:142" s="6" customFormat="1" ht="27" customHeight="1" x14ac:dyDescent="0.2">
      <c r="A52" s="2"/>
      <c r="B52" s="638"/>
      <c r="C52" s="944" t="s">
        <v>1564</v>
      </c>
      <c r="D52" s="945"/>
      <c r="E52" s="945"/>
      <c r="F52" s="945"/>
      <c r="G52" s="912" t="s">
        <v>1064</v>
      </c>
      <c r="H52" s="912"/>
      <c r="I52" s="912"/>
      <c r="J52" s="912"/>
      <c r="K52" s="912"/>
      <c r="L52" s="777"/>
      <c r="M52" s="777"/>
      <c r="N52" s="777"/>
      <c r="O52" s="777"/>
      <c r="P52" s="831"/>
      <c r="Q52" s="2"/>
      <c r="R52" s="10"/>
      <c r="T52" s="912" t="s">
        <v>1238</v>
      </c>
      <c r="U52" s="912"/>
      <c r="V52" s="10"/>
      <c r="W52" s="10"/>
      <c r="X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row>
    <row r="53" spans="1:142" s="6" customFormat="1" ht="15" customHeight="1" x14ac:dyDescent="0.2">
      <c r="A53" s="2"/>
      <c r="B53" s="294" t="s">
        <v>1674</v>
      </c>
      <c r="C53" s="910" t="s">
        <v>355</v>
      </c>
      <c r="D53" s="910"/>
      <c r="E53" s="910" t="s">
        <v>1759</v>
      </c>
      <c r="F53" s="910"/>
      <c r="G53" s="910" t="s">
        <v>355</v>
      </c>
      <c r="H53" s="910"/>
      <c r="I53" s="910"/>
      <c r="J53" s="910" t="s">
        <v>1759</v>
      </c>
      <c r="K53" s="910"/>
      <c r="L53" s="1024"/>
      <c r="M53" s="1024"/>
      <c r="N53" s="1024"/>
      <c r="O53" s="1032"/>
      <c r="P53" s="831"/>
      <c r="Q53" s="2"/>
      <c r="R53" s="131"/>
      <c r="S53" s="127" t="s">
        <v>1541</v>
      </c>
      <c r="T53" s="256" t="s">
        <v>1564</v>
      </c>
      <c r="U53" s="256" t="s">
        <v>1565</v>
      </c>
      <c r="V53" s="910" t="s">
        <v>1066</v>
      </c>
      <c r="W53" s="910"/>
      <c r="X53" s="2"/>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row>
    <row r="54" spans="1:142" s="6" customFormat="1" ht="15" customHeight="1" x14ac:dyDescent="0.2">
      <c r="A54" s="2"/>
      <c r="B54" s="294" t="s">
        <v>1312</v>
      </c>
      <c r="C54" s="1035"/>
      <c r="D54" s="1035"/>
      <c r="E54" s="1171">
        <f>LETable!AJ12</f>
        <v>0</v>
      </c>
      <c r="F54" s="1171"/>
      <c r="G54" s="694"/>
      <c r="H54" s="694"/>
      <c r="I54" s="694"/>
      <c r="J54" s="1178">
        <f>IF(C54="",0,IF(OR(C54&lt;=0,G54&lt;=0),E54,IF(G54&lt;C54,0,LETable!AO12)))</f>
        <v>0</v>
      </c>
      <c r="K54" s="1178"/>
      <c r="L54" s="1232" t="str">
        <f>IF(OR(C54="NA",G54="NA"),"",IF(AND(C54&lt;&gt;"",G54=""),"Enter contralateral or NA.",IF(AND(C54="",G54&lt;&gt;""),"Need data","")))</f>
        <v/>
      </c>
      <c r="M54" s="1232"/>
      <c r="N54" s="1232"/>
      <c r="O54" s="1233"/>
      <c r="P54" s="831"/>
      <c r="Q54" s="2"/>
      <c r="S54" s="50">
        <v>40</v>
      </c>
      <c r="T54" s="50" t="str">
        <f>IF(OR(C54="",C54="NA"),"",IF(C54&gt;S54,S54,IF(C54&lt;0,0,C54)))</f>
        <v/>
      </c>
      <c r="U54" s="50" t="str">
        <f>IF(OR(G54="",G54="NA"),"",IF(G54&gt;S54,S54,IF(G54&lt;0,0,G54)))</f>
        <v/>
      </c>
      <c r="V54" s="553" t="str">
        <f>IF(W54="","",ROUND(W54,0))</f>
        <v/>
      </c>
      <c r="W54" s="554" t="str">
        <f>IF(T54="","",IF(OR(U54="",U54=0,U54&lt;T54),T54,(T54*S54)/U54))</f>
        <v/>
      </c>
      <c r="X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row>
    <row r="55" spans="1:142" s="6" customFormat="1" ht="15" customHeight="1" x14ac:dyDescent="0.2">
      <c r="A55" s="2"/>
      <c r="B55" s="294" t="s">
        <v>1313</v>
      </c>
      <c r="C55" s="1227"/>
      <c r="D55" s="1227"/>
      <c r="E55" s="1171">
        <f>IF(AND(C55&lt;&gt;"",C55&lt;&gt;"NA",C54&lt;&gt;"NA",C54&lt;&gt;""),"ERROR",IF(AND(C55&lt;&gt;"",C55&lt;&gt;"NA",C56&lt;&gt;"",C56&lt;&gt;"NA"),"ERROR",LETable!AJ13))</f>
        <v>0</v>
      </c>
      <c r="F55" s="1171"/>
      <c r="G55" s="930" t="str">
        <f>IF(E55="ERROR","Error: Cannot rate ROM and ankylosis.","")</f>
        <v/>
      </c>
      <c r="H55" s="930"/>
      <c r="I55" s="930"/>
      <c r="J55" s="930"/>
      <c r="K55" s="930"/>
      <c r="L55" s="930"/>
      <c r="M55" s="930"/>
      <c r="N55" s="930"/>
      <c r="O55" s="931"/>
      <c r="P55" s="831"/>
      <c r="Q55" s="2"/>
      <c r="R55" s="95"/>
      <c r="S55" s="50">
        <v>40</v>
      </c>
      <c r="T55" s="588" t="str">
        <f>IF(OR(C55="",C55="NA"),"",IF(C55&gt;S55,S55,IF(C55&lt;0,0,C55)))</f>
        <v/>
      </c>
      <c r="U55" s="10"/>
      <c r="V55" s="10"/>
      <c r="W55" s="10"/>
      <c r="X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row>
    <row r="56" spans="1:142" s="6" customFormat="1" ht="15" customHeight="1" x14ac:dyDescent="0.2">
      <c r="A56" s="2"/>
      <c r="B56" s="127" t="s">
        <v>1237</v>
      </c>
      <c r="C56" s="1227"/>
      <c r="D56" s="1227"/>
      <c r="E56" s="1171">
        <f>LETable!AJ14</f>
        <v>0</v>
      </c>
      <c r="F56" s="1171"/>
      <c r="G56" s="694"/>
      <c r="H56" s="694"/>
      <c r="I56" s="694"/>
      <c r="J56" s="1178">
        <f>IF(C56="",0,IF(OR(C56&lt;=0,G56&lt;=0),E56,IF(G56&lt;C56,0,LETable!AO14)))</f>
        <v>0</v>
      </c>
      <c r="K56" s="1178"/>
      <c r="L56" s="1232" t="str">
        <f>IF(OR(C56="NA",G56="NA"),"",IF(AND(C56&lt;&gt;"",G56=""),"Enter contralateral or NA.",IF(AND(C56="",G56&lt;&gt;""),"Need data","")))</f>
        <v/>
      </c>
      <c r="M56" s="1232"/>
      <c r="N56" s="1232"/>
      <c r="O56" s="1233"/>
      <c r="P56" s="831"/>
      <c r="Q56" s="2"/>
      <c r="R56" s="10"/>
      <c r="S56" s="50">
        <v>30</v>
      </c>
      <c r="T56" s="50" t="str">
        <f>IF(OR(C56="",C56="NA"),"",IF(C56&gt;S56,S56,IF(C56&lt;0,0,C56)))</f>
        <v/>
      </c>
      <c r="U56" s="50" t="str">
        <f>IF(OR(G56="",G56="NA"),"",IF(G56&gt;S56,S56,IF(G56&lt;0,0,G56)))</f>
        <v/>
      </c>
      <c r="V56" s="553" t="str">
        <f>IF(W56="","",ROUND(W56,0))</f>
        <v/>
      </c>
      <c r="W56" s="554" t="str">
        <f>IF(T56="","",IF(OR(U56="",U56=0,U56&lt;T56),T56,(T56*S56)/U56))</f>
        <v/>
      </c>
      <c r="X56" s="10"/>
      <c r="Y56" s="50" t="s">
        <v>2171</v>
      </c>
      <c r="Z56" s="50" t="s">
        <v>1285</v>
      </c>
      <c r="AA56" s="50" t="s">
        <v>1286</v>
      </c>
      <c r="AB56" s="50" t="s">
        <v>1287</v>
      </c>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row>
    <row r="57" spans="1:142" s="6" customFormat="1" ht="15" customHeight="1" x14ac:dyDescent="0.2">
      <c r="A57" s="2"/>
      <c r="B57" s="293" t="s">
        <v>1801</v>
      </c>
      <c r="C57" s="1222"/>
      <c r="D57" s="1223"/>
      <c r="E57" s="1171">
        <f>IF(AND(C57&lt;&gt;"",C57&lt;&gt;"NA",C56&lt;&gt;"NA",C56&lt;&gt;""),"ERROR",IF(AND(C57&lt;&gt;"",C57&lt;&gt;"NA",C54&lt;&gt;"",C54&lt;&gt;"NA"),"ERROR",LETable!AJ15))</f>
        <v>0</v>
      </c>
      <c r="F57" s="1171"/>
      <c r="G57" s="1172" t="str">
        <f>IF(E57="ERROR","Error: Cannot rate ROM and ankylosis.",IF(AND(C55&lt;&gt;"",C55&lt;&gt;"NA",C57&lt;&gt;"",C57&lt;&gt;"NA"),"Multiple ankylosis values; use higher value only.",""))</f>
        <v/>
      </c>
      <c r="H57" s="1173"/>
      <c r="I57" s="1173"/>
      <c r="J57" s="1173"/>
      <c r="K57" s="1173"/>
      <c r="L57" s="1173"/>
      <c r="M57" s="1173"/>
      <c r="N57" s="1173"/>
      <c r="O57" s="1174"/>
      <c r="P57" s="831"/>
      <c r="Q57" s="2"/>
      <c r="R57" s="10"/>
      <c r="S57" s="50">
        <v>30</v>
      </c>
      <c r="T57" s="50" t="str">
        <f>IF(OR(C57="",C57="NA"),"",IF(C57&gt;S57,S57,IF(C57&lt;0,0,C57)))</f>
        <v/>
      </c>
      <c r="U57" s="10"/>
      <c r="V57" s="10"/>
      <c r="W57" s="10"/>
      <c r="X57" s="10"/>
      <c r="Y57" s="192">
        <f>O49</f>
        <v>0</v>
      </c>
      <c r="Z57" s="147">
        <f>LARGE($Y$57:$Y$59,1)</f>
        <v>0</v>
      </c>
      <c r="AA57" s="544">
        <f>Z57+Z58*(1-Z57)</f>
        <v>0</v>
      </c>
      <c r="AB57" s="548">
        <f>ROUND(AA57,2)</f>
        <v>0</v>
      </c>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row>
    <row r="58" spans="1:142" s="6" customFormat="1" ht="21" customHeight="1" x14ac:dyDescent="0.2">
      <c r="A58" s="2"/>
      <c r="B58" s="1122"/>
      <c r="C58" s="1122"/>
      <c r="D58" s="1122"/>
      <c r="E58" s="1122"/>
      <c r="F58" s="1122"/>
      <c r="G58" s="1122"/>
      <c r="H58" s="1122"/>
      <c r="I58" s="1122"/>
      <c r="J58" s="1122"/>
      <c r="K58" s="1006" t="s">
        <v>1803</v>
      </c>
      <c r="L58" s="1007"/>
      <c r="M58" s="1007"/>
      <c r="N58" s="1008"/>
      <c r="O58" s="59">
        <f>IF(OR(E55="ERROR",E57="ERROR"),"ERROR",IF(R58&gt;1,1,R58))</f>
        <v>0</v>
      </c>
      <c r="P58" s="832"/>
      <c r="Q58" s="2"/>
      <c r="R58" s="193">
        <f>SUM(J54,J56,W58)</f>
        <v>0</v>
      </c>
      <c r="S58" s="10"/>
      <c r="T58" s="10"/>
      <c r="U58" s="10"/>
      <c r="V58" s="10"/>
      <c r="W58" s="581">
        <f>IF(AND(E55&lt;&gt;"ERROR",E57&lt;&gt;"ERROR",C57&lt;&gt;"",E57&lt;&gt;""),MAX(E55,E57),E55+E57)</f>
        <v>0</v>
      </c>
      <c r="X58" s="10"/>
      <c r="Y58" s="192">
        <f>O50</f>
        <v>0</v>
      </c>
      <c r="Z58" s="147">
        <f>LARGE($Y$57:$Y$59,2)</f>
        <v>0</v>
      </c>
      <c r="AA58" s="544">
        <f>AB57+Z59*(1-AB57)</f>
        <v>0</v>
      </c>
      <c r="AB58" s="548">
        <f>ROUND(AA58,2)</f>
        <v>0</v>
      </c>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row>
    <row r="59" spans="1:142" s="6" customFormat="1" ht="21" customHeight="1" x14ac:dyDescent="0.2">
      <c r="A59" s="2"/>
      <c r="B59" s="1122"/>
      <c r="C59" s="1122"/>
      <c r="D59" s="1122"/>
      <c r="E59" s="1122"/>
      <c r="F59" s="1122"/>
      <c r="G59" s="1122"/>
      <c r="H59" s="1122"/>
      <c r="I59" s="1122"/>
      <c r="J59" s="1122"/>
      <c r="K59" s="1006" t="s">
        <v>421</v>
      </c>
      <c r="L59" s="1007"/>
      <c r="M59" s="1007"/>
      <c r="N59" s="1007"/>
      <c r="O59" s="1008"/>
      <c r="P59" s="245">
        <f>IF(O58="ERROR","ERROR",AB58)</f>
        <v>0</v>
      </c>
      <c r="Q59" s="2"/>
      <c r="R59" s="10"/>
      <c r="S59" s="10"/>
      <c r="T59" s="10"/>
      <c r="U59" s="10"/>
      <c r="V59" s="10"/>
      <c r="W59" s="10"/>
      <c r="X59" s="10"/>
      <c r="Y59" s="192">
        <f>IF(AND(O58&lt;0.01,O58&gt;0),0.01,ROUND(O58,2))</f>
        <v>0</v>
      </c>
      <c r="Z59" s="147">
        <f>LARGE($Y$57:$Y$59,3)</f>
        <v>0</v>
      </c>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row>
    <row r="60" spans="1:142" s="6" customFormat="1" ht="12" customHeight="1" x14ac:dyDescent="0.25">
      <c r="A60" s="2"/>
      <c r="B60" s="1183"/>
      <c r="C60" s="1183"/>
      <c r="D60" s="1183"/>
      <c r="E60" s="1183"/>
      <c r="F60" s="1183"/>
      <c r="G60" s="1183"/>
      <c r="H60" s="1183"/>
      <c r="I60" s="1183"/>
      <c r="J60" s="1183"/>
      <c r="K60" s="1183"/>
      <c r="L60" s="1183"/>
      <c r="M60" s="1183"/>
      <c r="N60" s="1183"/>
      <c r="O60" s="1183"/>
      <c r="P60" s="379"/>
      <c r="Q60" s="2"/>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row>
    <row r="61" spans="1:142" s="6" customFormat="1" ht="15" customHeight="1" x14ac:dyDescent="0.25">
      <c r="A61" s="2"/>
      <c r="B61" s="944" t="s">
        <v>1960</v>
      </c>
      <c r="C61" s="945"/>
      <c r="D61" s="945"/>
      <c r="E61" s="945"/>
      <c r="F61" s="945"/>
      <c r="G61" s="945"/>
      <c r="H61" s="945"/>
      <c r="I61" s="945"/>
      <c r="J61" s="945"/>
      <c r="K61" s="945"/>
      <c r="L61" s="945"/>
      <c r="M61" s="945"/>
      <c r="N61" s="945"/>
      <c r="O61" s="945"/>
      <c r="P61" s="380"/>
      <c r="Q61" s="2"/>
      <c r="R61" s="10"/>
      <c r="S61" s="863" t="s">
        <v>2139</v>
      </c>
      <c r="T61" s="863"/>
      <c r="U61" s="863"/>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row>
    <row r="62" spans="1:142" s="6" customFormat="1" ht="15" customHeight="1" x14ac:dyDescent="0.2">
      <c r="A62" s="2"/>
      <c r="B62" s="304" t="s">
        <v>1971</v>
      </c>
      <c r="C62" s="1184"/>
      <c r="D62" s="1185"/>
      <c r="E62" s="1185"/>
      <c r="F62" s="1185"/>
      <c r="G62" s="1185"/>
      <c r="H62" s="1185"/>
      <c r="I62" s="1185"/>
      <c r="J62" s="1185"/>
      <c r="K62" s="1185"/>
      <c r="L62" s="1185"/>
      <c r="M62" s="1185"/>
      <c r="N62" s="1185"/>
      <c r="O62" s="66"/>
      <c r="P62" s="21">
        <f>IF($W$238&gt;0,0,R62)</f>
        <v>0</v>
      </c>
      <c r="Q62" s="2"/>
      <c r="R62" s="147">
        <f>IF(C62=S62,0,IF(C62=T62,0.05,IF(C62=U62,0.1,0)))</f>
        <v>0</v>
      </c>
      <c r="S62" s="50" t="s">
        <v>1901</v>
      </c>
      <c r="T62" s="50" t="s">
        <v>1748</v>
      </c>
      <c r="U62" s="50" t="s">
        <v>1749</v>
      </c>
      <c r="V62" s="97"/>
      <c r="W62" s="96"/>
      <c r="X62" s="132"/>
      <c r="Y62" s="1234"/>
      <c r="Z62" s="61"/>
      <c r="AA62" s="61"/>
      <c r="AB62" s="62"/>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row>
    <row r="63" spans="1:142" s="6" customFormat="1" ht="15" customHeight="1" x14ac:dyDescent="0.2">
      <c r="A63" s="2"/>
      <c r="B63" s="304" t="s">
        <v>1972</v>
      </c>
      <c r="C63" s="1184"/>
      <c r="D63" s="1185"/>
      <c r="E63" s="1185"/>
      <c r="F63" s="1185"/>
      <c r="G63" s="1185"/>
      <c r="H63" s="1185"/>
      <c r="I63" s="1185"/>
      <c r="J63" s="1185"/>
      <c r="K63" s="1185"/>
      <c r="L63" s="1185"/>
      <c r="M63" s="1185"/>
      <c r="N63" s="1185"/>
      <c r="O63" s="66"/>
      <c r="P63" s="21">
        <f>IF($W$238&gt;0,0,R63)</f>
        <v>0</v>
      </c>
      <c r="Q63" s="2"/>
      <c r="R63" s="147">
        <f>IF(C63=S63,0,IF(C63=T63,0.05,IF(C63=U63,0.1,0)))</f>
        <v>0</v>
      </c>
      <c r="S63" s="50" t="s">
        <v>1901</v>
      </c>
      <c r="T63" s="50" t="s">
        <v>1956</v>
      </c>
      <c r="U63" s="50" t="s">
        <v>1957</v>
      </c>
      <c r="V63" s="97"/>
      <c r="W63" s="96"/>
      <c r="X63" s="132"/>
      <c r="Y63" s="1234"/>
      <c r="Z63" s="61"/>
      <c r="AA63" s="61"/>
      <c r="AB63" s="62"/>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row>
    <row r="64" spans="1:142" s="6" customFormat="1" ht="27" customHeight="1" x14ac:dyDescent="0.2">
      <c r="A64" s="2"/>
      <c r="B64" s="1085" t="str">
        <f>IF(AND(OR(R62&gt;0,R63&gt;0),$W$238&gt;0),"A value has been given for loss of sensation or hypersensitivity in the foot. No additional value is allowed for the toes.","")</f>
        <v/>
      </c>
      <c r="C64" s="1085"/>
      <c r="D64" s="1085"/>
      <c r="E64" s="1085"/>
      <c r="F64" s="1085"/>
      <c r="G64" s="1085"/>
      <c r="H64" s="1085"/>
      <c r="I64" s="1085"/>
      <c r="J64" s="1085"/>
      <c r="K64" s="1085"/>
      <c r="L64" s="1085"/>
      <c r="M64" s="1085"/>
      <c r="N64" s="1085"/>
      <c r="O64" s="1085"/>
      <c r="P64" s="196"/>
      <c r="Q64" s="2"/>
      <c r="R64" s="10"/>
      <c r="S64" s="14"/>
      <c r="T64" s="14"/>
      <c r="U64" s="14"/>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row>
    <row r="65" spans="1:142" s="6" customFormat="1" ht="12" customHeight="1" x14ac:dyDescent="0.25">
      <c r="A65" s="2"/>
      <c r="B65" s="697"/>
      <c r="C65" s="777"/>
      <c r="D65" s="777"/>
      <c r="E65" s="777"/>
      <c r="F65" s="777"/>
      <c r="G65" s="777"/>
      <c r="H65" s="777"/>
      <c r="I65" s="777"/>
      <c r="J65" s="777"/>
      <c r="K65" s="777"/>
      <c r="L65" s="777"/>
      <c r="M65" s="777"/>
      <c r="N65" s="777"/>
      <c r="O65" s="777"/>
      <c r="P65" s="63"/>
      <c r="Q65" s="2"/>
      <c r="R65" s="10"/>
      <c r="S65" s="10"/>
      <c r="Y65" s="10"/>
      <c r="Z65" s="724"/>
      <c r="AA65" s="724"/>
      <c r="AB65" s="724"/>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row>
    <row r="66" spans="1:142" s="6" customFormat="1" ht="14.1" customHeight="1" x14ac:dyDescent="0.2">
      <c r="A66" s="2"/>
      <c r="B66" s="761" t="s">
        <v>1975</v>
      </c>
      <c r="C66" s="761"/>
      <c r="D66" s="761"/>
      <c r="E66" s="761"/>
      <c r="F66" s="761"/>
      <c r="G66" s="761"/>
      <c r="H66" s="761"/>
      <c r="I66" s="761"/>
      <c r="J66" s="761"/>
      <c r="K66" s="761"/>
      <c r="L66" s="761"/>
      <c r="M66" s="761"/>
      <c r="N66" s="694"/>
      <c r="O66" s="694"/>
      <c r="P66" s="21">
        <f>IF(N66=T66,0.03,IF(N66=U66,0.15,IF(N66=V66,0.38,IF(N66=W66,0.68,IF(N66=X66,0.9,0)))))</f>
        <v>0</v>
      </c>
      <c r="Q66" s="2"/>
      <c r="R66" s="863" t="s">
        <v>2147</v>
      </c>
      <c r="S66" s="863"/>
      <c r="T66" s="50" t="s">
        <v>1928</v>
      </c>
      <c r="U66" s="50" t="s">
        <v>1929</v>
      </c>
      <c r="V66" s="147" t="s">
        <v>1931</v>
      </c>
      <c r="W66" s="50" t="s">
        <v>929</v>
      </c>
      <c r="X66" s="147" t="s">
        <v>545</v>
      </c>
      <c r="Y66" s="10"/>
      <c r="Z66" s="724"/>
      <c r="AA66" s="724"/>
      <c r="AB66" s="724"/>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row>
    <row r="67" spans="1:142" s="6" customFormat="1" ht="12" customHeight="1" x14ac:dyDescent="0.25">
      <c r="A67" s="2"/>
      <c r="B67" s="521"/>
      <c r="C67" s="521"/>
      <c r="D67" s="521"/>
      <c r="E67" s="521"/>
      <c r="F67" s="521"/>
      <c r="G67" s="521"/>
      <c r="H67" s="521"/>
      <c r="I67" s="521"/>
      <c r="J67" s="521"/>
      <c r="K67" s="521"/>
      <c r="L67" s="521"/>
      <c r="M67" s="521"/>
      <c r="N67" s="521"/>
      <c r="O67" s="521"/>
      <c r="P67" s="63"/>
      <c r="Q67" s="2"/>
      <c r="R67" s="10"/>
      <c r="S67" s="14"/>
      <c r="T67" s="14"/>
      <c r="U67" s="14"/>
      <c r="V67" s="14"/>
      <c r="W67" s="14"/>
      <c r="X67" s="14"/>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row>
    <row r="68" spans="1:142" s="6" customFormat="1" ht="18" customHeight="1" x14ac:dyDescent="0.2">
      <c r="A68" s="15"/>
      <c r="B68" s="256" t="s">
        <v>1676</v>
      </c>
      <c r="C68" s="996"/>
      <c r="D68" s="996"/>
      <c r="E68" s="742" t="s">
        <v>1677</v>
      </c>
      <c r="F68" s="743"/>
      <c r="G68" s="743"/>
      <c r="H68" s="743"/>
      <c r="I68" s="743"/>
      <c r="J68" s="743"/>
      <c r="K68" s="743"/>
      <c r="L68" s="743"/>
      <c r="M68" s="743"/>
      <c r="N68" s="743"/>
      <c r="O68" s="743"/>
      <c r="P68" s="245">
        <f>IF(T68=1,0.15,0)</f>
        <v>0</v>
      </c>
      <c r="Q68" s="2"/>
      <c r="R68" s="10"/>
      <c r="S68" s="561" t="b">
        <v>0</v>
      </c>
      <c r="T68" s="50">
        <f>IF(S68=TRUE,1,0)</f>
        <v>0</v>
      </c>
      <c r="U68" s="10"/>
      <c r="V68" s="10"/>
      <c r="W68" s="10">
        <v>1E-4</v>
      </c>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row>
    <row r="69" spans="1:142" s="6" customFormat="1" ht="18" customHeight="1" x14ac:dyDescent="0.2">
      <c r="A69" s="2"/>
      <c r="B69" s="256" t="s">
        <v>1678</v>
      </c>
      <c r="C69" s="996"/>
      <c r="D69" s="996"/>
      <c r="E69" s="742" t="s">
        <v>1679</v>
      </c>
      <c r="F69" s="743"/>
      <c r="G69" s="743"/>
      <c r="H69" s="743"/>
      <c r="I69" s="743"/>
      <c r="J69" s="743"/>
      <c r="K69" s="743"/>
      <c r="L69" s="743"/>
      <c r="M69" s="743"/>
      <c r="N69" s="743"/>
      <c r="O69" s="743"/>
      <c r="P69" s="245">
        <f>IF(T69=1,0.25,0)</f>
        <v>0</v>
      </c>
      <c r="Q69" s="2"/>
      <c r="R69" s="10"/>
      <c r="S69" s="561" t="b">
        <v>0</v>
      </c>
      <c r="T69" s="50">
        <f>IF(S69=TRUE,1,0)</f>
        <v>0</v>
      </c>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row>
    <row r="70" spans="1:142" s="6" customFormat="1" ht="18" customHeight="1" x14ac:dyDescent="0.2">
      <c r="A70" s="2"/>
      <c r="B70" s="381" t="s">
        <v>613</v>
      </c>
      <c r="C70" s="1018"/>
      <c r="D70" s="1018"/>
      <c r="E70" s="941" t="s">
        <v>614</v>
      </c>
      <c r="F70" s="942"/>
      <c r="G70" s="942"/>
      <c r="H70" s="942"/>
      <c r="I70" s="942"/>
      <c r="J70" s="942"/>
      <c r="K70" s="942"/>
      <c r="L70" s="942"/>
      <c r="M70" s="942"/>
      <c r="N70" s="942"/>
      <c r="O70" s="942"/>
      <c r="P70" s="275">
        <f>IF(T70=1,0.25,0)</f>
        <v>0</v>
      </c>
      <c r="Q70" s="2"/>
      <c r="R70" s="10"/>
      <c r="S70" s="561" t="b">
        <v>0</v>
      </c>
      <c r="T70" s="50">
        <f>IF(S70=TRUE,1,0)</f>
        <v>0</v>
      </c>
      <c r="U70" s="10"/>
      <c r="V70" s="10"/>
      <c r="W70" s="10"/>
      <c r="X70" s="2"/>
      <c r="Y70" s="2"/>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row>
    <row r="71" spans="1:142" s="6" customFormat="1" ht="15" customHeight="1" x14ac:dyDescent="0.2">
      <c r="A71" s="2"/>
      <c r="B71" s="1221"/>
      <c r="C71" s="1221"/>
      <c r="D71" s="1221"/>
      <c r="E71" s="1221"/>
      <c r="F71" s="1221"/>
      <c r="G71" s="1221"/>
      <c r="H71" s="1221"/>
      <c r="I71" s="1221"/>
      <c r="J71" s="1221"/>
      <c r="K71" s="1221"/>
      <c r="L71" s="1221"/>
      <c r="M71" s="1221"/>
      <c r="N71" s="1221"/>
      <c r="O71" s="1221"/>
      <c r="P71" s="2"/>
      <c r="Q71" s="2"/>
      <c r="R71" s="10"/>
      <c r="S71" s="10"/>
      <c r="T71" s="10"/>
      <c r="U71" s="10"/>
      <c r="V71" s="10"/>
      <c r="X71" s="2"/>
      <c r="Y71" s="2"/>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row>
    <row r="72" spans="1:142" s="6" customFormat="1" ht="27" customHeight="1" x14ac:dyDescent="0.2">
      <c r="A72" s="2"/>
      <c r="B72" s="864" t="s">
        <v>430</v>
      </c>
      <c r="C72" s="865"/>
      <c r="D72" s="865"/>
      <c r="E72" s="865"/>
      <c r="F72" s="865"/>
      <c r="G72" s="912" t="s">
        <v>1495</v>
      </c>
      <c r="H72" s="910"/>
      <c r="I72" s="910"/>
      <c r="J72" s="910"/>
      <c r="K72" s="910"/>
      <c r="L72" s="967"/>
      <c r="M72" s="968"/>
      <c r="N72" s="968"/>
      <c r="O72" s="969"/>
      <c r="P72" s="857">
        <f>V79</f>
        <v>0</v>
      </c>
      <c r="Q72" s="2"/>
      <c r="R72" s="10"/>
      <c r="S72" s="50" t="s">
        <v>1826</v>
      </c>
      <c r="T72" s="50" t="s">
        <v>1285</v>
      </c>
      <c r="U72" s="50" t="s">
        <v>1286</v>
      </c>
      <c r="V72" s="50" t="s">
        <v>1287</v>
      </c>
      <c r="W72" s="50" t="s">
        <v>498</v>
      </c>
      <c r="X72" s="2"/>
      <c r="Y72" s="2"/>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row>
    <row r="73" spans="1:142" s="6" customFormat="1" ht="18" customHeight="1" x14ac:dyDescent="0.2">
      <c r="A73" s="2"/>
      <c r="B73" s="791" t="s">
        <v>615</v>
      </c>
      <c r="C73" s="791"/>
      <c r="D73" s="791"/>
      <c r="E73" s="755">
        <f>P46</f>
        <v>0</v>
      </c>
      <c r="F73" s="731"/>
      <c r="G73" s="1111"/>
      <c r="H73" s="1158"/>
      <c r="I73" s="1112"/>
      <c r="J73" s="1159">
        <f t="shared" ref="J73:J74" si="7">IF(AND(W73&lt;0.01,W73&gt;0),0.01,ROUND(W73,2))</f>
        <v>0</v>
      </c>
      <c r="K73" s="1160"/>
      <c r="L73" s="967"/>
      <c r="M73" s="968"/>
      <c r="N73" s="968"/>
      <c r="O73" s="969"/>
      <c r="P73" s="961"/>
      <c r="Q73" s="2"/>
      <c r="R73" s="10"/>
      <c r="S73" s="147">
        <f t="shared" ref="S73:S76" si="8">IF(J73&gt;0,J73,E73)</f>
        <v>0</v>
      </c>
      <c r="T73" s="147">
        <f>LARGE($S$73:$S$80,1)</f>
        <v>0</v>
      </c>
      <c r="U73" s="544">
        <f>T73+T74*(1-T73)</f>
        <v>0</v>
      </c>
      <c r="V73" s="548">
        <f t="shared" ref="V73:V79" si="9">ROUND(U73,2)</f>
        <v>0</v>
      </c>
      <c r="W73" s="21">
        <f t="shared" ref="W73:W74" si="10">G73*E73</f>
        <v>0</v>
      </c>
      <c r="X73" s="2"/>
      <c r="Y73" s="2"/>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row>
    <row r="74" spans="1:142" s="6" customFormat="1" ht="18" customHeight="1" x14ac:dyDescent="0.2">
      <c r="A74" s="2"/>
      <c r="B74" s="791" t="s">
        <v>1918</v>
      </c>
      <c r="C74" s="791"/>
      <c r="D74" s="791"/>
      <c r="E74" s="755">
        <f>IF(P426&gt;0,0,P59)</f>
        <v>0</v>
      </c>
      <c r="F74" s="731"/>
      <c r="G74" s="1111"/>
      <c r="H74" s="1158"/>
      <c r="I74" s="1112"/>
      <c r="J74" s="1159">
        <f t="shared" si="7"/>
        <v>0</v>
      </c>
      <c r="K74" s="1160"/>
      <c r="L74" s="970"/>
      <c r="M74" s="971"/>
      <c r="N74" s="971"/>
      <c r="O74" s="972"/>
      <c r="P74" s="961"/>
      <c r="Q74" s="2"/>
      <c r="R74" s="10"/>
      <c r="S74" s="147">
        <f t="shared" si="8"/>
        <v>0</v>
      </c>
      <c r="T74" s="147">
        <f>LARGE($S$73:$S$80,2)</f>
        <v>0</v>
      </c>
      <c r="U74" s="544">
        <f t="shared" ref="U74:U79" si="11">V73+T75*(1-V73)</f>
        <v>0</v>
      </c>
      <c r="V74" s="548">
        <f t="shared" si="9"/>
        <v>0</v>
      </c>
      <c r="W74" s="21">
        <f t="shared" si="10"/>
        <v>0</v>
      </c>
      <c r="X74" s="2"/>
      <c r="Y74" s="2"/>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row>
    <row r="75" spans="1:142" s="6" customFormat="1" ht="18" customHeight="1" x14ac:dyDescent="0.2">
      <c r="A75" s="2"/>
      <c r="B75" s="791" t="s">
        <v>1976</v>
      </c>
      <c r="C75" s="791"/>
      <c r="D75" s="791"/>
      <c r="E75" s="755">
        <f>P62</f>
        <v>0</v>
      </c>
      <c r="F75" s="731"/>
      <c r="G75" s="1111"/>
      <c r="H75" s="1158"/>
      <c r="I75" s="1112"/>
      <c r="J75" s="1159">
        <f>IF(AND(W75&lt;0.01,W75&gt;0),0.01,ROUND(W75,2))</f>
        <v>0</v>
      </c>
      <c r="K75" s="1160"/>
      <c r="L75" s="970"/>
      <c r="M75" s="971"/>
      <c r="N75" s="971"/>
      <c r="O75" s="972"/>
      <c r="P75" s="961"/>
      <c r="Q75" s="2"/>
      <c r="R75" s="10"/>
      <c r="S75" s="147">
        <f t="shared" si="8"/>
        <v>0</v>
      </c>
      <c r="T75" s="147">
        <f>LARGE($S$73:$S$80,3)</f>
        <v>0</v>
      </c>
      <c r="U75" s="544">
        <f t="shared" si="11"/>
        <v>0</v>
      </c>
      <c r="V75" s="548">
        <f t="shared" si="9"/>
        <v>0</v>
      </c>
      <c r="W75" s="21">
        <f>G75*E75</f>
        <v>0</v>
      </c>
      <c r="X75" s="2"/>
      <c r="Y75" s="2"/>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row>
    <row r="76" spans="1:142" s="6" customFormat="1" ht="18" customHeight="1" x14ac:dyDescent="0.2">
      <c r="A76" s="2"/>
      <c r="B76" s="742" t="s">
        <v>1208</v>
      </c>
      <c r="C76" s="743"/>
      <c r="D76" s="744"/>
      <c r="E76" s="755">
        <f>P63</f>
        <v>0</v>
      </c>
      <c r="F76" s="731"/>
      <c r="G76" s="1111"/>
      <c r="H76" s="1158"/>
      <c r="I76" s="1112"/>
      <c r="J76" s="1159">
        <f>IF(AND(W76&lt;0.01,W76&gt;0),0.01,ROUND(W76,2))</f>
        <v>0</v>
      </c>
      <c r="K76" s="1160"/>
      <c r="L76" s="970"/>
      <c r="M76" s="971"/>
      <c r="N76" s="971"/>
      <c r="O76" s="972"/>
      <c r="P76" s="961"/>
      <c r="Q76" s="2"/>
      <c r="R76" s="10"/>
      <c r="S76" s="147">
        <f t="shared" si="8"/>
        <v>0</v>
      </c>
      <c r="T76" s="147">
        <f>LARGE($S$73:$S$80,4)</f>
        <v>0</v>
      </c>
      <c r="U76" s="544">
        <f t="shared" si="11"/>
        <v>0</v>
      </c>
      <c r="V76" s="548">
        <f t="shared" si="9"/>
        <v>0</v>
      </c>
      <c r="W76" s="21">
        <f t="shared" ref="W76:W80" si="12">G76*E76</f>
        <v>0</v>
      </c>
      <c r="X76" s="2"/>
      <c r="Y76" s="2"/>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row>
    <row r="77" spans="1:142" s="6" customFormat="1" ht="18" customHeight="1" x14ac:dyDescent="0.2">
      <c r="A77" s="2"/>
      <c r="B77" s="742" t="s">
        <v>1419</v>
      </c>
      <c r="C77" s="743"/>
      <c r="D77" s="744"/>
      <c r="E77" s="727">
        <f>P66</f>
        <v>0</v>
      </c>
      <c r="F77" s="729"/>
      <c r="G77" s="1111"/>
      <c r="H77" s="1158"/>
      <c r="I77" s="1112"/>
      <c r="J77" s="1159">
        <f>IF(AND(W77&lt;0.01,W77&gt;0),0.01,ROUND(W77,2))</f>
        <v>0</v>
      </c>
      <c r="K77" s="1160"/>
      <c r="L77" s="915" t="str">
        <f>IF(AND(P59&gt;0,$P$426&gt;0),"The worker has motor loss impairment. No additional impairment value is allowed for reduced range of motion in the same extremity.","")</f>
        <v/>
      </c>
      <c r="M77" s="916"/>
      <c r="N77" s="916"/>
      <c r="O77" s="917"/>
      <c r="P77" s="961"/>
      <c r="Q77" s="2"/>
      <c r="R77" s="10"/>
      <c r="S77" s="147">
        <f>IF(J77&gt;0,J77,E77)</f>
        <v>0</v>
      </c>
      <c r="T77" s="147">
        <f>LARGE($S$73:$S$80,5)</f>
        <v>0</v>
      </c>
      <c r="U77" s="544">
        <f t="shared" si="11"/>
        <v>0</v>
      </c>
      <c r="V77" s="548">
        <f t="shared" si="9"/>
        <v>0</v>
      </c>
      <c r="W77" s="21">
        <f t="shared" si="12"/>
        <v>0</v>
      </c>
      <c r="X77" s="2"/>
      <c r="Y77" s="2"/>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row>
    <row r="78" spans="1:142" s="6" customFormat="1" ht="18" customHeight="1" x14ac:dyDescent="0.2">
      <c r="A78" s="2"/>
      <c r="B78" s="791" t="s">
        <v>1680</v>
      </c>
      <c r="C78" s="791"/>
      <c r="D78" s="791"/>
      <c r="E78" s="755">
        <f>P68</f>
        <v>0</v>
      </c>
      <c r="F78" s="731"/>
      <c r="G78" s="1111"/>
      <c r="H78" s="1158"/>
      <c r="I78" s="1112"/>
      <c r="J78" s="1159">
        <f t="shared" ref="J78:J80" si="13">IF(AND(W78&lt;0.01,W78&gt;0),0.01,ROUND(W78,2))</f>
        <v>0</v>
      </c>
      <c r="K78" s="1160"/>
      <c r="L78" s="915"/>
      <c r="M78" s="916"/>
      <c r="N78" s="916"/>
      <c r="O78" s="917"/>
      <c r="P78" s="961"/>
      <c r="Q78" s="2"/>
      <c r="R78" s="10"/>
      <c r="S78" s="147">
        <f t="shared" ref="S78:S80" si="14">IF(J78&gt;0,J78,E78)</f>
        <v>0</v>
      </c>
      <c r="T78" s="147">
        <f>LARGE($S$73:$S$80,6)</f>
        <v>0</v>
      </c>
      <c r="U78" s="544">
        <f t="shared" si="11"/>
        <v>0</v>
      </c>
      <c r="V78" s="548">
        <f t="shared" si="9"/>
        <v>0</v>
      </c>
      <c r="W78" s="21">
        <f t="shared" si="12"/>
        <v>0</v>
      </c>
      <c r="X78" s="2"/>
      <c r="Y78" s="2"/>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row>
    <row r="79" spans="1:142" s="6" customFormat="1" ht="18" customHeight="1" x14ac:dyDescent="0.2">
      <c r="A79" s="2"/>
      <c r="B79" s="791" t="s">
        <v>1681</v>
      </c>
      <c r="C79" s="791"/>
      <c r="D79" s="791"/>
      <c r="E79" s="755">
        <f>P69</f>
        <v>0</v>
      </c>
      <c r="F79" s="755"/>
      <c r="G79" s="1111"/>
      <c r="H79" s="1158"/>
      <c r="I79" s="1112"/>
      <c r="J79" s="1159">
        <f t="shared" si="13"/>
        <v>0</v>
      </c>
      <c r="K79" s="1160"/>
      <c r="L79" s="915"/>
      <c r="M79" s="916"/>
      <c r="N79" s="916"/>
      <c r="O79" s="917"/>
      <c r="P79" s="961"/>
      <c r="Q79" s="2"/>
      <c r="R79" s="10"/>
      <c r="S79" s="147">
        <f t="shared" si="14"/>
        <v>0</v>
      </c>
      <c r="T79" s="147">
        <f>LARGE($S$73:$S$80,7)</f>
        <v>0</v>
      </c>
      <c r="U79" s="544">
        <f t="shared" si="11"/>
        <v>0</v>
      </c>
      <c r="V79" s="548">
        <f t="shared" si="9"/>
        <v>0</v>
      </c>
      <c r="W79" s="21">
        <f t="shared" si="12"/>
        <v>0</v>
      </c>
      <c r="X79" s="2"/>
      <c r="Y79" s="2"/>
      <c r="Z79" s="1"/>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row>
    <row r="80" spans="1:142" s="6" customFormat="1" ht="18" customHeight="1" x14ac:dyDescent="0.2">
      <c r="A80" s="2"/>
      <c r="B80" s="789" t="s">
        <v>1110</v>
      </c>
      <c r="C80" s="789"/>
      <c r="D80" s="789"/>
      <c r="E80" s="1022">
        <f>P70</f>
        <v>0</v>
      </c>
      <c r="F80" s="1022"/>
      <c r="G80" s="1111"/>
      <c r="H80" s="1158"/>
      <c r="I80" s="1112"/>
      <c r="J80" s="1159">
        <f t="shared" si="13"/>
        <v>0</v>
      </c>
      <c r="K80" s="1160"/>
      <c r="L80" s="915"/>
      <c r="M80" s="916"/>
      <c r="N80" s="916"/>
      <c r="O80" s="917"/>
      <c r="P80" s="961"/>
      <c r="Q80" s="2"/>
      <c r="R80" s="10"/>
      <c r="S80" s="147">
        <f t="shared" si="14"/>
        <v>0</v>
      </c>
      <c r="T80" s="147">
        <f>LARGE($S$73:$S$80,8)</f>
        <v>0</v>
      </c>
      <c r="U80" s="96"/>
      <c r="V80" s="128"/>
      <c r="W80" s="21">
        <f t="shared" si="12"/>
        <v>0</v>
      </c>
      <c r="X80" s="2"/>
      <c r="Y80" s="2"/>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row>
    <row r="81" spans="1:142" s="6" customFormat="1" ht="18" customHeight="1" x14ac:dyDescent="0.2">
      <c r="A81" s="2"/>
      <c r="B81" s="956" t="s">
        <v>1410</v>
      </c>
      <c r="C81" s="956"/>
      <c r="D81" s="956"/>
      <c r="E81" s="956"/>
      <c r="F81" s="956"/>
      <c r="G81" s="956"/>
      <c r="H81" s="956"/>
      <c r="I81" s="956"/>
      <c r="J81" s="956"/>
      <c r="K81" s="956"/>
      <c r="L81" s="956"/>
      <c r="M81" s="956"/>
      <c r="N81" s="956"/>
      <c r="O81" s="956"/>
      <c r="P81" s="962"/>
      <c r="Q81" s="2"/>
      <c r="R81" s="10"/>
      <c r="S81" s="14"/>
      <c r="T81" s="96"/>
      <c r="U81" s="128"/>
      <c r="V81" s="10"/>
      <c r="W81" s="10"/>
      <c r="X81" s="2"/>
      <c r="Y81" s="2"/>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row>
    <row r="82" spans="1:142" s="6" customFormat="1" ht="15" customHeight="1" x14ac:dyDescent="0.25">
      <c r="A82" s="2"/>
      <c r="B82" s="1183"/>
      <c r="C82" s="1183"/>
      <c r="D82" s="1183"/>
      <c r="E82" s="1183"/>
      <c r="F82" s="1183"/>
      <c r="G82" s="1183"/>
      <c r="H82" s="1183"/>
      <c r="I82" s="1183"/>
      <c r="J82" s="1183"/>
      <c r="K82" s="1183"/>
      <c r="L82" s="1183"/>
      <c r="M82" s="1183"/>
      <c r="N82" s="1183"/>
      <c r="O82" s="1183"/>
      <c r="P82" s="1183"/>
      <c r="Q82" s="2"/>
      <c r="R82" s="10"/>
      <c r="S82" s="14"/>
      <c r="T82" s="96"/>
      <c r="U82" s="128"/>
      <c r="V82" s="10"/>
      <c r="W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row>
    <row r="83" spans="1:142" s="6" customFormat="1" x14ac:dyDescent="0.2">
      <c r="A83" s="2"/>
      <c r="B83" s="777"/>
      <c r="C83" s="777"/>
      <c r="D83" s="777"/>
      <c r="E83" s="777"/>
      <c r="F83" s="777"/>
      <c r="G83" s="777"/>
      <c r="H83" s="777"/>
      <c r="I83" s="777"/>
      <c r="J83" s="777"/>
      <c r="K83" s="777"/>
      <c r="L83" s="777"/>
      <c r="M83" s="777"/>
      <c r="N83" s="777"/>
      <c r="O83" s="777"/>
      <c r="P83" s="777"/>
      <c r="Q83" s="2"/>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row>
    <row r="84" spans="1:142" s="6" customFormat="1" ht="18" customHeight="1" x14ac:dyDescent="0.2">
      <c r="A84" s="2"/>
      <c r="B84" s="947" t="s">
        <v>1411</v>
      </c>
      <c r="C84" s="863"/>
      <c r="D84" s="863"/>
      <c r="E84" s="863"/>
      <c r="F84" s="863"/>
      <c r="G84" s="863"/>
      <c r="H84" s="863"/>
      <c r="I84" s="863"/>
      <c r="J84" s="863"/>
      <c r="K84" s="863"/>
      <c r="L84" s="863"/>
      <c r="M84" s="863"/>
      <c r="N84" s="863"/>
      <c r="O84" s="863"/>
      <c r="P84" s="863"/>
      <c r="Q84" s="2"/>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row>
    <row r="85" spans="1:142" s="6" customFormat="1" ht="15" customHeight="1" x14ac:dyDescent="0.2">
      <c r="A85" s="2"/>
      <c r="B85" s="910" t="s">
        <v>1684</v>
      </c>
      <c r="C85" s="910"/>
      <c r="D85" s="910"/>
      <c r="E85" s="910"/>
      <c r="F85" s="910"/>
      <c r="G85" s="910"/>
      <c r="H85" s="910"/>
      <c r="I85" s="910"/>
      <c r="J85" s="910"/>
      <c r="K85" s="910"/>
      <c r="L85" s="910"/>
      <c r="M85" s="910"/>
      <c r="N85" s="910"/>
      <c r="O85" s="910"/>
      <c r="P85" s="910"/>
      <c r="Q85" s="2"/>
      <c r="R85" s="10"/>
      <c r="S85" s="10"/>
      <c r="T85" s="761" t="s">
        <v>1685</v>
      </c>
      <c r="U85" s="50" t="s">
        <v>1298</v>
      </c>
      <c r="V85" s="50" t="s">
        <v>1058</v>
      </c>
      <c r="W85" s="552" t="s">
        <v>1059</v>
      </c>
      <c r="X85" s="50" t="s">
        <v>1244</v>
      </c>
      <c r="Y85" s="50" t="s">
        <v>1245</v>
      </c>
      <c r="Z85" s="50" t="s">
        <v>1827</v>
      </c>
      <c r="AA85" s="147" t="s">
        <v>1671</v>
      </c>
      <c r="AB85" s="147" t="s">
        <v>97</v>
      </c>
      <c r="AC85" s="147" t="s">
        <v>98</v>
      </c>
      <c r="AD85" s="50" t="s">
        <v>1705</v>
      </c>
      <c r="AE85" s="50" t="s">
        <v>1706</v>
      </c>
      <c r="AF85" s="50" t="s">
        <v>1707</v>
      </c>
      <c r="AG85" s="50" t="s">
        <v>76</v>
      </c>
      <c r="AH85" s="50" t="s">
        <v>77</v>
      </c>
      <c r="AI85" s="50" t="s">
        <v>805</v>
      </c>
      <c r="AJ85" s="50" t="s">
        <v>806</v>
      </c>
      <c r="AK85" s="50" t="s">
        <v>807</v>
      </c>
      <c r="AL85" s="50" t="s">
        <v>808</v>
      </c>
      <c r="AM85" s="50" t="s">
        <v>1116</v>
      </c>
      <c r="AN85" s="50" t="s">
        <v>1514</v>
      </c>
      <c r="AO85" s="50" t="s">
        <v>194</v>
      </c>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row>
    <row r="86" spans="1:142" s="6" customFormat="1" ht="27" customHeight="1" x14ac:dyDescent="0.2">
      <c r="A86" s="2"/>
      <c r="B86" s="1012"/>
      <c r="C86" s="1012"/>
      <c r="D86" s="1012"/>
      <c r="E86" s="1012"/>
      <c r="F86" s="1012"/>
      <c r="G86" s="1012"/>
      <c r="H86" s="1012"/>
      <c r="I86" s="1012"/>
      <c r="J86" s="1012"/>
      <c r="K86" s="1012"/>
      <c r="L86" s="1012"/>
      <c r="M86" s="1012"/>
      <c r="N86" s="1012"/>
      <c r="O86" s="1012"/>
      <c r="P86" s="21">
        <f>SUMIF(U85:AO85,B86,U86:AO86)</f>
        <v>0</v>
      </c>
      <c r="Q86" s="2"/>
      <c r="R86" s="10"/>
      <c r="S86" s="10"/>
      <c r="T86" s="761"/>
      <c r="U86" s="548">
        <v>0</v>
      </c>
      <c r="V86" s="147">
        <v>0.05</v>
      </c>
      <c r="W86" s="147">
        <v>0.1</v>
      </c>
      <c r="X86" s="147">
        <v>0.15</v>
      </c>
      <c r="Y86" s="147">
        <v>0.2</v>
      </c>
      <c r="Z86" s="147">
        <v>0.25</v>
      </c>
      <c r="AA86" s="147">
        <v>0.3</v>
      </c>
      <c r="AB86" s="147">
        <v>0.35</v>
      </c>
      <c r="AC86" s="147">
        <v>0.4</v>
      </c>
      <c r="AD86" s="147">
        <v>0.45</v>
      </c>
      <c r="AE86" s="147">
        <v>0.5</v>
      </c>
      <c r="AF86" s="147">
        <v>0.55000000000000004</v>
      </c>
      <c r="AG86" s="147">
        <v>0.6</v>
      </c>
      <c r="AH86" s="147">
        <v>0.65</v>
      </c>
      <c r="AI86" s="147">
        <v>0.7</v>
      </c>
      <c r="AJ86" s="147">
        <v>0.75</v>
      </c>
      <c r="AK86" s="147">
        <v>0.8</v>
      </c>
      <c r="AL86" s="147">
        <v>0.85</v>
      </c>
      <c r="AM86" s="147">
        <v>0.9</v>
      </c>
      <c r="AN86" s="147">
        <v>0.95</v>
      </c>
      <c r="AO86" s="147">
        <v>1</v>
      </c>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row>
    <row r="87" spans="1:142" s="6" customFormat="1" ht="12" customHeight="1" x14ac:dyDescent="0.25">
      <c r="A87" s="2"/>
      <c r="B87" s="1220"/>
      <c r="C87" s="1220"/>
      <c r="D87" s="1220"/>
      <c r="E87" s="1220"/>
      <c r="F87" s="1220"/>
      <c r="G87" s="1220"/>
      <c r="H87" s="1220"/>
      <c r="I87" s="1220"/>
      <c r="J87" s="1220"/>
      <c r="K87" s="1220"/>
      <c r="L87" s="1220"/>
      <c r="M87" s="1220"/>
      <c r="N87" s="1220"/>
      <c r="O87" s="1220"/>
      <c r="P87" s="1220"/>
      <c r="Q87" s="2"/>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row>
    <row r="88" spans="1:142" s="6" customFormat="1" ht="15" customHeight="1" x14ac:dyDescent="0.2">
      <c r="A88" s="2"/>
      <c r="B88" s="944" t="s">
        <v>757</v>
      </c>
      <c r="C88" s="945"/>
      <c r="D88" s="945"/>
      <c r="E88" s="945"/>
      <c r="F88" s="945"/>
      <c r="G88" s="945"/>
      <c r="H88" s="945"/>
      <c r="I88" s="945"/>
      <c r="J88" s="945"/>
      <c r="K88" s="945"/>
      <c r="L88" s="945"/>
      <c r="M88" s="945"/>
      <c r="N88" s="945"/>
      <c r="O88" s="945"/>
      <c r="P88" s="830"/>
      <c r="Q88" s="2"/>
      <c r="R88" s="10"/>
      <c r="S88" s="10"/>
      <c r="T88" s="10"/>
      <c r="U88" s="10"/>
      <c r="V88" s="10"/>
      <c r="W88" s="10"/>
      <c r="X88" s="10"/>
      <c r="Y88" s="10"/>
      <c r="Z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row>
    <row r="89" spans="1:142" s="6" customFormat="1" ht="15" customHeight="1" x14ac:dyDescent="0.2">
      <c r="A89" s="2"/>
      <c r="B89" s="282" t="s">
        <v>1516</v>
      </c>
      <c r="C89" s="1241"/>
      <c r="D89" s="1242"/>
      <c r="E89" s="1242"/>
      <c r="F89" s="1242"/>
      <c r="G89" s="1242"/>
      <c r="H89" s="1242"/>
      <c r="I89" s="1242"/>
      <c r="J89" s="1242"/>
      <c r="K89" s="1242"/>
      <c r="L89" s="1224"/>
      <c r="M89" s="1225"/>
      <c r="N89" s="1226"/>
      <c r="O89" s="67">
        <f>IF(C89=T89,0.45,IF(C89=U89,0.3,IF(C89=V89,0.45,0)))</f>
        <v>0</v>
      </c>
      <c r="P89" s="831"/>
      <c r="Q89" s="2"/>
      <c r="R89" s="947" t="s">
        <v>2147</v>
      </c>
      <c r="S89" s="50" t="s">
        <v>1901</v>
      </c>
      <c r="T89" s="50" t="s">
        <v>1517</v>
      </c>
      <c r="U89" s="256" t="s">
        <v>1518</v>
      </c>
      <c r="V89" s="50" t="s">
        <v>1519</v>
      </c>
      <c r="W89" s="10"/>
      <c r="X89" s="10"/>
      <c r="Y89" s="10"/>
      <c r="Z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row>
    <row r="90" spans="1:142" s="6" customFormat="1" ht="15" customHeight="1" x14ac:dyDescent="0.2">
      <c r="A90" s="2"/>
      <c r="B90" s="274" t="s">
        <v>183</v>
      </c>
      <c r="C90" s="1222"/>
      <c r="D90" s="1238"/>
      <c r="E90" s="1238"/>
      <c r="F90" s="1238"/>
      <c r="G90" s="1238"/>
      <c r="H90" s="1238"/>
      <c r="I90" s="1238"/>
      <c r="J90" s="1238"/>
      <c r="K90" s="1238"/>
      <c r="L90" s="1032"/>
      <c r="M90" s="1033"/>
      <c r="N90" s="1034"/>
      <c r="O90" s="64">
        <f>IF(C90=T90,0.8,IF(C90=U90,0.45,IF(C90=V90,0.8,0)))</f>
        <v>0</v>
      </c>
      <c r="P90" s="831"/>
      <c r="Q90" s="2"/>
      <c r="R90" s="947"/>
      <c r="S90" s="50" t="s">
        <v>1901</v>
      </c>
      <c r="T90" s="50" t="s">
        <v>1517</v>
      </c>
      <c r="U90" s="256" t="s">
        <v>1518</v>
      </c>
      <c r="V90" s="50" t="s">
        <v>1519</v>
      </c>
      <c r="W90" s="10"/>
      <c r="X90" s="10"/>
      <c r="Y90" s="10"/>
      <c r="Z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row>
    <row r="91" spans="1:142" s="6" customFormat="1" ht="12" customHeight="1" x14ac:dyDescent="0.25">
      <c r="A91" s="2"/>
      <c r="B91" s="1240"/>
      <c r="C91" s="1183"/>
      <c r="D91" s="1183"/>
      <c r="E91" s="1183"/>
      <c r="F91" s="1183"/>
      <c r="G91" s="1183"/>
      <c r="H91" s="1183"/>
      <c r="I91" s="1183"/>
      <c r="J91" s="1183"/>
      <c r="K91" s="1183"/>
      <c r="L91" s="1183"/>
      <c r="M91" s="1183"/>
      <c r="N91" s="1183"/>
      <c r="O91" s="1183"/>
      <c r="P91" s="831"/>
      <c r="Q91" s="2"/>
      <c r="R91" s="10"/>
      <c r="T91" s="58"/>
      <c r="U91" s="58"/>
      <c r="V91" s="10"/>
      <c r="W91" s="10"/>
      <c r="X91" s="10"/>
      <c r="Y91" s="10"/>
      <c r="Z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row>
    <row r="92" spans="1:142" s="6" customFormat="1" ht="39" customHeight="1" x14ac:dyDescent="0.2">
      <c r="A92" s="2"/>
      <c r="B92" s="198"/>
      <c r="C92" s="910" t="s">
        <v>1564</v>
      </c>
      <c r="D92" s="910"/>
      <c r="E92" s="910"/>
      <c r="F92" s="910"/>
      <c r="G92" s="1123" t="s">
        <v>1064</v>
      </c>
      <c r="H92" s="1123"/>
      <c r="I92" s="1123"/>
      <c r="J92" s="1123"/>
      <c r="K92" s="1123"/>
      <c r="L92" s="777"/>
      <c r="M92" s="777"/>
      <c r="N92" s="777"/>
      <c r="O92" s="777"/>
      <c r="P92" s="831"/>
      <c r="Q92" s="2"/>
      <c r="R92" s="58"/>
      <c r="S92" s="58"/>
      <c r="T92" s="912" t="s">
        <v>1238</v>
      </c>
      <c r="U92" s="912"/>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row>
    <row r="93" spans="1:142" s="6" customFormat="1" ht="15" customHeight="1" x14ac:dyDescent="0.2">
      <c r="A93" s="2"/>
      <c r="B93" s="277" t="s">
        <v>1802</v>
      </c>
      <c r="C93" s="910" t="s">
        <v>355</v>
      </c>
      <c r="D93" s="910"/>
      <c r="E93" s="910" t="s">
        <v>1759</v>
      </c>
      <c r="F93" s="910"/>
      <c r="G93" s="910" t="s">
        <v>355</v>
      </c>
      <c r="H93" s="910"/>
      <c r="I93" s="910"/>
      <c r="J93" s="910" t="s">
        <v>1759</v>
      </c>
      <c r="K93" s="910"/>
      <c r="L93" s="1024"/>
      <c r="M93" s="1024"/>
      <c r="N93" s="1024"/>
      <c r="O93" s="1032"/>
      <c r="P93" s="831"/>
      <c r="Q93" s="2"/>
      <c r="S93" s="50" t="s">
        <v>1541</v>
      </c>
      <c r="T93" s="39" t="s">
        <v>1564</v>
      </c>
      <c r="U93" s="39" t="s">
        <v>1565</v>
      </c>
      <c r="V93" s="910" t="s">
        <v>1066</v>
      </c>
      <c r="W93" s="910"/>
      <c r="X93" s="2"/>
      <c r="Y93" s="10"/>
      <c r="Z93" s="10"/>
      <c r="AA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row>
    <row r="94" spans="1:142" s="6" customFormat="1" ht="15" customHeight="1" x14ac:dyDescent="0.2">
      <c r="A94" s="2"/>
      <c r="B94" s="294" t="s">
        <v>1312</v>
      </c>
      <c r="C94" s="1222"/>
      <c r="D94" s="1223"/>
      <c r="E94" s="1171">
        <f>LETable!AJ18</f>
        <v>0</v>
      </c>
      <c r="F94" s="1171"/>
      <c r="G94" s="694"/>
      <c r="H94" s="694"/>
      <c r="I94" s="694"/>
      <c r="J94" s="1178">
        <f>IF(C94="",0,IF(OR(C94&lt;=0,G94&lt;=0),E94,IF(G94&lt;C94,0,LETable!AO18)))</f>
        <v>0</v>
      </c>
      <c r="K94" s="1178"/>
      <c r="L94" s="1232" t="str">
        <f>IF(OR(C94="NA",G94="NA"),"",IF(AND(C94&lt;&gt;"",G94=""),"Enter contralateral or NA.",IF(AND(C94="",G94&lt;&gt;""),"Need data","")))</f>
        <v/>
      </c>
      <c r="M94" s="1232"/>
      <c r="N94" s="1232"/>
      <c r="O94" s="1233"/>
      <c r="P94" s="831"/>
      <c r="Q94" s="2"/>
      <c r="R94" s="10"/>
      <c r="S94" s="50">
        <v>40</v>
      </c>
      <c r="T94" s="50" t="str">
        <f>IF(OR(C94="",C94="NA"),"",IF(C94&gt;S94,S94,IF(C94&lt;0,0,C94)))</f>
        <v/>
      </c>
      <c r="U94" s="50" t="str">
        <f>IF(OR(G94="",G94="NA"),"",IF(G94&gt;S94,S94,IF(G94&lt;0,0,G94)))</f>
        <v/>
      </c>
      <c r="V94" s="553" t="str">
        <f>IF(W94="","",ROUND(W94,0))</f>
        <v/>
      </c>
      <c r="W94" s="554" t="str">
        <f>IF(T94="","",IF(OR(U94="",U94=0,U94&lt;T94),T94,(T94*S94)/U94))</f>
        <v/>
      </c>
      <c r="X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row>
    <row r="95" spans="1:142" s="6" customFormat="1" ht="15" customHeight="1" x14ac:dyDescent="0.2">
      <c r="A95" s="2"/>
      <c r="B95" s="294" t="s">
        <v>1313</v>
      </c>
      <c r="C95" s="1222"/>
      <c r="D95" s="1223"/>
      <c r="E95" s="1171">
        <f>IF(AND(C95&lt;&gt;"",C95&lt;&gt;"NA",C94&lt;&gt;"NA",C94&lt;&gt;""),"ERROR",IF(AND(C95&lt;&gt;"",C95&lt;&gt;"NA",C96&lt;&gt;"",C96&lt;&gt;"NA"),"ERROR",LETable!AJ19))</f>
        <v>0</v>
      </c>
      <c r="F95" s="1171"/>
      <c r="G95" s="930" t="str">
        <f>IF(E95="ERROR","Error: Cannot rate ROM and ankylosis.","")</f>
        <v/>
      </c>
      <c r="H95" s="930"/>
      <c r="I95" s="930"/>
      <c r="J95" s="930"/>
      <c r="K95" s="930"/>
      <c r="L95" s="930"/>
      <c r="M95" s="930"/>
      <c r="N95" s="930"/>
      <c r="O95" s="931"/>
      <c r="P95" s="831"/>
      <c r="Q95" s="2"/>
      <c r="R95" s="10"/>
      <c r="S95" s="50">
        <v>40</v>
      </c>
      <c r="T95" s="50" t="str">
        <f>IF(OR(C95="",C95="NA"),"",IF(C95&gt;S95,S95,IF(C95&lt;0,0,C95)))</f>
        <v/>
      </c>
      <c r="U95" s="10"/>
      <c r="V95" s="10"/>
      <c r="W95" s="10"/>
      <c r="X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row>
    <row r="96" spans="1:142" s="6" customFormat="1" ht="15" customHeight="1" x14ac:dyDescent="0.2">
      <c r="A96" s="2"/>
      <c r="B96" s="127" t="s">
        <v>1237</v>
      </c>
      <c r="C96" s="1222"/>
      <c r="D96" s="1223"/>
      <c r="E96" s="1171">
        <f>LETable!AJ20</f>
        <v>0</v>
      </c>
      <c r="F96" s="1171"/>
      <c r="G96" s="694"/>
      <c r="H96" s="694"/>
      <c r="I96" s="694"/>
      <c r="J96" s="1178">
        <f>IF(C96="",0,IF(OR(C96&lt;=0,G96&lt;=0),E96,IF(G96&lt;C96,0,LETable!AO20)))</f>
        <v>0</v>
      </c>
      <c r="K96" s="1178"/>
      <c r="L96" s="1232" t="str">
        <f>IF(OR(C96="NA",G96="NA"),"",IF(AND(C96&lt;&gt;"",G96=""),"Enter contralateral or NA.",IF(AND(C96="",G96&lt;&gt;""),"Need data","")))</f>
        <v/>
      </c>
      <c r="M96" s="1232"/>
      <c r="N96" s="1232"/>
      <c r="O96" s="1233"/>
      <c r="P96" s="831"/>
      <c r="Q96" s="2"/>
      <c r="R96" s="10"/>
      <c r="S96" s="50">
        <v>30</v>
      </c>
      <c r="T96" s="50" t="str">
        <f>IF(OR(C96="",C96="NA"),"",IF(C96&gt;S96,S96,IF(C96&lt;0,0,C96)))</f>
        <v/>
      </c>
      <c r="U96" s="50" t="str">
        <f>IF(OR(G96="",G96="NA"),"",IF(G96&gt;S96,S96,IF(G96&lt;0,0,G96)))</f>
        <v/>
      </c>
      <c r="V96" s="553" t="str">
        <f>IF(W96="","",ROUND(W96,0))</f>
        <v/>
      </c>
      <c r="W96" s="554" t="str">
        <f>IF(T96="","",IF(OR(U96="",U96=0,U96&lt;T96),T96,(T96*S96)/U96))</f>
        <v/>
      </c>
      <c r="X96" s="10"/>
      <c r="Y96" s="50" t="s">
        <v>2171</v>
      </c>
      <c r="Z96" s="50" t="s">
        <v>1285</v>
      </c>
      <c r="AA96" s="50" t="s">
        <v>1286</v>
      </c>
      <c r="AB96" s="50" t="s">
        <v>1287</v>
      </c>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row>
    <row r="97" spans="1:142" s="6" customFormat="1" ht="15" customHeight="1" x14ac:dyDescent="0.2">
      <c r="A97" s="2"/>
      <c r="B97" s="293" t="s">
        <v>1801</v>
      </c>
      <c r="C97" s="1222"/>
      <c r="D97" s="1223"/>
      <c r="E97" s="1171">
        <f>IF(AND(C97&lt;&gt;"",C97&lt;&gt;"NA",C96&lt;&gt;"NA",C96&lt;&gt;""),"ERROR",IF(AND(C97&lt;&gt;"",C97&lt;&gt;"NA",C94&lt;&gt;"",C94&lt;&gt;"NA"),"ERROR",LETable!AJ21))</f>
        <v>0</v>
      </c>
      <c r="F97" s="1171"/>
      <c r="G97" s="1172" t="str">
        <f>IF(E97="ERROR","Error: Cannot rate ROM and ankylosis.",IF(AND(C95&lt;&gt;"",C95&lt;&gt;"NA",C97&lt;&gt;"",C97&lt;&gt;"NA"),"Multiple ankylosis values; use higher value only.",""))</f>
        <v/>
      </c>
      <c r="H97" s="1173"/>
      <c r="I97" s="1173"/>
      <c r="J97" s="1173"/>
      <c r="K97" s="1173"/>
      <c r="L97" s="1173"/>
      <c r="M97" s="1173"/>
      <c r="N97" s="1173"/>
      <c r="O97" s="1174"/>
      <c r="P97" s="831"/>
      <c r="Q97" s="2"/>
      <c r="R97" s="10"/>
      <c r="S97" s="50">
        <v>30</v>
      </c>
      <c r="T97" s="50" t="str">
        <f>IF(OR(C97="",C97="NA"),"",IF(C97&gt;S97,S97,IF(C97&lt;0,0,C97)))</f>
        <v/>
      </c>
      <c r="U97" s="10"/>
      <c r="V97" s="10"/>
      <c r="W97" s="10"/>
      <c r="X97" s="10"/>
      <c r="Y97" s="192">
        <f>O89</f>
        <v>0</v>
      </c>
      <c r="Z97" s="147">
        <f>LARGE($Y$97:$Y$99,1)</f>
        <v>0</v>
      </c>
      <c r="AA97" s="544">
        <f>Z97+Z98*(1-Z97)</f>
        <v>0</v>
      </c>
      <c r="AB97" s="548">
        <f>ROUND(AA97,2)</f>
        <v>0</v>
      </c>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row>
    <row r="98" spans="1:142" s="6" customFormat="1" ht="21" customHeight="1" x14ac:dyDescent="0.2">
      <c r="A98" s="2"/>
      <c r="B98" s="1122"/>
      <c r="C98" s="1122"/>
      <c r="D98" s="1122"/>
      <c r="E98" s="1122"/>
      <c r="F98" s="1122"/>
      <c r="G98" s="1122"/>
      <c r="H98" s="1122"/>
      <c r="I98" s="1122"/>
      <c r="J98" s="1122"/>
      <c r="K98" s="1006" t="s">
        <v>1803</v>
      </c>
      <c r="L98" s="1007"/>
      <c r="M98" s="1007"/>
      <c r="N98" s="1008"/>
      <c r="O98" s="59">
        <f>IF(OR(E95="ERROR",E97="ERROR"),"ERROR",IF(R98&gt;1,1,R98))</f>
        <v>0</v>
      </c>
      <c r="P98" s="832"/>
      <c r="Q98" s="2"/>
      <c r="R98" s="627">
        <f>SUM(J94,J96,W98)</f>
        <v>0</v>
      </c>
      <c r="S98" s="10"/>
      <c r="T98" s="10"/>
      <c r="U98" s="10"/>
      <c r="V98" s="10"/>
      <c r="W98" s="581">
        <f>IF(AND(E95&lt;&gt;"ERROR",E97&lt;&gt;"ERROR",C97&lt;&gt;"",E97&lt;&gt;""),MAX(E95,E97),E95+E97)</f>
        <v>0</v>
      </c>
      <c r="X98" s="10"/>
      <c r="Y98" s="192">
        <f>O90</f>
        <v>0</v>
      </c>
      <c r="Z98" s="147">
        <f>LARGE($Y$97:$Y$99,2)</f>
        <v>0</v>
      </c>
      <c r="AA98" s="544">
        <f>AB97+Z99*(1-AB97)</f>
        <v>0</v>
      </c>
      <c r="AB98" s="548">
        <f>ROUND(AA98,2)</f>
        <v>0</v>
      </c>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row>
    <row r="99" spans="1:142" s="6" customFormat="1" ht="21" customHeight="1" x14ac:dyDescent="0.2">
      <c r="A99" s="2"/>
      <c r="B99" s="1122"/>
      <c r="C99" s="1122"/>
      <c r="D99" s="1122"/>
      <c r="E99" s="1122"/>
      <c r="F99" s="1122"/>
      <c r="G99" s="1122"/>
      <c r="H99" s="1122"/>
      <c r="I99" s="1122"/>
      <c r="J99" s="1122"/>
      <c r="K99" s="1006" t="s">
        <v>422</v>
      </c>
      <c r="L99" s="1007"/>
      <c r="M99" s="1007"/>
      <c r="N99" s="1007"/>
      <c r="O99" s="1008"/>
      <c r="P99" s="245">
        <f>IF(O98="ERROR","ERROR",AB98)</f>
        <v>0</v>
      </c>
      <c r="Q99" s="2"/>
      <c r="R99" s="10"/>
      <c r="S99" s="10"/>
      <c r="T99" s="10"/>
      <c r="U99" s="10"/>
      <c r="V99" s="10"/>
      <c r="W99" s="10"/>
      <c r="X99" s="10"/>
      <c r="Y99" s="192">
        <f>IF(AND(O98&lt;0.01,O98&gt;0),0.01,ROUND(O98,2))</f>
        <v>0</v>
      </c>
      <c r="Z99" s="147">
        <f>LARGE($Y$97:$Y$99,3)</f>
        <v>0</v>
      </c>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row>
    <row r="100" spans="1:142" s="6" customFormat="1" ht="12" customHeight="1" x14ac:dyDescent="0.25">
      <c r="A100" s="2"/>
      <c r="B100" s="1183"/>
      <c r="C100" s="1183"/>
      <c r="D100" s="1183"/>
      <c r="E100" s="1183"/>
      <c r="F100" s="1183"/>
      <c r="G100" s="1183"/>
      <c r="H100" s="1183"/>
      <c r="I100" s="1183"/>
      <c r="J100" s="1183"/>
      <c r="K100" s="1183"/>
      <c r="L100" s="1183"/>
      <c r="M100" s="1183"/>
      <c r="N100" s="1183"/>
      <c r="O100" s="1183"/>
      <c r="P100" s="379"/>
      <c r="Q100" s="2"/>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row>
    <row r="101" spans="1:142" s="6" customFormat="1" ht="18" customHeight="1" x14ac:dyDescent="0.25">
      <c r="A101" s="2"/>
      <c r="B101" s="944" t="s">
        <v>1961</v>
      </c>
      <c r="C101" s="945"/>
      <c r="D101" s="945"/>
      <c r="E101" s="945"/>
      <c r="F101" s="945"/>
      <c r="G101" s="945"/>
      <c r="H101" s="945"/>
      <c r="I101" s="945"/>
      <c r="J101" s="945"/>
      <c r="K101" s="945"/>
      <c r="L101" s="945"/>
      <c r="M101" s="945"/>
      <c r="N101" s="945"/>
      <c r="O101" s="945"/>
      <c r="P101" s="380"/>
      <c r="Q101" s="2"/>
      <c r="R101" s="10"/>
      <c r="S101" s="863" t="s">
        <v>2139</v>
      </c>
      <c r="T101" s="863"/>
      <c r="U101" s="863"/>
      <c r="V101" s="10"/>
      <c r="W101" s="10"/>
      <c r="X101" s="10"/>
      <c r="Y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row>
    <row r="102" spans="1:142" s="6" customFormat="1" ht="18" customHeight="1" x14ac:dyDescent="0.25">
      <c r="A102" s="2"/>
      <c r="B102" s="304" t="s">
        <v>1971</v>
      </c>
      <c r="C102" s="922"/>
      <c r="D102" s="922"/>
      <c r="E102" s="922"/>
      <c r="F102" s="922"/>
      <c r="G102" s="922"/>
      <c r="H102" s="922"/>
      <c r="I102" s="922"/>
      <c r="J102" s="922"/>
      <c r="K102" s="922"/>
      <c r="L102" s="922"/>
      <c r="M102" s="922"/>
      <c r="N102" s="922"/>
      <c r="O102" s="68"/>
      <c r="P102" s="21">
        <f>IF($W$238&gt;0,0,R102)</f>
        <v>0</v>
      </c>
      <c r="Q102" s="2"/>
      <c r="R102" s="147">
        <f>IF(C102=S102,0,IF(C102=T102,0.05,IF(C102=U102,0.1,0)))</f>
        <v>0</v>
      </c>
      <c r="S102" s="50" t="s">
        <v>1901</v>
      </c>
      <c r="T102" s="50" t="s">
        <v>1748</v>
      </c>
      <c r="U102" s="50" t="s">
        <v>1749</v>
      </c>
      <c r="V102" s="97"/>
      <c r="W102" s="96"/>
      <c r="X102" s="132"/>
      <c r="Y102" s="1234"/>
      <c r="Z102" s="61"/>
      <c r="AA102" s="61"/>
      <c r="AB102" s="62"/>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row>
    <row r="103" spans="1:142" s="6" customFormat="1" ht="18" customHeight="1" x14ac:dyDescent="0.25">
      <c r="A103" s="2"/>
      <c r="B103" s="304" t="s">
        <v>1972</v>
      </c>
      <c r="C103" s="922"/>
      <c r="D103" s="922"/>
      <c r="E103" s="922"/>
      <c r="F103" s="922"/>
      <c r="G103" s="922"/>
      <c r="H103" s="922"/>
      <c r="I103" s="922"/>
      <c r="J103" s="922"/>
      <c r="K103" s="922"/>
      <c r="L103" s="922"/>
      <c r="M103" s="922"/>
      <c r="N103" s="922"/>
      <c r="O103" s="69"/>
      <c r="P103" s="21">
        <f>IF($W$238&gt;0,0,R103)</f>
        <v>0</v>
      </c>
      <c r="Q103" s="2"/>
      <c r="R103" s="147">
        <f>IF(C103=S103,0,IF(C103=T103,0.05,IF(C103=U103,0.1,0)))</f>
        <v>0</v>
      </c>
      <c r="S103" s="50" t="s">
        <v>1901</v>
      </c>
      <c r="T103" s="50" t="s">
        <v>1956</v>
      </c>
      <c r="U103" s="50" t="s">
        <v>1957</v>
      </c>
      <c r="V103" s="97"/>
      <c r="W103" s="96"/>
      <c r="X103" s="132"/>
      <c r="Y103" s="1234"/>
      <c r="Z103" s="61"/>
      <c r="AA103" s="61"/>
      <c r="AB103" s="62"/>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row>
    <row r="104" spans="1:142" s="6" customFormat="1" ht="27" customHeight="1" x14ac:dyDescent="0.2">
      <c r="A104" s="2"/>
      <c r="B104" s="1085" t="str">
        <f>IF(AND(OR(R102&gt;0,R103&gt;0),$W$238&gt;0),"A value has been given for loss of sensation or hypersensitivity in the foot. No additional value is allowed for the toes.","")</f>
        <v/>
      </c>
      <c r="C104" s="1085"/>
      <c r="D104" s="1085"/>
      <c r="E104" s="1085"/>
      <c r="F104" s="1085"/>
      <c r="G104" s="1085"/>
      <c r="H104" s="1085"/>
      <c r="I104" s="1085"/>
      <c r="J104" s="1085"/>
      <c r="K104" s="1085"/>
      <c r="L104" s="1085"/>
      <c r="M104" s="1085"/>
      <c r="N104" s="1085"/>
      <c r="O104" s="1085"/>
      <c r="P104" s="523"/>
      <c r="Q104" s="2"/>
      <c r="R104" s="10"/>
      <c r="S104" s="14"/>
      <c r="T104" s="14"/>
      <c r="U104" s="14"/>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row>
    <row r="105" spans="1:142" s="6" customFormat="1" ht="12" customHeight="1" x14ac:dyDescent="0.25">
      <c r="A105" s="2"/>
      <c r="B105" s="697"/>
      <c r="C105" s="777"/>
      <c r="D105" s="777"/>
      <c r="E105" s="777"/>
      <c r="F105" s="777"/>
      <c r="G105" s="777"/>
      <c r="H105" s="777"/>
      <c r="I105" s="777"/>
      <c r="J105" s="777"/>
      <c r="K105" s="777"/>
      <c r="L105" s="777"/>
      <c r="M105" s="777"/>
      <c r="N105" s="777"/>
      <c r="O105" s="777"/>
      <c r="P105" s="63"/>
      <c r="Q105" s="2"/>
      <c r="R105" s="10"/>
      <c r="S105" s="10"/>
      <c r="Y105" s="10"/>
      <c r="Z105" s="724"/>
      <c r="AA105" s="724"/>
      <c r="AB105" s="724"/>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row>
    <row r="106" spans="1:142" s="6" customFormat="1" ht="15" customHeight="1" x14ac:dyDescent="0.2">
      <c r="A106" s="2"/>
      <c r="B106" s="761" t="s">
        <v>1975</v>
      </c>
      <c r="C106" s="761"/>
      <c r="D106" s="761"/>
      <c r="E106" s="761"/>
      <c r="F106" s="761"/>
      <c r="G106" s="761"/>
      <c r="H106" s="761"/>
      <c r="I106" s="761"/>
      <c r="J106" s="761"/>
      <c r="K106" s="761"/>
      <c r="L106" s="761"/>
      <c r="M106" s="761"/>
      <c r="N106" s="694"/>
      <c r="O106" s="694"/>
      <c r="P106" s="21">
        <f>IF(N106=T106,0.03,IF(N106=U106,0.15,IF(N106=V106,0.38,IF(N106=W106,0.68,IF(N106=X106,0.9,0)))))</f>
        <v>0</v>
      </c>
      <c r="Q106" s="2"/>
      <c r="R106" s="863" t="s">
        <v>2147</v>
      </c>
      <c r="S106" s="863"/>
      <c r="T106" s="50" t="s">
        <v>1928</v>
      </c>
      <c r="U106" s="50" t="s">
        <v>1929</v>
      </c>
      <c r="V106" s="147" t="s">
        <v>1931</v>
      </c>
      <c r="W106" s="50" t="s">
        <v>929</v>
      </c>
      <c r="X106" s="147" t="s">
        <v>545</v>
      </c>
      <c r="Y106" s="10"/>
      <c r="Z106" s="724"/>
      <c r="AA106" s="724"/>
      <c r="AB106" s="724"/>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row>
    <row r="107" spans="1:142" s="6" customFormat="1" ht="12" customHeight="1" x14ac:dyDescent="0.25">
      <c r="A107" s="2"/>
      <c r="B107" s="521"/>
      <c r="C107" s="521"/>
      <c r="D107" s="521"/>
      <c r="E107" s="521"/>
      <c r="F107" s="521"/>
      <c r="G107" s="521"/>
      <c r="H107" s="521"/>
      <c r="I107" s="521"/>
      <c r="J107" s="521"/>
      <c r="K107" s="521"/>
      <c r="L107" s="521"/>
      <c r="M107" s="521"/>
      <c r="N107" s="521"/>
      <c r="O107" s="521"/>
      <c r="P107" s="63"/>
      <c r="Q107" s="2"/>
      <c r="R107" s="10"/>
      <c r="S107" s="14"/>
      <c r="T107" s="14"/>
      <c r="U107" s="14"/>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row>
    <row r="108" spans="1:142" s="6" customFormat="1" ht="18" customHeight="1" x14ac:dyDescent="0.2">
      <c r="A108" s="15"/>
      <c r="B108" s="256" t="s">
        <v>1676</v>
      </c>
      <c r="C108" s="996"/>
      <c r="D108" s="996"/>
      <c r="E108" s="742" t="s">
        <v>1677</v>
      </c>
      <c r="F108" s="743"/>
      <c r="G108" s="743"/>
      <c r="H108" s="743"/>
      <c r="I108" s="743"/>
      <c r="J108" s="743"/>
      <c r="K108" s="743"/>
      <c r="L108" s="743"/>
      <c r="M108" s="743"/>
      <c r="N108" s="743"/>
      <c r="O108" s="743"/>
      <c r="P108" s="245">
        <f>IF(T108=1,0.15,0)</f>
        <v>0</v>
      </c>
      <c r="Q108" s="2"/>
      <c r="R108" s="10"/>
      <c r="S108" s="561" t="b">
        <v>0</v>
      </c>
      <c r="T108" s="50">
        <f>IF(S108=TRUE,1,0)</f>
        <v>0</v>
      </c>
      <c r="U108" s="10"/>
      <c r="V108" s="10"/>
      <c r="W108" s="10">
        <v>1E-4</v>
      </c>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row>
    <row r="109" spans="1:142" s="6" customFormat="1" ht="18" customHeight="1" x14ac:dyDescent="0.2">
      <c r="A109" s="2"/>
      <c r="B109" s="256" t="s">
        <v>1678</v>
      </c>
      <c r="C109" s="996"/>
      <c r="D109" s="996"/>
      <c r="E109" s="742" t="s">
        <v>1679</v>
      </c>
      <c r="F109" s="743"/>
      <c r="G109" s="743"/>
      <c r="H109" s="743"/>
      <c r="I109" s="743"/>
      <c r="J109" s="743"/>
      <c r="K109" s="743"/>
      <c r="L109" s="743"/>
      <c r="M109" s="743"/>
      <c r="N109" s="743"/>
      <c r="O109" s="743"/>
      <c r="P109" s="245">
        <f>IF(T109=1,0.25,0)</f>
        <v>0</v>
      </c>
      <c r="Q109" s="2"/>
      <c r="R109" s="10"/>
      <c r="S109" s="561" t="b">
        <v>0</v>
      </c>
      <c r="T109" s="50">
        <f>IF(S109=TRUE,1,0)</f>
        <v>0</v>
      </c>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row>
    <row r="110" spans="1:142" s="6" customFormat="1" ht="18" customHeight="1" x14ac:dyDescent="0.2">
      <c r="A110" s="2"/>
      <c r="B110" s="381" t="s">
        <v>613</v>
      </c>
      <c r="C110" s="1018"/>
      <c r="D110" s="1018"/>
      <c r="E110" s="941" t="s">
        <v>614</v>
      </c>
      <c r="F110" s="942"/>
      <c r="G110" s="942"/>
      <c r="H110" s="942"/>
      <c r="I110" s="942"/>
      <c r="J110" s="942"/>
      <c r="K110" s="942"/>
      <c r="L110" s="942"/>
      <c r="M110" s="942"/>
      <c r="N110" s="942"/>
      <c r="O110" s="942"/>
      <c r="P110" s="275">
        <f>IF(T110=1,0.25,0)</f>
        <v>0</v>
      </c>
      <c r="Q110" s="2"/>
      <c r="R110" s="10"/>
      <c r="S110" s="561" t="b">
        <v>0</v>
      </c>
      <c r="T110" s="50">
        <f>IF(S110=TRUE,1,0)</f>
        <v>0</v>
      </c>
      <c r="U110" s="10"/>
      <c r="V110" s="10"/>
      <c r="W110" s="10"/>
      <c r="X110" s="2"/>
      <c r="Y110" s="2"/>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row>
    <row r="111" spans="1:142" s="6" customFormat="1" ht="15" customHeight="1" x14ac:dyDescent="0.35">
      <c r="A111" s="2"/>
      <c r="B111" s="1221"/>
      <c r="C111" s="1221"/>
      <c r="D111" s="1221"/>
      <c r="E111" s="1221"/>
      <c r="F111" s="1221"/>
      <c r="G111" s="1221"/>
      <c r="H111" s="1221"/>
      <c r="I111" s="1221"/>
      <c r="J111" s="1221"/>
      <c r="K111" s="1221"/>
      <c r="L111" s="1221"/>
      <c r="M111" s="1221"/>
      <c r="N111" s="1221"/>
      <c r="O111" s="1221"/>
      <c r="P111" s="2"/>
      <c r="Q111" s="2"/>
      <c r="R111" s="10"/>
      <c r="S111" s="197"/>
      <c r="T111" s="10"/>
      <c r="U111" s="10"/>
      <c r="V111" s="10"/>
      <c r="X111" s="2"/>
      <c r="Y111" s="2"/>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row>
    <row r="112" spans="1:142" s="6" customFormat="1" ht="27" customHeight="1" x14ac:dyDescent="0.2">
      <c r="A112" s="2"/>
      <c r="B112" s="864" t="s">
        <v>428</v>
      </c>
      <c r="C112" s="865"/>
      <c r="D112" s="865"/>
      <c r="E112" s="865"/>
      <c r="F112" s="865"/>
      <c r="G112" s="912" t="s">
        <v>1495</v>
      </c>
      <c r="H112" s="910"/>
      <c r="I112" s="910"/>
      <c r="J112" s="910"/>
      <c r="K112" s="910"/>
      <c r="L112" s="1217"/>
      <c r="M112" s="1218"/>
      <c r="N112" s="1218"/>
      <c r="O112" s="1219"/>
      <c r="P112" s="857">
        <f>IF(J121&gt;0,J121,V119)</f>
        <v>0</v>
      </c>
      <c r="Q112" s="2"/>
      <c r="R112" s="10"/>
      <c r="S112" s="50" t="s">
        <v>1826</v>
      </c>
      <c r="T112" s="50" t="s">
        <v>1285</v>
      </c>
      <c r="U112" s="50" t="s">
        <v>1286</v>
      </c>
      <c r="V112" s="50" t="s">
        <v>1287</v>
      </c>
      <c r="W112" s="50" t="s">
        <v>498</v>
      </c>
      <c r="X112" s="2"/>
      <c r="Y112" s="2"/>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row>
    <row r="113" spans="1:142" s="6" customFormat="1" ht="18" customHeight="1" x14ac:dyDescent="0.2">
      <c r="A113" s="2"/>
      <c r="B113" s="776" t="s">
        <v>615</v>
      </c>
      <c r="C113" s="776"/>
      <c r="D113" s="776"/>
      <c r="E113" s="962">
        <f>P86</f>
        <v>0</v>
      </c>
      <c r="F113" s="862"/>
      <c r="G113" s="1111"/>
      <c r="H113" s="1158"/>
      <c r="I113" s="1112"/>
      <c r="J113" s="1159">
        <f t="shared" ref="J113:J114" si="15">IF(AND(W113&lt;0.01,W113&gt;0),0.01,ROUND(W113,2))</f>
        <v>0</v>
      </c>
      <c r="K113" s="1160"/>
      <c r="L113" s="1217"/>
      <c r="M113" s="1218"/>
      <c r="N113" s="1218"/>
      <c r="O113" s="1219"/>
      <c r="P113" s="961"/>
      <c r="Q113" s="2"/>
      <c r="R113" s="10"/>
      <c r="S113" s="147">
        <f t="shared" ref="S113:S116" si="16">IF(J113&gt;0,J113,E113)</f>
        <v>0</v>
      </c>
      <c r="T113" s="147">
        <f>LARGE($S$113:$S$120,1)</f>
        <v>0</v>
      </c>
      <c r="U113" s="544">
        <f>T113+T114*(1-T113)</f>
        <v>0</v>
      </c>
      <c r="V113" s="548">
        <f t="shared" ref="V113:V119" si="17">ROUND(U113,2)</f>
        <v>0</v>
      </c>
      <c r="W113" s="596">
        <f t="shared" ref="W113:W114" si="18">G113*E113</f>
        <v>0</v>
      </c>
      <c r="X113" s="2"/>
      <c r="Y113" s="2"/>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row>
    <row r="114" spans="1:142" s="6" customFormat="1" ht="18" customHeight="1" x14ac:dyDescent="0.2">
      <c r="A114" s="2"/>
      <c r="B114" s="791" t="s">
        <v>1918</v>
      </c>
      <c r="C114" s="791"/>
      <c r="D114" s="791"/>
      <c r="E114" s="755">
        <f>IF(P426&gt;0,0,P99)</f>
        <v>0</v>
      </c>
      <c r="F114" s="731"/>
      <c r="G114" s="1111"/>
      <c r="H114" s="1158"/>
      <c r="I114" s="1112"/>
      <c r="J114" s="1159">
        <f t="shared" si="15"/>
        <v>0</v>
      </c>
      <c r="K114" s="1160"/>
      <c r="L114" s="1094"/>
      <c r="M114" s="1095"/>
      <c r="N114" s="1095"/>
      <c r="O114" s="1096"/>
      <c r="P114" s="961"/>
      <c r="Q114" s="2"/>
      <c r="R114" s="10"/>
      <c r="S114" s="147">
        <f t="shared" si="16"/>
        <v>0</v>
      </c>
      <c r="T114" s="147">
        <f>LARGE($S$113:$S$120,2)</f>
        <v>0</v>
      </c>
      <c r="U114" s="544">
        <f t="shared" ref="U114:U119" si="19">V113+T115*(1-V113)</f>
        <v>0</v>
      </c>
      <c r="V114" s="548">
        <f t="shared" si="17"/>
        <v>0</v>
      </c>
      <c r="W114" s="596">
        <f t="shared" si="18"/>
        <v>0</v>
      </c>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row>
    <row r="115" spans="1:142" s="6" customFormat="1" ht="18" customHeight="1" x14ac:dyDescent="0.2">
      <c r="A115" s="2"/>
      <c r="B115" s="791" t="s">
        <v>1976</v>
      </c>
      <c r="C115" s="791"/>
      <c r="D115" s="791"/>
      <c r="E115" s="755">
        <f>P102</f>
        <v>0</v>
      </c>
      <c r="F115" s="731"/>
      <c r="G115" s="1111"/>
      <c r="H115" s="1158"/>
      <c r="I115" s="1112"/>
      <c r="J115" s="1159">
        <f>IF(AND(W115&lt;0.01,W115&gt;0),0.01,ROUND(W115,2))</f>
        <v>0</v>
      </c>
      <c r="K115" s="1160"/>
      <c r="L115" s="623"/>
      <c r="M115" s="624"/>
      <c r="N115" s="624"/>
      <c r="O115" s="625"/>
      <c r="P115" s="961"/>
      <c r="Q115" s="2"/>
      <c r="R115" s="10"/>
      <c r="S115" s="147">
        <f t="shared" si="16"/>
        <v>0</v>
      </c>
      <c r="T115" s="147">
        <f>LARGE($S$113:$S$120,3)</f>
        <v>0</v>
      </c>
      <c r="U115" s="544">
        <f t="shared" si="19"/>
        <v>0</v>
      </c>
      <c r="V115" s="548">
        <f t="shared" si="17"/>
        <v>0</v>
      </c>
      <c r="W115" s="596">
        <f>G115*E115</f>
        <v>0</v>
      </c>
      <c r="X115" s="404"/>
      <c r="Y115" s="2"/>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row>
    <row r="116" spans="1:142" s="6" customFormat="1" ht="18" customHeight="1" x14ac:dyDescent="0.2">
      <c r="A116" s="2"/>
      <c r="B116" s="742" t="s">
        <v>1208</v>
      </c>
      <c r="C116" s="743"/>
      <c r="D116" s="744"/>
      <c r="E116" s="755">
        <f>P103</f>
        <v>0</v>
      </c>
      <c r="F116" s="731"/>
      <c r="G116" s="1111"/>
      <c r="H116" s="1158"/>
      <c r="I116" s="1112"/>
      <c r="J116" s="1159">
        <f>IF(AND(W116&lt;0.01,W116&gt;0),0.01,ROUND(W116,2))</f>
        <v>0</v>
      </c>
      <c r="K116" s="1160"/>
      <c r="L116" s="623"/>
      <c r="M116" s="624"/>
      <c r="N116" s="624"/>
      <c r="O116" s="625"/>
      <c r="P116" s="961"/>
      <c r="Q116" s="2"/>
      <c r="R116" s="10"/>
      <c r="S116" s="147">
        <f t="shared" si="16"/>
        <v>0</v>
      </c>
      <c r="T116" s="147">
        <f>LARGE($S$113:$S$120,4)</f>
        <v>0</v>
      </c>
      <c r="U116" s="544">
        <f t="shared" si="19"/>
        <v>0</v>
      </c>
      <c r="V116" s="548">
        <f t="shared" si="17"/>
        <v>0</v>
      </c>
      <c r="W116" s="596">
        <f t="shared" ref="W116:W120" si="20">G116*E116</f>
        <v>0</v>
      </c>
      <c r="X116" s="404"/>
      <c r="Y116" s="2"/>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row>
    <row r="117" spans="1:142" s="6" customFormat="1" ht="18" customHeight="1" x14ac:dyDescent="0.2">
      <c r="A117" s="2"/>
      <c r="B117" s="742" t="s">
        <v>1419</v>
      </c>
      <c r="C117" s="743"/>
      <c r="D117" s="744"/>
      <c r="E117" s="727">
        <f>P106</f>
        <v>0</v>
      </c>
      <c r="F117" s="729"/>
      <c r="G117" s="1111"/>
      <c r="H117" s="1158"/>
      <c r="I117" s="1112"/>
      <c r="J117" s="1159">
        <f>IF(AND(W117&lt;0.01,W117&gt;0),0.01,ROUND(W117,2))</f>
        <v>0</v>
      </c>
      <c r="K117" s="1160"/>
      <c r="L117" s="915" t="str">
        <f>IF(AND(P99&gt;0,$P$426&gt;0),"The worker has motor loss impairment. No additional impairment value is allowed for reduced range of motion in the same extremity.","")</f>
        <v/>
      </c>
      <c r="M117" s="916"/>
      <c r="N117" s="916"/>
      <c r="O117" s="917"/>
      <c r="P117" s="961"/>
      <c r="Q117" s="2"/>
      <c r="R117" s="10"/>
      <c r="S117" s="147">
        <f>IF(J117&gt;0,J117,E117)</f>
        <v>0</v>
      </c>
      <c r="T117" s="147">
        <f>LARGE($S$113:$S$120,5)</f>
        <v>0</v>
      </c>
      <c r="U117" s="544">
        <f t="shared" si="19"/>
        <v>0</v>
      </c>
      <c r="V117" s="548">
        <f t="shared" si="17"/>
        <v>0</v>
      </c>
      <c r="W117" s="596">
        <f t="shared" si="20"/>
        <v>0</v>
      </c>
      <c r="X117" s="404"/>
      <c r="Y117" s="2"/>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row>
    <row r="118" spans="1:142" s="6" customFormat="1" ht="18" customHeight="1" x14ac:dyDescent="0.2">
      <c r="A118" s="2"/>
      <c r="B118" s="791" t="s">
        <v>1680</v>
      </c>
      <c r="C118" s="791"/>
      <c r="D118" s="791"/>
      <c r="E118" s="755">
        <f>P108</f>
        <v>0</v>
      </c>
      <c r="F118" s="731"/>
      <c r="G118" s="1111"/>
      <c r="H118" s="1158"/>
      <c r="I118" s="1112"/>
      <c r="J118" s="1159">
        <f t="shared" ref="J118:J120" si="21">IF(AND(W118&lt;0.01,W118&gt;0),0.01,ROUND(W118,2))</f>
        <v>0</v>
      </c>
      <c r="K118" s="1160"/>
      <c r="L118" s="915"/>
      <c r="M118" s="916"/>
      <c r="N118" s="916"/>
      <c r="O118" s="917"/>
      <c r="P118" s="961"/>
      <c r="Q118" s="2"/>
      <c r="R118" s="10"/>
      <c r="S118" s="147">
        <f t="shared" ref="S118:S120" si="22">IF(J118&gt;0,J118,E118)</f>
        <v>0</v>
      </c>
      <c r="T118" s="147">
        <f>LARGE($S$113:$S$120,6)</f>
        <v>0</v>
      </c>
      <c r="U118" s="544">
        <f t="shared" si="19"/>
        <v>0</v>
      </c>
      <c r="V118" s="548">
        <f t="shared" si="17"/>
        <v>0</v>
      </c>
      <c r="W118" s="596">
        <f t="shared" si="20"/>
        <v>0</v>
      </c>
      <c r="X118" s="2"/>
      <c r="Y118" s="2"/>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row>
    <row r="119" spans="1:142" s="6" customFormat="1" ht="18" customHeight="1" x14ac:dyDescent="0.2">
      <c r="A119" s="2"/>
      <c r="B119" s="742" t="s">
        <v>1681</v>
      </c>
      <c r="C119" s="743"/>
      <c r="D119" s="744"/>
      <c r="E119" s="727">
        <f>P109</f>
        <v>0</v>
      </c>
      <c r="F119" s="729"/>
      <c r="G119" s="1111"/>
      <c r="H119" s="1158"/>
      <c r="I119" s="1112"/>
      <c r="J119" s="1159">
        <f t="shared" si="21"/>
        <v>0</v>
      </c>
      <c r="K119" s="1160"/>
      <c r="L119" s="915"/>
      <c r="M119" s="916"/>
      <c r="N119" s="916"/>
      <c r="O119" s="917"/>
      <c r="P119" s="961"/>
      <c r="Q119" s="2"/>
      <c r="R119" s="10"/>
      <c r="S119" s="147">
        <f t="shared" si="22"/>
        <v>0</v>
      </c>
      <c r="T119" s="147">
        <f>LARGE($S$113:$S$120,7)</f>
        <v>0</v>
      </c>
      <c r="U119" s="544">
        <f t="shared" si="19"/>
        <v>0</v>
      </c>
      <c r="V119" s="548">
        <f t="shared" si="17"/>
        <v>0</v>
      </c>
      <c r="W119" s="596">
        <f t="shared" si="20"/>
        <v>0</v>
      </c>
      <c r="X119" s="2"/>
      <c r="Y119" s="2"/>
      <c r="Z119" s="1"/>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row>
    <row r="120" spans="1:142" s="6" customFormat="1" ht="18" customHeight="1" x14ac:dyDescent="0.2">
      <c r="A120" s="2"/>
      <c r="B120" s="789" t="s">
        <v>1110</v>
      </c>
      <c r="C120" s="789"/>
      <c r="D120" s="789"/>
      <c r="E120" s="1022">
        <f>P110</f>
        <v>0</v>
      </c>
      <c r="F120" s="1022"/>
      <c r="G120" s="1111"/>
      <c r="H120" s="1158"/>
      <c r="I120" s="1112"/>
      <c r="J120" s="1159">
        <f t="shared" si="21"/>
        <v>0</v>
      </c>
      <c r="K120" s="1160"/>
      <c r="L120" s="915"/>
      <c r="M120" s="916"/>
      <c r="N120" s="916"/>
      <c r="O120" s="917"/>
      <c r="P120" s="961"/>
      <c r="Q120" s="2"/>
      <c r="R120" s="10"/>
      <c r="S120" s="147">
        <f t="shared" si="22"/>
        <v>0</v>
      </c>
      <c r="T120" s="147">
        <f>LARGE($S$113:$S$120,8)</f>
        <v>0</v>
      </c>
      <c r="U120" s="96"/>
      <c r="V120" s="128"/>
      <c r="W120" s="21">
        <f t="shared" si="20"/>
        <v>0</v>
      </c>
      <c r="X120" s="2"/>
      <c r="Y120" s="2"/>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row>
    <row r="121" spans="1:142" s="6" customFormat="1" ht="18" customHeight="1" x14ac:dyDescent="0.2">
      <c r="A121" s="2"/>
      <c r="B121" s="956" t="s">
        <v>427</v>
      </c>
      <c r="C121" s="956"/>
      <c r="D121" s="956"/>
      <c r="E121" s="956"/>
      <c r="F121" s="956"/>
      <c r="G121" s="956"/>
      <c r="H121" s="956"/>
      <c r="I121" s="956"/>
      <c r="J121" s="956"/>
      <c r="K121" s="956"/>
      <c r="L121" s="956"/>
      <c r="M121" s="956"/>
      <c r="N121" s="956"/>
      <c r="O121" s="956"/>
      <c r="P121" s="962"/>
      <c r="Q121" s="2"/>
      <c r="R121" s="10"/>
      <c r="S121" s="14"/>
      <c r="T121" s="96"/>
      <c r="U121" s="128"/>
      <c r="V121" s="10"/>
      <c r="W121" s="10"/>
      <c r="X121" s="2"/>
      <c r="Y121" s="2"/>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row>
    <row r="122" spans="1:142" s="6" customFormat="1" ht="11.25" customHeight="1" x14ac:dyDescent="0.2">
      <c r="A122" s="2"/>
      <c r="B122" s="777"/>
      <c r="C122" s="777"/>
      <c r="D122" s="777"/>
      <c r="E122" s="777"/>
      <c r="F122" s="777"/>
      <c r="G122" s="777"/>
      <c r="H122" s="777"/>
      <c r="I122" s="777"/>
      <c r="J122" s="777"/>
      <c r="K122" s="777"/>
      <c r="L122" s="777"/>
      <c r="M122" s="777"/>
      <c r="N122" s="777"/>
      <c r="O122" s="777"/>
      <c r="P122" s="777"/>
      <c r="Q122" s="2"/>
      <c r="R122" s="10"/>
      <c r="S122" s="10"/>
      <c r="T122" s="10"/>
      <c r="U122" s="10"/>
      <c r="V122" s="10"/>
      <c r="W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row>
    <row r="123" spans="1:142" s="6" customFormat="1" x14ac:dyDescent="0.2">
      <c r="A123" s="2"/>
      <c r="B123" s="777"/>
      <c r="C123" s="777"/>
      <c r="D123" s="777"/>
      <c r="E123" s="777"/>
      <c r="F123" s="777"/>
      <c r="G123" s="777"/>
      <c r="H123" s="777"/>
      <c r="I123" s="777"/>
      <c r="J123" s="777"/>
      <c r="K123" s="777"/>
      <c r="L123" s="777"/>
      <c r="M123" s="777"/>
      <c r="N123" s="777"/>
      <c r="O123" s="777"/>
      <c r="P123" s="777"/>
      <c r="Q123" s="2"/>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row>
    <row r="124" spans="1:142" s="6" customFormat="1" ht="18" customHeight="1" x14ac:dyDescent="0.2">
      <c r="A124" s="2"/>
      <c r="B124" s="947" t="s">
        <v>1248</v>
      </c>
      <c r="C124" s="863"/>
      <c r="D124" s="863"/>
      <c r="E124" s="863"/>
      <c r="F124" s="863"/>
      <c r="G124" s="863"/>
      <c r="H124" s="863"/>
      <c r="I124" s="863"/>
      <c r="J124" s="863"/>
      <c r="K124" s="863"/>
      <c r="L124" s="863"/>
      <c r="M124" s="863"/>
      <c r="N124" s="863"/>
      <c r="O124" s="863"/>
      <c r="P124" s="863"/>
      <c r="Q124" s="2"/>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row>
    <row r="125" spans="1:142" s="6" customFormat="1" ht="15" customHeight="1" x14ac:dyDescent="0.2">
      <c r="A125" s="2"/>
      <c r="B125" s="910" t="s">
        <v>566</v>
      </c>
      <c r="C125" s="910"/>
      <c r="D125" s="910"/>
      <c r="E125" s="910"/>
      <c r="F125" s="910"/>
      <c r="G125" s="910"/>
      <c r="H125" s="910"/>
      <c r="I125" s="910"/>
      <c r="J125" s="910"/>
      <c r="K125" s="910"/>
      <c r="L125" s="910"/>
      <c r="M125" s="910"/>
      <c r="N125" s="910"/>
      <c r="O125" s="910"/>
      <c r="P125" s="910"/>
      <c r="Q125" s="2"/>
      <c r="R125" s="10"/>
      <c r="S125" s="10"/>
      <c r="T125" s="761" t="s">
        <v>567</v>
      </c>
      <c r="U125" s="50" t="s">
        <v>1298</v>
      </c>
      <c r="V125" s="50" t="s">
        <v>1058</v>
      </c>
      <c r="W125" s="552" t="s">
        <v>1059</v>
      </c>
      <c r="X125" s="50" t="s">
        <v>1244</v>
      </c>
      <c r="Y125" s="50" t="s">
        <v>1245</v>
      </c>
      <c r="Z125" s="50" t="s">
        <v>1827</v>
      </c>
      <c r="AA125" s="147" t="s">
        <v>1671</v>
      </c>
      <c r="AB125" s="147" t="s">
        <v>97</v>
      </c>
      <c r="AC125" s="147" t="s">
        <v>98</v>
      </c>
      <c r="AD125" s="50" t="s">
        <v>1705</v>
      </c>
      <c r="AE125" s="50" t="s">
        <v>1706</v>
      </c>
      <c r="AF125" s="50" t="s">
        <v>1707</v>
      </c>
      <c r="AG125" s="50" t="s">
        <v>76</v>
      </c>
      <c r="AH125" s="50" t="s">
        <v>77</v>
      </c>
      <c r="AI125" s="50" t="s">
        <v>805</v>
      </c>
      <c r="AJ125" s="50" t="s">
        <v>806</v>
      </c>
      <c r="AK125" s="50" t="s">
        <v>807</v>
      </c>
      <c r="AL125" s="50" t="s">
        <v>808</v>
      </c>
      <c r="AM125" s="50" t="s">
        <v>1116</v>
      </c>
      <c r="AN125" s="50" t="s">
        <v>1514</v>
      </c>
      <c r="AO125" s="50" t="s">
        <v>194</v>
      </c>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row>
    <row r="126" spans="1:142" s="6" customFormat="1" ht="27.75" customHeight="1" x14ac:dyDescent="0.2">
      <c r="A126" s="2"/>
      <c r="B126" s="1012"/>
      <c r="C126" s="1012"/>
      <c r="D126" s="1012"/>
      <c r="E126" s="1012"/>
      <c r="F126" s="1012"/>
      <c r="G126" s="1012"/>
      <c r="H126" s="1012"/>
      <c r="I126" s="1012"/>
      <c r="J126" s="1012"/>
      <c r="K126" s="1012"/>
      <c r="L126" s="1012"/>
      <c r="M126" s="1012"/>
      <c r="N126" s="1012"/>
      <c r="O126" s="1012"/>
      <c r="P126" s="21">
        <f>SUMIF(U125:AO125,B126,U126:AO126)</f>
        <v>0</v>
      </c>
      <c r="Q126" s="2"/>
      <c r="R126" s="10"/>
      <c r="S126" s="10"/>
      <c r="T126" s="761"/>
      <c r="U126" s="548">
        <v>0</v>
      </c>
      <c r="V126" s="147">
        <v>0.05</v>
      </c>
      <c r="W126" s="147">
        <v>0.1</v>
      </c>
      <c r="X126" s="147">
        <v>0.15</v>
      </c>
      <c r="Y126" s="147">
        <v>0.2</v>
      </c>
      <c r="Z126" s="147">
        <v>0.25</v>
      </c>
      <c r="AA126" s="147">
        <v>0.3</v>
      </c>
      <c r="AB126" s="147">
        <v>0.35</v>
      </c>
      <c r="AC126" s="147">
        <v>0.4</v>
      </c>
      <c r="AD126" s="147">
        <v>0.45</v>
      </c>
      <c r="AE126" s="147">
        <v>0.5</v>
      </c>
      <c r="AF126" s="147">
        <v>0.55000000000000004</v>
      </c>
      <c r="AG126" s="147">
        <v>0.6</v>
      </c>
      <c r="AH126" s="147">
        <v>0.65</v>
      </c>
      <c r="AI126" s="147">
        <v>0.7</v>
      </c>
      <c r="AJ126" s="147">
        <v>0.75</v>
      </c>
      <c r="AK126" s="147">
        <v>0.8</v>
      </c>
      <c r="AL126" s="147">
        <v>0.85</v>
      </c>
      <c r="AM126" s="147">
        <v>0.9</v>
      </c>
      <c r="AN126" s="147">
        <v>0.95</v>
      </c>
      <c r="AO126" s="147">
        <v>1</v>
      </c>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row>
    <row r="127" spans="1:142" s="6" customFormat="1" ht="12" customHeight="1" x14ac:dyDescent="0.25">
      <c r="A127" s="2"/>
      <c r="B127" s="1220"/>
      <c r="C127" s="1220"/>
      <c r="D127" s="1220"/>
      <c r="E127" s="1220"/>
      <c r="F127" s="1220"/>
      <c r="G127" s="1220"/>
      <c r="H127" s="1220"/>
      <c r="I127" s="1220"/>
      <c r="J127" s="1220"/>
      <c r="K127" s="1220"/>
      <c r="L127" s="1220"/>
      <c r="M127" s="1220"/>
      <c r="N127" s="1220"/>
      <c r="O127" s="1220"/>
      <c r="P127" s="1220"/>
      <c r="Q127" s="2"/>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row>
    <row r="128" spans="1:142" s="6" customFormat="1" ht="18" customHeight="1" x14ac:dyDescent="0.2">
      <c r="A128" s="2"/>
      <c r="B128" s="944" t="s">
        <v>853</v>
      </c>
      <c r="C128" s="945"/>
      <c r="D128" s="945"/>
      <c r="E128" s="945"/>
      <c r="F128" s="945"/>
      <c r="G128" s="945"/>
      <c r="H128" s="945"/>
      <c r="I128" s="945"/>
      <c r="J128" s="945"/>
      <c r="K128" s="945"/>
      <c r="L128" s="945"/>
      <c r="M128" s="945"/>
      <c r="N128" s="945"/>
      <c r="O128" s="945"/>
      <c r="P128" s="830"/>
      <c r="Q128" s="2"/>
      <c r="R128" s="10"/>
      <c r="S128" s="10"/>
      <c r="T128" s="10"/>
      <c r="U128" s="10"/>
      <c r="V128" s="10"/>
      <c r="W128" s="10"/>
      <c r="X128" s="10"/>
      <c r="Y128" s="10"/>
      <c r="Z128" s="10"/>
      <c r="AA128" s="2"/>
      <c r="AB128" s="2"/>
      <c r="AC128" s="2"/>
      <c r="AD128" s="2"/>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row>
    <row r="129" spans="1:142" s="6" customFormat="1" ht="15" customHeight="1" x14ac:dyDescent="0.2">
      <c r="A129" s="2"/>
      <c r="B129" s="282" t="s">
        <v>1516</v>
      </c>
      <c r="C129" s="1241"/>
      <c r="D129" s="1242"/>
      <c r="E129" s="1242"/>
      <c r="F129" s="1242"/>
      <c r="G129" s="1242"/>
      <c r="H129" s="1242"/>
      <c r="I129" s="1242"/>
      <c r="J129" s="1242"/>
      <c r="K129" s="1242"/>
      <c r="L129" s="1224"/>
      <c r="M129" s="1225"/>
      <c r="N129" s="1226"/>
      <c r="O129" s="67">
        <f>IF(C129=T129,0.45,IF(C129=U129,0.3,IF(C129=V129,0.45,0)))</f>
        <v>0</v>
      </c>
      <c r="P129" s="831"/>
      <c r="Q129" s="2"/>
      <c r="R129" s="947" t="s">
        <v>2147</v>
      </c>
      <c r="S129" s="50" t="s">
        <v>1901</v>
      </c>
      <c r="T129" s="50" t="s">
        <v>1517</v>
      </c>
      <c r="U129" s="256" t="s">
        <v>1518</v>
      </c>
      <c r="V129" s="50" t="s">
        <v>1519</v>
      </c>
      <c r="W129" s="10"/>
      <c r="X129" s="10"/>
      <c r="Y129" s="10"/>
      <c r="Z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row>
    <row r="130" spans="1:142" s="6" customFormat="1" ht="15" customHeight="1" x14ac:dyDescent="0.2">
      <c r="A130" s="2"/>
      <c r="B130" s="274" t="s">
        <v>1673</v>
      </c>
      <c r="C130" s="1222"/>
      <c r="D130" s="1238"/>
      <c r="E130" s="1238"/>
      <c r="F130" s="1238"/>
      <c r="G130" s="1238"/>
      <c r="H130" s="1238"/>
      <c r="I130" s="1238"/>
      <c r="J130" s="1238"/>
      <c r="K130" s="1238"/>
      <c r="L130" s="1032"/>
      <c r="M130" s="1033"/>
      <c r="N130" s="1034"/>
      <c r="O130" s="64">
        <f>IF(C130=T130,0.8,IF(C130=U130,0.45,IF(C130=V130,0.8,0)))</f>
        <v>0</v>
      </c>
      <c r="P130" s="831"/>
      <c r="Q130" s="2"/>
      <c r="R130" s="947"/>
      <c r="S130" s="50" t="s">
        <v>1901</v>
      </c>
      <c r="T130" s="50" t="s">
        <v>1517</v>
      </c>
      <c r="U130" s="256" t="s">
        <v>1518</v>
      </c>
      <c r="V130" s="50" t="s">
        <v>1519</v>
      </c>
      <c r="W130" s="10"/>
      <c r="X130" s="10"/>
      <c r="Y130" s="10"/>
      <c r="Z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row>
    <row r="131" spans="1:142" s="6" customFormat="1" ht="12" customHeight="1" x14ac:dyDescent="0.25">
      <c r="A131" s="2"/>
      <c r="B131" s="1240"/>
      <c r="C131" s="1183"/>
      <c r="D131" s="1183"/>
      <c r="E131" s="1183"/>
      <c r="F131" s="1183"/>
      <c r="G131" s="1183"/>
      <c r="H131" s="1183"/>
      <c r="I131" s="1183"/>
      <c r="J131" s="1183"/>
      <c r="K131" s="1183"/>
      <c r="L131" s="1183"/>
      <c r="M131" s="1183"/>
      <c r="N131" s="1183"/>
      <c r="O131" s="1183"/>
      <c r="P131" s="831"/>
      <c r="Q131" s="2"/>
      <c r="R131" s="10"/>
      <c r="S131" s="58"/>
      <c r="T131" s="58"/>
      <c r="U131" s="58"/>
      <c r="V131" s="10"/>
      <c r="W131" s="10"/>
      <c r="X131" s="10"/>
      <c r="Y131" s="10"/>
      <c r="Z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row>
    <row r="132" spans="1:142" s="6" customFormat="1" ht="27" customHeight="1" x14ac:dyDescent="0.25">
      <c r="A132" s="2"/>
      <c r="B132" s="295"/>
      <c r="C132" s="910" t="s">
        <v>1564</v>
      </c>
      <c r="D132" s="910"/>
      <c r="E132" s="910"/>
      <c r="F132" s="910"/>
      <c r="G132" s="912" t="s">
        <v>1064</v>
      </c>
      <c r="H132" s="912"/>
      <c r="I132" s="912"/>
      <c r="J132" s="912"/>
      <c r="K132" s="912"/>
      <c r="L132" s="777"/>
      <c r="M132" s="777"/>
      <c r="N132" s="777"/>
      <c r="O132" s="777"/>
      <c r="P132" s="831"/>
      <c r="Q132" s="2"/>
      <c r="R132" s="10"/>
      <c r="S132" s="2"/>
      <c r="T132" s="912" t="s">
        <v>1238</v>
      </c>
      <c r="U132" s="912"/>
      <c r="V132" s="10"/>
      <c r="W132" s="10"/>
      <c r="X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row>
    <row r="133" spans="1:142" s="6" customFormat="1" ht="15" customHeight="1" x14ac:dyDescent="0.2">
      <c r="A133" s="2"/>
      <c r="B133" s="294" t="s">
        <v>1802</v>
      </c>
      <c r="C133" s="910" t="s">
        <v>355</v>
      </c>
      <c r="D133" s="1243"/>
      <c r="E133" s="910" t="s">
        <v>1759</v>
      </c>
      <c r="F133" s="910"/>
      <c r="G133" s="910" t="s">
        <v>355</v>
      </c>
      <c r="H133" s="910"/>
      <c r="I133" s="910"/>
      <c r="J133" s="910" t="s">
        <v>1759</v>
      </c>
      <c r="K133" s="910"/>
      <c r="L133" s="1024"/>
      <c r="M133" s="1024"/>
      <c r="N133" s="1024"/>
      <c r="O133" s="1024"/>
      <c r="P133" s="831"/>
      <c r="Q133" s="2"/>
      <c r="S133" s="50" t="s">
        <v>1541</v>
      </c>
      <c r="T133" s="256" t="s">
        <v>1564</v>
      </c>
      <c r="U133" s="256" t="s">
        <v>1565</v>
      </c>
      <c r="V133" s="910" t="s">
        <v>1066</v>
      </c>
      <c r="W133" s="910"/>
      <c r="X133" s="2"/>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row>
    <row r="134" spans="1:142" s="6" customFormat="1" ht="15" customHeight="1" x14ac:dyDescent="0.2">
      <c r="A134" s="2"/>
      <c r="B134" s="294" t="s">
        <v>1312</v>
      </c>
      <c r="C134" s="1222"/>
      <c r="D134" s="1223"/>
      <c r="E134" s="1171">
        <f>LETable!AJ24</f>
        <v>0</v>
      </c>
      <c r="F134" s="1171"/>
      <c r="G134" s="694"/>
      <c r="H134" s="694"/>
      <c r="I134" s="694"/>
      <c r="J134" s="1178">
        <f>IF(C134="",0,IF(OR(C134&lt;=0,G134&lt;=0),E134,IF(G134&lt;C134,0,LETable!AO24)))</f>
        <v>0</v>
      </c>
      <c r="K134" s="1178"/>
      <c r="L134" s="1232" t="str">
        <f>IF(OR(C134="NA",G134="NA"),"",IF(AND(C134&lt;&gt;"",G134=""),"Enter contralateral or NA.",IF(AND(C134="",G134&lt;&gt;""),"Need data","")))</f>
        <v/>
      </c>
      <c r="M134" s="1232"/>
      <c r="N134" s="1232"/>
      <c r="O134" s="1233"/>
      <c r="P134" s="831"/>
      <c r="Q134" s="2"/>
      <c r="R134" s="10"/>
      <c r="S134" s="50">
        <v>40</v>
      </c>
      <c r="T134" s="50" t="str">
        <f>IF(OR(C134="",C134="NA"),"",IF(C134&gt;S134,S134,IF(C134&lt;0,0,C134)))</f>
        <v/>
      </c>
      <c r="U134" s="566" t="str">
        <f>IF(OR(G134="",G134="NA"),"",IF(G134&gt;S134,S134,IF(G134&lt;0,0,G134)))</f>
        <v/>
      </c>
      <c r="V134" s="553" t="str">
        <f>IF(W134="","",ROUND(W134,0))</f>
        <v/>
      </c>
      <c r="W134" s="554" t="str">
        <f>IF(T134="","",IF(OR(U134="",U134=0,U134&lt;T134),T134,(T134*S134)/U134))</f>
        <v/>
      </c>
      <c r="X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row>
    <row r="135" spans="1:142" s="6" customFormat="1" ht="15" customHeight="1" x14ac:dyDescent="0.2">
      <c r="A135" s="2"/>
      <c r="B135" s="294" t="s">
        <v>1313</v>
      </c>
      <c r="C135" s="1222"/>
      <c r="D135" s="1223"/>
      <c r="E135" s="1171">
        <f>IF(AND(C135&lt;&gt;"",C135&lt;&gt;"NA",C134&lt;&gt;"NA",C134&lt;&gt;""),"ERROR",IF(AND(C135&lt;&gt;"",C135&lt;&gt;"NA",C136&lt;&gt;"",C136&lt;&gt;"NA"),"ERROR",LETable!AJ25))</f>
        <v>0</v>
      </c>
      <c r="F135" s="1171"/>
      <c r="G135" s="930" t="str">
        <f>IF(E135="ERROR","Error: Cannot rate ROM and ankylosis.","")</f>
        <v/>
      </c>
      <c r="H135" s="930"/>
      <c r="I135" s="930"/>
      <c r="J135" s="930"/>
      <c r="K135" s="930"/>
      <c r="L135" s="930"/>
      <c r="M135" s="930"/>
      <c r="N135" s="930"/>
      <c r="O135" s="931"/>
      <c r="P135" s="831"/>
      <c r="Q135" s="2"/>
      <c r="R135" s="10"/>
      <c r="S135" s="50">
        <v>40</v>
      </c>
      <c r="T135" s="50" t="str">
        <f>IF(OR(C135="",C135="NA"),"",IF(C135&gt;S135,S135,IF(C135&lt;0,0,C135)))</f>
        <v/>
      </c>
      <c r="U135" s="10"/>
      <c r="V135" s="10"/>
      <c r="W135" s="10"/>
      <c r="X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row>
    <row r="136" spans="1:142" s="6" customFormat="1" ht="15" customHeight="1" x14ac:dyDescent="0.2">
      <c r="A136" s="2"/>
      <c r="B136" s="127" t="s">
        <v>1237</v>
      </c>
      <c r="C136" s="1222"/>
      <c r="D136" s="1223"/>
      <c r="E136" s="1171">
        <f>LETable!AJ26</f>
        <v>0</v>
      </c>
      <c r="F136" s="1171"/>
      <c r="G136" s="694"/>
      <c r="H136" s="694"/>
      <c r="I136" s="694"/>
      <c r="J136" s="1178">
        <f>IF(C136="",0,IF(OR(C136&lt;=0,G136&lt;=0),E136,IF(G136&lt;C136,0,LETable!AO26)))</f>
        <v>0</v>
      </c>
      <c r="K136" s="1178"/>
      <c r="L136" s="1232" t="str">
        <f>IF(OR(C136="NA",G136="NA"),"",IF(AND(C136&lt;&gt;"",G136=""),"Enter contralateral or NA.",IF(AND(C136="",G136&lt;&gt;""),"Need data","")))</f>
        <v/>
      </c>
      <c r="M136" s="1232"/>
      <c r="N136" s="1232"/>
      <c r="O136" s="1233"/>
      <c r="P136" s="831"/>
      <c r="Q136" s="2"/>
      <c r="R136" s="10"/>
      <c r="S136" s="50">
        <v>30</v>
      </c>
      <c r="T136" s="50" t="str">
        <f>IF(OR(C136="",C136="NA"),"",IF(C136&gt;S136,S136,IF(C136&lt;0,0,C136)))</f>
        <v/>
      </c>
      <c r="U136" s="566" t="str">
        <f>IF(OR(G136="",G136="NA"),"",IF(G136&gt;S136,S136,IF(G136&lt;0,0,G136)))</f>
        <v/>
      </c>
      <c r="V136" s="553" t="str">
        <f>IF(W136="","",ROUND(W136,0))</f>
        <v/>
      </c>
      <c r="W136" s="554" t="str">
        <f>IF(T136="","",IF(OR(U136="",U136=0,U136&lt;T136),T136,(T136*S136)/U136))</f>
        <v/>
      </c>
      <c r="X136" s="10"/>
      <c r="Y136" s="50" t="s">
        <v>2171</v>
      </c>
      <c r="Z136" s="50" t="s">
        <v>1285</v>
      </c>
      <c r="AA136" s="50" t="s">
        <v>1286</v>
      </c>
      <c r="AB136" s="50" t="s">
        <v>1287</v>
      </c>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row>
    <row r="137" spans="1:142" s="6" customFormat="1" ht="15" customHeight="1" x14ac:dyDescent="0.2">
      <c r="A137" s="2"/>
      <c r="B137" s="293" t="s">
        <v>1801</v>
      </c>
      <c r="C137" s="1222"/>
      <c r="D137" s="1239"/>
      <c r="E137" s="1171">
        <f>IF(AND(C137&lt;&gt;"",C137&lt;&gt;"NA",C136&lt;&gt;"NA",C136&lt;&gt;""),"ERROR",IF(AND(C137&lt;&gt;"",C137&lt;&gt;"NA",C134&lt;&gt;"",C134&lt;&gt;"NA"),"ERROR",LETable!AJ27))</f>
        <v>0</v>
      </c>
      <c r="F137" s="1171"/>
      <c r="G137" s="1172" t="str">
        <f>IF(E137="ERROR","Error: Cannot rate ROM and ankylosis.",IF(AND(C135&lt;&gt;"",C135&lt;&gt;"NA",C137&lt;&gt;"",C137&lt;&gt;"NA"),"Multiple ankylosis values; use higher value only.",""))</f>
        <v/>
      </c>
      <c r="H137" s="1173"/>
      <c r="I137" s="1173"/>
      <c r="J137" s="1173"/>
      <c r="K137" s="1173"/>
      <c r="L137" s="1173"/>
      <c r="M137" s="1173"/>
      <c r="N137" s="1173"/>
      <c r="O137" s="1174"/>
      <c r="P137" s="831"/>
      <c r="Q137" s="2"/>
      <c r="R137" s="10"/>
      <c r="S137" s="50">
        <v>30</v>
      </c>
      <c r="T137" s="50" t="str">
        <f>IF(OR(C137="",C137="NA"),"",IF(C137&gt;S137,S137,IF(C137&lt;0,0,C137)))</f>
        <v/>
      </c>
      <c r="U137" s="10"/>
      <c r="V137" s="10"/>
      <c r="W137" s="10"/>
      <c r="X137" s="10"/>
      <c r="Y137" s="192">
        <f>O129</f>
        <v>0</v>
      </c>
      <c r="Z137" s="147">
        <f>LARGE($Y$137:$Y$139,1)</f>
        <v>0</v>
      </c>
      <c r="AA137" s="544">
        <f>Z137+Z138*(1-Z137)</f>
        <v>0</v>
      </c>
      <c r="AB137" s="548">
        <f>ROUND(AA137,2)</f>
        <v>0</v>
      </c>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row>
    <row r="138" spans="1:142" s="6" customFormat="1" ht="21" customHeight="1" x14ac:dyDescent="0.2">
      <c r="A138" s="2"/>
      <c r="B138" s="1122"/>
      <c r="C138" s="1122"/>
      <c r="D138" s="1122"/>
      <c r="E138" s="1122"/>
      <c r="F138" s="1122"/>
      <c r="G138" s="1122"/>
      <c r="H138" s="1122"/>
      <c r="I138" s="1122"/>
      <c r="J138" s="1122"/>
      <c r="K138" s="1006" t="s">
        <v>1803</v>
      </c>
      <c r="L138" s="1007"/>
      <c r="M138" s="1007"/>
      <c r="N138" s="1008"/>
      <c r="O138" s="59">
        <f>IF(OR(E135="ERROR",E137="ERROR"),"ERROR",IF(R138&gt;1,1,R138))</f>
        <v>0</v>
      </c>
      <c r="P138" s="832"/>
      <c r="Q138" s="2"/>
      <c r="R138" s="192">
        <f>SUM(J134,J136,W138)</f>
        <v>0</v>
      </c>
      <c r="S138" s="10"/>
      <c r="T138" s="10"/>
      <c r="U138" s="10"/>
      <c r="V138" s="10"/>
      <c r="W138" s="581">
        <f>IF(AND(E135&lt;&gt;"ERROR",E137&lt;&gt;"ERROR",C137&lt;&gt;"",E137&lt;&gt;""),MAX(E135,E137),E135+E137)</f>
        <v>0</v>
      </c>
      <c r="X138" s="10"/>
      <c r="Y138" s="192">
        <f>O130</f>
        <v>0</v>
      </c>
      <c r="Z138" s="147">
        <f>LARGE($Y$137:$Y$139,2)</f>
        <v>0</v>
      </c>
      <c r="AA138" s="544">
        <f>AB137+Z139*(1-AB137)</f>
        <v>0</v>
      </c>
      <c r="AB138" s="548">
        <f>ROUND(AA138,2)</f>
        <v>0</v>
      </c>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row>
    <row r="139" spans="1:142" s="6" customFormat="1" ht="21" customHeight="1" x14ac:dyDescent="0.2">
      <c r="A139" s="2"/>
      <c r="B139" s="1122"/>
      <c r="C139" s="1122"/>
      <c r="D139" s="1122"/>
      <c r="E139" s="1122"/>
      <c r="F139" s="1122"/>
      <c r="G139" s="1122"/>
      <c r="H139" s="1122"/>
      <c r="I139" s="1122"/>
      <c r="J139" s="1122"/>
      <c r="K139" s="1006" t="s">
        <v>423</v>
      </c>
      <c r="L139" s="1007"/>
      <c r="M139" s="1007"/>
      <c r="N139" s="1007"/>
      <c r="O139" s="1008"/>
      <c r="P139" s="245">
        <f>IF(O138="ERROR","ERROR",AB138)</f>
        <v>0</v>
      </c>
      <c r="Q139" s="2"/>
      <c r="R139" s="10"/>
      <c r="S139" s="10"/>
      <c r="T139" s="10"/>
      <c r="U139" s="10"/>
      <c r="V139" s="10"/>
      <c r="W139" s="10"/>
      <c r="X139" s="10"/>
      <c r="Y139" s="192">
        <f>IF(AND(O138&lt;0.01,O138&gt;0),0.01,ROUND(O138,2))</f>
        <v>0</v>
      </c>
      <c r="Z139" s="147">
        <f>LARGE($Y$137:$Y$139,3)</f>
        <v>0</v>
      </c>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row>
    <row r="140" spans="1:142" s="6" customFormat="1" ht="12" customHeight="1" x14ac:dyDescent="0.25">
      <c r="A140" s="2"/>
      <c r="B140" s="1183"/>
      <c r="C140" s="1183"/>
      <c r="D140" s="1183"/>
      <c r="E140" s="1183"/>
      <c r="F140" s="1183"/>
      <c r="G140" s="1183"/>
      <c r="H140" s="1183"/>
      <c r="I140" s="1183"/>
      <c r="J140" s="1183"/>
      <c r="K140" s="1183"/>
      <c r="L140" s="1183"/>
      <c r="M140" s="1183"/>
      <c r="N140" s="1183"/>
      <c r="O140" s="1183"/>
      <c r="P140" s="379"/>
      <c r="Q140" s="2"/>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row>
    <row r="141" spans="1:142" s="6" customFormat="1" ht="15" customHeight="1" x14ac:dyDescent="0.25">
      <c r="A141" s="2"/>
      <c r="B141" s="944" t="s">
        <v>1962</v>
      </c>
      <c r="C141" s="945"/>
      <c r="D141" s="945"/>
      <c r="E141" s="945"/>
      <c r="F141" s="945"/>
      <c r="G141" s="945"/>
      <c r="H141" s="945"/>
      <c r="I141" s="945"/>
      <c r="J141" s="945"/>
      <c r="K141" s="945"/>
      <c r="L141" s="945"/>
      <c r="M141" s="945"/>
      <c r="N141" s="945"/>
      <c r="O141" s="945"/>
      <c r="P141" s="380"/>
      <c r="Q141" s="2"/>
      <c r="R141" s="10"/>
      <c r="S141" s="863" t="s">
        <v>2147</v>
      </c>
      <c r="T141" s="863"/>
      <c r="U141" s="863"/>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row>
    <row r="142" spans="1:142" s="6" customFormat="1" ht="15" customHeight="1" x14ac:dyDescent="0.2">
      <c r="A142" s="2"/>
      <c r="B142" s="304" t="s">
        <v>1971</v>
      </c>
      <c r="C142" s="1245"/>
      <c r="D142" s="1246"/>
      <c r="E142" s="1246"/>
      <c r="F142" s="1246"/>
      <c r="G142" s="1246"/>
      <c r="H142" s="1246"/>
      <c r="I142" s="1246"/>
      <c r="J142" s="1246"/>
      <c r="K142" s="1246"/>
      <c r="L142" s="1246"/>
      <c r="M142" s="1246"/>
      <c r="N142" s="1247"/>
      <c r="O142" s="70"/>
      <c r="P142" s="21">
        <f>IF($W$238&gt;0,0,R142)</f>
        <v>0</v>
      </c>
      <c r="Q142" s="2"/>
      <c r="R142" s="147">
        <f>IF(C142=S142,0,IF(C142=T142,0.05,IF(C142=U142,0.1,0)))</f>
        <v>0</v>
      </c>
      <c r="S142" s="50" t="s">
        <v>1901</v>
      </c>
      <c r="T142" s="50" t="s">
        <v>1748</v>
      </c>
      <c r="U142" s="50" t="s">
        <v>1749</v>
      </c>
      <c r="V142" s="97"/>
      <c r="W142" s="96"/>
      <c r="X142" s="132"/>
      <c r="Y142" s="1234"/>
      <c r="Z142" s="61"/>
      <c r="AA142" s="61"/>
      <c r="AB142" s="62"/>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row>
    <row r="143" spans="1:142" s="6" customFormat="1" ht="15" customHeight="1" x14ac:dyDescent="0.2">
      <c r="A143" s="2"/>
      <c r="B143" s="304" t="s">
        <v>1972</v>
      </c>
      <c r="C143" s="1184"/>
      <c r="D143" s="1185"/>
      <c r="E143" s="1185"/>
      <c r="F143" s="1185"/>
      <c r="G143" s="1185"/>
      <c r="H143" s="1185"/>
      <c r="I143" s="1185"/>
      <c r="J143" s="1185"/>
      <c r="K143" s="1185"/>
      <c r="L143" s="1185"/>
      <c r="M143" s="1185"/>
      <c r="N143" s="1244"/>
      <c r="O143" s="71"/>
      <c r="P143" s="21">
        <f>IF($W$238&gt;0,0,R143)</f>
        <v>0</v>
      </c>
      <c r="Q143" s="2"/>
      <c r="R143" s="147">
        <f>IF(C143=S143,0,IF(C143=T143,0.05,IF(C143=U143,0.1,0)))</f>
        <v>0</v>
      </c>
      <c r="S143" s="50" t="s">
        <v>1901</v>
      </c>
      <c r="T143" s="50" t="s">
        <v>1956</v>
      </c>
      <c r="U143" s="50" t="s">
        <v>1957</v>
      </c>
      <c r="V143" s="97"/>
      <c r="W143" s="96"/>
      <c r="X143" s="132"/>
      <c r="Y143" s="1234"/>
      <c r="Z143" s="61"/>
      <c r="AA143" s="61"/>
      <c r="AB143" s="62"/>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row>
    <row r="144" spans="1:142" s="6" customFormat="1" ht="27" customHeight="1" x14ac:dyDescent="0.2">
      <c r="A144" s="2"/>
      <c r="B144" s="1085" t="str">
        <f>IF(AND(OR(R142&gt;0,R143&gt;0),$W$238&gt;0),"A value has been given for loss of sensation or hypersensitivity in the foot. No additional value is allowed for the toes.","")</f>
        <v/>
      </c>
      <c r="C144" s="1085"/>
      <c r="D144" s="1085"/>
      <c r="E144" s="1085"/>
      <c r="F144" s="1085"/>
      <c r="G144" s="1085"/>
      <c r="H144" s="1085"/>
      <c r="I144" s="1085"/>
      <c r="J144" s="1085"/>
      <c r="K144" s="1085"/>
      <c r="L144" s="1085"/>
      <c r="M144" s="1085"/>
      <c r="N144" s="1085"/>
      <c r="O144" s="1085"/>
      <c r="P144" s="523"/>
      <c r="Q144" s="2"/>
      <c r="R144" s="10"/>
      <c r="S144" s="14"/>
      <c r="T144" s="14"/>
      <c r="U144" s="14"/>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row>
    <row r="145" spans="1:142" s="6" customFormat="1" ht="12" customHeight="1" x14ac:dyDescent="0.25">
      <c r="A145" s="2"/>
      <c r="B145" s="697"/>
      <c r="C145" s="777"/>
      <c r="D145" s="777"/>
      <c r="E145" s="777"/>
      <c r="F145" s="777"/>
      <c r="G145" s="777"/>
      <c r="H145" s="777"/>
      <c r="I145" s="777"/>
      <c r="J145" s="777"/>
      <c r="K145" s="777"/>
      <c r="L145" s="777"/>
      <c r="M145" s="777"/>
      <c r="N145" s="777"/>
      <c r="O145" s="777"/>
      <c r="P145" s="63"/>
      <c r="Q145" s="2"/>
      <c r="R145" s="10"/>
      <c r="S145" s="10"/>
      <c r="Y145" s="10"/>
      <c r="Z145" s="724"/>
      <c r="AA145" s="724"/>
      <c r="AB145" s="724"/>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row>
    <row r="146" spans="1:142" s="6" customFormat="1" ht="18" customHeight="1" x14ac:dyDescent="0.2">
      <c r="A146" s="2"/>
      <c r="B146" s="761" t="s">
        <v>1975</v>
      </c>
      <c r="C146" s="761"/>
      <c r="D146" s="761"/>
      <c r="E146" s="761"/>
      <c r="F146" s="761"/>
      <c r="G146" s="761"/>
      <c r="H146" s="761"/>
      <c r="I146" s="761"/>
      <c r="J146" s="761"/>
      <c r="K146" s="761"/>
      <c r="L146" s="761"/>
      <c r="M146" s="761"/>
      <c r="N146" s="694"/>
      <c r="O146" s="694"/>
      <c r="P146" s="21">
        <f>IF(N146=T146,0.03,IF(N146=U146,0.15,IF(N146=V146,0.38,IF(N146=W146,0.68,IF(N146=X146,0.9,0)))))</f>
        <v>0</v>
      </c>
      <c r="Q146" s="2"/>
      <c r="R146" s="863" t="s">
        <v>2147</v>
      </c>
      <c r="S146" s="863"/>
      <c r="T146" s="50" t="s">
        <v>1928</v>
      </c>
      <c r="U146" s="50" t="s">
        <v>1929</v>
      </c>
      <c r="V146" s="147" t="s">
        <v>1931</v>
      </c>
      <c r="W146" s="50" t="s">
        <v>929</v>
      </c>
      <c r="X146" s="147" t="s">
        <v>545</v>
      </c>
      <c r="Y146" s="10"/>
      <c r="Z146" s="724"/>
      <c r="AA146" s="724"/>
      <c r="AB146" s="724"/>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row>
    <row r="147" spans="1:142" s="6" customFormat="1" ht="12" customHeight="1" x14ac:dyDescent="0.25">
      <c r="A147" s="2"/>
      <c r="B147" s="521"/>
      <c r="C147" s="521"/>
      <c r="D147" s="521"/>
      <c r="E147" s="521"/>
      <c r="F147" s="521"/>
      <c r="G147" s="521"/>
      <c r="H147" s="521"/>
      <c r="I147" s="521"/>
      <c r="J147" s="521"/>
      <c r="K147" s="521"/>
      <c r="L147" s="521"/>
      <c r="M147" s="521"/>
      <c r="N147" s="521"/>
      <c r="O147" s="521"/>
      <c r="P147" s="63"/>
      <c r="Q147" s="2"/>
      <c r="R147" s="10"/>
      <c r="S147" s="14"/>
      <c r="T147" s="14"/>
      <c r="U147" s="14"/>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row>
    <row r="148" spans="1:142" s="6" customFormat="1" ht="18" customHeight="1" x14ac:dyDescent="0.2">
      <c r="A148" s="15"/>
      <c r="B148" s="256" t="s">
        <v>1676</v>
      </c>
      <c r="C148" s="995"/>
      <c r="D148" s="997"/>
      <c r="E148" s="742" t="s">
        <v>1677</v>
      </c>
      <c r="F148" s="743"/>
      <c r="G148" s="743"/>
      <c r="H148" s="743"/>
      <c r="I148" s="743"/>
      <c r="J148" s="743"/>
      <c r="K148" s="743"/>
      <c r="L148" s="743"/>
      <c r="M148" s="743"/>
      <c r="N148" s="743"/>
      <c r="O148" s="744"/>
      <c r="P148" s="245">
        <f>IF(T148=1,0.15,0)</f>
        <v>0</v>
      </c>
      <c r="Q148" s="2"/>
      <c r="R148" s="10"/>
      <c r="S148" s="561" t="b">
        <v>0</v>
      </c>
      <c r="T148" s="50">
        <f>IF(S148=TRUE,1,0)</f>
        <v>0</v>
      </c>
      <c r="U148" s="10"/>
      <c r="V148" s="10"/>
      <c r="W148" s="10">
        <v>1E-4</v>
      </c>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row>
    <row r="149" spans="1:142" s="6" customFormat="1" ht="18" customHeight="1" x14ac:dyDescent="0.2">
      <c r="A149" s="2"/>
      <c r="B149" s="256" t="s">
        <v>1678</v>
      </c>
      <c r="C149" s="995"/>
      <c r="D149" s="997"/>
      <c r="E149" s="742" t="s">
        <v>1679</v>
      </c>
      <c r="F149" s="743"/>
      <c r="G149" s="743"/>
      <c r="H149" s="743"/>
      <c r="I149" s="743"/>
      <c r="J149" s="743"/>
      <c r="K149" s="743"/>
      <c r="L149" s="743"/>
      <c r="M149" s="743"/>
      <c r="N149" s="743"/>
      <c r="O149" s="744"/>
      <c r="P149" s="245">
        <f>IF(T149=1,0.25,0)</f>
        <v>0</v>
      </c>
      <c r="Q149" s="2"/>
      <c r="R149" s="10"/>
      <c r="S149" s="561" t="b">
        <v>0</v>
      </c>
      <c r="T149" s="50">
        <f>IF(S149=TRUE,1,0)</f>
        <v>0</v>
      </c>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row>
    <row r="150" spans="1:142" s="6" customFormat="1" ht="18" customHeight="1" x14ac:dyDescent="0.2">
      <c r="A150" s="2"/>
      <c r="B150" s="381" t="s">
        <v>613</v>
      </c>
      <c r="C150" s="1018"/>
      <c r="D150" s="1018"/>
      <c r="E150" s="941" t="s">
        <v>614</v>
      </c>
      <c r="F150" s="942"/>
      <c r="G150" s="942"/>
      <c r="H150" s="942"/>
      <c r="I150" s="942"/>
      <c r="J150" s="942"/>
      <c r="K150" s="942"/>
      <c r="L150" s="942"/>
      <c r="M150" s="942"/>
      <c r="N150" s="942"/>
      <c r="O150" s="943"/>
      <c r="P150" s="296">
        <f>IF(T150=1,0.25,0)</f>
        <v>0</v>
      </c>
      <c r="Q150" s="2"/>
      <c r="R150" s="10"/>
      <c r="S150" s="561" t="b">
        <v>0</v>
      </c>
      <c r="T150" s="50">
        <f>IF(S150=TRUE,1,0)</f>
        <v>0</v>
      </c>
      <c r="U150" s="10"/>
      <c r="V150" s="10"/>
      <c r="W150" s="10"/>
      <c r="X150" s="2"/>
      <c r="Y150" s="2"/>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row>
    <row r="151" spans="1:142" s="6" customFormat="1" ht="12" customHeight="1" x14ac:dyDescent="0.2">
      <c r="A151" s="2"/>
      <c r="B151" s="1221"/>
      <c r="C151" s="1221"/>
      <c r="D151" s="1221"/>
      <c r="E151" s="1221"/>
      <c r="F151" s="1221"/>
      <c r="G151" s="1221"/>
      <c r="H151" s="1221"/>
      <c r="I151" s="1221"/>
      <c r="J151" s="1221"/>
      <c r="K151" s="1221"/>
      <c r="L151" s="1221"/>
      <c r="M151" s="1221"/>
      <c r="N151" s="1221"/>
      <c r="O151" s="1221"/>
      <c r="P151" s="2"/>
      <c r="Q151" s="2"/>
      <c r="R151" s="10"/>
      <c r="S151" s="10"/>
      <c r="T151" s="10"/>
      <c r="U151" s="10"/>
      <c r="V151" s="10"/>
      <c r="X151" s="2"/>
      <c r="Y151" s="2"/>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row>
    <row r="152" spans="1:142" s="6" customFormat="1" ht="27" customHeight="1" x14ac:dyDescent="0.2">
      <c r="A152" s="2"/>
      <c r="B152" s="864" t="s">
        <v>426</v>
      </c>
      <c r="C152" s="865"/>
      <c r="D152" s="865"/>
      <c r="E152" s="865"/>
      <c r="F152" s="865"/>
      <c r="G152" s="912" t="s">
        <v>1495</v>
      </c>
      <c r="H152" s="910"/>
      <c r="I152" s="910"/>
      <c r="J152" s="910"/>
      <c r="K152" s="910"/>
      <c r="L152" s="1217"/>
      <c r="M152" s="1218"/>
      <c r="N152" s="1218"/>
      <c r="O152" s="1219"/>
      <c r="P152" s="857">
        <f>IF(J161&gt;0,J161,V159)</f>
        <v>0</v>
      </c>
      <c r="Q152" s="2"/>
      <c r="R152" s="10"/>
      <c r="S152" s="50" t="s">
        <v>1826</v>
      </c>
      <c r="T152" s="50" t="s">
        <v>1285</v>
      </c>
      <c r="U152" s="50" t="s">
        <v>1286</v>
      </c>
      <c r="V152" s="50" t="s">
        <v>1287</v>
      </c>
      <c r="W152" s="50" t="s">
        <v>498</v>
      </c>
      <c r="X152" s="2"/>
      <c r="Y152" s="2"/>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row>
    <row r="153" spans="1:142" s="6" customFormat="1" ht="18" customHeight="1" x14ac:dyDescent="0.2">
      <c r="A153" s="2"/>
      <c r="B153" s="776" t="s">
        <v>615</v>
      </c>
      <c r="C153" s="776"/>
      <c r="D153" s="776"/>
      <c r="E153" s="962">
        <f>P126</f>
        <v>0</v>
      </c>
      <c r="F153" s="862"/>
      <c r="G153" s="1005"/>
      <c r="H153" s="1005"/>
      <c r="I153" s="1005"/>
      <c r="J153" s="1151">
        <f t="shared" ref="J153:J154" si="23">IF(AND(W153&lt;0.01,W153&gt;0),0.01,ROUND(W153,2))</f>
        <v>0</v>
      </c>
      <c r="K153" s="1151"/>
      <c r="L153" s="1217"/>
      <c r="M153" s="1218"/>
      <c r="N153" s="1218"/>
      <c r="O153" s="1219"/>
      <c r="P153" s="961"/>
      <c r="Q153" s="2"/>
      <c r="R153" s="10"/>
      <c r="S153" s="147">
        <f t="shared" ref="S153:S156" si="24">IF(J153&gt;0,J153,E153)</f>
        <v>0</v>
      </c>
      <c r="T153" s="147">
        <f>LARGE($S$153:$S$160,1)</f>
        <v>0</v>
      </c>
      <c r="U153" s="544">
        <f>T153+T154*(1-T153)</f>
        <v>0</v>
      </c>
      <c r="V153" s="548">
        <f t="shared" ref="V153:V159" si="25">ROUND(U153,2)</f>
        <v>0</v>
      </c>
      <c r="W153" s="21">
        <f t="shared" ref="W153:W154" si="26">G153*E153</f>
        <v>0</v>
      </c>
      <c r="X153" s="2"/>
      <c r="Y153" s="2"/>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row>
    <row r="154" spans="1:142" s="6" customFormat="1" ht="18" customHeight="1" x14ac:dyDescent="0.2">
      <c r="A154" s="2"/>
      <c r="B154" s="791" t="s">
        <v>1918</v>
      </c>
      <c r="C154" s="791"/>
      <c r="D154" s="791"/>
      <c r="E154" s="755">
        <f>IF(P426&gt;0,0,P139)</f>
        <v>0</v>
      </c>
      <c r="F154" s="732"/>
      <c r="G154" s="1005"/>
      <c r="H154" s="1005"/>
      <c r="I154" s="1005"/>
      <c r="J154" s="1151">
        <f t="shared" si="23"/>
        <v>0</v>
      </c>
      <c r="K154" s="1151"/>
      <c r="L154" s="1094"/>
      <c r="M154" s="1095"/>
      <c r="N154" s="1095"/>
      <c r="O154" s="1096"/>
      <c r="P154" s="961"/>
      <c r="Q154" s="2"/>
      <c r="R154" s="10"/>
      <c r="S154" s="147">
        <f t="shared" si="24"/>
        <v>0</v>
      </c>
      <c r="T154" s="147">
        <f>LARGE($S$153:$S$160,2)</f>
        <v>0</v>
      </c>
      <c r="U154" s="544">
        <f t="shared" ref="U154:U159" si="27">V153+T155*(1-V153)</f>
        <v>0</v>
      </c>
      <c r="V154" s="548">
        <f t="shared" si="25"/>
        <v>0</v>
      </c>
      <c r="W154" s="21">
        <f t="shared" si="26"/>
        <v>0</v>
      </c>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row>
    <row r="155" spans="1:142" s="6" customFormat="1" ht="18" customHeight="1" x14ac:dyDescent="0.2">
      <c r="A155" s="2"/>
      <c r="B155" s="791" t="s">
        <v>1976</v>
      </c>
      <c r="C155" s="791"/>
      <c r="D155" s="791"/>
      <c r="E155" s="755">
        <f>P142</f>
        <v>0</v>
      </c>
      <c r="F155" s="732"/>
      <c r="G155" s="1005"/>
      <c r="H155" s="1005"/>
      <c r="I155" s="1005"/>
      <c r="J155" s="1151">
        <f>IF(AND(W155&lt;0.01,W155&gt;0),0.01,ROUND(W155,2))</f>
        <v>0</v>
      </c>
      <c r="K155" s="1151"/>
      <c r="L155" s="623"/>
      <c r="M155" s="624"/>
      <c r="N155" s="624"/>
      <c r="O155" s="625"/>
      <c r="P155" s="961"/>
      <c r="Q155" s="2"/>
      <c r="R155" s="10"/>
      <c r="S155" s="147">
        <f t="shared" si="24"/>
        <v>0</v>
      </c>
      <c r="T155" s="147">
        <f>LARGE($S$153:$S$160,3)</f>
        <v>0</v>
      </c>
      <c r="U155" s="544">
        <f t="shared" si="27"/>
        <v>0</v>
      </c>
      <c r="V155" s="548">
        <f t="shared" si="25"/>
        <v>0</v>
      </c>
      <c r="W155" s="21">
        <f>G155*E155</f>
        <v>0</v>
      </c>
      <c r="X155" s="2"/>
      <c r="Y155" s="2"/>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row>
    <row r="156" spans="1:142" s="6" customFormat="1" ht="18" customHeight="1" x14ac:dyDescent="0.2">
      <c r="A156" s="2"/>
      <c r="B156" s="742" t="s">
        <v>1208</v>
      </c>
      <c r="C156" s="743"/>
      <c r="D156" s="744"/>
      <c r="E156" s="755">
        <f>P143</f>
        <v>0</v>
      </c>
      <c r="F156" s="732"/>
      <c r="G156" s="1005"/>
      <c r="H156" s="1005"/>
      <c r="I156" s="1005"/>
      <c r="J156" s="1151">
        <f>IF(AND(W156&lt;0.01,W156&gt;0),0.01,ROUND(W156,2))</f>
        <v>0</v>
      </c>
      <c r="K156" s="1151"/>
      <c r="L156" s="623"/>
      <c r="M156" s="624"/>
      <c r="N156" s="624"/>
      <c r="O156" s="625"/>
      <c r="P156" s="961"/>
      <c r="Q156" s="2"/>
      <c r="R156" s="10"/>
      <c r="S156" s="147">
        <f t="shared" si="24"/>
        <v>0</v>
      </c>
      <c r="T156" s="147">
        <f>LARGE($S$153:$S$160,4)</f>
        <v>0</v>
      </c>
      <c r="U156" s="544">
        <f t="shared" si="27"/>
        <v>0</v>
      </c>
      <c r="V156" s="548">
        <f t="shared" si="25"/>
        <v>0</v>
      </c>
      <c r="W156" s="21">
        <f t="shared" ref="W156:W160" si="28">G156*E156</f>
        <v>0</v>
      </c>
      <c r="X156" s="2"/>
      <c r="Y156" s="2"/>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row>
    <row r="157" spans="1:142" s="6" customFormat="1" ht="18" customHeight="1" x14ac:dyDescent="0.2">
      <c r="A157" s="2"/>
      <c r="B157" s="742" t="s">
        <v>1419</v>
      </c>
      <c r="C157" s="743"/>
      <c r="D157" s="744"/>
      <c r="E157" s="727">
        <f>P146</f>
        <v>0</v>
      </c>
      <c r="F157" s="729"/>
      <c r="G157" s="1005"/>
      <c r="H157" s="1005"/>
      <c r="I157" s="1005"/>
      <c r="J157" s="1151">
        <f>IF(AND(W157&lt;0.01,W157&gt;0),0.01,ROUND(W157,2))</f>
        <v>0</v>
      </c>
      <c r="K157" s="1151"/>
      <c r="L157" s="915" t="str">
        <f>IF(AND(P139&gt;0,$P$426&gt;0),"The worker has motor loss impairment. No additional impairment value is allowed for reduced range of motion in the same extremity.","")</f>
        <v/>
      </c>
      <c r="M157" s="916"/>
      <c r="N157" s="916"/>
      <c r="O157" s="917"/>
      <c r="P157" s="961"/>
      <c r="Q157" s="2"/>
      <c r="R157" s="10"/>
      <c r="S157" s="147">
        <f>IF(J157&gt;0,J157,E157)</f>
        <v>0</v>
      </c>
      <c r="T157" s="147">
        <f>LARGE($S$153:$S$160,5)</f>
        <v>0</v>
      </c>
      <c r="U157" s="544">
        <f t="shared" si="27"/>
        <v>0</v>
      </c>
      <c r="V157" s="548">
        <f t="shared" si="25"/>
        <v>0</v>
      </c>
      <c r="W157" s="21">
        <f t="shared" si="28"/>
        <v>0</v>
      </c>
      <c r="X157" s="2"/>
      <c r="Y157" s="2"/>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row>
    <row r="158" spans="1:142" s="6" customFormat="1" ht="18" customHeight="1" x14ac:dyDescent="0.2">
      <c r="A158" s="2"/>
      <c r="B158" s="791" t="s">
        <v>1680</v>
      </c>
      <c r="C158" s="791"/>
      <c r="D158" s="791"/>
      <c r="E158" s="755">
        <f>P148</f>
        <v>0</v>
      </c>
      <c r="F158" s="732"/>
      <c r="G158" s="1005"/>
      <c r="H158" s="1005"/>
      <c r="I158" s="1005"/>
      <c r="J158" s="1151">
        <f t="shared" ref="J158:J160" si="29">IF(AND(W158&lt;0.01,W158&gt;0),0.01,ROUND(W158,2))</f>
        <v>0</v>
      </c>
      <c r="K158" s="1151"/>
      <c r="L158" s="915"/>
      <c r="M158" s="916"/>
      <c r="N158" s="916"/>
      <c r="O158" s="917"/>
      <c r="P158" s="961"/>
      <c r="Q158" s="2"/>
      <c r="R158" s="10"/>
      <c r="S158" s="147">
        <f t="shared" ref="S158:S160" si="30">IF(J158&gt;0,J158,E158)</f>
        <v>0</v>
      </c>
      <c r="T158" s="147">
        <f>LARGE($S$153:$S$160,6)</f>
        <v>0</v>
      </c>
      <c r="U158" s="544">
        <f t="shared" si="27"/>
        <v>0</v>
      </c>
      <c r="V158" s="548">
        <f t="shared" si="25"/>
        <v>0</v>
      </c>
      <c r="W158" s="21">
        <f t="shared" si="28"/>
        <v>0</v>
      </c>
      <c r="X158" s="2"/>
      <c r="Y158" s="2"/>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row>
    <row r="159" spans="1:142" s="6" customFormat="1" ht="18" customHeight="1" x14ac:dyDescent="0.2">
      <c r="A159" s="2"/>
      <c r="B159" s="742" t="s">
        <v>1681</v>
      </c>
      <c r="C159" s="743"/>
      <c r="D159" s="744"/>
      <c r="E159" s="727">
        <f>P149</f>
        <v>0</v>
      </c>
      <c r="F159" s="728"/>
      <c r="G159" s="1005"/>
      <c r="H159" s="1005"/>
      <c r="I159" s="1005"/>
      <c r="J159" s="1151">
        <f t="shared" si="29"/>
        <v>0</v>
      </c>
      <c r="K159" s="1151"/>
      <c r="L159" s="915"/>
      <c r="M159" s="916"/>
      <c r="N159" s="916"/>
      <c r="O159" s="917"/>
      <c r="P159" s="961"/>
      <c r="Q159" s="2"/>
      <c r="R159" s="10"/>
      <c r="S159" s="147">
        <f t="shared" si="30"/>
        <v>0</v>
      </c>
      <c r="T159" s="147">
        <f>LARGE($S$153:$S$160,7)</f>
        <v>0</v>
      </c>
      <c r="U159" s="544">
        <f t="shared" si="27"/>
        <v>0</v>
      </c>
      <c r="V159" s="548">
        <f t="shared" si="25"/>
        <v>0</v>
      </c>
      <c r="W159" s="21">
        <f t="shared" si="28"/>
        <v>0</v>
      </c>
      <c r="X159" s="2"/>
      <c r="Y159" s="2"/>
      <c r="Z159" s="1"/>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row>
    <row r="160" spans="1:142" s="6" customFormat="1" ht="18" customHeight="1" x14ac:dyDescent="0.2">
      <c r="A160" s="2"/>
      <c r="B160" s="789" t="s">
        <v>1110</v>
      </c>
      <c r="C160" s="789"/>
      <c r="D160" s="789"/>
      <c r="E160" s="1022">
        <f>P150</f>
        <v>0</v>
      </c>
      <c r="F160" s="1022"/>
      <c r="G160" s="1005"/>
      <c r="H160" s="1005"/>
      <c r="I160" s="1005"/>
      <c r="J160" s="1151">
        <f t="shared" si="29"/>
        <v>0</v>
      </c>
      <c r="K160" s="1151"/>
      <c r="L160" s="915"/>
      <c r="M160" s="916"/>
      <c r="N160" s="916"/>
      <c r="O160" s="917"/>
      <c r="P160" s="961"/>
      <c r="Q160" s="2"/>
      <c r="R160" s="10"/>
      <c r="S160" s="147">
        <f t="shared" si="30"/>
        <v>0</v>
      </c>
      <c r="T160" s="147">
        <f>LARGE($S$153:$S$160,8)</f>
        <v>0</v>
      </c>
      <c r="U160" s="96"/>
      <c r="V160" s="128"/>
      <c r="W160" s="21">
        <f t="shared" si="28"/>
        <v>0</v>
      </c>
      <c r="X160" s="2"/>
      <c r="Y160" s="2"/>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row>
    <row r="161" spans="1:142" s="6" customFormat="1" ht="18" customHeight="1" x14ac:dyDescent="0.2">
      <c r="A161" s="2"/>
      <c r="B161" s="956" t="s">
        <v>425</v>
      </c>
      <c r="C161" s="956"/>
      <c r="D161" s="956"/>
      <c r="E161" s="956"/>
      <c r="F161" s="956"/>
      <c r="G161" s="956"/>
      <c r="H161" s="956"/>
      <c r="I161" s="956"/>
      <c r="J161" s="956"/>
      <c r="K161" s="956"/>
      <c r="L161" s="956"/>
      <c r="M161" s="956"/>
      <c r="N161" s="956"/>
      <c r="O161" s="956"/>
      <c r="P161" s="962"/>
      <c r="Q161" s="2"/>
      <c r="R161" s="10"/>
      <c r="S161" s="14"/>
      <c r="T161" s="96"/>
      <c r="U161" s="128"/>
      <c r="V161" s="10"/>
      <c r="W161" s="10"/>
      <c r="X161" s="2"/>
      <c r="Y161" s="2"/>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row>
    <row r="162" spans="1:142" s="6" customFormat="1" x14ac:dyDescent="0.2">
      <c r="A162" s="2"/>
      <c r="B162" s="777"/>
      <c r="C162" s="777"/>
      <c r="D162" s="777"/>
      <c r="E162" s="777"/>
      <c r="F162" s="777"/>
      <c r="G162" s="777"/>
      <c r="H162" s="777"/>
      <c r="I162" s="777"/>
      <c r="J162" s="777"/>
      <c r="K162" s="777"/>
      <c r="L162" s="777"/>
      <c r="M162" s="777"/>
      <c r="N162" s="777"/>
      <c r="O162" s="777"/>
      <c r="P162" s="2"/>
      <c r="Q162" s="2"/>
      <c r="R162" s="10"/>
      <c r="S162" s="10"/>
      <c r="T162" s="10"/>
      <c r="U162" s="10"/>
      <c r="W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row>
    <row r="163" spans="1:142" s="6" customFormat="1" x14ac:dyDescent="0.2">
      <c r="A163" s="2"/>
      <c r="B163" s="777"/>
      <c r="C163" s="777"/>
      <c r="D163" s="777"/>
      <c r="E163" s="777"/>
      <c r="F163" s="777"/>
      <c r="G163" s="777"/>
      <c r="H163" s="777"/>
      <c r="I163" s="777"/>
      <c r="J163" s="777"/>
      <c r="K163" s="777"/>
      <c r="L163" s="777"/>
      <c r="M163" s="777"/>
      <c r="N163" s="777"/>
      <c r="O163" s="777"/>
      <c r="P163" s="777"/>
      <c r="Q163" s="2"/>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row>
    <row r="164" spans="1:142" s="6" customFormat="1" ht="18" customHeight="1" x14ac:dyDescent="0.2">
      <c r="A164" s="2"/>
      <c r="B164" s="947" t="s">
        <v>854</v>
      </c>
      <c r="C164" s="863"/>
      <c r="D164" s="863"/>
      <c r="E164" s="863"/>
      <c r="F164" s="863"/>
      <c r="G164" s="863"/>
      <c r="H164" s="863"/>
      <c r="I164" s="863"/>
      <c r="J164" s="863"/>
      <c r="K164" s="863"/>
      <c r="L164" s="863"/>
      <c r="M164" s="863"/>
      <c r="N164" s="863"/>
      <c r="O164" s="863"/>
      <c r="P164" s="863"/>
      <c r="Q164" s="2"/>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row>
    <row r="165" spans="1:142" s="6" customFormat="1" ht="15" customHeight="1" x14ac:dyDescent="0.2">
      <c r="A165" s="2"/>
      <c r="B165" s="910" t="s">
        <v>695</v>
      </c>
      <c r="C165" s="910"/>
      <c r="D165" s="910"/>
      <c r="E165" s="910"/>
      <c r="F165" s="910"/>
      <c r="G165" s="910"/>
      <c r="H165" s="910"/>
      <c r="I165" s="910"/>
      <c r="J165" s="910"/>
      <c r="K165" s="910"/>
      <c r="L165" s="910"/>
      <c r="M165" s="910"/>
      <c r="N165" s="910"/>
      <c r="O165" s="910"/>
      <c r="P165" s="910"/>
      <c r="Q165" s="2"/>
      <c r="R165" s="10"/>
      <c r="S165" s="10"/>
      <c r="T165" s="761" t="s">
        <v>696</v>
      </c>
      <c r="U165" s="50" t="s">
        <v>1298</v>
      </c>
      <c r="V165" s="50" t="s">
        <v>1058</v>
      </c>
      <c r="W165" s="552" t="s">
        <v>1059</v>
      </c>
      <c r="X165" s="50" t="s">
        <v>1244</v>
      </c>
      <c r="Y165" s="50" t="s">
        <v>1245</v>
      </c>
      <c r="Z165" s="50" t="s">
        <v>1827</v>
      </c>
      <c r="AA165" s="147" t="s">
        <v>1671</v>
      </c>
      <c r="AB165" s="147" t="s">
        <v>97</v>
      </c>
      <c r="AC165" s="147" t="s">
        <v>98</v>
      </c>
      <c r="AD165" s="50" t="s">
        <v>1705</v>
      </c>
      <c r="AE165" s="50" t="s">
        <v>1706</v>
      </c>
      <c r="AF165" s="50" t="s">
        <v>1707</v>
      </c>
      <c r="AG165" s="50" t="s">
        <v>76</v>
      </c>
      <c r="AH165" s="50" t="s">
        <v>77</v>
      </c>
      <c r="AI165" s="50" t="s">
        <v>805</v>
      </c>
      <c r="AJ165" s="50" t="s">
        <v>806</v>
      </c>
      <c r="AK165" s="50" t="s">
        <v>807</v>
      </c>
      <c r="AL165" s="50" t="s">
        <v>808</v>
      </c>
      <c r="AM165" s="50" t="s">
        <v>1116</v>
      </c>
      <c r="AN165" s="50" t="s">
        <v>1514</v>
      </c>
      <c r="AO165" s="50" t="s">
        <v>194</v>
      </c>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row>
    <row r="166" spans="1:142" s="6" customFormat="1" ht="27" customHeight="1" x14ac:dyDescent="0.2">
      <c r="A166" s="2"/>
      <c r="B166" s="1012"/>
      <c r="C166" s="1012"/>
      <c r="D166" s="1012"/>
      <c r="E166" s="1012"/>
      <c r="F166" s="1012"/>
      <c r="G166" s="1012"/>
      <c r="H166" s="1012"/>
      <c r="I166" s="1012"/>
      <c r="J166" s="1012"/>
      <c r="K166" s="1012"/>
      <c r="L166" s="1012"/>
      <c r="M166" s="1012"/>
      <c r="N166" s="1012"/>
      <c r="O166" s="1012"/>
      <c r="P166" s="21">
        <f>SUMIF(U165:AO165,B166,U166:AO166)</f>
        <v>0</v>
      </c>
      <c r="Q166" s="2"/>
      <c r="R166" s="10"/>
      <c r="S166" s="10"/>
      <c r="T166" s="761"/>
      <c r="U166" s="548">
        <v>0</v>
      </c>
      <c r="V166" s="147">
        <v>0.05</v>
      </c>
      <c r="W166" s="147">
        <v>0.1</v>
      </c>
      <c r="X166" s="147">
        <v>0.15</v>
      </c>
      <c r="Y166" s="147">
        <v>0.2</v>
      </c>
      <c r="Z166" s="147">
        <v>0.25</v>
      </c>
      <c r="AA166" s="147">
        <v>0.3</v>
      </c>
      <c r="AB166" s="147">
        <v>0.35</v>
      </c>
      <c r="AC166" s="147">
        <v>0.4</v>
      </c>
      <c r="AD166" s="147">
        <v>0.45</v>
      </c>
      <c r="AE166" s="147">
        <v>0.5</v>
      </c>
      <c r="AF166" s="147">
        <v>0.55000000000000004</v>
      </c>
      <c r="AG166" s="147">
        <v>0.6</v>
      </c>
      <c r="AH166" s="147">
        <v>0.65</v>
      </c>
      <c r="AI166" s="147">
        <v>0.7</v>
      </c>
      <c r="AJ166" s="147">
        <v>0.75</v>
      </c>
      <c r="AK166" s="147">
        <v>0.8</v>
      </c>
      <c r="AL166" s="147">
        <v>0.85</v>
      </c>
      <c r="AM166" s="147">
        <v>0.9</v>
      </c>
      <c r="AN166" s="147">
        <v>0.95</v>
      </c>
      <c r="AO166" s="147">
        <v>1</v>
      </c>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row>
    <row r="167" spans="1:142" s="6" customFormat="1" ht="12" customHeight="1" x14ac:dyDescent="0.25">
      <c r="A167" s="2"/>
      <c r="B167" s="1220"/>
      <c r="C167" s="1220"/>
      <c r="D167" s="1220"/>
      <c r="E167" s="1220"/>
      <c r="F167" s="1220"/>
      <c r="G167" s="1220"/>
      <c r="H167" s="1220"/>
      <c r="I167" s="1220"/>
      <c r="J167" s="1220"/>
      <c r="K167" s="1220"/>
      <c r="L167" s="1220"/>
      <c r="M167" s="1220"/>
      <c r="N167" s="1220"/>
      <c r="O167" s="1220"/>
      <c r="P167" s="1220"/>
      <c r="Q167" s="2"/>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row>
    <row r="168" spans="1:142" s="6" customFormat="1" ht="18" customHeight="1" x14ac:dyDescent="0.2">
      <c r="A168" s="2"/>
      <c r="B168" s="944" t="s">
        <v>855</v>
      </c>
      <c r="C168" s="945"/>
      <c r="D168" s="945"/>
      <c r="E168" s="945"/>
      <c r="F168" s="945"/>
      <c r="G168" s="945"/>
      <c r="H168" s="945"/>
      <c r="I168" s="945"/>
      <c r="J168" s="945"/>
      <c r="K168" s="945"/>
      <c r="L168" s="945"/>
      <c r="M168" s="945"/>
      <c r="N168" s="945"/>
      <c r="O168" s="945"/>
      <c r="P168" s="830"/>
      <c r="Q168" s="2"/>
      <c r="R168" s="10"/>
      <c r="S168" s="10"/>
      <c r="T168" s="10"/>
      <c r="U168" s="10"/>
      <c r="V168" s="10"/>
      <c r="W168" s="10"/>
      <c r="X168" s="10"/>
      <c r="Y168" s="10"/>
      <c r="Z168" s="10"/>
      <c r="AA168" s="2"/>
      <c r="AB168" s="2"/>
      <c r="AC168" s="2"/>
      <c r="AD168" s="2"/>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row>
    <row r="169" spans="1:142" s="6" customFormat="1" ht="15" customHeight="1" x14ac:dyDescent="0.2">
      <c r="A169" s="2"/>
      <c r="B169" s="282" t="s">
        <v>1516</v>
      </c>
      <c r="C169" s="1241"/>
      <c r="D169" s="1242"/>
      <c r="E169" s="1242"/>
      <c r="F169" s="1242"/>
      <c r="G169" s="1242"/>
      <c r="H169" s="1242"/>
      <c r="I169" s="1242"/>
      <c r="J169" s="1242"/>
      <c r="K169" s="1242"/>
      <c r="L169" s="1224"/>
      <c r="M169" s="1225"/>
      <c r="N169" s="1226"/>
      <c r="O169" s="67">
        <f>IF(C169=T169,0.45,IF(C169=U169,0.3,IF(C169=V169,0.45,0)))</f>
        <v>0</v>
      </c>
      <c r="P169" s="831"/>
      <c r="Q169" s="2"/>
      <c r="R169" s="947" t="s">
        <v>2147</v>
      </c>
      <c r="S169" s="50" t="s">
        <v>1901</v>
      </c>
      <c r="T169" s="50" t="s">
        <v>1517</v>
      </c>
      <c r="U169" s="256" t="s">
        <v>1518</v>
      </c>
      <c r="V169" s="50" t="s">
        <v>1519</v>
      </c>
      <c r="W169" s="10"/>
      <c r="X169" s="10"/>
      <c r="Y169" s="10"/>
      <c r="Z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row>
    <row r="170" spans="1:142" s="6" customFormat="1" ht="15" customHeight="1" x14ac:dyDescent="0.2">
      <c r="A170" s="2"/>
      <c r="B170" s="274" t="s">
        <v>1673</v>
      </c>
      <c r="C170" s="1222"/>
      <c r="D170" s="1238"/>
      <c r="E170" s="1238"/>
      <c r="F170" s="1238"/>
      <c r="G170" s="1238"/>
      <c r="H170" s="1238"/>
      <c r="I170" s="1238"/>
      <c r="J170" s="1238"/>
      <c r="K170" s="1238"/>
      <c r="L170" s="1032"/>
      <c r="M170" s="1033"/>
      <c r="N170" s="1034"/>
      <c r="O170" s="64">
        <f>IF(C170=T170,0.8,IF(C170=U170,0.45,IF(C170=V170,0.8,0)))</f>
        <v>0</v>
      </c>
      <c r="P170" s="831"/>
      <c r="Q170" s="2"/>
      <c r="R170" s="947"/>
      <c r="S170" s="50" t="s">
        <v>1901</v>
      </c>
      <c r="T170" s="50" t="s">
        <v>1517</v>
      </c>
      <c r="U170" s="256" t="s">
        <v>1518</v>
      </c>
      <c r="V170" s="50" t="s">
        <v>1519</v>
      </c>
      <c r="W170" s="10"/>
      <c r="X170" s="10"/>
      <c r="Y170" s="10"/>
      <c r="Z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row>
    <row r="171" spans="1:142" s="6" customFormat="1" ht="12" customHeight="1" x14ac:dyDescent="0.25">
      <c r="A171" s="2"/>
      <c r="B171" s="1240"/>
      <c r="C171" s="1183"/>
      <c r="D171" s="1183"/>
      <c r="E171" s="1183"/>
      <c r="F171" s="1183"/>
      <c r="G171" s="1183"/>
      <c r="H171" s="1183"/>
      <c r="I171" s="1183"/>
      <c r="J171" s="1183"/>
      <c r="K171" s="1183"/>
      <c r="L171" s="1183"/>
      <c r="M171" s="1183"/>
      <c r="N171" s="1183"/>
      <c r="O171" s="1183"/>
      <c r="P171" s="831"/>
      <c r="Q171" s="2"/>
      <c r="R171" s="10"/>
      <c r="S171" s="58"/>
      <c r="T171" s="58"/>
      <c r="U171" s="58"/>
      <c r="V171" s="10"/>
      <c r="W171" s="10"/>
      <c r="X171" s="10"/>
      <c r="Y171" s="10"/>
      <c r="Z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row>
    <row r="172" spans="1:142" s="6" customFormat="1" ht="28.5" customHeight="1" x14ac:dyDescent="0.2">
      <c r="A172" s="2"/>
      <c r="B172" s="198"/>
      <c r="C172" s="944" t="s">
        <v>1564</v>
      </c>
      <c r="D172" s="945"/>
      <c r="E172" s="945"/>
      <c r="F172" s="945"/>
      <c r="G172" s="912" t="s">
        <v>1064</v>
      </c>
      <c r="H172" s="912"/>
      <c r="I172" s="912"/>
      <c r="J172" s="912"/>
      <c r="K172" s="912"/>
      <c r="L172" s="1065"/>
      <c r="M172" s="1004"/>
      <c r="N172" s="1004"/>
      <c r="O172" s="1004"/>
      <c r="P172" s="831"/>
      <c r="Q172" s="2"/>
      <c r="R172" s="2"/>
      <c r="S172" s="2"/>
      <c r="T172" s="912" t="s">
        <v>1238</v>
      </c>
      <c r="U172" s="912"/>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row>
    <row r="173" spans="1:142" s="6" customFormat="1" ht="15" customHeight="1" x14ac:dyDescent="0.2">
      <c r="A173" s="2"/>
      <c r="B173" s="127" t="s">
        <v>1802</v>
      </c>
      <c r="C173" s="910" t="s">
        <v>355</v>
      </c>
      <c r="D173" s="910"/>
      <c r="E173" s="910" t="s">
        <v>1759</v>
      </c>
      <c r="F173" s="910"/>
      <c r="G173" s="830" t="s">
        <v>355</v>
      </c>
      <c r="H173" s="830"/>
      <c r="I173" s="830"/>
      <c r="J173" s="830" t="s">
        <v>1759</v>
      </c>
      <c r="K173" s="830"/>
      <c r="L173" s="1003"/>
      <c r="M173" s="1003"/>
      <c r="N173" s="1003"/>
      <c r="O173" s="1003"/>
      <c r="P173" s="831"/>
      <c r="Q173" s="2"/>
      <c r="S173" s="50" t="s">
        <v>1541</v>
      </c>
      <c r="T173" s="256" t="s">
        <v>1564</v>
      </c>
      <c r="U173" s="256" t="s">
        <v>1565</v>
      </c>
      <c r="V173" s="910" t="s">
        <v>1066</v>
      </c>
      <c r="W173" s="910"/>
      <c r="X173" s="2"/>
      <c r="Y173" s="10"/>
      <c r="Z173" s="10"/>
      <c r="AA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row>
    <row r="174" spans="1:142" s="6" customFormat="1" ht="15" customHeight="1" x14ac:dyDescent="0.2">
      <c r="A174" s="2"/>
      <c r="B174" s="294" t="s">
        <v>1312</v>
      </c>
      <c r="C174" s="1035"/>
      <c r="D174" s="1035"/>
      <c r="E174" s="1171">
        <f>LETable!AJ30</f>
        <v>0</v>
      </c>
      <c r="F174" s="1171"/>
      <c r="G174" s="694"/>
      <c r="H174" s="694"/>
      <c r="I174" s="694"/>
      <c r="J174" s="1178">
        <f>IF(C174="",0,IF(OR(C174&lt;=0,G174&lt;=0),E174,IF(G174&lt;C174,0,LETable!AO30)))</f>
        <v>0</v>
      </c>
      <c r="K174" s="1178"/>
      <c r="L174" s="1232" t="str">
        <f>IF(OR(C174="NA",G174="NA"),"",IF(AND(C174&lt;&gt;"",G174=""),"Enter contralateral or NA.",IF(AND(C174="",G174&lt;&gt;""),"Need data","")))</f>
        <v/>
      </c>
      <c r="M174" s="1232"/>
      <c r="N174" s="1232"/>
      <c r="O174" s="1233"/>
      <c r="P174" s="831"/>
      <c r="Q174" s="2"/>
      <c r="R174" s="10"/>
      <c r="S174" s="50">
        <v>40</v>
      </c>
      <c r="T174" s="50" t="str">
        <f>IF(OR(C174="",C174="NA"),"",IF(C174&gt;S174,S174,IF(C174&lt;0,0,C174)))</f>
        <v/>
      </c>
      <c r="U174" s="50" t="str">
        <f>IF(OR(G174="",G174="NA"),"",IF(G174&gt;S174,S174,IF(G174&lt;0,0,G174)))</f>
        <v/>
      </c>
      <c r="V174" s="553" t="str">
        <f>IF(W174="","",ROUND(W174,0))</f>
        <v/>
      </c>
      <c r="W174" s="554" t="str">
        <f>IF(T174="","",IF(OR(U174="",U174=0,U174&lt;T174),T174,(T174*S174)/U174))</f>
        <v/>
      </c>
      <c r="X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row>
    <row r="175" spans="1:142" s="6" customFormat="1" ht="15" customHeight="1" x14ac:dyDescent="0.2">
      <c r="A175" s="2"/>
      <c r="B175" s="294" t="s">
        <v>1313</v>
      </c>
      <c r="C175" s="1227"/>
      <c r="D175" s="1227"/>
      <c r="E175" s="1171">
        <f>IF(AND(C175&lt;&gt;"",C175&lt;&gt;"NA",C174&lt;&gt;"NA",C174&lt;&gt;""),"ERROR",IF(AND(C175&lt;&gt;"",C175&lt;&gt;"NA",C176&lt;&gt;"",C176&lt;&gt;"NA"),"ERROR",LETable!AJ31))</f>
        <v>0</v>
      </c>
      <c r="F175" s="1171"/>
      <c r="G175" s="930" t="str">
        <f>IF(E175="ERROR","Error: Cannot rate ROM and ankylosis.","")</f>
        <v/>
      </c>
      <c r="H175" s="930"/>
      <c r="I175" s="930"/>
      <c r="J175" s="930"/>
      <c r="K175" s="930"/>
      <c r="L175" s="930"/>
      <c r="M175" s="930"/>
      <c r="N175" s="930"/>
      <c r="O175" s="931"/>
      <c r="P175" s="831"/>
      <c r="Q175" s="2"/>
      <c r="R175" s="10"/>
      <c r="S175" s="50">
        <v>40</v>
      </c>
      <c r="T175" s="50" t="str">
        <f>IF(OR(C175="",C175="NA"),"",IF(C175&gt;S175,S175,IF(C175&lt;0,0,C175)))</f>
        <v/>
      </c>
      <c r="U175" s="10"/>
      <c r="V175" s="10"/>
      <c r="W175" s="10"/>
      <c r="X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row>
    <row r="176" spans="1:142" s="6" customFormat="1" ht="15" customHeight="1" x14ac:dyDescent="0.2">
      <c r="A176" s="2"/>
      <c r="B176" s="127" t="s">
        <v>1237</v>
      </c>
      <c r="C176" s="1227"/>
      <c r="D176" s="1227"/>
      <c r="E176" s="1171">
        <f>LETable!AJ32</f>
        <v>0</v>
      </c>
      <c r="F176" s="1171"/>
      <c r="G176" s="694"/>
      <c r="H176" s="694"/>
      <c r="I176" s="694"/>
      <c r="J176" s="1178">
        <f>IF(C176="",0,IF(OR(C176&lt;=0,G176&lt;=0),E176,IF(G176&lt;C176,0,LETable!AO32)))</f>
        <v>0</v>
      </c>
      <c r="K176" s="1178"/>
      <c r="L176" s="1232" t="str">
        <f>IF(OR(C176="NA",G176="NA"),"",IF(AND(C176&lt;&gt;"",G176=""),"Enter contralateral or NA.",IF(AND(C176="",G176&lt;&gt;""),"Need data","")))</f>
        <v/>
      </c>
      <c r="M176" s="1232"/>
      <c r="N176" s="1232"/>
      <c r="O176" s="1233"/>
      <c r="P176" s="831"/>
      <c r="Q176" s="2"/>
      <c r="R176" s="10"/>
      <c r="S176" s="50">
        <v>30</v>
      </c>
      <c r="T176" s="50" t="str">
        <f>IF(OR(C176="",C176="NA"),"",IF(C176&gt;S176,S176,IF(C176&lt;0,0,C176)))</f>
        <v/>
      </c>
      <c r="U176" s="50" t="str">
        <f>IF(OR(G176="",G176="NA"),"",IF(G176&gt;S176,S176,IF(G176&lt;0,0,G176)))</f>
        <v/>
      </c>
      <c r="V176" s="553" t="str">
        <f>IF(W176="","",ROUND(W176,0))</f>
        <v/>
      </c>
      <c r="W176" s="554" t="str">
        <f>IF(T176="","",IF(OR(U176="",U176=0,U176&lt;T176),T176,(T176*S176)/U176))</f>
        <v/>
      </c>
      <c r="X176" s="10"/>
      <c r="Y176" s="50" t="s">
        <v>2171</v>
      </c>
      <c r="Z176" s="50" t="s">
        <v>1285</v>
      </c>
      <c r="AA176" s="50" t="s">
        <v>1286</v>
      </c>
      <c r="AB176" s="50" t="s">
        <v>1287</v>
      </c>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row>
    <row r="177" spans="1:142" s="6" customFormat="1" ht="15" customHeight="1" x14ac:dyDescent="0.2">
      <c r="A177" s="2"/>
      <c r="B177" s="293" t="s">
        <v>1801</v>
      </c>
      <c r="C177" s="1222"/>
      <c r="D177" s="1223"/>
      <c r="E177" s="1171">
        <f>IF(AND(C177&lt;&gt;"",C177&lt;&gt;"NA",C176&lt;&gt;"NA",C176&lt;&gt;""),"ERROR",IF(AND(C177&lt;&gt;"",C177&lt;&gt;"NA",C174&lt;&gt;"",C174&lt;&gt;"NA"),"ERROR",LETable!AJ33))</f>
        <v>0</v>
      </c>
      <c r="F177" s="1171"/>
      <c r="G177" s="1172" t="str">
        <f>IF(E177="ERROR","Error: Cannot rate ROM and ankylosis.",IF(AND(C175&lt;&gt;"",C175&lt;&gt;"NA",C177&lt;&gt;"",C177&lt;&gt;"NA"),"Multiple ankylosis values; use higher value only.",""))</f>
        <v/>
      </c>
      <c r="H177" s="1173"/>
      <c r="I177" s="1173"/>
      <c r="J177" s="1173"/>
      <c r="K177" s="1173"/>
      <c r="L177" s="1173"/>
      <c r="M177" s="1173"/>
      <c r="N177" s="1173"/>
      <c r="O177" s="1174"/>
      <c r="P177" s="831"/>
      <c r="Q177" s="2"/>
      <c r="R177" s="10"/>
      <c r="S177" s="50">
        <v>30</v>
      </c>
      <c r="T177" s="50" t="str">
        <f>IF(OR(C177="",C177="NA"),"",IF(C177&gt;S177,S177,IF(C177&lt;0,0,C177)))</f>
        <v/>
      </c>
      <c r="U177" s="10"/>
      <c r="V177" s="10"/>
      <c r="W177" s="10"/>
      <c r="X177" s="10"/>
      <c r="Y177" s="192">
        <f>O169</f>
        <v>0</v>
      </c>
      <c r="Z177" s="147">
        <f>LARGE($Y$177:$Y$179,1)</f>
        <v>0</v>
      </c>
      <c r="AA177" s="544">
        <f>Z177+Z178*(1-Z177)</f>
        <v>0</v>
      </c>
      <c r="AB177" s="548">
        <f>ROUND(AA177,2)</f>
        <v>0</v>
      </c>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row>
    <row r="178" spans="1:142" s="6" customFormat="1" ht="21" customHeight="1" x14ac:dyDescent="0.2">
      <c r="A178" s="2"/>
      <c r="B178" s="1122"/>
      <c r="C178" s="1122"/>
      <c r="D178" s="1122"/>
      <c r="E178" s="1122"/>
      <c r="F178" s="1122"/>
      <c r="G178" s="1122"/>
      <c r="H178" s="1122"/>
      <c r="I178" s="1122"/>
      <c r="J178" s="1122"/>
      <c r="K178" s="1006" t="s">
        <v>1803</v>
      </c>
      <c r="L178" s="1007"/>
      <c r="M178" s="1007"/>
      <c r="N178" s="1008"/>
      <c r="O178" s="59">
        <f>IF(OR(E175="ERROR",E177="ERROR"),"ERROR",IF(R178&gt;1,1,R178))</f>
        <v>0</v>
      </c>
      <c r="P178" s="832"/>
      <c r="Q178" s="2"/>
      <c r="R178" s="192">
        <f>SUM(J174,J176,W178)</f>
        <v>0</v>
      </c>
      <c r="S178" s="10"/>
      <c r="T178" s="10"/>
      <c r="U178" s="10"/>
      <c r="V178" s="10"/>
      <c r="W178" s="581">
        <f>IF(AND(E175&lt;&gt;"ERROR",E177&lt;&gt;"ERROR",C177&lt;&gt;"",E177&lt;&gt;""),MAX(E175,E177),E175+E177)</f>
        <v>0</v>
      </c>
      <c r="X178" s="10"/>
      <c r="Y178" s="192">
        <f>O170</f>
        <v>0</v>
      </c>
      <c r="Z178" s="147">
        <f>LARGE($Y$177:$Y$179,2)</f>
        <v>0</v>
      </c>
      <c r="AA178" s="544">
        <f>AB177+Z179*(1-AB177)</f>
        <v>0</v>
      </c>
      <c r="AB178" s="548">
        <f>ROUND(AA178,2)</f>
        <v>0</v>
      </c>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row>
    <row r="179" spans="1:142" s="6" customFormat="1" ht="21" customHeight="1" x14ac:dyDescent="0.2">
      <c r="A179" s="2"/>
      <c r="B179" s="1122"/>
      <c r="C179" s="1122"/>
      <c r="D179" s="1122"/>
      <c r="E179" s="1122"/>
      <c r="F179" s="1122"/>
      <c r="G179" s="1122"/>
      <c r="H179" s="1122"/>
      <c r="I179" s="1122"/>
      <c r="J179" s="1122"/>
      <c r="K179" s="1006" t="s">
        <v>424</v>
      </c>
      <c r="L179" s="1007"/>
      <c r="M179" s="1007"/>
      <c r="N179" s="1007"/>
      <c r="O179" s="1008"/>
      <c r="P179" s="245">
        <f>IF(O178="ERROR","ERROR",AB178)</f>
        <v>0</v>
      </c>
      <c r="Q179" s="2"/>
      <c r="R179" s="10"/>
      <c r="S179" s="10"/>
      <c r="T179" s="10"/>
      <c r="U179" s="10"/>
      <c r="V179" s="10"/>
      <c r="W179" s="10"/>
      <c r="X179" s="10"/>
      <c r="Y179" s="192">
        <f>IF(AND(O178&lt;0.01,O178&gt;0),0.01,ROUND(O178,2))</f>
        <v>0</v>
      </c>
      <c r="Z179" s="147">
        <f>LARGE($Y$177:$Y$179,3)</f>
        <v>0</v>
      </c>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row>
    <row r="180" spans="1:142" s="6" customFormat="1" ht="12" customHeight="1" x14ac:dyDescent="0.25">
      <c r="A180" s="2"/>
      <c r="B180" s="1183"/>
      <c r="C180" s="1183"/>
      <c r="D180" s="1183"/>
      <c r="E180" s="1183"/>
      <c r="F180" s="1183"/>
      <c r="G180" s="1183"/>
      <c r="H180" s="1183"/>
      <c r="I180" s="1183"/>
      <c r="J180" s="1183"/>
      <c r="K180" s="1183"/>
      <c r="L180" s="1183"/>
      <c r="M180" s="1183"/>
      <c r="N180" s="1183"/>
      <c r="O180" s="1183"/>
      <c r="P180" s="379"/>
      <c r="Q180" s="2"/>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row>
    <row r="181" spans="1:142" s="6" customFormat="1" ht="15" customHeight="1" x14ac:dyDescent="0.25">
      <c r="A181" s="2"/>
      <c r="B181" s="944" t="s">
        <v>1958</v>
      </c>
      <c r="C181" s="945"/>
      <c r="D181" s="945"/>
      <c r="E181" s="945"/>
      <c r="F181" s="945"/>
      <c r="G181" s="945"/>
      <c r="H181" s="945"/>
      <c r="I181" s="945"/>
      <c r="J181" s="945"/>
      <c r="K181" s="945"/>
      <c r="L181" s="945"/>
      <c r="M181" s="945"/>
      <c r="N181" s="945"/>
      <c r="O181" s="945"/>
      <c r="P181" s="380"/>
      <c r="Q181" s="2"/>
      <c r="R181" s="10"/>
      <c r="S181" s="863" t="s">
        <v>2147</v>
      </c>
      <c r="T181" s="863"/>
      <c r="U181" s="863"/>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row>
    <row r="182" spans="1:142" s="6" customFormat="1" ht="15" customHeight="1" x14ac:dyDescent="0.2">
      <c r="A182" s="2"/>
      <c r="B182" s="304" t="s">
        <v>1971</v>
      </c>
      <c r="C182" s="922"/>
      <c r="D182" s="922"/>
      <c r="E182" s="922"/>
      <c r="F182" s="922"/>
      <c r="G182" s="922"/>
      <c r="H182" s="922"/>
      <c r="I182" s="922"/>
      <c r="J182" s="922"/>
      <c r="K182" s="922"/>
      <c r="L182" s="922"/>
      <c r="M182" s="922"/>
      <c r="N182" s="922"/>
      <c r="O182" s="71"/>
      <c r="P182" s="21">
        <f>IF($W$238&gt;0,0,R182)</f>
        <v>0</v>
      </c>
      <c r="Q182" s="2"/>
      <c r="R182" s="147">
        <f>IF(C182=S182,0,IF(C182=T182,0.05,IF(C182=U182,0.1,0)))</f>
        <v>0</v>
      </c>
      <c r="S182" s="50" t="s">
        <v>1901</v>
      </c>
      <c r="T182" s="50" t="s">
        <v>1748</v>
      </c>
      <c r="U182" s="50" t="s">
        <v>1749</v>
      </c>
      <c r="V182" s="97"/>
      <c r="W182" s="96"/>
      <c r="X182" s="132"/>
      <c r="Y182" s="1234"/>
      <c r="Z182" s="61"/>
      <c r="AA182" s="61"/>
      <c r="AB182" s="62"/>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row>
    <row r="183" spans="1:142" s="6" customFormat="1" ht="15" customHeight="1" x14ac:dyDescent="0.2">
      <c r="A183" s="2"/>
      <c r="B183" s="304" t="s">
        <v>1972</v>
      </c>
      <c r="C183" s="922"/>
      <c r="D183" s="922"/>
      <c r="E183" s="922"/>
      <c r="F183" s="922"/>
      <c r="G183" s="922"/>
      <c r="H183" s="922"/>
      <c r="I183" s="922"/>
      <c r="J183" s="922"/>
      <c r="K183" s="922"/>
      <c r="L183" s="922"/>
      <c r="M183" s="922"/>
      <c r="N183" s="922"/>
      <c r="O183" s="71"/>
      <c r="P183" s="21">
        <f>IF($W$238&gt;0,0,R183)</f>
        <v>0</v>
      </c>
      <c r="Q183" s="2"/>
      <c r="R183" s="147">
        <f>IF(C183=S183,0,IF(C183=T183,0.05,IF(C183=U183,0.1,0)))</f>
        <v>0</v>
      </c>
      <c r="S183" s="50" t="s">
        <v>1901</v>
      </c>
      <c r="T183" s="50" t="s">
        <v>1956</v>
      </c>
      <c r="U183" s="50" t="s">
        <v>1957</v>
      </c>
      <c r="V183" s="97"/>
      <c r="W183" s="96"/>
      <c r="X183" s="132"/>
      <c r="Y183" s="1234"/>
      <c r="Z183" s="61"/>
      <c r="AA183" s="61"/>
      <c r="AB183" s="62"/>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row>
    <row r="184" spans="1:142" s="6" customFormat="1" ht="26.25" customHeight="1" x14ac:dyDescent="0.2">
      <c r="A184" s="2"/>
      <c r="B184" s="1085" t="str">
        <f>IF(AND(OR(R182&gt;0,R183&gt;0),$W$238&gt;0),"A value has been given for loss of sensation or hypersensitivity in the foot. No additional value is allowed for the toes.","")</f>
        <v/>
      </c>
      <c r="C184" s="1085"/>
      <c r="D184" s="1085"/>
      <c r="E184" s="1085"/>
      <c r="F184" s="1085"/>
      <c r="G184" s="1085"/>
      <c r="H184" s="1085"/>
      <c r="I184" s="1085"/>
      <c r="J184" s="1085"/>
      <c r="K184" s="1085"/>
      <c r="L184" s="1085"/>
      <c r="M184" s="1085"/>
      <c r="N184" s="1085"/>
      <c r="O184" s="1085"/>
      <c r="P184" s="523"/>
      <c r="Q184" s="2"/>
      <c r="R184" s="10"/>
      <c r="S184" s="14"/>
      <c r="T184" s="14"/>
      <c r="U184" s="14"/>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row>
    <row r="185" spans="1:142" s="6" customFormat="1" ht="12" customHeight="1" x14ac:dyDescent="0.25">
      <c r="A185" s="2"/>
      <c r="B185" s="697"/>
      <c r="C185" s="777"/>
      <c r="D185" s="777"/>
      <c r="E185" s="777"/>
      <c r="F185" s="777"/>
      <c r="G185" s="777"/>
      <c r="H185" s="777"/>
      <c r="I185" s="777"/>
      <c r="J185" s="777"/>
      <c r="K185" s="777"/>
      <c r="L185" s="777"/>
      <c r="M185" s="777"/>
      <c r="N185" s="777"/>
      <c r="O185" s="777"/>
      <c r="P185" s="63"/>
      <c r="Q185" s="2"/>
      <c r="R185" s="10"/>
      <c r="S185" s="10"/>
      <c r="Y185" s="10"/>
      <c r="Z185" s="724"/>
      <c r="AA185" s="724"/>
      <c r="AB185" s="724"/>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row>
    <row r="186" spans="1:142" s="6" customFormat="1" ht="15" customHeight="1" x14ac:dyDescent="0.2">
      <c r="A186" s="2"/>
      <c r="B186" s="761" t="s">
        <v>1975</v>
      </c>
      <c r="C186" s="761"/>
      <c r="D186" s="761"/>
      <c r="E186" s="761"/>
      <c r="F186" s="761"/>
      <c r="G186" s="761"/>
      <c r="H186" s="761"/>
      <c r="I186" s="761"/>
      <c r="J186" s="761"/>
      <c r="K186" s="761"/>
      <c r="L186" s="761"/>
      <c r="M186" s="761"/>
      <c r="N186" s="694"/>
      <c r="O186" s="694"/>
      <c r="P186" s="21">
        <f>IF(N186=T186,0.03,IF(N186=U186,0.15,IF(N186=V186,0.38,IF(N186=W186,0.68,IF(N186=X186,0.9,0)))))</f>
        <v>0</v>
      </c>
      <c r="Q186" s="2"/>
      <c r="R186" s="863" t="s">
        <v>2147</v>
      </c>
      <c r="S186" s="863"/>
      <c r="T186" s="50" t="s">
        <v>1928</v>
      </c>
      <c r="U186" s="50" t="s">
        <v>1929</v>
      </c>
      <c r="V186" s="147" t="s">
        <v>1931</v>
      </c>
      <c r="W186" s="50" t="s">
        <v>929</v>
      </c>
      <c r="X186" s="147" t="s">
        <v>545</v>
      </c>
      <c r="Y186" s="10"/>
      <c r="Z186" s="724"/>
      <c r="AA186" s="724"/>
      <c r="AB186" s="724"/>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row>
    <row r="187" spans="1:142" s="6" customFormat="1" ht="12" customHeight="1" x14ac:dyDescent="0.25">
      <c r="A187" s="2"/>
      <c r="B187" s="521"/>
      <c r="C187" s="521"/>
      <c r="D187" s="521"/>
      <c r="E187" s="521"/>
      <c r="F187" s="521"/>
      <c r="G187" s="521"/>
      <c r="H187" s="521"/>
      <c r="I187" s="521"/>
      <c r="J187" s="521"/>
      <c r="K187" s="521"/>
      <c r="L187" s="521"/>
      <c r="M187" s="521"/>
      <c r="N187" s="521"/>
      <c r="O187" s="521"/>
      <c r="P187" s="63"/>
      <c r="Q187" s="2"/>
      <c r="R187" s="10"/>
      <c r="S187" s="14"/>
      <c r="T187" s="14"/>
      <c r="U187" s="14"/>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row>
    <row r="188" spans="1:142" s="6" customFormat="1" ht="18" customHeight="1" x14ac:dyDescent="0.2">
      <c r="A188" s="15"/>
      <c r="B188" s="256" t="s">
        <v>1676</v>
      </c>
      <c r="C188" s="995"/>
      <c r="D188" s="997"/>
      <c r="E188" s="742" t="s">
        <v>1677</v>
      </c>
      <c r="F188" s="743"/>
      <c r="G188" s="743"/>
      <c r="H188" s="743"/>
      <c r="I188" s="743"/>
      <c r="J188" s="743"/>
      <c r="K188" s="743"/>
      <c r="L188" s="743"/>
      <c r="M188" s="743"/>
      <c r="N188" s="743"/>
      <c r="O188" s="744"/>
      <c r="P188" s="245">
        <f>IF(T188=1,0.15,0)</f>
        <v>0</v>
      </c>
      <c r="Q188" s="2"/>
      <c r="R188" s="10"/>
      <c r="S188" s="561" t="b">
        <v>0</v>
      </c>
      <c r="T188" s="50">
        <f>IF(S188=TRUE,1,0)</f>
        <v>0</v>
      </c>
      <c r="U188" s="10"/>
      <c r="V188" s="10"/>
      <c r="W188" s="10">
        <v>1E-4</v>
      </c>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row>
    <row r="189" spans="1:142" s="6" customFormat="1" ht="18" customHeight="1" x14ac:dyDescent="0.2">
      <c r="A189" s="2"/>
      <c r="B189" s="256" t="s">
        <v>1678</v>
      </c>
      <c r="C189" s="995"/>
      <c r="D189" s="997"/>
      <c r="E189" s="742" t="s">
        <v>1679</v>
      </c>
      <c r="F189" s="743"/>
      <c r="G189" s="743"/>
      <c r="H189" s="743"/>
      <c r="I189" s="743"/>
      <c r="J189" s="743"/>
      <c r="K189" s="743"/>
      <c r="L189" s="743"/>
      <c r="M189" s="743"/>
      <c r="N189" s="743"/>
      <c r="O189" s="744"/>
      <c r="P189" s="245">
        <f>IF(T189=1,0.25,0)</f>
        <v>0</v>
      </c>
      <c r="Q189" s="2"/>
      <c r="R189" s="10"/>
      <c r="S189" s="561" t="b">
        <v>0</v>
      </c>
      <c r="T189" s="50">
        <f>IF(S189=TRUE,1,0)</f>
        <v>0</v>
      </c>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row>
    <row r="190" spans="1:142" s="6" customFormat="1" ht="18" customHeight="1" x14ac:dyDescent="0.2">
      <c r="A190" s="2"/>
      <c r="B190" s="381" t="s">
        <v>613</v>
      </c>
      <c r="C190" s="1018"/>
      <c r="D190" s="1018"/>
      <c r="E190" s="941" t="s">
        <v>614</v>
      </c>
      <c r="F190" s="942"/>
      <c r="G190" s="942"/>
      <c r="H190" s="942"/>
      <c r="I190" s="942"/>
      <c r="J190" s="942"/>
      <c r="K190" s="942"/>
      <c r="L190" s="942"/>
      <c r="M190" s="942"/>
      <c r="N190" s="942"/>
      <c r="O190" s="943"/>
      <c r="P190" s="275">
        <f>IF(T190=1,0.25,0)</f>
        <v>0</v>
      </c>
      <c r="Q190" s="2"/>
      <c r="R190" s="10"/>
      <c r="S190" s="561" t="b">
        <v>0</v>
      </c>
      <c r="T190" s="50">
        <f>IF(S190=TRUE,1,0)</f>
        <v>0</v>
      </c>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row>
    <row r="191" spans="1:142" s="6" customFormat="1" ht="12" customHeight="1" x14ac:dyDescent="0.2">
      <c r="A191" s="2"/>
      <c r="B191" s="1221"/>
      <c r="C191" s="1221"/>
      <c r="D191" s="1221"/>
      <c r="E191" s="1221"/>
      <c r="F191" s="1221"/>
      <c r="G191" s="1221"/>
      <c r="H191" s="1221"/>
      <c r="I191" s="1221"/>
      <c r="J191" s="1221"/>
      <c r="K191" s="1221"/>
      <c r="L191" s="1221"/>
      <c r="M191" s="1221"/>
      <c r="N191" s="1221"/>
      <c r="O191" s="1221"/>
      <c r="P191" s="2"/>
      <c r="Q191" s="2"/>
      <c r="R191" s="10"/>
      <c r="S191" s="10"/>
      <c r="T191" s="10"/>
      <c r="U191" s="10"/>
      <c r="V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row>
    <row r="192" spans="1:142" s="6" customFormat="1" ht="27" customHeight="1" x14ac:dyDescent="0.2">
      <c r="A192" s="2"/>
      <c r="B192" s="741" t="s">
        <v>1126</v>
      </c>
      <c r="C192" s="741"/>
      <c r="D192" s="741"/>
      <c r="E192" s="741"/>
      <c r="F192" s="741"/>
      <c r="G192" s="912" t="s">
        <v>1495</v>
      </c>
      <c r="H192" s="910"/>
      <c r="I192" s="910"/>
      <c r="J192" s="910"/>
      <c r="K192" s="910"/>
      <c r="L192" s="1217"/>
      <c r="M192" s="1218"/>
      <c r="N192" s="1218"/>
      <c r="O192" s="1219"/>
      <c r="P192" s="857">
        <f>IF(J201&gt;0,J201,V199)</f>
        <v>0</v>
      </c>
      <c r="Q192" s="2"/>
      <c r="R192" s="10"/>
      <c r="S192" s="50" t="s">
        <v>1826</v>
      </c>
      <c r="T192" s="50" t="s">
        <v>1285</v>
      </c>
      <c r="U192" s="50" t="s">
        <v>1286</v>
      </c>
      <c r="V192" s="50" t="s">
        <v>1287</v>
      </c>
      <c r="W192" s="50" t="s">
        <v>498</v>
      </c>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row>
    <row r="193" spans="1:142" s="6" customFormat="1" ht="18" customHeight="1" x14ac:dyDescent="0.2">
      <c r="A193" s="2"/>
      <c r="B193" s="791" t="s">
        <v>615</v>
      </c>
      <c r="C193" s="791"/>
      <c r="D193" s="791"/>
      <c r="E193" s="755">
        <f>P166</f>
        <v>0</v>
      </c>
      <c r="F193" s="731"/>
      <c r="G193" s="1005"/>
      <c r="H193" s="1005"/>
      <c r="I193" s="1005"/>
      <c r="J193" s="1151">
        <f t="shared" ref="J193:J194" si="31">IF(AND(W193&lt;0.01,W193&gt;0),0.01,ROUND(W193,2))</f>
        <v>0</v>
      </c>
      <c r="K193" s="1151"/>
      <c r="L193" s="1217"/>
      <c r="M193" s="1218"/>
      <c r="N193" s="1218"/>
      <c r="O193" s="1219"/>
      <c r="P193" s="961"/>
      <c r="Q193" s="2"/>
      <c r="R193" s="10"/>
      <c r="S193" s="147">
        <f t="shared" ref="S193:S195" si="32">IF(J193&gt;0,J193,E193)</f>
        <v>0</v>
      </c>
      <c r="T193" s="147">
        <f>LARGE($S$193:$S$200,1)</f>
        <v>0</v>
      </c>
      <c r="U193" s="544">
        <f>T193+T194*(1-T193)</f>
        <v>0</v>
      </c>
      <c r="V193" s="548">
        <f t="shared" ref="V193:V199" si="33">ROUND(U193,2)</f>
        <v>0</v>
      </c>
      <c r="W193" s="21">
        <f t="shared" ref="W193:W194" si="34">G193*E193</f>
        <v>0</v>
      </c>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row>
    <row r="194" spans="1:142" s="6" customFormat="1" ht="18" customHeight="1" x14ac:dyDescent="0.2">
      <c r="A194" s="2"/>
      <c r="B194" s="791" t="s">
        <v>1918</v>
      </c>
      <c r="C194" s="791"/>
      <c r="D194" s="791"/>
      <c r="E194" s="755">
        <f>IF(P426&gt;0,0,P179)</f>
        <v>0</v>
      </c>
      <c r="F194" s="731"/>
      <c r="G194" s="1005"/>
      <c r="H194" s="1005"/>
      <c r="I194" s="1005"/>
      <c r="J194" s="1151">
        <f t="shared" si="31"/>
        <v>0</v>
      </c>
      <c r="K194" s="1151"/>
      <c r="L194" s="1094"/>
      <c r="M194" s="1095"/>
      <c r="N194" s="1095"/>
      <c r="O194" s="1096"/>
      <c r="P194" s="961"/>
      <c r="Q194" s="2"/>
      <c r="R194" s="10"/>
      <c r="S194" s="147">
        <f t="shared" si="32"/>
        <v>0</v>
      </c>
      <c r="T194" s="147">
        <f>LARGE($S$193:$S$200,2)</f>
        <v>0</v>
      </c>
      <c r="U194" s="544">
        <f t="shared" ref="U194:U199" si="35">V193+T195*(1-V193)</f>
        <v>0</v>
      </c>
      <c r="V194" s="548">
        <f t="shared" si="33"/>
        <v>0</v>
      </c>
      <c r="W194" s="21">
        <f t="shared" si="34"/>
        <v>0</v>
      </c>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row>
    <row r="195" spans="1:142" s="6" customFormat="1" ht="18" customHeight="1" x14ac:dyDescent="0.2">
      <c r="A195" s="2"/>
      <c r="B195" s="791" t="s">
        <v>1976</v>
      </c>
      <c r="C195" s="791"/>
      <c r="D195" s="791"/>
      <c r="E195" s="755">
        <f>P182</f>
        <v>0</v>
      </c>
      <c r="F195" s="731"/>
      <c r="G195" s="1005"/>
      <c r="H195" s="1005"/>
      <c r="I195" s="1005"/>
      <c r="J195" s="1151">
        <f>IF(AND(W195&lt;0.01,W195&gt;0),0.01,ROUND(W195,2))</f>
        <v>0</v>
      </c>
      <c r="K195" s="1151"/>
      <c r="L195" s="623"/>
      <c r="M195" s="624"/>
      <c r="N195" s="624"/>
      <c r="O195" s="625"/>
      <c r="P195" s="961"/>
      <c r="Q195" s="2"/>
      <c r="R195" s="10"/>
      <c r="S195" s="147">
        <f t="shared" si="32"/>
        <v>0</v>
      </c>
      <c r="T195" s="147">
        <f>LARGE($S$193:$S$200,3)</f>
        <v>0</v>
      </c>
      <c r="U195" s="544">
        <f t="shared" si="35"/>
        <v>0</v>
      </c>
      <c r="V195" s="548">
        <f t="shared" si="33"/>
        <v>0</v>
      </c>
      <c r="W195" s="21">
        <f>G195*E195</f>
        <v>0</v>
      </c>
      <c r="X195" s="2"/>
      <c r="Y195" s="2"/>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row>
    <row r="196" spans="1:142" s="6" customFormat="1" ht="18" customHeight="1" x14ac:dyDescent="0.2">
      <c r="A196" s="2"/>
      <c r="B196" s="742" t="s">
        <v>1208</v>
      </c>
      <c r="C196" s="743"/>
      <c r="D196" s="744"/>
      <c r="E196" s="755">
        <f>P183</f>
        <v>0</v>
      </c>
      <c r="F196" s="731"/>
      <c r="G196" s="1005"/>
      <c r="H196" s="1005"/>
      <c r="I196" s="1005"/>
      <c r="J196" s="1151">
        <f>IF(AND(W196&lt;0.01,W196&gt;0),0.01,ROUND(W196,2))</f>
        <v>0</v>
      </c>
      <c r="K196" s="1151"/>
      <c r="L196" s="623"/>
      <c r="M196" s="624"/>
      <c r="N196" s="624"/>
      <c r="O196" s="625"/>
      <c r="P196" s="961"/>
      <c r="Q196" s="2"/>
      <c r="R196" s="10"/>
      <c r="S196" s="147">
        <f>IF(J196&gt;0,J196,E196)</f>
        <v>0</v>
      </c>
      <c r="T196" s="147">
        <f>LARGE($S$193:$S$200,4)</f>
        <v>0</v>
      </c>
      <c r="U196" s="544">
        <f t="shared" si="35"/>
        <v>0</v>
      </c>
      <c r="V196" s="548">
        <f t="shared" si="33"/>
        <v>0</v>
      </c>
      <c r="W196" s="21">
        <f t="shared" ref="W196:W200" si="36">G196*E196</f>
        <v>0</v>
      </c>
      <c r="X196" s="2"/>
      <c r="Y196" s="2"/>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row>
    <row r="197" spans="1:142" s="6" customFormat="1" ht="18" customHeight="1" x14ac:dyDescent="0.2">
      <c r="A197" s="2"/>
      <c r="B197" s="742" t="s">
        <v>1419</v>
      </c>
      <c r="C197" s="743"/>
      <c r="D197" s="744"/>
      <c r="E197" s="727">
        <f>P186</f>
        <v>0</v>
      </c>
      <c r="F197" s="729"/>
      <c r="G197" s="1005"/>
      <c r="H197" s="1005"/>
      <c r="I197" s="1005"/>
      <c r="J197" s="1151">
        <f>IF(AND(W197&lt;0.01,W197&gt;0),0.01,ROUND(W197,2))</f>
        <v>0</v>
      </c>
      <c r="K197" s="1151"/>
      <c r="L197" s="915" t="str">
        <f>IF(AND(P179&gt;0,$P$426&gt;0),"The worker has motor loss impairment. No additional impairment value is allowed for reduced range of motion in the same extremity.","")</f>
        <v/>
      </c>
      <c r="M197" s="916"/>
      <c r="N197" s="916"/>
      <c r="O197" s="917"/>
      <c r="P197" s="961"/>
      <c r="Q197" s="2"/>
      <c r="R197" s="10"/>
      <c r="S197" s="147">
        <f t="shared" ref="S197:S200" si="37">IF(J197&gt;0,J197,E197)</f>
        <v>0</v>
      </c>
      <c r="T197" s="147">
        <f>LARGE($S$193:$S$200,5)</f>
        <v>0</v>
      </c>
      <c r="U197" s="544">
        <f t="shared" si="35"/>
        <v>0</v>
      </c>
      <c r="V197" s="548">
        <f t="shared" si="33"/>
        <v>0</v>
      </c>
      <c r="W197" s="21">
        <f t="shared" si="36"/>
        <v>0</v>
      </c>
      <c r="X197" s="2"/>
      <c r="Y197" s="2"/>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row>
    <row r="198" spans="1:142" s="6" customFormat="1" ht="18" customHeight="1" x14ac:dyDescent="0.2">
      <c r="A198" s="2"/>
      <c r="B198" s="791" t="s">
        <v>1680</v>
      </c>
      <c r="C198" s="791"/>
      <c r="D198" s="791"/>
      <c r="E198" s="755">
        <f>P188</f>
        <v>0</v>
      </c>
      <c r="F198" s="731"/>
      <c r="G198" s="1005"/>
      <c r="H198" s="1005"/>
      <c r="I198" s="1005"/>
      <c r="J198" s="1151">
        <f t="shared" ref="J198:J200" si="38">IF(AND(W198&lt;0.01,W198&gt;0),0.01,ROUND(W198,2))</f>
        <v>0</v>
      </c>
      <c r="K198" s="1151"/>
      <c r="L198" s="915"/>
      <c r="M198" s="916"/>
      <c r="N198" s="916"/>
      <c r="O198" s="917"/>
      <c r="P198" s="961"/>
      <c r="Q198" s="2"/>
      <c r="R198" s="10"/>
      <c r="S198" s="147">
        <f t="shared" si="37"/>
        <v>0</v>
      </c>
      <c r="T198" s="147">
        <f>LARGE($S$193:$S$200,6)</f>
        <v>0</v>
      </c>
      <c r="U198" s="544">
        <f t="shared" si="35"/>
        <v>0</v>
      </c>
      <c r="V198" s="548">
        <f t="shared" si="33"/>
        <v>0</v>
      </c>
      <c r="W198" s="21">
        <f t="shared" si="36"/>
        <v>0</v>
      </c>
      <c r="X198" s="2"/>
      <c r="Y198" s="2"/>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row>
    <row r="199" spans="1:142" s="6" customFormat="1" ht="18" customHeight="1" x14ac:dyDescent="0.2">
      <c r="A199" s="2"/>
      <c r="B199" s="791" t="s">
        <v>1681</v>
      </c>
      <c r="C199" s="791"/>
      <c r="D199" s="791"/>
      <c r="E199" s="755">
        <f>P189</f>
        <v>0</v>
      </c>
      <c r="F199" s="755"/>
      <c r="G199" s="1005"/>
      <c r="H199" s="1005"/>
      <c r="I199" s="1005"/>
      <c r="J199" s="1151">
        <f t="shared" si="38"/>
        <v>0</v>
      </c>
      <c r="K199" s="1151"/>
      <c r="L199" s="915"/>
      <c r="M199" s="916"/>
      <c r="N199" s="916"/>
      <c r="O199" s="917"/>
      <c r="P199" s="961"/>
      <c r="Q199" s="2"/>
      <c r="R199" s="10"/>
      <c r="S199" s="147">
        <f t="shared" si="37"/>
        <v>0</v>
      </c>
      <c r="T199" s="147">
        <f>LARGE($S$193:$S$200,7)</f>
        <v>0</v>
      </c>
      <c r="U199" s="544">
        <f t="shared" si="35"/>
        <v>0</v>
      </c>
      <c r="V199" s="548">
        <f t="shared" si="33"/>
        <v>0</v>
      </c>
      <c r="W199" s="21">
        <f t="shared" si="36"/>
        <v>0</v>
      </c>
      <c r="X199" s="2"/>
      <c r="Y199" s="2"/>
      <c r="Z199" s="1"/>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row>
    <row r="200" spans="1:142" s="6" customFormat="1" ht="18" customHeight="1" x14ac:dyDescent="0.2">
      <c r="A200" s="2"/>
      <c r="B200" s="789" t="s">
        <v>1110</v>
      </c>
      <c r="C200" s="789"/>
      <c r="D200" s="789"/>
      <c r="E200" s="1022">
        <f>P190</f>
        <v>0</v>
      </c>
      <c r="F200" s="1022"/>
      <c r="G200" s="1005"/>
      <c r="H200" s="1005"/>
      <c r="I200" s="1005"/>
      <c r="J200" s="1151">
        <f t="shared" si="38"/>
        <v>0</v>
      </c>
      <c r="K200" s="1151"/>
      <c r="L200" s="915"/>
      <c r="M200" s="916"/>
      <c r="N200" s="916"/>
      <c r="O200" s="917"/>
      <c r="P200" s="961"/>
      <c r="Q200" s="2"/>
      <c r="R200" s="10"/>
      <c r="S200" s="147">
        <f t="shared" si="37"/>
        <v>0</v>
      </c>
      <c r="T200" s="147">
        <f>LARGE($S$193:$S$200,8)</f>
        <v>0</v>
      </c>
      <c r="U200" s="96"/>
      <c r="V200" s="128"/>
      <c r="W200" s="21">
        <f t="shared" si="36"/>
        <v>0</v>
      </c>
      <c r="X200" s="2"/>
      <c r="Y200" s="2"/>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row>
    <row r="201" spans="1:142" s="6" customFormat="1" ht="18" customHeight="1" x14ac:dyDescent="0.2">
      <c r="A201" s="2"/>
      <c r="B201" s="956" t="s">
        <v>1127</v>
      </c>
      <c r="C201" s="956"/>
      <c r="D201" s="956"/>
      <c r="E201" s="956"/>
      <c r="F201" s="956"/>
      <c r="G201" s="956"/>
      <c r="H201" s="956"/>
      <c r="I201" s="956"/>
      <c r="J201" s="956"/>
      <c r="K201" s="956"/>
      <c r="L201" s="956"/>
      <c r="M201" s="956"/>
      <c r="N201" s="956"/>
      <c r="O201" s="956"/>
      <c r="P201" s="962"/>
      <c r="Q201" s="2"/>
      <c r="R201" s="10"/>
      <c r="S201" s="14"/>
      <c r="T201" s="96"/>
      <c r="U201" s="128"/>
      <c r="V201" s="10"/>
      <c r="W201" s="10"/>
      <c r="X201" s="2"/>
      <c r="Y201" s="2"/>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row>
    <row r="202" spans="1:142" s="6" customFormat="1" ht="12" customHeight="1" x14ac:dyDescent="0.25">
      <c r="A202" s="2"/>
      <c r="B202" s="1183"/>
      <c r="C202" s="1183"/>
      <c r="D202" s="1183"/>
      <c r="E202" s="1183"/>
      <c r="F202" s="1183"/>
      <c r="G202" s="1183"/>
      <c r="H202" s="1183"/>
      <c r="I202" s="1183"/>
      <c r="J202" s="1183"/>
      <c r="K202" s="1183"/>
      <c r="L202" s="1183"/>
      <c r="M202" s="1183"/>
      <c r="N202" s="1183"/>
      <c r="O202" s="1183"/>
      <c r="P202" s="29"/>
      <c r="Q202" s="2"/>
      <c r="R202" s="10"/>
      <c r="S202" s="10"/>
      <c r="T202" s="10"/>
      <c r="U202" s="10"/>
      <c r="V202" s="10"/>
      <c r="W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row>
    <row r="203" spans="1:142" s="6" customFormat="1" ht="12" customHeight="1" x14ac:dyDescent="0.25">
      <c r="A203" s="2"/>
      <c r="B203" s="1183"/>
      <c r="C203" s="1183"/>
      <c r="D203" s="1183"/>
      <c r="E203" s="1183"/>
      <c r="F203" s="1183"/>
      <c r="G203" s="1183"/>
      <c r="H203" s="1183"/>
      <c r="I203" s="1183"/>
      <c r="J203" s="1183"/>
      <c r="K203" s="1183"/>
      <c r="L203" s="1183"/>
      <c r="M203" s="1183"/>
      <c r="N203" s="1183"/>
      <c r="O203" s="1183"/>
      <c r="P203" s="29"/>
      <c r="Q203" s="2"/>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row>
    <row r="204" spans="1:142" s="6" customFormat="1" ht="18" customHeight="1" x14ac:dyDescent="0.2">
      <c r="A204" s="2"/>
      <c r="B204" s="895" t="s">
        <v>1128</v>
      </c>
      <c r="C204" s="893"/>
      <c r="D204" s="893"/>
      <c r="E204" s="893"/>
      <c r="F204" s="893"/>
      <c r="G204" s="893"/>
      <c r="H204" s="893"/>
      <c r="I204" s="893"/>
      <c r="J204" s="893"/>
      <c r="K204" s="893"/>
      <c r="L204" s="893"/>
      <c r="M204" s="893"/>
      <c r="N204" s="893"/>
      <c r="O204" s="893"/>
      <c r="P204" s="894"/>
      <c r="Q204" s="2"/>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row>
    <row r="205" spans="1:142" s="6" customFormat="1" ht="12" customHeight="1" x14ac:dyDescent="0.3">
      <c r="A205" s="2"/>
      <c r="B205" s="1253"/>
      <c r="C205" s="1253"/>
      <c r="D205" s="1253"/>
      <c r="E205" s="1253"/>
      <c r="F205" s="1253"/>
      <c r="G205" s="1253"/>
      <c r="H205" s="1253"/>
      <c r="I205" s="1253"/>
      <c r="J205" s="1253"/>
      <c r="K205" s="1253"/>
      <c r="L205" s="1253"/>
      <c r="M205" s="1253"/>
      <c r="N205" s="1253"/>
      <c r="O205" s="1253"/>
      <c r="P205" s="382"/>
      <c r="Q205" s="2"/>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row>
    <row r="206" spans="1:142" s="6" customFormat="1" ht="18" customHeight="1" x14ac:dyDescent="0.25">
      <c r="A206" s="2"/>
      <c r="B206" s="944" t="s">
        <v>1129</v>
      </c>
      <c r="C206" s="945"/>
      <c r="D206" s="945"/>
      <c r="E206" s="945"/>
      <c r="F206" s="945"/>
      <c r="G206" s="945"/>
      <c r="H206" s="945"/>
      <c r="I206" s="945"/>
      <c r="J206" s="945"/>
      <c r="K206" s="945"/>
      <c r="L206" s="945"/>
      <c r="M206" s="945"/>
      <c r="N206" s="945"/>
      <c r="O206" s="946"/>
      <c r="P206" s="383"/>
      <c r="Q206" s="2"/>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row>
    <row r="207" spans="1:142" s="6" customFormat="1" ht="18" customHeight="1" x14ac:dyDescent="0.2">
      <c r="A207" s="15"/>
      <c r="B207" s="1256"/>
      <c r="C207" s="1256"/>
      <c r="D207" s="1256"/>
      <c r="E207" s="1256"/>
      <c r="F207" s="1256"/>
      <c r="G207" s="1256"/>
      <c r="H207" s="1256"/>
      <c r="I207" s="1256"/>
      <c r="J207" s="1256"/>
      <c r="K207" s="1256"/>
      <c r="L207" s="1256"/>
      <c r="M207" s="1256"/>
      <c r="N207" s="1256"/>
      <c r="O207" s="1245"/>
      <c r="P207" s="21">
        <f>IF(B207=S207,1,IF(B207=T207,0.75,IF(B207=U207,0.5,0)))</f>
        <v>0</v>
      </c>
      <c r="Q207" s="2"/>
      <c r="R207" s="605" t="s">
        <v>2147</v>
      </c>
      <c r="S207" s="50" t="s">
        <v>907</v>
      </c>
      <c r="T207" s="50" t="s">
        <v>908</v>
      </c>
      <c r="U207" s="50" t="s">
        <v>1590</v>
      </c>
      <c r="V207" s="14"/>
      <c r="W207" s="98">
        <v>1E-4</v>
      </c>
      <c r="X207" s="14"/>
      <c r="Y207" s="14"/>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row>
    <row r="208" spans="1:142" s="6" customFormat="1" ht="18" customHeight="1" x14ac:dyDescent="0.2">
      <c r="A208" s="15"/>
      <c r="B208" s="742" t="s">
        <v>1591</v>
      </c>
      <c r="C208" s="743"/>
      <c r="D208" s="743"/>
      <c r="E208" s="744"/>
      <c r="F208" s="995"/>
      <c r="G208" s="997"/>
      <c r="H208" s="791" t="s">
        <v>1592</v>
      </c>
      <c r="I208" s="791"/>
      <c r="J208" s="791"/>
      <c r="K208" s="791"/>
      <c r="L208" s="791"/>
      <c r="M208" s="791"/>
      <c r="N208" s="791"/>
      <c r="O208" s="791"/>
      <c r="P208" s="21">
        <f>IF($P$207&gt;0,0,IF(S208=1,0.1,0))</f>
        <v>0</v>
      </c>
      <c r="Q208" s="2"/>
      <c r="R208" s="546" t="b">
        <v>0</v>
      </c>
      <c r="S208" s="571">
        <f>IF(R208=TRUE,1,0)</f>
        <v>0</v>
      </c>
      <c r="T208" s="10"/>
      <c r="U208" s="10"/>
      <c r="V208" s="10"/>
      <c r="W208" s="10">
        <v>1E-4</v>
      </c>
      <c r="X208" s="10"/>
      <c r="Y208" s="135"/>
      <c r="Z208" s="724"/>
      <c r="AA208" s="724"/>
      <c r="AB208" s="724"/>
      <c r="AC208" s="10"/>
      <c r="AD208" s="10"/>
      <c r="AE208" s="10"/>
      <c r="AF208" s="10"/>
      <c r="AG208" s="10"/>
      <c r="AH208" s="10"/>
      <c r="AI208" s="94"/>
      <c r="AJ208" s="724"/>
      <c r="AK208" s="724"/>
      <c r="AL208" s="724"/>
      <c r="AM208" s="724"/>
      <c r="AN208" s="724"/>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row>
    <row r="209" spans="1:142" s="6" customFormat="1" ht="18" customHeight="1" x14ac:dyDescent="0.2">
      <c r="A209" s="2"/>
      <c r="B209" s="1211" t="str">
        <f>IF(AND(P207=0.5,T211=1),"ERROR: Foot loss has occurred at the mid-metatarsal area and awarded a value of 50%; no additional value can be awarded for the metatarsals; uncheck boxes at right.",IF(AND(P207&gt;0,T211=1),"ERROR: Foot/lower leg loss is proximal to the metatarsals; uncheck boxes at right.",""))</f>
        <v/>
      </c>
      <c r="C209" s="1212"/>
      <c r="D209" s="1212"/>
      <c r="E209" s="1213"/>
      <c r="F209" s="995"/>
      <c r="G209" s="997"/>
      <c r="H209" s="791" t="s">
        <v>341</v>
      </c>
      <c r="I209" s="791"/>
      <c r="J209" s="791"/>
      <c r="K209" s="791"/>
      <c r="L209" s="791"/>
      <c r="M209" s="791"/>
      <c r="N209" s="791"/>
      <c r="O209" s="791"/>
      <c r="P209" s="21">
        <f>IF($P$207&gt;0,0,IF(S209=1,0.1,0))</f>
        <v>0</v>
      </c>
      <c r="Q209" s="2"/>
      <c r="R209" s="546" t="b">
        <v>0</v>
      </c>
      <c r="S209" s="571">
        <f>IF(R209=TRUE,1,0)</f>
        <v>0</v>
      </c>
      <c r="T209" s="50" t="s">
        <v>342</v>
      </c>
      <c r="U209" s="10"/>
      <c r="V209" s="10"/>
      <c r="W209" s="10"/>
      <c r="X209" s="10"/>
      <c r="Y209" s="135"/>
      <c r="Z209" s="10"/>
      <c r="AA209" s="10"/>
      <c r="AB209" s="10"/>
      <c r="AC209" s="10"/>
      <c r="AD209" s="10"/>
      <c r="AE209" s="10"/>
      <c r="AF209" s="10"/>
      <c r="AG209" s="10"/>
      <c r="AH209" s="10"/>
      <c r="AI209" s="94"/>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row>
    <row r="210" spans="1:142" s="6" customFormat="1" ht="18" customHeight="1" x14ac:dyDescent="0.2">
      <c r="A210" s="2"/>
      <c r="B210" s="1211"/>
      <c r="C210" s="1212"/>
      <c r="D210" s="1212"/>
      <c r="E210" s="1213"/>
      <c r="F210" s="995"/>
      <c r="G210" s="997"/>
      <c r="H210" s="791" t="s">
        <v>103</v>
      </c>
      <c r="I210" s="791"/>
      <c r="J210" s="791"/>
      <c r="K210" s="791"/>
      <c r="L210" s="791"/>
      <c r="M210" s="791"/>
      <c r="N210" s="791"/>
      <c r="O210" s="791"/>
      <c r="P210" s="21">
        <f>IF($P$207&gt;0,0,IF(S210=1,0.1,0))</f>
        <v>0</v>
      </c>
      <c r="Q210" s="2"/>
      <c r="R210" s="546" t="b">
        <v>0</v>
      </c>
      <c r="S210" s="571">
        <f>IF(R210=TRUE,1,0)</f>
        <v>0</v>
      </c>
      <c r="T210" s="50" t="s">
        <v>1052</v>
      </c>
      <c r="U210" s="10"/>
      <c r="V210" s="10"/>
      <c r="W210" s="10"/>
      <c r="X210" s="10"/>
      <c r="Y210" s="135"/>
      <c r="Z210" s="10"/>
      <c r="AA210" s="10"/>
      <c r="AB210" s="10"/>
      <c r="AC210" s="10"/>
      <c r="AD210" s="10"/>
      <c r="AE210" s="10"/>
      <c r="AF210" s="10"/>
      <c r="AG210" s="10"/>
      <c r="AH210" s="10"/>
      <c r="AI210" s="94"/>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row>
    <row r="211" spans="1:142" s="6" customFormat="1" ht="18" customHeight="1" x14ac:dyDescent="0.2">
      <c r="A211" s="2"/>
      <c r="B211" s="1211"/>
      <c r="C211" s="1212"/>
      <c r="D211" s="1212"/>
      <c r="E211" s="1213"/>
      <c r="F211" s="995"/>
      <c r="G211" s="997"/>
      <c r="H211" s="791" t="s">
        <v>1246</v>
      </c>
      <c r="I211" s="791"/>
      <c r="J211" s="791"/>
      <c r="K211" s="791"/>
      <c r="L211" s="791"/>
      <c r="M211" s="791"/>
      <c r="N211" s="791"/>
      <c r="O211" s="791"/>
      <c r="P211" s="21">
        <f>IF($P$207&gt;0,0,IF(S211=1,0.1,0))</f>
        <v>0</v>
      </c>
      <c r="Q211" s="2"/>
      <c r="R211" s="546" t="b">
        <v>0</v>
      </c>
      <c r="S211" s="571">
        <f>IF(R211=TRUE,1,0)</f>
        <v>0</v>
      </c>
      <c r="T211" s="50">
        <f>IF(OR(S208=1,S209=1,S210=1,S211=1,S212=1),1,0)</f>
        <v>0</v>
      </c>
      <c r="U211" s="10"/>
      <c r="V211" s="10"/>
      <c r="W211" s="10"/>
      <c r="X211" s="10"/>
      <c r="Y211" s="135"/>
      <c r="Z211" s="10"/>
      <c r="AA211" s="10"/>
      <c r="AB211" s="10"/>
      <c r="AC211" s="10"/>
      <c r="AD211" s="10"/>
      <c r="AE211" s="10"/>
      <c r="AF211" s="10"/>
      <c r="AG211" s="10"/>
      <c r="AH211" s="10"/>
      <c r="AI211" s="94"/>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row>
    <row r="212" spans="1:142" s="6" customFormat="1" ht="18" customHeight="1" x14ac:dyDescent="0.2">
      <c r="A212" s="2"/>
      <c r="B212" s="1214"/>
      <c r="C212" s="1215"/>
      <c r="D212" s="1215"/>
      <c r="E212" s="1216"/>
      <c r="F212" s="1017"/>
      <c r="G212" s="1018"/>
      <c r="H212" s="791" t="s">
        <v>651</v>
      </c>
      <c r="I212" s="791"/>
      <c r="J212" s="791"/>
      <c r="K212" s="791"/>
      <c r="L212" s="791"/>
      <c r="M212" s="791"/>
      <c r="N212" s="791"/>
      <c r="O212" s="791"/>
      <c r="P212" s="292">
        <f>IF($P$207&gt;0,0,IF(S212=1,0.1,0))</f>
        <v>0</v>
      </c>
      <c r="Q212" s="2"/>
      <c r="R212" s="546" t="b">
        <v>0</v>
      </c>
      <c r="S212" s="571">
        <f>IF(R212=TRUE,1,0)</f>
        <v>0</v>
      </c>
      <c r="T212" s="10"/>
      <c r="U212" s="10"/>
      <c r="V212" s="10"/>
      <c r="W212" s="10"/>
      <c r="X212" s="10"/>
      <c r="Y212" s="135"/>
      <c r="Z212" s="10"/>
      <c r="AA212" s="10"/>
      <c r="AB212" s="10"/>
      <c r="AC212" s="10"/>
      <c r="AD212" s="10"/>
      <c r="AE212" s="10"/>
      <c r="AF212" s="10"/>
      <c r="AG212" s="10"/>
      <c r="AH212" s="10"/>
      <c r="AI212" s="94"/>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row>
    <row r="213" spans="1:142" s="6" customFormat="1" ht="15" customHeight="1" x14ac:dyDescent="0.25">
      <c r="A213" s="2"/>
      <c r="B213" s="1137"/>
      <c r="C213" s="1137"/>
      <c r="D213" s="1137"/>
      <c r="E213" s="1137"/>
      <c r="F213" s="1137"/>
      <c r="G213" s="1137"/>
      <c r="H213" s="1137"/>
      <c r="I213" s="1137"/>
      <c r="J213" s="1137"/>
      <c r="K213" s="1137"/>
      <c r="L213" s="1137"/>
      <c r="M213" s="1137"/>
      <c r="N213" s="1137"/>
      <c r="O213" s="1137"/>
      <c r="P213" s="2"/>
      <c r="Q213" s="2"/>
      <c r="R213" s="10"/>
      <c r="S213" s="14"/>
      <c r="T213" s="10"/>
      <c r="U213" s="10"/>
      <c r="V213" s="10"/>
      <c r="W213" s="10"/>
      <c r="X213" s="10"/>
      <c r="Y213" s="135"/>
      <c r="Z213" s="10"/>
      <c r="AA213" s="10"/>
      <c r="AB213" s="10"/>
      <c r="AC213" s="10"/>
      <c r="AD213" s="10"/>
      <c r="AE213" s="10"/>
      <c r="AF213" s="10"/>
      <c r="AG213" s="10"/>
      <c r="AH213" s="10"/>
      <c r="AI213" s="94"/>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row>
    <row r="214" spans="1:142" s="6" customFormat="1" ht="18" customHeight="1" x14ac:dyDescent="0.25">
      <c r="A214" s="2"/>
      <c r="B214" s="944" t="s">
        <v>1321</v>
      </c>
      <c r="C214" s="945"/>
      <c r="D214" s="945"/>
      <c r="E214" s="945"/>
      <c r="F214" s="945"/>
      <c r="G214" s="945"/>
      <c r="H214" s="945"/>
      <c r="I214" s="945"/>
      <c r="J214" s="945"/>
      <c r="K214" s="945"/>
      <c r="L214" s="945"/>
      <c r="M214" s="945"/>
      <c r="N214" s="945"/>
      <c r="O214" s="945"/>
      <c r="P214" s="297"/>
      <c r="Q214" s="2"/>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row>
    <row r="215" spans="1:142" s="6" customFormat="1" ht="18" customHeight="1" x14ac:dyDescent="0.2">
      <c r="A215" s="15"/>
      <c r="B215" s="1208" t="str">
        <f>IF(AND(P207&gt;0.5,T218=1),"ERROR: Foot/lower leg loss has occurred at or proximal to the tarsometatarsal joints; uncheck boxes at right.","")</f>
        <v/>
      </c>
      <c r="C215" s="1209"/>
      <c r="D215" s="1209"/>
      <c r="E215" s="1210"/>
      <c r="F215" s="995"/>
      <c r="G215" s="996"/>
      <c r="H215" s="791" t="s">
        <v>653</v>
      </c>
      <c r="I215" s="791"/>
      <c r="J215" s="791"/>
      <c r="K215" s="791"/>
      <c r="L215" s="791"/>
      <c r="M215" s="791"/>
      <c r="N215" s="791"/>
      <c r="O215" s="791"/>
      <c r="P215" s="21">
        <f>IF($P$207&gt;0.5,0,IF(S215=1,0.1,0))</f>
        <v>0</v>
      </c>
      <c r="Q215" s="2"/>
      <c r="R215" s="546" t="b">
        <v>0</v>
      </c>
      <c r="S215" s="571">
        <f>IF(R215=TRUE,1,0)</f>
        <v>0</v>
      </c>
      <c r="T215" s="10"/>
      <c r="U215" s="10"/>
      <c r="V215" s="10"/>
      <c r="W215" s="10">
        <v>1E-4</v>
      </c>
      <c r="X215" s="10"/>
      <c r="Y215" s="135"/>
      <c r="Z215" s="724"/>
      <c r="AA215" s="724"/>
      <c r="AB215" s="724"/>
      <c r="AC215" s="10"/>
      <c r="AD215" s="10"/>
      <c r="AE215" s="10"/>
      <c r="AF215" s="10"/>
      <c r="AG215" s="10"/>
      <c r="AH215" s="10"/>
      <c r="AI215" s="94"/>
      <c r="AJ215" s="724"/>
      <c r="AK215" s="724"/>
      <c r="AL215" s="724"/>
      <c r="AM215" s="724"/>
      <c r="AN215" s="724"/>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row>
    <row r="216" spans="1:142" s="6" customFormat="1" ht="18" customHeight="1" x14ac:dyDescent="0.2">
      <c r="A216" s="2"/>
      <c r="B216" s="1211"/>
      <c r="C216" s="1212"/>
      <c r="D216" s="1212"/>
      <c r="E216" s="1213"/>
      <c r="F216" s="995"/>
      <c r="G216" s="996"/>
      <c r="H216" s="791" t="s">
        <v>654</v>
      </c>
      <c r="I216" s="791"/>
      <c r="J216" s="791"/>
      <c r="K216" s="791"/>
      <c r="L216" s="791"/>
      <c r="M216" s="791"/>
      <c r="N216" s="791"/>
      <c r="O216" s="791"/>
      <c r="P216" s="21">
        <f>IF($P$207&gt;0.5,0,IF(S216=1,0.1,0))</f>
        <v>0</v>
      </c>
      <c r="Q216" s="2"/>
      <c r="R216" s="546" t="b">
        <v>0</v>
      </c>
      <c r="S216" s="571">
        <f>IF(R216=TRUE,1,0)</f>
        <v>0</v>
      </c>
      <c r="T216" s="791" t="s">
        <v>655</v>
      </c>
      <c r="U216" s="791"/>
      <c r="V216" s="10"/>
      <c r="W216" s="10"/>
      <c r="X216" s="10"/>
      <c r="Y216" s="10"/>
      <c r="Z216" s="10"/>
      <c r="AA216" s="10"/>
      <c r="AB216" s="10"/>
      <c r="AC216" s="10"/>
      <c r="AD216" s="10"/>
      <c r="AE216" s="10"/>
      <c r="AF216" s="10"/>
      <c r="AG216" s="10"/>
      <c r="AH216" s="10"/>
      <c r="AI216" s="94"/>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row>
    <row r="217" spans="1:142" s="6" customFormat="1" ht="18" customHeight="1" x14ac:dyDescent="0.2">
      <c r="A217" s="2"/>
      <c r="B217" s="1211"/>
      <c r="C217" s="1212"/>
      <c r="D217" s="1212"/>
      <c r="E217" s="1213"/>
      <c r="F217" s="995"/>
      <c r="G217" s="996"/>
      <c r="H217" s="791" t="s">
        <v>60</v>
      </c>
      <c r="I217" s="791"/>
      <c r="J217" s="791"/>
      <c r="K217" s="791"/>
      <c r="L217" s="791"/>
      <c r="M217" s="791"/>
      <c r="N217" s="791"/>
      <c r="O217" s="791"/>
      <c r="P217" s="21">
        <f>IF($P$207&gt;0.5,0,IF(S217=1,0.1,0))</f>
        <v>0</v>
      </c>
      <c r="Q217" s="2"/>
      <c r="R217" s="546" t="b">
        <v>0</v>
      </c>
      <c r="S217" s="571">
        <f>IF(R217=TRUE,1,0)</f>
        <v>0</v>
      </c>
      <c r="T217" s="791" t="s">
        <v>1052</v>
      </c>
      <c r="U217" s="791"/>
      <c r="V217" s="10"/>
      <c r="W217" s="10"/>
      <c r="X217" s="10"/>
      <c r="Y217" s="10"/>
      <c r="Z217" s="10"/>
      <c r="AA217" s="10"/>
      <c r="AB217" s="10"/>
      <c r="AC217" s="10"/>
      <c r="AD217" s="10"/>
      <c r="AE217" s="10"/>
      <c r="AF217" s="10"/>
      <c r="AG217" s="10"/>
      <c r="AH217" s="10"/>
      <c r="AI217" s="94"/>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row>
    <row r="218" spans="1:142" s="6" customFormat="1" ht="18" customHeight="1" x14ac:dyDescent="0.2">
      <c r="A218" s="2"/>
      <c r="B218" s="1211"/>
      <c r="C218" s="1212"/>
      <c r="D218" s="1212"/>
      <c r="E218" s="1213"/>
      <c r="F218" s="995"/>
      <c r="G218" s="996"/>
      <c r="H218" s="791" t="s">
        <v>416</v>
      </c>
      <c r="I218" s="791"/>
      <c r="J218" s="791"/>
      <c r="K218" s="791"/>
      <c r="L218" s="791"/>
      <c r="M218" s="791"/>
      <c r="N218" s="791"/>
      <c r="O218" s="791"/>
      <c r="P218" s="21">
        <f>IF($P$207&gt;0.5,0,IF(S218=1,0.1,0))</f>
        <v>0</v>
      </c>
      <c r="Q218" s="2"/>
      <c r="R218" s="546" t="b">
        <v>0</v>
      </c>
      <c r="S218" s="571">
        <f>IF(R218=TRUE,1,0)</f>
        <v>0</v>
      </c>
      <c r="T218" s="791">
        <f>IF(OR(S215=1,S216=1,S217=1,S218=1,S219=1),1,0)</f>
        <v>0</v>
      </c>
      <c r="U218" s="791"/>
      <c r="V218" s="10"/>
      <c r="W218" s="10"/>
      <c r="X218" s="10"/>
      <c r="Y218" s="10"/>
      <c r="Z218" s="10"/>
      <c r="AA218" s="10"/>
      <c r="AB218" s="10"/>
      <c r="AC218" s="10"/>
      <c r="AD218" s="10"/>
      <c r="AE218" s="10"/>
      <c r="AF218" s="10"/>
      <c r="AG218" s="10"/>
      <c r="AH218" s="10"/>
      <c r="AI218" s="94"/>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row>
    <row r="219" spans="1:142" s="6" customFormat="1" ht="18" customHeight="1" x14ac:dyDescent="0.2">
      <c r="A219" s="2"/>
      <c r="B219" s="1214"/>
      <c r="C219" s="1215"/>
      <c r="D219" s="1215"/>
      <c r="E219" s="1216"/>
      <c r="F219" s="995"/>
      <c r="G219" s="996"/>
      <c r="H219" s="791" t="s">
        <v>462</v>
      </c>
      <c r="I219" s="791"/>
      <c r="J219" s="791"/>
      <c r="K219" s="791"/>
      <c r="L219" s="791"/>
      <c r="M219" s="791"/>
      <c r="N219" s="791"/>
      <c r="O219" s="791"/>
      <c r="P219" s="21">
        <f>IF($P$207&gt;0.5,0,IF(S219=1,0.1,0))</f>
        <v>0</v>
      </c>
      <c r="Q219" s="2"/>
      <c r="R219" s="546" t="b">
        <v>0</v>
      </c>
      <c r="S219" s="571">
        <f>IF(R219=TRUE,1,0)</f>
        <v>0</v>
      </c>
      <c r="T219" s="10"/>
      <c r="U219" s="10"/>
      <c r="V219" s="10"/>
      <c r="W219" s="10"/>
      <c r="X219" s="10"/>
      <c r="Y219" s="135"/>
      <c r="Z219" s="10"/>
      <c r="AA219" s="10"/>
      <c r="AB219" s="10"/>
      <c r="AC219" s="10"/>
      <c r="AD219" s="10"/>
      <c r="AE219" s="10"/>
      <c r="AF219" s="10"/>
      <c r="AG219" s="10"/>
      <c r="AH219" s="10"/>
      <c r="AI219" s="94"/>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row>
    <row r="220" spans="1:142" s="6" customFormat="1" ht="27" customHeight="1" x14ac:dyDescent="0.2">
      <c r="A220" s="2"/>
      <c r="B220" s="910" t="s">
        <v>1563</v>
      </c>
      <c r="C220" s="910"/>
      <c r="D220" s="910"/>
      <c r="E220" s="910"/>
      <c r="F220" s="910"/>
      <c r="G220" s="910"/>
      <c r="H220" s="910"/>
      <c r="I220" s="910"/>
      <c r="J220" s="910"/>
      <c r="K220" s="910"/>
      <c r="L220" s="910"/>
      <c r="M220" s="910"/>
      <c r="N220" s="910"/>
      <c r="O220" s="910"/>
      <c r="P220" s="546"/>
      <c r="Q220" s="2"/>
      <c r="R220" s="134"/>
      <c r="S220" s="98"/>
      <c r="T220" s="912" t="s">
        <v>1238</v>
      </c>
      <c r="U220" s="912"/>
      <c r="V220" s="10"/>
      <c r="W220" s="10"/>
      <c r="X220" s="10"/>
      <c r="Y220" s="135"/>
      <c r="Z220" s="10"/>
      <c r="AA220" s="10"/>
      <c r="AB220" s="10"/>
      <c r="AC220" s="10"/>
      <c r="AD220" s="10"/>
      <c r="AE220" s="10"/>
      <c r="AF220" s="10"/>
      <c r="AG220" s="10"/>
      <c r="AH220" s="10"/>
      <c r="AI220" s="94"/>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row>
    <row r="221" spans="1:142" s="6" customFormat="1" ht="27" customHeight="1" x14ac:dyDescent="0.2">
      <c r="A221" s="2"/>
      <c r="B221" s="18" t="s">
        <v>1322</v>
      </c>
      <c r="C221" s="1134" t="s">
        <v>1564</v>
      </c>
      <c r="D221" s="1129"/>
      <c r="E221" s="1129"/>
      <c r="F221" s="1129"/>
      <c r="G221" s="907" t="s">
        <v>1064</v>
      </c>
      <c r="H221" s="945"/>
      <c r="I221" s="945"/>
      <c r="J221" s="945"/>
      <c r="K221" s="946"/>
      <c r="L221" s="1251"/>
      <c r="M221" s="1252"/>
      <c r="N221" s="1252"/>
      <c r="O221" s="1252"/>
      <c r="P221" s="1199"/>
      <c r="Q221" s="2"/>
      <c r="R221" s="10"/>
      <c r="S221" s="50" t="s">
        <v>1541</v>
      </c>
      <c r="T221" s="256" t="s">
        <v>1564</v>
      </c>
      <c r="U221" s="256" t="s">
        <v>1565</v>
      </c>
      <c r="V221" s="910" t="s">
        <v>1066</v>
      </c>
      <c r="W221" s="910"/>
      <c r="X221" s="10"/>
      <c r="Y221" s="304" t="s">
        <v>2182</v>
      </c>
      <c r="Z221" s="146" t="s">
        <v>2183</v>
      </c>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row>
    <row r="222" spans="1:142" s="6" customFormat="1" ht="15" customHeight="1" x14ac:dyDescent="0.2">
      <c r="A222" s="2"/>
      <c r="B222" s="290" t="s">
        <v>585</v>
      </c>
      <c r="C222" s="694"/>
      <c r="D222" s="694"/>
      <c r="E222" s="921">
        <f>LETable!AJ36</f>
        <v>0</v>
      </c>
      <c r="F222" s="921"/>
      <c r="G222" s="1035"/>
      <c r="H222" s="1035"/>
      <c r="I222" s="1035"/>
      <c r="J222" s="1178">
        <f>IF(C222="",0,IF(OR(C222&lt;=0,G222&lt;=0),E222,IF(G222&lt;C222,0,LETable!AO36)))</f>
        <v>0</v>
      </c>
      <c r="K222" s="1178"/>
      <c r="L222" s="1232" t="str">
        <f>IF(OR(C222="NA",G222="NA"),"",IF(AND(C222&lt;&gt;"",G222=""),"Enter contralateral or NA.",IF(AND(C222="",G222&lt;&gt;""),"Need data","")))</f>
        <v/>
      </c>
      <c r="M222" s="1232"/>
      <c r="N222" s="1232"/>
      <c r="O222" s="1233"/>
      <c r="P222" s="1199"/>
      <c r="Q222" s="2"/>
      <c r="R222" s="10"/>
      <c r="S222" s="50">
        <v>30</v>
      </c>
      <c r="T222" s="50" t="str">
        <f>IF(OR(C222="",C222="NA"),"",IF(C222&gt;S222,S222,IF(C222&lt;0,0,C222)))</f>
        <v/>
      </c>
      <c r="U222" s="50" t="str">
        <f>IF(OR(G222="",G222="NA"),"",IF(G222&gt;S222,S222,IF(G222&lt;0,0,G222)))</f>
        <v/>
      </c>
      <c r="V222" s="553" t="str">
        <f>IF(W222="","",ROUND(W222,0))</f>
        <v/>
      </c>
      <c r="W222" s="554" t="str">
        <f>IF(T222="","",IF(OR(U222="",U222=0,U222&lt;T222),T222,(T222*S222)/U222))</f>
        <v/>
      </c>
      <c r="X222" s="2"/>
      <c r="Y222" s="50">
        <f>COUNTIF(Y223:Y224,1)</f>
        <v>0</v>
      </c>
      <c r="Z222" s="50">
        <f>COUNTIF(Z223:Z224,2)</f>
        <v>0</v>
      </c>
      <c r="AB222" s="10"/>
      <c r="AC222" s="10"/>
      <c r="AD222" s="10"/>
      <c r="AE222" s="10"/>
      <c r="AF222" s="10"/>
      <c r="AG222" s="10"/>
      <c r="AH222" s="10"/>
      <c r="AI222" s="94"/>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row>
    <row r="223" spans="1:142" s="6" customFormat="1" ht="15" customHeight="1" x14ac:dyDescent="0.2">
      <c r="A223" s="2"/>
      <c r="B223" s="272" t="s">
        <v>472</v>
      </c>
      <c r="C223" s="694"/>
      <c r="D223" s="694"/>
      <c r="E223" s="921">
        <f>IF(AND($Y$222&gt;0,$Z$222&gt;0),"ERROR",LETable!AJ37)</f>
        <v>0</v>
      </c>
      <c r="F223" s="921"/>
      <c r="G223" s="1172" t="str">
        <f>IF(AND($Y$222&gt;0,$Z$222&gt;0),"Cannot rate ROM and ankylosis in the foot.",IF(AND(C223&lt;&gt;"",C223&lt;&gt;"NA",C225&lt;&gt;"",C225&lt;&gt;"NA"),"Multiple ankylosis values; use higher value only.",""))</f>
        <v/>
      </c>
      <c r="H223" s="1173"/>
      <c r="I223" s="1173"/>
      <c r="J223" s="1173"/>
      <c r="K223" s="1173"/>
      <c r="L223" s="1173"/>
      <c r="M223" s="1173"/>
      <c r="N223" s="1173"/>
      <c r="O223" s="1173"/>
      <c r="P223" s="1199"/>
      <c r="Q223" s="2"/>
      <c r="R223" s="10"/>
      <c r="S223" s="50">
        <v>30</v>
      </c>
      <c r="T223" s="50" t="str">
        <f>IF(OR(C223="",C223="NA"),"",IF(C223&gt;S223,S223,IF(C223&lt;0,0,C223)))</f>
        <v/>
      </c>
      <c r="U223" s="10"/>
      <c r="V223" s="10"/>
      <c r="Y223" s="50">
        <f>IF(AND(C222&lt;&gt;"",C222&lt;&gt;"NA"),1,0)</f>
        <v>0</v>
      </c>
      <c r="Z223" s="50">
        <f>IF(AND(C223&lt;&gt;"",C223&lt;&gt;"NA"),2,0)</f>
        <v>0</v>
      </c>
      <c r="AB223" s="61"/>
      <c r="AC223" s="192">
        <f>MAX(E223,E225)</f>
        <v>0</v>
      </c>
      <c r="AD223" s="791" t="s">
        <v>1902</v>
      </c>
      <c r="AE223" s="791"/>
      <c r="AF223" s="791"/>
      <c r="AG223" s="791"/>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row>
    <row r="224" spans="1:142" s="6" customFormat="1" ht="15" customHeight="1" x14ac:dyDescent="0.2">
      <c r="A224" s="2"/>
      <c r="B224" s="272" t="s">
        <v>473</v>
      </c>
      <c r="C224" s="694"/>
      <c r="D224" s="694"/>
      <c r="E224" s="921">
        <f>LETable!AJ38</f>
        <v>0</v>
      </c>
      <c r="F224" s="921"/>
      <c r="G224" s="1035"/>
      <c r="H224" s="1035"/>
      <c r="I224" s="1035"/>
      <c r="J224" s="1178">
        <f>IF(C224="",0,IF(OR(C224&lt;=0,G224&lt;=0),E224,IF(G224&lt;C224,0,LETable!AO38)))</f>
        <v>0</v>
      </c>
      <c r="K224" s="1178"/>
      <c r="L224" s="1232" t="str">
        <f>IF(OR(C224="NA",G224="NA"),"",IF(AND(C224&lt;&gt;"",G224=""),"Enter contralateral or NA.",IF(AND(C224="",G224&lt;&gt;""),"Need data","")))</f>
        <v/>
      </c>
      <c r="M224" s="1232"/>
      <c r="N224" s="1232"/>
      <c r="O224" s="1233"/>
      <c r="P224" s="1199"/>
      <c r="Q224" s="2"/>
      <c r="R224" s="10"/>
      <c r="S224" s="50">
        <v>20</v>
      </c>
      <c r="T224" s="50" t="str">
        <f>IF(OR(C224="",C224="NA"),"",IF(C224&gt;S224,S224,IF(C224&lt;0,0,C224)))</f>
        <v/>
      </c>
      <c r="U224" s="50" t="str">
        <f>IF(OR(G224="",G224="NA"),"",IF(G224&gt;S224,S224,IF(G224&lt;0,0,G224)))</f>
        <v/>
      </c>
      <c r="V224" s="553" t="str">
        <f>IF(W224="","",ROUND(W224,0))</f>
        <v/>
      </c>
      <c r="W224" s="554" t="str">
        <f>IF(T224="","",IF(OR(U224="",U224=0,U224&lt;T224),T224,(T224*S224)/U224))</f>
        <v/>
      </c>
      <c r="X224" s="10"/>
      <c r="Y224" s="50">
        <f>IF(AND(C224&lt;&gt;"",C224&lt;&gt;"NA"),1,0)</f>
        <v>0</v>
      </c>
      <c r="Z224" s="50">
        <f>IF(AND(C225&lt;&gt;"",C225&lt;&gt;"NA"),2,0)</f>
        <v>0</v>
      </c>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row>
    <row r="225" spans="1:142" s="6" customFormat="1" ht="15" customHeight="1" x14ac:dyDescent="0.2">
      <c r="A225" s="2"/>
      <c r="B225" s="272" t="s">
        <v>474</v>
      </c>
      <c r="C225" s="694"/>
      <c r="D225" s="694"/>
      <c r="E225" s="921">
        <f>IF(AND($Y$222&gt;0,$Z$222&gt;0),"ERROR",LETable!AJ39)</f>
        <v>0</v>
      </c>
      <c r="F225" s="921"/>
      <c r="G225" s="1172" t="str">
        <f>IF(AND($Y$222&gt;0,$Z$222&gt;0),"Cannot rate ROM and ankylosis in the foot.",IF(AND(C223&lt;&gt;"",C223&lt;&gt;"NA",C225&lt;&gt;"",C225&lt;&gt;"NA"),"Multiple ankylosis values; use higher value only.",""))</f>
        <v/>
      </c>
      <c r="H225" s="1173"/>
      <c r="I225" s="1173"/>
      <c r="J225" s="1173"/>
      <c r="K225" s="1173"/>
      <c r="L225" s="1173"/>
      <c r="M225" s="1173"/>
      <c r="N225" s="1173"/>
      <c r="O225" s="1173"/>
      <c r="P225" s="1199"/>
      <c r="Q225" s="2"/>
      <c r="R225" s="10"/>
      <c r="S225" s="50">
        <v>20</v>
      </c>
      <c r="T225" s="50" t="str">
        <f>IF(OR(C225="",C225="NA"),"",IF(C225&gt;S225,S225,IF(C225&lt;0,0,C225)))</f>
        <v/>
      </c>
      <c r="U225" s="10"/>
      <c r="AB225" s="10"/>
      <c r="AC225" s="742" t="s">
        <v>2292</v>
      </c>
      <c r="AD225" s="743"/>
      <c r="AE225" s="743"/>
      <c r="AF225" s="743"/>
      <c r="AG225" s="744"/>
      <c r="AH225" s="10"/>
      <c r="AI225" s="10"/>
      <c r="AJ225" s="39"/>
      <c r="AK225" s="39"/>
      <c r="AL225" s="39"/>
      <c r="AM225" s="39"/>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row>
    <row r="226" spans="1:142" s="6" customFormat="1" ht="18" customHeight="1" x14ac:dyDescent="0.2">
      <c r="A226" s="2"/>
      <c r="B226" s="1248" t="s">
        <v>2203</v>
      </c>
      <c r="C226" s="1249"/>
      <c r="D226" s="1249"/>
      <c r="E226" s="1249"/>
      <c r="F226" s="1249"/>
      <c r="G226" s="1249"/>
      <c r="H226" s="1249"/>
      <c r="I226" s="1249"/>
      <c r="J226" s="1249"/>
      <c r="K226" s="1249"/>
      <c r="L226" s="1249"/>
      <c r="M226" s="1249"/>
      <c r="N226" s="1250"/>
      <c r="O226" s="630">
        <f>J222+J224+AC223</f>
        <v>0</v>
      </c>
      <c r="P226" s="1199"/>
      <c r="Q226" s="2"/>
      <c r="R226" s="10"/>
      <c r="S226" s="10"/>
      <c r="T226" s="10"/>
      <c r="U226" s="10"/>
      <c r="V226" s="10"/>
      <c r="W226" s="10"/>
      <c r="X226" s="10"/>
      <c r="Y226" s="304" t="s">
        <v>2182</v>
      </c>
      <c r="Z226" s="146" t="s">
        <v>2183</v>
      </c>
      <c r="AA226" s="10"/>
      <c r="AB226" s="10"/>
      <c r="AC226" s="10"/>
      <c r="AD226" s="10"/>
      <c r="AE226" s="10"/>
      <c r="AF226" s="10"/>
      <c r="AG226" s="10"/>
      <c r="AH226" s="10"/>
      <c r="AI226" s="10"/>
      <c r="AJ226" s="39"/>
      <c r="AK226" s="39"/>
      <c r="AL226" s="39"/>
      <c r="AM226" s="39"/>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row>
    <row r="227" spans="1:142" s="6" customFormat="1" ht="25.5" customHeight="1" x14ac:dyDescent="0.2">
      <c r="A227" s="2"/>
      <c r="B227" s="635" t="s">
        <v>1323</v>
      </c>
      <c r="C227" s="1134" t="s">
        <v>1564</v>
      </c>
      <c r="D227" s="1129"/>
      <c r="E227" s="1129"/>
      <c r="F227" s="1129"/>
      <c r="G227" s="907" t="s">
        <v>1064</v>
      </c>
      <c r="H227" s="945"/>
      <c r="I227" s="945"/>
      <c r="J227" s="945"/>
      <c r="K227" s="946"/>
      <c r="L227" s="944"/>
      <c r="M227" s="945"/>
      <c r="N227" s="945"/>
      <c r="O227" s="945"/>
      <c r="P227" s="1199"/>
      <c r="Q227" s="2"/>
      <c r="R227" s="10"/>
      <c r="S227" s="10"/>
      <c r="T227" s="10"/>
      <c r="U227" s="10"/>
      <c r="V227" s="10"/>
      <c r="W227" s="10"/>
      <c r="X227" s="10"/>
      <c r="Y227" s="304"/>
      <c r="Z227" s="146"/>
      <c r="AA227" s="10"/>
      <c r="AB227" s="10"/>
      <c r="AC227" s="742" t="s">
        <v>2293</v>
      </c>
      <c r="AD227" s="743"/>
      <c r="AE227" s="743"/>
      <c r="AF227" s="743"/>
      <c r="AG227" s="744"/>
      <c r="AH227" s="10"/>
      <c r="AI227" s="10"/>
      <c r="AJ227" s="39"/>
      <c r="AK227" s="39"/>
      <c r="AL227" s="39"/>
      <c r="AM227" s="39"/>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row>
    <row r="228" spans="1:142" s="6" customFormat="1" ht="15" customHeight="1" x14ac:dyDescent="0.2">
      <c r="A228" s="2"/>
      <c r="B228" s="127" t="s">
        <v>1312</v>
      </c>
      <c r="C228" s="694"/>
      <c r="D228" s="694"/>
      <c r="E228" s="921">
        <f>LETable!AJ42</f>
        <v>0</v>
      </c>
      <c r="F228" s="921"/>
      <c r="G228" s="1035"/>
      <c r="H228" s="1035"/>
      <c r="I228" s="1035"/>
      <c r="J228" s="1178">
        <f>IF(C228="",0,IF(OR(C228&lt;=0,G228&lt;=0),E228,IF(G228&lt;C228,0,LETable!AO42)))</f>
        <v>0</v>
      </c>
      <c r="K228" s="1178"/>
      <c r="L228" s="1232" t="str">
        <f>IF(OR(C228="NA",G228="NA"),"",IF(AND(C228&lt;&gt;"",G228=""),"Enter contralateral or NA.",IF(AND(C228="",G228&lt;&gt;""),"Need data","")))</f>
        <v/>
      </c>
      <c r="M228" s="1232"/>
      <c r="N228" s="1232"/>
      <c r="O228" s="1233"/>
      <c r="P228" s="1199"/>
      <c r="Q228" s="2"/>
      <c r="R228" s="10"/>
      <c r="S228" s="50">
        <v>20</v>
      </c>
      <c r="T228" s="50" t="str">
        <f>IF(OR(C228="",C228="NA"),"",IF(C228&gt;S228,S228,IF(C228&lt;0,0,C228)))</f>
        <v/>
      </c>
      <c r="U228" s="50" t="str">
        <f>IF(OR(G228="",G228="NA"),"",IF(G228&gt;S228,S228,IF(G228&lt;0,0,G228)))</f>
        <v/>
      </c>
      <c r="V228" s="553" t="str">
        <f>IF(W228="","",ROUND(W228,0))</f>
        <v/>
      </c>
      <c r="W228" s="554" t="str">
        <f>IF(T228="","",IF(OR(U228="",U228=0,U228&lt;T228),T228,(T228*S228)/U228))</f>
        <v/>
      </c>
      <c r="X228" s="10"/>
      <c r="Y228" s="50">
        <f>COUNTIF(Y229:Y230,1)</f>
        <v>0</v>
      </c>
      <c r="Z228" s="50">
        <f>COUNTIF(Z229:Z230,2)</f>
        <v>0</v>
      </c>
      <c r="AB228" s="10"/>
      <c r="AC228" s="10"/>
      <c r="AD228" s="10"/>
      <c r="AE228" s="10"/>
      <c r="AF228" s="10"/>
      <c r="AG228" s="10"/>
      <c r="AH228" s="39"/>
      <c r="AI228" s="10"/>
      <c r="AJ228" s="39"/>
      <c r="AK228" s="39"/>
      <c r="AL228" s="39"/>
      <c r="AM228" s="39"/>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row>
    <row r="229" spans="1:142" s="6" customFormat="1" ht="15" customHeight="1" x14ac:dyDescent="0.2">
      <c r="A229" s="2"/>
      <c r="B229" s="127" t="s">
        <v>1313</v>
      </c>
      <c r="C229" s="694"/>
      <c r="D229" s="694"/>
      <c r="E229" s="921">
        <f>IF(AND($Y$228&gt;0,$Z$228&gt;0),"ERROR",LETable!AJ43)</f>
        <v>0</v>
      </c>
      <c r="F229" s="921"/>
      <c r="G229" s="1172" t="str">
        <f>IF(AND($Y$228&gt;0,$Z$228&gt;0),"Cannot rate ROM and ankylosis in the ankle.",IF(AND(C229&lt;&gt;"",C229&lt;&gt;"NA",C231&lt;&gt;"",C231&lt;&gt;"NA"),"Multiple ankylosis values; use higher value only.",""))</f>
        <v/>
      </c>
      <c r="H229" s="1173"/>
      <c r="I229" s="1173"/>
      <c r="J229" s="1173"/>
      <c r="K229" s="1173"/>
      <c r="L229" s="1173"/>
      <c r="M229" s="1173"/>
      <c r="N229" s="1173"/>
      <c r="O229" s="1173"/>
      <c r="P229" s="1199"/>
      <c r="Q229" s="2"/>
      <c r="R229" s="10"/>
      <c r="S229" s="50">
        <v>20</v>
      </c>
      <c r="T229" s="50" t="str">
        <f>IF(OR(C229="",C229="NA"),"",IF(C229&gt;S229,S229,IF(C229&lt;0,0,C229)))</f>
        <v/>
      </c>
      <c r="U229" s="10"/>
      <c r="Y229" s="50">
        <f>IF(AND(C230&lt;&gt;"",C230&lt;&gt;"NA"),1,0)</f>
        <v>0</v>
      </c>
      <c r="Z229" s="50">
        <f>IF(AND(C231&lt;&gt;"",C231&lt;&gt;"NA"),2,0)</f>
        <v>0</v>
      </c>
      <c r="AB229" s="10"/>
      <c r="AC229" s="192">
        <f>MAX(E229,E231)</f>
        <v>0</v>
      </c>
      <c r="AD229" s="791" t="s">
        <v>1902</v>
      </c>
      <c r="AE229" s="791"/>
      <c r="AF229" s="791"/>
      <c r="AG229" s="791"/>
      <c r="AH229" s="39"/>
      <c r="AI229" s="10"/>
      <c r="AJ229" s="39"/>
      <c r="AK229" s="39"/>
      <c r="AL229" s="39"/>
      <c r="AM229" s="39"/>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row>
    <row r="230" spans="1:142" s="6" customFormat="1" ht="15" customHeight="1" x14ac:dyDescent="0.2">
      <c r="A230" s="2"/>
      <c r="B230" s="293" t="s">
        <v>1237</v>
      </c>
      <c r="C230" s="694"/>
      <c r="D230" s="694"/>
      <c r="E230" s="921">
        <f>LETable!AJ44</f>
        <v>0</v>
      </c>
      <c r="F230" s="921"/>
      <c r="G230" s="1222"/>
      <c r="H230" s="1238"/>
      <c r="I230" s="1223"/>
      <c r="J230" s="1178">
        <f>IF(C230="",0,IF(OR(C230&lt;=0,G230&lt;=0),E230,IF(G230&lt;C230,0,LETable!AO44)))</f>
        <v>0</v>
      </c>
      <c r="K230" s="1178"/>
      <c r="L230" s="1232" t="str">
        <f>IF(OR(C230="NA",G230="NA"),"",IF(AND(C230&lt;&gt;"",G230=""),"Enter contralateral or NA.",IF(AND(C230="",G230&lt;&gt;""),"Need data","")))</f>
        <v/>
      </c>
      <c r="M230" s="1232"/>
      <c r="N230" s="1232"/>
      <c r="O230" s="1233"/>
      <c r="P230" s="1199"/>
      <c r="Q230" s="2"/>
      <c r="R230" s="50" t="s">
        <v>682</v>
      </c>
      <c r="S230" s="566">
        <v>40</v>
      </c>
      <c r="T230" s="50" t="str">
        <f>IF(OR(C230="",C230="NA"),"",IF(C230&gt;S230,S230,IF(C230&lt;0,0,C230)))</f>
        <v/>
      </c>
      <c r="U230" s="50" t="str">
        <f>IF(OR(G230="",G230="NA"),"",IF(G230&gt;S230,S230,IF(G230&lt;0,0,G230)))</f>
        <v/>
      </c>
      <c r="V230" s="553" t="str">
        <f>IF(W230="","",ROUND(W230,0))</f>
        <v/>
      </c>
      <c r="W230" s="554" t="str">
        <f>IF(T230="","",IF(OR(U230="",U230=0,U230&lt;T230),T230,(T230*S230)/U230))</f>
        <v/>
      </c>
      <c r="X230" s="10"/>
      <c r="Y230" s="50">
        <f>IF(AND(C228&lt;&gt;"",C228&lt;&gt;"NA"),1,0)</f>
        <v>0</v>
      </c>
      <c r="Z230" s="50">
        <f>IF(AND(C229&lt;&gt;"",C229&lt;&gt;"NA"),2,0)</f>
        <v>0</v>
      </c>
      <c r="AA230" s="10"/>
      <c r="AB230" s="10"/>
      <c r="AC230" s="131"/>
      <c r="AD230" s="10"/>
      <c r="AE230" s="10"/>
      <c r="AF230" s="10"/>
      <c r="AG230" s="10"/>
      <c r="AH230" s="39"/>
      <c r="AI230" s="10"/>
      <c r="AJ230" s="39"/>
      <c r="AK230" s="39"/>
      <c r="AL230" s="39"/>
      <c r="AM230" s="39"/>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row>
    <row r="231" spans="1:142" s="6" customFormat="1" ht="15" customHeight="1" x14ac:dyDescent="0.2">
      <c r="A231" s="2"/>
      <c r="B231" s="127" t="s">
        <v>1801</v>
      </c>
      <c r="C231" s="694"/>
      <c r="D231" s="694"/>
      <c r="E231" s="921">
        <f>IF(AND($Y$228&gt;0,$Z$228&gt;0),"ERROR",LETable!AJ45)</f>
        <v>0</v>
      </c>
      <c r="F231" s="921"/>
      <c r="G231" s="1172" t="str">
        <f>IF(AND($Y$228&gt;0,$Z$228&gt;0),"Cannot rate ROM and ankylosis in the ankle.",IF(AND(C229&lt;&gt;"",C229&lt;&gt;"NA",C231&lt;&gt;"",C231&lt;&gt;"NA"),"Multiple ankylosis values; use higher value only.",""))</f>
        <v/>
      </c>
      <c r="H231" s="1173"/>
      <c r="I231" s="1173"/>
      <c r="J231" s="1173"/>
      <c r="K231" s="1173"/>
      <c r="L231" s="1173"/>
      <c r="M231" s="1173"/>
      <c r="N231" s="1173"/>
      <c r="O231" s="1173"/>
      <c r="P231" s="1199"/>
      <c r="Q231" s="2"/>
      <c r="R231" s="50" t="s">
        <v>684</v>
      </c>
      <c r="S231" s="566">
        <v>40</v>
      </c>
      <c r="T231" s="50" t="str">
        <f>IF(OR(C231="",C231="NA"),"",IF(C231&gt;S231,S231,IF(C231&lt;0,0,C231)))</f>
        <v/>
      </c>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row>
    <row r="232" spans="1:142" s="6" customFormat="1" ht="18" customHeight="1" x14ac:dyDescent="0.2">
      <c r="A232" s="2"/>
      <c r="B232" s="964"/>
      <c r="C232" s="965"/>
      <c r="D232" s="965"/>
      <c r="E232" s="965"/>
      <c r="F232" s="965"/>
      <c r="G232" s="965"/>
      <c r="H232" s="965"/>
      <c r="I232" s="965"/>
      <c r="J232" s="965"/>
      <c r="K232" s="966"/>
      <c r="L232" s="1249" t="s">
        <v>2203</v>
      </c>
      <c r="M232" s="1249"/>
      <c r="N232" s="1250"/>
      <c r="O232" s="281">
        <f>J228+J230+AC229</f>
        <v>0</v>
      </c>
      <c r="P232" s="1199"/>
      <c r="Q232" s="2"/>
      <c r="R232" s="50">
        <f>IF(OR(E223="ERROR",E225="ERROR",E229="ERROR",E231="ERROR"),1,0)</f>
        <v>0</v>
      </c>
      <c r="S232" s="136"/>
      <c r="T232" s="128"/>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row>
    <row r="233" spans="1:142" s="6" customFormat="1" ht="20.25" customHeight="1" x14ac:dyDescent="0.2">
      <c r="A233" s="2"/>
      <c r="B233" s="918"/>
      <c r="C233" s="919"/>
      <c r="D233" s="919"/>
      <c r="E233" s="919"/>
      <c r="F233" s="919"/>
      <c r="G233" s="919"/>
      <c r="H233" s="919"/>
      <c r="I233" s="919"/>
      <c r="J233" s="919"/>
      <c r="K233" s="920"/>
      <c r="L233" s="1006" t="s">
        <v>1011</v>
      </c>
      <c r="M233" s="1007"/>
      <c r="N233" s="1007"/>
      <c r="O233" s="1008"/>
      <c r="P233" s="296">
        <f>IF(R232=1,"ERROR",IF(AND(R233&gt;0,R233&lt;0.01),0.01,IF(R233&gt;1,1,ROUND(R233,2))))</f>
        <v>0</v>
      </c>
      <c r="Q233" s="2"/>
      <c r="R233" s="544">
        <f>O226+O232</f>
        <v>0</v>
      </c>
      <c r="S233" s="136"/>
      <c r="T233" s="128"/>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row>
    <row r="234" spans="1:142" s="6" customFormat="1" ht="15" customHeight="1" x14ac:dyDescent="0.25">
      <c r="A234" s="2"/>
      <c r="B234" s="1183"/>
      <c r="C234" s="1183"/>
      <c r="D234" s="1183"/>
      <c r="E234" s="1183"/>
      <c r="F234" s="1183"/>
      <c r="G234" s="1183"/>
      <c r="H234" s="1183"/>
      <c r="I234" s="1183"/>
      <c r="J234" s="1183"/>
      <c r="K234" s="1183"/>
      <c r="L234" s="1183"/>
      <c r="M234" s="1183"/>
      <c r="N234" s="1183"/>
      <c r="O234" s="1183"/>
      <c r="P234" s="29"/>
      <c r="Q234" s="2"/>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row>
    <row r="235" spans="1:142" s="6" customFormat="1" ht="21" customHeight="1" x14ac:dyDescent="0.2">
      <c r="A235" s="2"/>
      <c r="B235" s="944" t="s">
        <v>1959</v>
      </c>
      <c r="C235" s="945"/>
      <c r="D235" s="945"/>
      <c r="E235" s="945"/>
      <c r="F235" s="945"/>
      <c r="G235" s="945"/>
      <c r="H235" s="945"/>
      <c r="I235" s="945"/>
      <c r="J235" s="945"/>
      <c r="K235" s="945"/>
      <c r="L235" s="945"/>
      <c r="M235" s="945"/>
      <c r="N235" s="945"/>
      <c r="O235" s="945"/>
      <c r="P235" s="1270"/>
      <c r="Q235" s="2"/>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row>
    <row r="236" spans="1:142" s="6" customFormat="1" ht="18" customHeight="1" x14ac:dyDescent="0.2">
      <c r="A236" s="2"/>
      <c r="B236" s="944" t="s">
        <v>1963</v>
      </c>
      <c r="C236" s="945"/>
      <c r="D236" s="945"/>
      <c r="E236" s="945"/>
      <c r="F236" s="945"/>
      <c r="G236" s="945"/>
      <c r="H236" s="945"/>
      <c r="I236" s="945"/>
      <c r="J236" s="945"/>
      <c r="K236" s="945"/>
      <c r="L236" s="945"/>
      <c r="M236" s="945"/>
      <c r="N236" s="945"/>
      <c r="O236" s="945"/>
      <c r="P236" s="1271"/>
      <c r="Q236" s="2"/>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row>
    <row r="237" spans="1:142" s="6" customFormat="1" ht="15" customHeight="1" x14ac:dyDescent="0.2">
      <c r="A237" s="2"/>
      <c r="B237" s="146" t="s">
        <v>1973</v>
      </c>
      <c r="C237" s="1185"/>
      <c r="D237" s="1185"/>
      <c r="E237" s="1185"/>
      <c r="F237" s="1185"/>
      <c r="G237" s="1185"/>
      <c r="H237" s="1185"/>
      <c r="I237" s="1185"/>
      <c r="J237" s="1185"/>
      <c r="K237" s="1185"/>
      <c r="L237" s="1185"/>
      <c r="M237" s="1185"/>
      <c r="N237" s="1185"/>
      <c r="O237" s="66"/>
      <c r="P237" s="82">
        <f>IF(C237=S237,0,IF(C237=T237,0.05,IF(C237=U237,0.1,0)))</f>
        <v>0</v>
      </c>
      <c r="Q237" s="2"/>
      <c r="R237" s="947" t="s">
        <v>2147</v>
      </c>
      <c r="S237" s="50" t="s">
        <v>1901</v>
      </c>
      <c r="T237" s="50" t="s">
        <v>1748</v>
      </c>
      <c r="U237" s="50" t="s">
        <v>1749</v>
      </c>
      <c r="V237" s="97"/>
      <c r="W237" s="544" t="s">
        <v>2172</v>
      </c>
      <c r="X237" s="132"/>
      <c r="Z237" s="61"/>
      <c r="AA237" s="61"/>
      <c r="AB237" s="62"/>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row>
    <row r="238" spans="1:142" s="6" customFormat="1" ht="15" customHeight="1" x14ac:dyDescent="0.2">
      <c r="A238" s="2"/>
      <c r="B238" s="230" t="s">
        <v>1974</v>
      </c>
      <c r="C238" s="1246"/>
      <c r="D238" s="1246"/>
      <c r="E238" s="1246"/>
      <c r="F238" s="1246"/>
      <c r="G238" s="1246"/>
      <c r="H238" s="1246"/>
      <c r="I238" s="1246"/>
      <c r="J238" s="1246"/>
      <c r="K238" s="1246"/>
      <c r="L238" s="1246"/>
      <c r="M238" s="1246"/>
      <c r="N238" s="1246"/>
      <c r="O238" s="251"/>
      <c r="P238" s="82">
        <f>IF(C238=S238,0,IF(C238=T238,0.05,IF(C238=U238,0.1,0)))</f>
        <v>0</v>
      </c>
      <c r="Q238" s="2"/>
      <c r="R238" s="947"/>
      <c r="S238" s="50" t="s">
        <v>1901</v>
      </c>
      <c r="T238" s="50" t="s">
        <v>1956</v>
      </c>
      <c r="U238" s="50" t="s">
        <v>1957</v>
      </c>
      <c r="V238" s="97"/>
      <c r="W238" s="548">
        <f>MAX(P237,P238)</f>
        <v>0</v>
      </c>
      <c r="X238" s="132"/>
      <c r="Y238" s="10"/>
      <c r="Z238" s="61"/>
      <c r="AA238" s="61"/>
      <c r="AB238" s="62"/>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row>
    <row r="239" spans="1:142" s="6" customFormat="1" ht="15" x14ac:dyDescent="0.25">
      <c r="A239" s="2"/>
      <c r="B239" s="1137"/>
      <c r="C239" s="1137"/>
      <c r="D239" s="1137"/>
      <c r="E239" s="1137"/>
      <c r="F239" s="1137"/>
      <c r="G239" s="1137"/>
      <c r="H239" s="1137"/>
      <c r="I239" s="1137"/>
      <c r="J239" s="1137"/>
      <c r="K239" s="1137"/>
      <c r="L239" s="1137"/>
      <c r="M239" s="1137"/>
      <c r="N239" s="1137"/>
      <c r="O239" s="1137"/>
      <c r="P239" s="63"/>
      <c r="Q239" s="2"/>
      <c r="R239" s="10"/>
      <c r="S239" s="97"/>
      <c r="T239" s="97"/>
      <c r="U239" s="97"/>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row>
    <row r="240" spans="1:142" s="6" customFormat="1" ht="18" customHeight="1" x14ac:dyDescent="0.25">
      <c r="A240" s="15"/>
      <c r="B240" s="944" t="s">
        <v>556</v>
      </c>
      <c r="C240" s="945"/>
      <c r="D240" s="945"/>
      <c r="E240" s="945"/>
      <c r="F240" s="945"/>
      <c r="G240" s="945"/>
      <c r="H240" s="945"/>
      <c r="I240" s="945"/>
      <c r="J240" s="945"/>
      <c r="K240" s="945"/>
      <c r="L240" s="945"/>
      <c r="M240" s="945"/>
      <c r="N240" s="945"/>
      <c r="O240" s="945"/>
      <c r="P240" s="380"/>
      <c r="Q240" s="2"/>
      <c r="R240" s="10"/>
      <c r="S240" s="10"/>
      <c r="T240" s="10"/>
      <c r="U240" s="10"/>
      <c r="V240" s="10"/>
      <c r="W240" s="10">
        <v>1E-4</v>
      </c>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row>
    <row r="241" spans="1:142" s="6" customFormat="1" ht="15" customHeight="1" x14ac:dyDescent="0.2">
      <c r="A241" s="2"/>
      <c r="B241" s="986" t="s">
        <v>1010</v>
      </c>
      <c r="C241" s="1306"/>
      <c r="D241" s="1306"/>
      <c r="E241" s="1306"/>
      <c r="F241" s="1306"/>
      <c r="G241" s="1254"/>
      <c r="H241" s="1255"/>
      <c r="I241" s="1255"/>
      <c r="J241" s="1255"/>
      <c r="K241" s="1255"/>
      <c r="L241" s="1255"/>
      <c r="M241" s="1255"/>
      <c r="N241" s="1255"/>
      <c r="O241" s="1255"/>
      <c r="P241" s="91">
        <f>IF(G241=$T$241,0.09,IF(G241=$U$241,0.18,IF(G241=$V$241,0.28,0)))</f>
        <v>0</v>
      </c>
      <c r="Q241" s="2"/>
      <c r="R241" s="947" t="s">
        <v>2147</v>
      </c>
      <c r="S241" s="566" t="s">
        <v>1901</v>
      </c>
      <c r="T241" s="50" t="s">
        <v>899</v>
      </c>
      <c r="U241" s="50" t="s">
        <v>1764</v>
      </c>
      <c r="V241" s="50" t="s">
        <v>900</v>
      </c>
      <c r="W241" s="50"/>
      <c r="X241" s="5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row>
    <row r="242" spans="1:142" s="6" customFormat="1" ht="15" customHeight="1" x14ac:dyDescent="0.2">
      <c r="A242" s="2"/>
      <c r="B242" s="1257" t="s">
        <v>901</v>
      </c>
      <c r="C242" s="1258"/>
      <c r="D242" s="1258"/>
      <c r="E242" s="1258"/>
      <c r="F242" s="1259"/>
      <c r="G242" s="1262"/>
      <c r="H242" s="1263"/>
      <c r="I242" s="1263"/>
      <c r="J242" s="1263"/>
      <c r="K242" s="1263"/>
      <c r="L242" s="1263"/>
      <c r="M242" s="1263"/>
      <c r="N242" s="1263"/>
      <c r="O242" s="1264"/>
      <c r="P242" s="82">
        <f>IF(G242=$T$241,0.06,IF(G242=$U$241,0.11,IF(G242=$V$241,0.17,0)))</f>
        <v>0</v>
      </c>
      <c r="Q242" s="2"/>
      <c r="R242" s="947"/>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row>
    <row r="243" spans="1:142" s="6" customFormat="1" ht="19.5" customHeight="1" x14ac:dyDescent="0.2">
      <c r="A243" s="2"/>
      <c r="B243" s="1307" t="s">
        <v>2093</v>
      </c>
      <c r="C243" s="1308"/>
      <c r="D243" s="1308"/>
      <c r="E243" s="1308"/>
      <c r="F243" s="1308"/>
      <c r="G243" s="1308"/>
      <c r="H243" s="1308"/>
      <c r="I243" s="1308"/>
      <c r="J243" s="1308"/>
      <c r="K243" s="1308"/>
      <c r="L243" s="1308"/>
      <c r="M243" s="1308"/>
      <c r="N243" s="1308"/>
      <c r="O243" s="1309"/>
      <c r="P243" s="91">
        <f>IF(S243=1,0.1,0)</f>
        <v>0</v>
      </c>
      <c r="Q243" s="2"/>
      <c r="R243" s="546" t="b">
        <v>0</v>
      </c>
      <c r="S243" s="50">
        <f>IF(R243=TRUE,1,0)</f>
        <v>0</v>
      </c>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row>
    <row r="244" spans="1:142" s="6" customFormat="1" ht="3" customHeight="1" x14ac:dyDescent="0.2">
      <c r="A244" s="2"/>
      <c r="B244" s="1196"/>
      <c r="C244" s="1196"/>
      <c r="D244" s="1196"/>
      <c r="E244" s="1196"/>
      <c r="F244" s="1196"/>
      <c r="G244" s="1196"/>
      <c r="H244" s="1196"/>
      <c r="I244" s="1196"/>
      <c r="J244" s="1196"/>
      <c r="K244" s="1196"/>
      <c r="L244" s="1196"/>
      <c r="M244" s="1196"/>
      <c r="N244" s="1196"/>
      <c r="O244" s="1196"/>
      <c r="P244" s="73"/>
      <c r="Q244" s="2"/>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c r="DY244" s="10"/>
      <c r="DZ244" s="10"/>
      <c r="EA244" s="10"/>
      <c r="EB244" s="10"/>
      <c r="EC244" s="10"/>
      <c r="ED244" s="10"/>
      <c r="EE244" s="10"/>
      <c r="EF244" s="10"/>
      <c r="EG244" s="10"/>
      <c r="EH244" s="10"/>
      <c r="EI244" s="10"/>
      <c r="EJ244" s="10"/>
      <c r="EK244" s="10"/>
      <c r="EL244" s="10"/>
    </row>
    <row r="245" spans="1:142" s="6" customFormat="1" ht="3" customHeight="1" x14ac:dyDescent="0.25">
      <c r="A245" s="2"/>
      <c r="B245" s="1137"/>
      <c r="C245" s="1137"/>
      <c r="D245" s="1137"/>
      <c r="E245" s="1137"/>
      <c r="F245" s="1137"/>
      <c r="G245" s="1137"/>
      <c r="H245" s="1137"/>
      <c r="I245" s="1137"/>
      <c r="J245" s="1137"/>
      <c r="K245" s="1137"/>
      <c r="L245" s="1137"/>
      <c r="M245" s="1137"/>
      <c r="N245" s="1137"/>
      <c r="O245" s="1137"/>
      <c r="P245" s="63"/>
      <c r="Q245" s="2"/>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c r="DY245" s="10"/>
      <c r="DZ245" s="10"/>
      <c r="EA245" s="10"/>
      <c r="EB245" s="10"/>
      <c r="EC245" s="10"/>
      <c r="ED245" s="10"/>
      <c r="EE245" s="10"/>
      <c r="EF245" s="10"/>
      <c r="EG245" s="10"/>
      <c r="EH245" s="10"/>
      <c r="EI245" s="10"/>
      <c r="EJ245" s="10"/>
      <c r="EK245" s="10"/>
      <c r="EL245" s="10"/>
    </row>
    <row r="246" spans="1:142" s="6" customFormat="1" ht="19.5" customHeight="1" x14ac:dyDescent="0.2">
      <c r="A246" s="15"/>
      <c r="B246" s="304" t="s">
        <v>1917</v>
      </c>
      <c r="C246" s="1261"/>
      <c r="D246" s="1261"/>
      <c r="E246" s="1261"/>
      <c r="F246" s="1261"/>
      <c r="G246" s="1261"/>
      <c r="H246" s="1261"/>
      <c r="I246" s="1261"/>
      <c r="J246" s="1261"/>
      <c r="K246" s="1261"/>
      <c r="L246" s="1261"/>
      <c r="M246" s="1261"/>
      <c r="N246" s="1261"/>
      <c r="O246" s="1261"/>
      <c r="P246" s="82">
        <f>IF(S246=1,0,IF(S246=2,0.1,IF(S246=3,0.1,0)))</f>
        <v>0</v>
      </c>
      <c r="Q246" s="2"/>
      <c r="R246" s="50" t="s">
        <v>2173</v>
      </c>
      <c r="S246" s="599">
        <v>1</v>
      </c>
      <c r="T246" s="10"/>
      <c r="U246" s="10"/>
      <c r="V246" s="10"/>
      <c r="W246" s="10">
        <v>1E-4</v>
      </c>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row>
    <row r="247" spans="1:142" s="6" customFormat="1" ht="18" customHeight="1" x14ac:dyDescent="0.2">
      <c r="A247" s="15"/>
      <c r="B247" s="1017" t="s">
        <v>1831</v>
      </c>
      <c r="C247" s="1018"/>
      <c r="D247" s="1018"/>
      <c r="E247" s="1018"/>
      <c r="F247" s="1018"/>
      <c r="G247" s="1018"/>
      <c r="H247" s="1018"/>
      <c r="I247" s="1018"/>
      <c r="J247" s="1018"/>
      <c r="K247" s="1018"/>
      <c r="L247" s="1018"/>
      <c r="M247" s="1018"/>
      <c r="N247" s="1018"/>
      <c r="O247" s="1018"/>
      <c r="P247" s="91">
        <f>IF(S247=1,0.14,0)</f>
        <v>0</v>
      </c>
      <c r="Q247" s="2"/>
      <c r="R247" s="546" t="b">
        <v>0</v>
      </c>
      <c r="S247" s="50">
        <f>IF(R247=TRUE,1,0)</f>
        <v>0</v>
      </c>
      <c r="T247" s="10"/>
      <c r="U247" s="10"/>
      <c r="V247" s="10"/>
      <c r="W247" s="10">
        <v>1E-4</v>
      </c>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c r="DY247" s="10"/>
      <c r="DZ247" s="10"/>
      <c r="EA247" s="10"/>
      <c r="EB247" s="10"/>
      <c r="EC247" s="10"/>
      <c r="ED247" s="10"/>
      <c r="EE247" s="10"/>
      <c r="EF247" s="10"/>
      <c r="EG247" s="10"/>
      <c r="EH247" s="10"/>
      <c r="EI247" s="10"/>
      <c r="EJ247" s="10"/>
      <c r="EK247" s="10"/>
      <c r="EL247" s="10"/>
    </row>
    <row r="248" spans="1:142" s="6" customFormat="1" ht="12" customHeight="1" x14ac:dyDescent="0.25">
      <c r="A248" s="2"/>
      <c r="B248" s="1137"/>
      <c r="C248" s="1137"/>
      <c r="D248" s="1137"/>
      <c r="E248" s="1137"/>
      <c r="F248" s="1137"/>
      <c r="G248" s="1137"/>
      <c r="H248" s="1137"/>
      <c r="I248" s="1137"/>
      <c r="J248" s="1137"/>
      <c r="K248" s="1137"/>
      <c r="L248" s="1137"/>
      <c r="M248" s="1137"/>
      <c r="N248" s="1137"/>
      <c r="O248" s="1137"/>
      <c r="P248" s="63"/>
      <c r="Q248" s="2"/>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row>
    <row r="249" spans="1:142" s="6" customFormat="1" ht="18" customHeight="1" x14ac:dyDescent="0.2">
      <c r="A249" s="15"/>
      <c r="B249" s="1143" t="s">
        <v>1703</v>
      </c>
      <c r="C249" s="1143"/>
      <c r="D249" s="1143"/>
      <c r="E249" s="1143"/>
      <c r="F249" s="1002"/>
      <c r="G249" s="1002"/>
      <c r="H249" s="791"/>
      <c r="I249" s="791"/>
      <c r="J249" s="791"/>
      <c r="K249" s="791"/>
      <c r="L249" s="791"/>
      <c r="M249" s="791"/>
      <c r="N249" s="791"/>
      <c r="O249" s="791"/>
      <c r="P249" s="21">
        <f>IF(S249=1,0.25,0)</f>
        <v>0</v>
      </c>
      <c r="Q249" s="2"/>
      <c r="R249" s="546" t="b">
        <v>0</v>
      </c>
      <c r="S249" s="50">
        <f>IF(R249=TRUE,1,0)</f>
        <v>0</v>
      </c>
      <c r="T249" s="10"/>
      <c r="U249" s="10"/>
      <c r="V249" s="10"/>
      <c r="W249" s="10">
        <v>1E-4</v>
      </c>
      <c r="X249" s="10"/>
      <c r="Y249" s="135"/>
      <c r="Z249" s="10"/>
      <c r="AA249" s="10"/>
      <c r="AB249" s="10"/>
      <c r="AC249" s="10"/>
      <c r="AD249" s="10"/>
      <c r="AE249" s="10"/>
      <c r="AF249" s="10"/>
      <c r="AG249" s="10"/>
      <c r="AH249" s="10"/>
      <c r="AI249" s="94"/>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row>
    <row r="250" spans="1:142" s="6" customFormat="1" ht="12" customHeight="1" x14ac:dyDescent="0.25">
      <c r="A250" s="2"/>
      <c r="B250" s="1137"/>
      <c r="C250" s="1137"/>
      <c r="D250" s="1137"/>
      <c r="E250" s="1137"/>
      <c r="F250" s="1137"/>
      <c r="G250" s="1137"/>
      <c r="H250" s="1137"/>
      <c r="I250" s="1137"/>
      <c r="J250" s="1137"/>
      <c r="K250" s="1137"/>
      <c r="L250" s="1137"/>
      <c r="M250" s="1137"/>
      <c r="N250" s="1137"/>
      <c r="O250" s="1137"/>
      <c r="P250" s="63"/>
      <c r="Q250" s="2"/>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row>
    <row r="251" spans="1:142" s="6" customFormat="1" ht="18" customHeight="1" x14ac:dyDescent="0.25">
      <c r="A251" s="2"/>
      <c r="B251" s="912" t="s">
        <v>1704</v>
      </c>
      <c r="C251" s="910"/>
      <c r="D251" s="910"/>
      <c r="E251" s="910"/>
      <c r="F251" s="910"/>
      <c r="G251" s="910"/>
      <c r="H251" s="910"/>
      <c r="I251" s="910"/>
      <c r="J251" s="910"/>
      <c r="K251" s="910"/>
      <c r="L251" s="910"/>
      <c r="M251" s="910"/>
      <c r="N251" s="910"/>
      <c r="O251" s="910"/>
      <c r="P251" s="297"/>
      <c r="Q251" s="2"/>
      <c r="R251" s="10"/>
      <c r="S251" s="10"/>
      <c r="Y251" s="10"/>
      <c r="Z251" s="724"/>
      <c r="AA251" s="724"/>
      <c r="AB251" s="724"/>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row>
    <row r="252" spans="1:142" s="6" customFormat="1" ht="21" customHeight="1" x14ac:dyDescent="0.2">
      <c r="A252" s="2"/>
      <c r="B252" s="761" t="s">
        <v>546</v>
      </c>
      <c r="C252" s="761"/>
      <c r="D252" s="761"/>
      <c r="E252" s="761"/>
      <c r="F252" s="761"/>
      <c r="G252" s="761"/>
      <c r="H252" s="761"/>
      <c r="I252" s="761"/>
      <c r="J252" s="761"/>
      <c r="K252" s="761"/>
      <c r="L252" s="761"/>
      <c r="M252" s="761"/>
      <c r="N252" s="694"/>
      <c r="O252" s="694"/>
      <c r="P252" s="21">
        <f>IF(N252=T252,0.03,IF(N252=U252,0.15,IF(N252=V252,0.38,IF(N252=W252,0.68,IF(N252=X252,0.9,0)))))</f>
        <v>0</v>
      </c>
      <c r="Q252" s="2"/>
      <c r="R252" s="50">
        <f>IF(OR(N252=U252,N252=V252,N252=W252,N252=X252),1,0)</f>
        <v>0</v>
      </c>
      <c r="S252" s="10"/>
      <c r="T252" s="50" t="s">
        <v>1928</v>
      </c>
      <c r="U252" s="50" t="s">
        <v>1929</v>
      </c>
      <c r="V252" s="147" t="s">
        <v>1931</v>
      </c>
      <c r="W252" s="50" t="s">
        <v>929</v>
      </c>
      <c r="X252" s="147" t="s">
        <v>545</v>
      </c>
      <c r="Y252" s="10"/>
      <c r="Z252" s="724"/>
      <c r="AA252" s="724"/>
      <c r="AB252" s="724"/>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0"/>
      <c r="EC252" s="10"/>
      <c r="ED252" s="10"/>
      <c r="EE252" s="10"/>
      <c r="EF252" s="10"/>
      <c r="EG252" s="10"/>
      <c r="EH252" s="10"/>
      <c r="EI252" s="10"/>
      <c r="EJ252" s="10"/>
      <c r="EK252" s="10"/>
      <c r="EL252" s="10"/>
    </row>
    <row r="253" spans="1:142" s="6" customFormat="1" ht="21" customHeight="1" x14ac:dyDescent="0.2">
      <c r="A253" s="15"/>
      <c r="B253" s="924" t="s">
        <v>547</v>
      </c>
      <c r="C253" s="924"/>
      <c r="D253" s="924"/>
      <c r="E253" s="924"/>
      <c r="F253" s="924"/>
      <c r="G253" s="924"/>
      <c r="H253" s="924"/>
      <c r="I253" s="924"/>
      <c r="J253" s="924"/>
      <c r="K253" s="924"/>
      <c r="L253" s="924"/>
      <c r="M253" s="924"/>
      <c r="N253" s="1002"/>
      <c r="O253" s="1002"/>
      <c r="P253" s="82">
        <f>IF(S253=1,0.1,0)</f>
        <v>0</v>
      </c>
      <c r="Q253" s="2"/>
      <c r="R253" s="50" t="s">
        <v>2173</v>
      </c>
      <c r="S253" s="546">
        <v>2</v>
      </c>
      <c r="T253" s="10"/>
      <c r="U253" s="10"/>
      <c r="V253" s="10"/>
      <c r="W253" s="10">
        <v>1E-4</v>
      </c>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row>
    <row r="254" spans="1:142" s="6" customFormat="1" ht="12" customHeight="1" x14ac:dyDescent="0.25">
      <c r="A254" s="2"/>
      <c r="B254" s="1137"/>
      <c r="C254" s="1137"/>
      <c r="D254" s="1137"/>
      <c r="E254" s="1137"/>
      <c r="F254" s="1137"/>
      <c r="G254" s="1137"/>
      <c r="H254" s="1137"/>
      <c r="I254" s="1137"/>
      <c r="J254" s="1137"/>
      <c r="K254" s="1137"/>
      <c r="L254" s="1137"/>
      <c r="M254" s="1137"/>
      <c r="N254" s="1137"/>
      <c r="O254" s="1137"/>
      <c r="P254" s="63"/>
      <c r="Q254" s="2"/>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row>
    <row r="255" spans="1:142" s="6" customFormat="1" ht="18" customHeight="1" x14ac:dyDescent="0.25">
      <c r="A255" s="2"/>
      <c r="B255" s="1161" t="s">
        <v>169</v>
      </c>
      <c r="C255" s="1161"/>
      <c r="D255" s="1161"/>
      <c r="E255" s="1161"/>
      <c r="F255" s="1161"/>
      <c r="G255" s="1170"/>
      <c r="H255" s="1170"/>
      <c r="I255" s="1170"/>
      <c r="J255" s="1170"/>
      <c r="K255" s="1170"/>
      <c r="L255" s="1170"/>
      <c r="M255" s="1170"/>
      <c r="N255" s="1170"/>
      <c r="O255" s="1170"/>
      <c r="P255" s="297"/>
      <c r="Q255" s="2"/>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0"/>
      <c r="EC255" s="10"/>
      <c r="ED255" s="10"/>
      <c r="EE255" s="10"/>
      <c r="EF255" s="10"/>
      <c r="EG255" s="10"/>
      <c r="EH255" s="10"/>
      <c r="EI255" s="10"/>
      <c r="EJ255" s="10"/>
      <c r="EK255" s="10"/>
      <c r="EL255" s="10"/>
    </row>
    <row r="256" spans="1:142" s="6" customFormat="1" ht="18" customHeight="1" x14ac:dyDescent="0.2">
      <c r="A256" s="15"/>
      <c r="B256" s="1279" t="s">
        <v>958</v>
      </c>
      <c r="C256" s="1279"/>
      <c r="D256" s="1279"/>
      <c r="E256" s="1002"/>
      <c r="F256" s="995"/>
      <c r="G256" s="749" t="s">
        <v>959</v>
      </c>
      <c r="H256" s="750"/>
      <c r="I256" s="750"/>
      <c r="J256" s="750"/>
      <c r="K256" s="750"/>
      <c r="L256" s="750"/>
      <c r="M256" s="750"/>
      <c r="N256" s="750"/>
      <c r="O256" s="751"/>
      <c r="P256" s="729">
        <f>IF(AND(T258&gt;0,T262&gt;0),0.05,0)</f>
        <v>0</v>
      </c>
      <c r="Q256" s="2"/>
      <c r="R256" s="546" t="b">
        <v>0</v>
      </c>
      <c r="S256" s="50">
        <f t="shared" ref="S256:S262" si="39">IF(R256=TRUE,1,0)</f>
        <v>0</v>
      </c>
      <c r="T256" s="10"/>
      <c r="U256" s="10"/>
      <c r="V256" s="10"/>
      <c r="W256" s="10">
        <v>1E-4</v>
      </c>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row>
    <row r="257" spans="1:142" s="6" customFormat="1" ht="18" customHeight="1" x14ac:dyDescent="0.2">
      <c r="A257" s="2"/>
      <c r="B257" s="1279"/>
      <c r="C257" s="1279"/>
      <c r="D257" s="1279"/>
      <c r="E257" s="1002"/>
      <c r="F257" s="995"/>
      <c r="G257" s="818" t="s">
        <v>960</v>
      </c>
      <c r="H257" s="698"/>
      <c r="I257" s="698"/>
      <c r="J257" s="698"/>
      <c r="K257" s="698"/>
      <c r="L257" s="698"/>
      <c r="M257" s="698"/>
      <c r="N257" s="698"/>
      <c r="O257" s="819"/>
      <c r="P257" s="737"/>
      <c r="Q257" s="2"/>
      <c r="R257" s="546" t="b">
        <v>0</v>
      </c>
      <c r="S257" s="50">
        <f t="shared" si="39"/>
        <v>0</v>
      </c>
      <c r="T257" s="50" t="s">
        <v>1006</v>
      </c>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row>
    <row r="258" spans="1:142" s="6" customFormat="1" ht="18" customHeight="1" x14ac:dyDescent="0.2">
      <c r="A258" s="2"/>
      <c r="B258" s="1279"/>
      <c r="C258" s="1279"/>
      <c r="D258" s="1279"/>
      <c r="E258" s="1002"/>
      <c r="F258" s="995"/>
      <c r="G258" s="752" t="s">
        <v>961</v>
      </c>
      <c r="H258" s="753"/>
      <c r="I258" s="753"/>
      <c r="J258" s="753"/>
      <c r="K258" s="753"/>
      <c r="L258" s="753"/>
      <c r="M258" s="753"/>
      <c r="N258" s="753"/>
      <c r="O258" s="754"/>
      <c r="P258" s="737"/>
      <c r="Q258" s="2"/>
      <c r="R258" s="546" t="b">
        <v>0</v>
      </c>
      <c r="S258" s="50">
        <f t="shared" si="39"/>
        <v>0</v>
      </c>
      <c r="T258" s="50">
        <f>SUM(S256:S258)</f>
        <v>0</v>
      </c>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row>
    <row r="259" spans="1:142" s="6" customFormat="1" ht="18" customHeight="1" x14ac:dyDescent="0.2">
      <c r="A259" s="2"/>
      <c r="B259" s="1279"/>
      <c r="C259" s="1279"/>
      <c r="D259" s="1279"/>
      <c r="E259" s="1260"/>
      <c r="F259" s="1017"/>
      <c r="G259" s="1138" t="s">
        <v>962</v>
      </c>
      <c r="H259" s="1139"/>
      <c r="I259" s="1139"/>
      <c r="J259" s="1139"/>
      <c r="K259" s="1139"/>
      <c r="L259" s="1139"/>
      <c r="M259" s="1139"/>
      <c r="N259" s="1139"/>
      <c r="O259" s="1140"/>
      <c r="P259" s="737"/>
      <c r="Q259" s="2"/>
      <c r="R259" s="546" t="b">
        <v>0</v>
      </c>
      <c r="S259" s="50">
        <f t="shared" si="39"/>
        <v>0</v>
      </c>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row>
    <row r="260" spans="1:142" s="6" customFormat="1" ht="18" customHeight="1" x14ac:dyDescent="0.2">
      <c r="A260" s="2"/>
      <c r="B260" s="1279"/>
      <c r="C260" s="1279"/>
      <c r="D260" s="1279"/>
      <c r="E260" s="1002"/>
      <c r="F260" s="995"/>
      <c r="G260" s="1138" t="s">
        <v>963</v>
      </c>
      <c r="H260" s="1139"/>
      <c r="I260" s="1139"/>
      <c r="J260" s="1139"/>
      <c r="K260" s="1139"/>
      <c r="L260" s="1139"/>
      <c r="M260" s="1139"/>
      <c r="N260" s="1139"/>
      <c r="O260" s="1140"/>
      <c r="P260" s="737"/>
      <c r="Q260" s="2"/>
      <c r="R260" s="546" t="b">
        <v>0</v>
      </c>
      <c r="S260" s="50">
        <f t="shared" si="39"/>
        <v>0</v>
      </c>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0"/>
      <c r="ED260" s="10"/>
      <c r="EE260" s="10"/>
      <c r="EF260" s="10"/>
      <c r="EG260" s="10"/>
      <c r="EH260" s="10"/>
      <c r="EI260" s="10"/>
      <c r="EJ260" s="10"/>
      <c r="EK260" s="10"/>
      <c r="EL260" s="10"/>
    </row>
    <row r="261" spans="1:142" s="6" customFormat="1" ht="18" customHeight="1" x14ac:dyDescent="0.2">
      <c r="A261" s="2"/>
      <c r="B261" s="1279"/>
      <c r="C261" s="1279"/>
      <c r="D261" s="1279"/>
      <c r="E261" s="1002"/>
      <c r="F261" s="995"/>
      <c r="G261" s="1138" t="s">
        <v>964</v>
      </c>
      <c r="H261" s="1139"/>
      <c r="I261" s="1139"/>
      <c r="J261" s="1139"/>
      <c r="K261" s="1139"/>
      <c r="L261" s="1139"/>
      <c r="M261" s="1139"/>
      <c r="N261" s="1139"/>
      <c r="O261" s="1140"/>
      <c r="P261" s="737"/>
      <c r="Q261" s="2"/>
      <c r="R261" s="546" t="b">
        <v>0</v>
      </c>
      <c r="S261" s="50">
        <f t="shared" si="39"/>
        <v>0</v>
      </c>
      <c r="T261" s="50" t="s">
        <v>1006</v>
      </c>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row>
    <row r="262" spans="1:142" s="6" customFormat="1" ht="18" customHeight="1" x14ac:dyDescent="0.2">
      <c r="A262" s="2"/>
      <c r="B262" s="1279"/>
      <c r="C262" s="1279"/>
      <c r="D262" s="1279"/>
      <c r="E262" s="1002"/>
      <c r="F262" s="995"/>
      <c r="G262" s="1168" t="s">
        <v>656</v>
      </c>
      <c r="H262" s="1169"/>
      <c r="I262" s="1169"/>
      <c r="J262" s="1169"/>
      <c r="K262" s="1169"/>
      <c r="L262" s="1169"/>
      <c r="M262" s="1169"/>
      <c r="N262" s="1169"/>
      <c r="O262" s="1200"/>
      <c r="P262" s="737"/>
      <c r="Q262" s="2"/>
      <c r="R262" s="546" t="b">
        <v>0</v>
      </c>
      <c r="S262" s="50">
        <f t="shared" si="39"/>
        <v>0</v>
      </c>
      <c r="T262" s="50">
        <f>SUM(S259:S262)</f>
        <v>0</v>
      </c>
      <c r="U262" s="10"/>
      <c r="V262" s="97"/>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row>
    <row r="263" spans="1:142" s="6" customFormat="1" ht="12" customHeight="1" x14ac:dyDescent="0.25">
      <c r="A263" s="2"/>
      <c r="B263" s="1137"/>
      <c r="C263" s="1137"/>
      <c r="D263" s="1137"/>
      <c r="E263" s="1137"/>
      <c r="F263" s="1137"/>
      <c r="G263" s="1137"/>
      <c r="H263" s="1137"/>
      <c r="I263" s="1137"/>
      <c r="J263" s="1137"/>
      <c r="K263" s="1137"/>
      <c r="L263" s="1137"/>
      <c r="M263" s="1137"/>
      <c r="N263" s="1137"/>
      <c r="O263" s="1137"/>
      <c r="P263" s="63"/>
      <c r="Q263" s="2"/>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c r="DY263" s="10"/>
      <c r="DZ263" s="10"/>
      <c r="EA263" s="10"/>
      <c r="EB263" s="10"/>
      <c r="EC263" s="10"/>
      <c r="ED263" s="10"/>
      <c r="EE263" s="10"/>
      <c r="EF263" s="10"/>
      <c r="EG263" s="10"/>
      <c r="EH263" s="10"/>
      <c r="EI263" s="10"/>
      <c r="EJ263" s="10"/>
      <c r="EK263" s="10"/>
      <c r="EL263" s="10"/>
    </row>
    <row r="264" spans="1:142" s="6" customFormat="1" ht="17.25" customHeight="1" x14ac:dyDescent="0.2">
      <c r="A264" s="2"/>
      <c r="B264" s="1197" t="s">
        <v>170</v>
      </c>
      <c r="C264" s="1129"/>
      <c r="D264" s="1129"/>
      <c r="E264" s="1129"/>
      <c r="F264" s="1129"/>
      <c r="G264" s="1129"/>
      <c r="H264" s="1129"/>
      <c r="I264" s="1129"/>
      <c r="J264" s="1129"/>
      <c r="K264" s="1129"/>
      <c r="L264" s="1129"/>
      <c r="M264" s="1129"/>
      <c r="N264" s="1129"/>
      <c r="O264" s="1129"/>
      <c r="P264" s="231"/>
      <c r="Q264" s="2"/>
      <c r="R264" s="97"/>
      <c r="S264" s="128"/>
      <c r="T264" s="97"/>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c r="DY264" s="10"/>
      <c r="DZ264" s="10"/>
      <c r="EA264" s="10"/>
      <c r="EB264" s="10"/>
      <c r="EC264" s="10"/>
      <c r="ED264" s="10"/>
      <c r="EE264" s="10"/>
      <c r="EF264" s="10"/>
      <c r="EG264" s="10"/>
      <c r="EH264" s="10"/>
      <c r="EI264" s="10"/>
      <c r="EJ264" s="10"/>
      <c r="EK264" s="10"/>
      <c r="EL264" s="10"/>
    </row>
    <row r="265" spans="1:142" s="6" customFormat="1" ht="39" customHeight="1" x14ac:dyDescent="0.2">
      <c r="A265" s="2"/>
      <c r="B265" s="752" t="s">
        <v>137</v>
      </c>
      <c r="C265" s="753"/>
      <c r="D265" s="753"/>
      <c r="E265" s="753"/>
      <c r="F265" s="753"/>
      <c r="G265" s="753"/>
      <c r="H265" s="753"/>
      <c r="I265" s="753"/>
      <c r="J265" s="753"/>
      <c r="K265" s="753"/>
      <c r="L265" s="753"/>
      <c r="M265" s="753"/>
      <c r="N265" s="753"/>
      <c r="O265" s="753"/>
      <c r="P265" s="230"/>
      <c r="Q265" s="2"/>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c r="DY265" s="10"/>
      <c r="DZ265" s="10"/>
      <c r="EA265" s="10"/>
      <c r="EB265" s="10"/>
      <c r="EC265" s="10"/>
      <c r="ED265" s="10"/>
      <c r="EE265" s="10"/>
      <c r="EF265" s="10"/>
      <c r="EG265" s="10"/>
      <c r="EH265" s="10"/>
      <c r="EI265" s="10"/>
      <c r="EJ265" s="10"/>
      <c r="EK265" s="10"/>
      <c r="EL265" s="10"/>
    </row>
    <row r="266" spans="1:142" s="6" customFormat="1" ht="18" customHeight="1" x14ac:dyDescent="0.2">
      <c r="A266" s="15"/>
      <c r="B266" s="1168" t="s">
        <v>932</v>
      </c>
      <c r="C266" s="1169"/>
      <c r="D266" s="1169"/>
      <c r="E266" s="1169"/>
      <c r="F266" s="1169"/>
      <c r="G266" s="1169"/>
      <c r="H266" s="1169"/>
      <c r="I266" s="1169"/>
      <c r="J266" s="1169"/>
      <c r="K266" s="1169"/>
      <c r="L266" s="1169"/>
      <c r="M266" s="1169"/>
      <c r="N266" s="1166"/>
      <c r="O266" s="1167"/>
      <c r="P266" s="21">
        <f>IF(S266=1,0.05,0)</f>
        <v>0</v>
      </c>
      <c r="Q266" s="2"/>
      <c r="R266" s="50" t="s">
        <v>2173</v>
      </c>
      <c r="S266" s="546">
        <v>2</v>
      </c>
      <c r="T266" s="10"/>
      <c r="U266" s="10"/>
      <c r="V266" s="10"/>
      <c r="W266" s="10">
        <v>1E-4</v>
      </c>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c r="DY266" s="10"/>
      <c r="DZ266" s="10"/>
      <c r="EA266" s="10"/>
      <c r="EB266" s="10"/>
      <c r="EC266" s="10"/>
      <c r="ED266" s="10"/>
      <c r="EE266" s="10"/>
      <c r="EF266" s="10"/>
      <c r="EG266" s="10"/>
      <c r="EH266" s="10"/>
      <c r="EI266" s="10"/>
      <c r="EJ266" s="10"/>
      <c r="EK266" s="10"/>
      <c r="EL266" s="10"/>
    </row>
    <row r="267" spans="1:142" s="6" customFormat="1" ht="12" customHeight="1" x14ac:dyDescent="0.25">
      <c r="A267" s="2"/>
      <c r="B267" s="1196"/>
      <c r="C267" s="1196"/>
      <c r="D267" s="1196"/>
      <c r="E267" s="1196"/>
      <c r="F267" s="1196"/>
      <c r="G267" s="1196"/>
      <c r="H267" s="1196"/>
      <c r="I267" s="1196"/>
      <c r="J267" s="1196"/>
      <c r="K267" s="1196"/>
      <c r="L267" s="1196"/>
      <c r="M267" s="1196"/>
      <c r="N267" s="1196"/>
      <c r="O267" s="1196"/>
      <c r="P267" s="74"/>
      <c r="Q267" s="2"/>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0"/>
      <c r="EI267" s="10"/>
      <c r="EJ267" s="10"/>
      <c r="EK267" s="10"/>
      <c r="EL267" s="10"/>
    </row>
    <row r="268" spans="1:142" s="6" customFormat="1" ht="18" customHeight="1" x14ac:dyDescent="0.2">
      <c r="A268" s="2"/>
      <c r="B268" s="910" t="s">
        <v>1144</v>
      </c>
      <c r="C268" s="910"/>
      <c r="D268" s="910"/>
      <c r="E268" s="910"/>
      <c r="F268" s="910"/>
      <c r="G268" s="910"/>
      <c r="H268" s="910"/>
      <c r="I268" s="910"/>
      <c r="J268" s="910"/>
      <c r="K268" s="910"/>
      <c r="L268" s="910"/>
      <c r="M268" s="910"/>
      <c r="N268" s="910"/>
      <c r="O268" s="910"/>
      <c r="P268" s="146"/>
      <c r="Q268" s="2"/>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row>
    <row r="269" spans="1:142" s="6" customFormat="1" ht="15" customHeight="1" x14ac:dyDescent="0.2">
      <c r="A269" s="2"/>
      <c r="B269" s="289" t="s">
        <v>1145</v>
      </c>
      <c r="C269" s="1142">
        <f>IF(OR($R$269=1,$R$270=1),P33,0)</f>
        <v>0</v>
      </c>
      <c r="D269" s="1162"/>
      <c r="E269" s="1162"/>
      <c r="F269" s="1161" t="s">
        <v>1146</v>
      </c>
      <c r="G269" s="1161"/>
      <c r="H269" s="1161"/>
      <c r="I269" s="1161"/>
      <c r="J269" s="1161"/>
      <c r="K269" s="1161"/>
      <c r="L269" s="1142">
        <f>LETable!AJ48</f>
        <v>0</v>
      </c>
      <c r="M269" s="1142"/>
      <c r="N269" s="1161" t="s">
        <v>657</v>
      </c>
      <c r="O269" s="1161"/>
      <c r="P269" s="1151">
        <f>SUM(L269:L273)</f>
        <v>0</v>
      </c>
      <c r="Q269" s="2"/>
      <c r="R269" s="289">
        <f>IF(SUM($E$341:$E$365)&gt;0,1,0)</f>
        <v>0</v>
      </c>
      <c r="S269" s="924" t="s">
        <v>846</v>
      </c>
      <c r="T269" s="924"/>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row>
    <row r="270" spans="1:142" s="6" customFormat="1" ht="15" customHeight="1" x14ac:dyDescent="0.2">
      <c r="A270" s="2"/>
      <c r="B270" s="289" t="s">
        <v>847</v>
      </c>
      <c r="C270" s="1142">
        <f>IF(OR($R$269=1,$R$270=1),P72,0)</f>
        <v>0</v>
      </c>
      <c r="D270" s="1162"/>
      <c r="E270" s="1162"/>
      <c r="F270" s="1161" t="s">
        <v>1146</v>
      </c>
      <c r="G270" s="1161"/>
      <c r="H270" s="1161"/>
      <c r="I270" s="1161"/>
      <c r="J270" s="1161"/>
      <c r="K270" s="1161"/>
      <c r="L270" s="1142">
        <f>LETable!AJ49</f>
        <v>0</v>
      </c>
      <c r="M270" s="1142"/>
      <c r="N270" s="1161" t="s">
        <v>657</v>
      </c>
      <c r="O270" s="1161"/>
      <c r="P270" s="1151"/>
      <c r="Q270" s="2"/>
      <c r="R270" s="50">
        <f>IF(SUM(E448:E469)&gt;0,1,0)</f>
        <v>0</v>
      </c>
      <c r="S270" s="791" t="s">
        <v>848</v>
      </c>
      <c r="T270" s="791"/>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row>
    <row r="271" spans="1:142" s="6" customFormat="1" ht="15" customHeight="1" x14ac:dyDescent="0.2">
      <c r="A271" s="2"/>
      <c r="B271" s="289" t="s">
        <v>849</v>
      </c>
      <c r="C271" s="1142">
        <f>IF(OR($R$269=1,$R$270=1),P112,0)</f>
        <v>0</v>
      </c>
      <c r="D271" s="1162"/>
      <c r="E271" s="1162"/>
      <c r="F271" s="1161" t="s">
        <v>1146</v>
      </c>
      <c r="G271" s="1161"/>
      <c r="H271" s="1161"/>
      <c r="I271" s="1161"/>
      <c r="J271" s="1161"/>
      <c r="K271" s="1161"/>
      <c r="L271" s="1142">
        <f>LETable!AJ50</f>
        <v>0</v>
      </c>
      <c r="M271" s="1142"/>
      <c r="N271" s="1161" t="s">
        <v>657</v>
      </c>
      <c r="O271" s="1161"/>
      <c r="P271" s="1151"/>
      <c r="Q271" s="2"/>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row>
    <row r="272" spans="1:142" s="6" customFormat="1" ht="15" customHeight="1" x14ac:dyDescent="0.2">
      <c r="A272" s="2"/>
      <c r="B272" s="289" t="s">
        <v>850</v>
      </c>
      <c r="C272" s="1142">
        <f>IF(OR($R$269=1,$R$270=1),P152,0)</f>
        <v>0</v>
      </c>
      <c r="D272" s="1162"/>
      <c r="E272" s="1162"/>
      <c r="F272" s="1161" t="s">
        <v>1146</v>
      </c>
      <c r="G272" s="1161"/>
      <c r="H272" s="1161"/>
      <c r="I272" s="1161"/>
      <c r="J272" s="1161"/>
      <c r="K272" s="1161"/>
      <c r="L272" s="1142">
        <f>LETable!AJ51</f>
        <v>0</v>
      </c>
      <c r="M272" s="1142"/>
      <c r="N272" s="1161" t="s">
        <v>657</v>
      </c>
      <c r="O272" s="1161"/>
      <c r="P272" s="1151"/>
      <c r="Q272" s="2"/>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0"/>
      <c r="EI272" s="10"/>
      <c r="EJ272" s="10"/>
      <c r="EK272" s="10"/>
      <c r="EL272" s="10"/>
    </row>
    <row r="273" spans="1:142" s="6" customFormat="1" ht="15" customHeight="1" x14ac:dyDescent="0.2">
      <c r="A273" s="2"/>
      <c r="B273" s="289" t="s">
        <v>851</v>
      </c>
      <c r="C273" s="1142">
        <f>IF(OR($R$269=1,$R$270=1),P192,0)</f>
        <v>0</v>
      </c>
      <c r="D273" s="1162"/>
      <c r="E273" s="1162"/>
      <c r="F273" s="1161" t="s">
        <v>1146</v>
      </c>
      <c r="G273" s="1161"/>
      <c r="H273" s="1161"/>
      <c r="I273" s="1161"/>
      <c r="J273" s="1161"/>
      <c r="K273" s="1161"/>
      <c r="L273" s="1142">
        <f>LETable!AJ52</f>
        <v>0</v>
      </c>
      <c r="M273" s="1142"/>
      <c r="N273" s="1161" t="s">
        <v>657</v>
      </c>
      <c r="O273" s="1161"/>
      <c r="P273" s="1151"/>
      <c r="Q273" s="2"/>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row>
    <row r="274" spans="1:142" s="6" customFormat="1" ht="18" customHeight="1" x14ac:dyDescent="0.2">
      <c r="A274" s="2"/>
      <c r="B274" s="36"/>
      <c r="C274" s="1201" t="s">
        <v>171</v>
      </c>
      <c r="D274" s="1201"/>
      <c r="E274" s="1201"/>
      <c r="F274" s="1201"/>
      <c r="G274" s="1201"/>
      <c r="H274" s="1201"/>
      <c r="I274" s="1201"/>
      <c r="J274" s="1201"/>
      <c r="K274" s="1201"/>
      <c r="L274" s="1201"/>
      <c r="M274" s="1201"/>
      <c r="N274" s="1201"/>
      <c r="O274" s="1201"/>
      <c r="P274" s="1151"/>
      <c r="Q274" s="2"/>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row>
    <row r="275" spans="1:142" s="6" customFormat="1" ht="12" customHeight="1" x14ac:dyDescent="0.25">
      <c r="A275" s="2"/>
      <c r="B275" s="1137"/>
      <c r="C275" s="1137"/>
      <c r="D275" s="1137"/>
      <c r="E275" s="1137"/>
      <c r="F275" s="1137"/>
      <c r="G275" s="1137"/>
      <c r="H275" s="1137"/>
      <c r="I275" s="1137"/>
      <c r="J275" s="1137"/>
      <c r="K275" s="1137"/>
      <c r="L275" s="1137"/>
      <c r="M275" s="1137"/>
      <c r="N275" s="1137"/>
      <c r="O275" s="1137"/>
      <c r="P275" s="63"/>
      <c r="Q275" s="2"/>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row>
    <row r="276" spans="1:142" s="6" customFormat="1" ht="18" customHeight="1" x14ac:dyDescent="0.2">
      <c r="A276" s="2"/>
      <c r="B276" s="947" t="s">
        <v>172</v>
      </c>
      <c r="C276" s="947"/>
      <c r="D276" s="947"/>
      <c r="E276" s="947"/>
      <c r="F276" s="947"/>
      <c r="G276" s="947"/>
      <c r="H276" s="947"/>
      <c r="I276" s="947"/>
      <c r="J276" s="947"/>
      <c r="K276" s="947"/>
      <c r="L276" s="947"/>
      <c r="M276" s="947"/>
      <c r="N276" s="947"/>
      <c r="O276" s="947"/>
      <c r="P276" s="947"/>
      <c r="Q276" s="2"/>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row>
    <row r="277" spans="1:142" s="6" customFormat="1" ht="104.25" customHeight="1" x14ac:dyDescent="0.2">
      <c r="A277" s="2"/>
      <c r="B277" s="761" t="s">
        <v>1980</v>
      </c>
      <c r="C277" s="761"/>
      <c r="D277" s="761"/>
      <c r="E277" s="761"/>
      <c r="F277" s="761"/>
      <c r="G277" s="761"/>
      <c r="H277" s="761"/>
      <c r="I277" s="761"/>
      <c r="J277" s="761"/>
      <c r="K277" s="761"/>
      <c r="L277" s="761"/>
      <c r="M277" s="761"/>
      <c r="N277" s="761"/>
      <c r="O277" s="761"/>
      <c r="P277" s="761"/>
      <c r="Q277" s="2"/>
      <c r="R277" s="127" t="s">
        <v>2146</v>
      </c>
      <c r="S277" s="50" t="s">
        <v>1901</v>
      </c>
      <c r="T277" s="552" t="s">
        <v>811</v>
      </c>
      <c r="U277" s="552" t="s">
        <v>812</v>
      </c>
      <c r="V277" s="552" t="s">
        <v>813</v>
      </c>
      <c r="W277" s="552" t="s">
        <v>814</v>
      </c>
      <c r="X277" s="50" t="s">
        <v>815</v>
      </c>
      <c r="Y277" s="552" t="s">
        <v>816</v>
      </c>
      <c r="Z277" s="552" t="s">
        <v>817</v>
      </c>
      <c r="AA277" s="552" t="s">
        <v>818</v>
      </c>
      <c r="AB277" s="552" t="s">
        <v>819</v>
      </c>
      <c r="AC277" s="552" t="s">
        <v>820</v>
      </c>
      <c r="AD277" s="552" t="s">
        <v>1648</v>
      </c>
      <c r="AE277" s="552" t="s">
        <v>1649</v>
      </c>
      <c r="AF277" s="552" t="s">
        <v>1650</v>
      </c>
      <c r="AG277" s="600" t="s">
        <v>1651</v>
      </c>
      <c r="AH277" s="552" t="s">
        <v>1652</v>
      </c>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row>
    <row r="278" spans="1:142" s="6" customFormat="1" ht="15" customHeight="1" x14ac:dyDescent="0.2">
      <c r="A278" s="2"/>
      <c r="B278" s="910"/>
      <c r="C278" s="910"/>
      <c r="D278" s="910"/>
      <c r="E278" s="910"/>
      <c r="F278" s="910"/>
      <c r="G278" s="910"/>
      <c r="H278" s="910"/>
      <c r="I278" s="910"/>
      <c r="J278" s="910"/>
      <c r="K278" s="910"/>
      <c r="L278" s="910"/>
      <c r="M278" s="912" t="s">
        <v>1653</v>
      </c>
      <c r="N278" s="1081" t="s">
        <v>1654</v>
      </c>
      <c r="O278" s="1081"/>
      <c r="P278" s="1081"/>
      <c r="Q278" s="2"/>
      <c r="R278" s="606" t="s">
        <v>2147</v>
      </c>
      <c r="S278" s="548">
        <v>0</v>
      </c>
      <c r="T278" s="147">
        <v>0</v>
      </c>
      <c r="U278" s="147">
        <v>0.05</v>
      </c>
      <c r="V278" s="147">
        <v>0.1</v>
      </c>
      <c r="W278" s="147">
        <v>0.2</v>
      </c>
      <c r="X278" s="147">
        <v>0.3</v>
      </c>
      <c r="Y278" s="147">
        <v>0.4</v>
      </c>
      <c r="Z278" s="147">
        <v>0.5</v>
      </c>
      <c r="AA278" s="147">
        <v>0.6</v>
      </c>
      <c r="AB278" s="147">
        <v>0.7</v>
      </c>
      <c r="AC278" s="147">
        <v>0.75</v>
      </c>
      <c r="AD278" s="147">
        <v>0.8</v>
      </c>
      <c r="AE278" s="147">
        <v>0.85</v>
      </c>
      <c r="AF278" s="147">
        <v>0.9</v>
      </c>
      <c r="AG278" s="147">
        <v>0.95</v>
      </c>
      <c r="AH278" s="575">
        <v>1</v>
      </c>
      <c r="AI278" s="589"/>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row>
    <row r="279" spans="1:142" s="6" customFormat="1" ht="15" customHeight="1" x14ac:dyDescent="0.2">
      <c r="A279" s="2"/>
      <c r="B279" s="761" t="s">
        <v>1655</v>
      </c>
      <c r="C279" s="761"/>
      <c r="D279" s="761"/>
      <c r="E279" s="761"/>
      <c r="F279" s="761"/>
      <c r="G279" s="761"/>
      <c r="H279" s="761"/>
      <c r="I279" s="761"/>
      <c r="J279" s="761"/>
      <c r="K279" s="761"/>
      <c r="L279" s="761"/>
      <c r="M279" s="912"/>
      <c r="N279" s="385" t="s">
        <v>1656</v>
      </c>
      <c r="O279" s="385" t="s">
        <v>1657</v>
      </c>
      <c r="P279" s="385" t="s">
        <v>1658</v>
      </c>
      <c r="Q279" s="2"/>
      <c r="R279" s="1109" t="s">
        <v>2174</v>
      </c>
      <c r="S279" s="1300"/>
      <c r="T279" s="147" t="s">
        <v>1656</v>
      </c>
      <c r="U279" s="147" t="s">
        <v>1565</v>
      </c>
      <c r="V279" s="147" t="s">
        <v>1659</v>
      </c>
      <c r="W279" s="147" t="s">
        <v>1660</v>
      </c>
      <c r="X279" s="147" t="s">
        <v>1661</v>
      </c>
      <c r="Y279" s="14"/>
      <c r="Z279" s="147" t="s">
        <v>1662</v>
      </c>
      <c r="AA279" s="147" t="s">
        <v>1285</v>
      </c>
      <c r="AB279" s="147" t="s">
        <v>1287</v>
      </c>
      <c r="AC279" s="147" t="s">
        <v>1286</v>
      </c>
      <c r="AD279" s="147" t="s">
        <v>1287</v>
      </c>
      <c r="AE279" s="14" t="s">
        <v>1663</v>
      </c>
      <c r="AF279" s="601" t="s">
        <v>1287</v>
      </c>
      <c r="AG279" s="588" t="s">
        <v>1285</v>
      </c>
      <c r="AH279" s="588" t="s">
        <v>1286</v>
      </c>
      <c r="AI279" s="588" t="s">
        <v>1287</v>
      </c>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row>
    <row r="280" spans="1:142" s="6" customFormat="1" ht="15" customHeight="1" x14ac:dyDescent="0.2">
      <c r="A280" s="15"/>
      <c r="B280" s="1191"/>
      <c r="C280" s="1191"/>
      <c r="D280" s="1191"/>
      <c r="E280" s="386"/>
      <c r="F280" s="912" t="s">
        <v>1664</v>
      </c>
      <c r="G280" s="912"/>
      <c r="H280" s="912"/>
      <c r="I280" s="912"/>
      <c r="J280" s="912"/>
      <c r="K280" s="912"/>
      <c r="L280" s="912"/>
      <c r="M280" s="76">
        <f>IF(S280=0,0,0.2)</f>
        <v>0</v>
      </c>
      <c r="N280" s="202"/>
      <c r="O280" s="202"/>
      <c r="P280" s="291" t="str">
        <f>IF(X280=0,"",X280)</f>
        <v/>
      </c>
      <c r="Q280" s="2"/>
      <c r="R280" s="579" t="b">
        <v>0</v>
      </c>
      <c r="S280" s="571">
        <f>IF(R280=TRUE,1,0)</f>
        <v>0</v>
      </c>
      <c r="T280" s="581">
        <f>SUMIF($T$277:$AH$277,N280,$T$278:$AH$278)</f>
        <v>0</v>
      </c>
      <c r="U280" s="581">
        <f>SUMIF($S$277:$AH$277,O280,$S$278:$AH$278)</f>
        <v>0</v>
      </c>
      <c r="V280" s="581">
        <f>M280*T280</f>
        <v>0</v>
      </c>
      <c r="W280" s="581">
        <f>M280*U280</f>
        <v>0</v>
      </c>
      <c r="X280" s="581">
        <f>(IF(V280-W280&lt;=0,0,V280-W280))</f>
        <v>0</v>
      </c>
      <c r="Y280" s="14"/>
      <c r="Z280" s="581">
        <f>IF(P302="",0,P302)</f>
        <v>0</v>
      </c>
      <c r="AA280" s="581">
        <f>LARGE($Z$280:$Z$283,1)</f>
        <v>0</v>
      </c>
      <c r="AB280" s="581">
        <f>ROUND(AA280,2)</f>
        <v>0</v>
      </c>
      <c r="AC280" s="544">
        <f>AB280+AB281*(1-AB280)</f>
        <v>0</v>
      </c>
      <c r="AD280" s="581">
        <f>ROUND(AC280,2)</f>
        <v>0</v>
      </c>
      <c r="AE280" s="581">
        <f>IF(P280="",0,P280)</f>
        <v>0</v>
      </c>
      <c r="AF280" s="147">
        <f t="shared" ref="AF280:AF292" si="40">ROUND(AE280,2)</f>
        <v>0</v>
      </c>
      <c r="AG280" s="147">
        <f>LARGE($AF$280:$AF$292,1)</f>
        <v>0</v>
      </c>
      <c r="AH280" s="544">
        <f>AG280+AG281*(1-AG280)</f>
        <v>0</v>
      </c>
      <c r="AI280" s="581">
        <f t="shared" ref="AI280:AI291" si="41">ROUND(AH280,2)</f>
        <v>0</v>
      </c>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0"/>
      <c r="EI280" s="10"/>
      <c r="EJ280" s="10"/>
      <c r="EK280" s="10"/>
      <c r="EL280" s="10"/>
    </row>
    <row r="281" spans="1:142" s="6" customFormat="1" ht="15" customHeight="1" x14ac:dyDescent="0.2">
      <c r="A281" s="2"/>
      <c r="B281" s="1191"/>
      <c r="C281" s="1191"/>
      <c r="D281" s="1191"/>
      <c r="E281" s="386"/>
      <c r="F281" s="912" t="s">
        <v>1665</v>
      </c>
      <c r="G281" s="912"/>
      <c r="H281" s="912"/>
      <c r="I281" s="912"/>
      <c r="J281" s="912"/>
      <c r="K281" s="912"/>
      <c r="L281" s="912"/>
      <c r="M281" s="76">
        <f>IF(S281=0,0,0.2)</f>
        <v>0</v>
      </c>
      <c r="N281" s="202"/>
      <c r="O281" s="202"/>
      <c r="P281" s="291" t="str">
        <f>IF(X281=0,"",X281)</f>
        <v/>
      </c>
      <c r="Q281" s="2"/>
      <c r="R281" s="579" t="b">
        <v>0</v>
      </c>
      <c r="S281" s="571">
        <f>IF(R281=TRUE,1,0)</f>
        <v>0</v>
      </c>
      <c r="T281" s="581">
        <f>SUMIF($T$277:$AH$277,N281,$T$278:$AH$278)</f>
        <v>0</v>
      </c>
      <c r="U281" s="581">
        <f>SUMIF($S$277:$AH$277,O281,$S$278:$AH$278)</f>
        <v>0</v>
      </c>
      <c r="V281" s="581">
        <f>M281*T281</f>
        <v>0</v>
      </c>
      <c r="W281" s="581">
        <f>M281*U281</f>
        <v>0</v>
      </c>
      <c r="X281" s="581">
        <f>(IF(V281-W281&lt;=0,0,V281-W281))</f>
        <v>0</v>
      </c>
      <c r="Y281" s="14"/>
      <c r="Z281" s="581">
        <f>IF(P298="",0,P298)</f>
        <v>0</v>
      </c>
      <c r="AA281" s="581">
        <f>LARGE($Z$280:$Z$283,2)</f>
        <v>0</v>
      </c>
      <c r="AB281" s="581">
        <f>ROUND(AA281,2)</f>
        <v>0</v>
      </c>
      <c r="AC281" s="544">
        <f>AD280+AB282*(1-AD280)</f>
        <v>0</v>
      </c>
      <c r="AD281" s="581">
        <f>ROUND(AC281,2)</f>
        <v>0</v>
      </c>
      <c r="AE281" s="581">
        <f>IF(P281="",0,P281)</f>
        <v>0</v>
      </c>
      <c r="AF281" s="147">
        <f t="shared" si="40"/>
        <v>0</v>
      </c>
      <c r="AG281" s="147">
        <f>LARGE($AF$280:$AF$292,2)</f>
        <v>0</v>
      </c>
      <c r="AH281" s="544">
        <f t="shared" ref="AH281:AH291" si="42">AI280+AG282*(1-AI280)</f>
        <v>0</v>
      </c>
      <c r="AI281" s="581">
        <f t="shared" si="41"/>
        <v>0</v>
      </c>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row>
    <row r="282" spans="1:142" s="6" customFormat="1" ht="15" customHeight="1" x14ac:dyDescent="0.2">
      <c r="A282" s="2"/>
      <c r="B282" s="1191"/>
      <c r="C282" s="1191"/>
      <c r="D282" s="1191"/>
      <c r="E282" s="386"/>
      <c r="F282" s="912" t="s">
        <v>1666</v>
      </c>
      <c r="G282" s="912"/>
      <c r="H282" s="912"/>
      <c r="I282" s="912"/>
      <c r="J282" s="912"/>
      <c r="K282" s="912"/>
      <c r="L282" s="912"/>
      <c r="M282" s="76">
        <f>IF(S282=0,0,0.34)</f>
        <v>0</v>
      </c>
      <c r="N282" s="202"/>
      <c r="O282" s="202"/>
      <c r="P282" s="291" t="str">
        <f>IF(X282=0,"",X282)</f>
        <v/>
      </c>
      <c r="Q282" s="2"/>
      <c r="R282" s="579" t="b">
        <v>0</v>
      </c>
      <c r="S282" s="571">
        <f>IF(R282=TRUE,1,0)</f>
        <v>0</v>
      </c>
      <c r="T282" s="581">
        <f>SUMIF($T$277:$AH$277,N282,$T$278:$AH$278)</f>
        <v>0</v>
      </c>
      <c r="U282" s="581">
        <f>SUMIF($S$277:$AH$277,O282,$S$278:$AH$278)</f>
        <v>0</v>
      </c>
      <c r="V282" s="581">
        <f>M282*T282</f>
        <v>0</v>
      </c>
      <c r="W282" s="581">
        <f>M282*U282</f>
        <v>0</v>
      </c>
      <c r="X282" s="581">
        <f>(IF(V282-W282&lt;=0,0,V282-W282))</f>
        <v>0</v>
      </c>
      <c r="Y282" s="14"/>
      <c r="Z282" s="581">
        <f>IF(Z296=2,0,P319)</f>
        <v>0</v>
      </c>
      <c r="AA282" s="581">
        <f>LARGE($Z$280:$Z$283,3)</f>
        <v>0</v>
      </c>
      <c r="AB282" s="581">
        <f>ROUND(AA282,2)</f>
        <v>0</v>
      </c>
      <c r="AC282" s="544">
        <f>AD281+AB283*(1-AD281)</f>
        <v>0</v>
      </c>
      <c r="AD282" s="581">
        <f>ROUND(AC282,2)</f>
        <v>0</v>
      </c>
      <c r="AE282" s="581">
        <f>IF(P282="",0,P282)</f>
        <v>0</v>
      </c>
      <c r="AF282" s="147">
        <f t="shared" si="40"/>
        <v>0</v>
      </c>
      <c r="AG282" s="147">
        <f>LARGE($AF$280:$AF$292,3)</f>
        <v>0</v>
      </c>
      <c r="AH282" s="544">
        <f t="shared" si="42"/>
        <v>0</v>
      </c>
      <c r="AI282" s="581">
        <f t="shared" si="41"/>
        <v>0</v>
      </c>
      <c r="AJ282" s="10"/>
      <c r="AK282" s="10">
        <v>1E-4</v>
      </c>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0"/>
      <c r="EI282" s="10"/>
      <c r="EJ282" s="10"/>
      <c r="EK282" s="10"/>
      <c r="EL282" s="10"/>
    </row>
    <row r="283" spans="1:142" s="6" customFormat="1" ht="15" customHeight="1" x14ac:dyDescent="0.2">
      <c r="A283" s="2"/>
      <c r="B283" s="1191"/>
      <c r="C283" s="1191"/>
      <c r="D283" s="1191"/>
      <c r="E283" s="386"/>
      <c r="F283" s="912" t="s">
        <v>1667</v>
      </c>
      <c r="G283" s="912"/>
      <c r="H283" s="912"/>
      <c r="I283" s="912"/>
      <c r="J283" s="912"/>
      <c r="K283" s="912"/>
      <c r="L283" s="912"/>
      <c r="M283" s="76">
        <f>IF(S283=0,0,0.37)</f>
        <v>0</v>
      </c>
      <c r="N283" s="202"/>
      <c r="O283" s="202"/>
      <c r="P283" s="291" t="str">
        <f>IF(X283=0,"",X283)</f>
        <v/>
      </c>
      <c r="Q283" s="2"/>
      <c r="R283" s="579" t="b">
        <v>0</v>
      </c>
      <c r="S283" s="571">
        <f>IF(R283=TRUE,1,0)</f>
        <v>0</v>
      </c>
      <c r="T283" s="581">
        <f>SUMIF($T$277:$AH$277,N283,$T$278:$AH$278)</f>
        <v>0</v>
      </c>
      <c r="U283" s="581">
        <f>SUMIF($S$277:$AH$277,O283,$S$278:$AH$278)</f>
        <v>0</v>
      </c>
      <c r="V283" s="581">
        <f>M283*T283</f>
        <v>0</v>
      </c>
      <c r="W283" s="581">
        <f>M283*U283</f>
        <v>0</v>
      </c>
      <c r="X283" s="581">
        <f>(IF(V283-W283&lt;=0,0,V283-W283))</f>
        <v>0</v>
      </c>
      <c r="Y283" s="14"/>
      <c r="Z283" s="581">
        <f>IF(Z296=2,0,IF(P317="",0,P317))</f>
        <v>0</v>
      </c>
      <c r="AA283" s="581">
        <f>LARGE($Z$280:$Z$283,4)</f>
        <v>0</v>
      </c>
      <c r="AB283" s="581">
        <f>ROUND(AA283,2)</f>
        <v>0</v>
      </c>
      <c r="AC283" s="14"/>
      <c r="AD283" s="14"/>
      <c r="AE283" s="581">
        <f>IF(P283="",0,P283)</f>
        <v>0</v>
      </c>
      <c r="AF283" s="147">
        <f t="shared" si="40"/>
        <v>0</v>
      </c>
      <c r="AG283" s="147">
        <f>LARGE($AF$280:$AF$292,4)</f>
        <v>0</v>
      </c>
      <c r="AH283" s="544">
        <f t="shared" si="42"/>
        <v>0</v>
      </c>
      <c r="AI283" s="581">
        <f t="shared" si="41"/>
        <v>0</v>
      </c>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row>
    <row r="284" spans="1:142" s="6" customFormat="1" ht="15" customHeight="1" x14ac:dyDescent="0.2">
      <c r="A284" s="2"/>
      <c r="B284" s="1191"/>
      <c r="C284" s="1191"/>
      <c r="D284" s="1191"/>
      <c r="E284" s="386"/>
      <c r="F284" s="912" t="s">
        <v>1668</v>
      </c>
      <c r="G284" s="912"/>
      <c r="H284" s="912"/>
      <c r="I284" s="912"/>
      <c r="J284" s="912"/>
      <c r="K284" s="912"/>
      <c r="L284" s="912"/>
      <c r="M284" s="76">
        <f>IF(S284=0,0,0.2)</f>
        <v>0</v>
      </c>
      <c r="N284" s="202"/>
      <c r="O284" s="202"/>
      <c r="P284" s="291" t="str">
        <f>IF(X284=0,"",X284)</f>
        <v/>
      </c>
      <c r="Q284" s="2"/>
      <c r="R284" s="579" t="b">
        <v>0</v>
      </c>
      <c r="S284" s="571">
        <f>IF(R284=TRUE,1,0)</f>
        <v>0</v>
      </c>
      <c r="T284" s="581">
        <f>SUMIF($T$277:$AH$277,N284,$T$278:$AH$278)</f>
        <v>0</v>
      </c>
      <c r="U284" s="581">
        <f>SUMIF($S$277:$AH$277,O284,$S$278:$AH$278)</f>
        <v>0</v>
      </c>
      <c r="V284" s="581">
        <f>M284*T284</f>
        <v>0</v>
      </c>
      <c r="W284" s="581">
        <f>M284*U284</f>
        <v>0</v>
      </c>
      <c r="X284" s="581">
        <f>(IF(V284-W284&lt;=0,0,V284-W284))</f>
        <v>0</v>
      </c>
      <c r="Y284" s="14"/>
      <c r="Z284" s="10"/>
      <c r="AA284" s="14"/>
      <c r="AB284" s="14"/>
      <c r="AC284" s="14"/>
      <c r="AD284" s="14"/>
      <c r="AE284" s="581">
        <f>IF(P284="",0,P284)</f>
        <v>0</v>
      </c>
      <c r="AF284" s="147">
        <f t="shared" si="40"/>
        <v>0</v>
      </c>
      <c r="AG284" s="147">
        <f>LARGE($AF$280:$AF$292,5)</f>
        <v>0</v>
      </c>
      <c r="AH284" s="544">
        <f t="shared" si="42"/>
        <v>0</v>
      </c>
      <c r="AI284" s="581">
        <f t="shared" si="41"/>
        <v>0</v>
      </c>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row>
    <row r="285" spans="1:142" s="6" customFormat="1" ht="18" customHeight="1" x14ac:dyDescent="0.2">
      <c r="A285" s="2"/>
      <c r="B285" s="948" t="s">
        <v>1669</v>
      </c>
      <c r="C285" s="948"/>
      <c r="D285" s="948"/>
      <c r="E285" s="761"/>
      <c r="F285" s="761"/>
      <c r="G285" s="761"/>
      <c r="H285" s="761"/>
      <c r="I285" s="761"/>
      <c r="J285" s="761"/>
      <c r="K285" s="761"/>
      <c r="L285" s="761"/>
      <c r="M285" s="387"/>
      <c r="N285" s="385"/>
      <c r="O285" s="385"/>
      <c r="P285" s="385"/>
      <c r="Q285" s="2"/>
      <c r="R285" s="128"/>
      <c r="S285" s="98"/>
      <c r="T285" s="147" t="s">
        <v>1656</v>
      </c>
      <c r="U285" s="147" t="s">
        <v>1565</v>
      </c>
      <c r="V285" s="147" t="s">
        <v>1659</v>
      </c>
      <c r="W285" s="147" t="s">
        <v>1660</v>
      </c>
      <c r="X285" s="147" t="s">
        <v>1661</v>
      </c>
      <c r="Y285" s="14"/>
      <c r="Z285" s="10"/>
      <c r="AA285" s="14"/>
      <c r="AB285" s="14"/>
      <c r="AC285" s="14"/>
      <c r="AD285" s="14"/>
      <c r="AE285" s="581">
        <f>P291</f>
        <v>0</v>
      </c>
      <c r="AF285" s="147">
        <f t="shared" si="40"/>
        <v>0</v>
      </c>
      <c r="AG285" s="147">
        <f>LARGE($AF$280:$AF$292,6)</f>
        <v>0</v>
      </c>
      <c r="AH285" s="544">
        <f t="shared" si="42"/>
        <v>0</v>
      </c>
      <c r="AI285" s="581">
        <f t="shared" si="41"/>
        <v>0</v>
      </c>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row>
    <row r="286" spans="1:142" s="6" customFormat="1" ht="27" customHeight="1" x14ac:dyDescent="0.2">
      <c r="A286" s="2"/>
      <c r="B286" s="447" t="s">
        <v>1670</v>
      </c>
      <c r="C286" s="463"/>
      <c r="D286" s="448"/>
      <c r="E286" s="263"/>
      <c r="F286" s="1150" t="str">
        <f>IF(Z294=1,"","Sciatic nerve; overall loss at level shown; no averaging")</f>
        <v>Sciatic nerve; overall loss at level shown; no averaging</v>
      </c>
      <c r="G286" s="1150"/>
      <c r="H286" s="1150"/>
      <c r="I286" s="1150"/>
      <c r="J286" s="1150"/>
      <c r="K286" s="1150"/>
      <c r="L286" s="1150"/>
      <c r="M286" s="76">
        <f>IF(OR(F286="",S286=0),0,IF($Z$294=2,0.75,IF($Z$294=3,0.4,0)))</f>
        <v>0</v>
      </c>
      <c r="N286" s="202"/>
      <c r="O286" s="202"/>
      <c r="P286" s="291" t="str">
        <f>IF(X286=0,"",X286)</f>
        <v/>
      </c>
      <c r="Q286" s="2"/>
      <c r="R286" s="546" t="b">
        <v>0</v>
      </c>
      <c r="S286" s="571">
        <f>IF(R286=TRUE,1,0)</f>
        <v>0</v>
      </c>
      <c r="T286" s="581">
        <f>SUMIF($T$277:$AH$277,N286,$T$278:$AH$278)</f>
        <v>0</v>
      </c>
      <c r="U286" s="581">
        <f>SUMIF($S$277:$AH$277,O286,$S$278:$AH$278)</f>
        <v>0</v>
      </c>
      <c r="V286" s="581">
        <f>M286*T286</f>
        <v>0</v>
      </c>
      <c r="W286" s="581">
        <f>M286*U286</f>
        <v>0</v>
      </c>
      <c r="X286" s="581">
        <f>(IF(V286-W286&lt;=0,0,V286-W286))</f>
        <v>0</v>
      </c>
      <c r="Y286" s="10"/>
      <c r="Z286" s="10"/>
      <c r="AA286" s="10"/>
      <c r="AB286" s="10"/>
      <c r="AC286" s="10"/>
      <c r="AD286" s="10"/>
      <c r="AE286" s="583">
        <f>IF(P319="",0,IF(Z296=2,P319,0))</f>
        <v>0</v>
      </c>
      <c r="AF286" s="147">
        <f t="shared" si="40"/>
        <v>0</v>
      </c>
      <c r="AG286" s="147">
        <f>LARGE($AF$280:$AF$292,7)</f>
        <v>0</v>
      </c>
      <c r="AH286" s="544">
        <f t="shared" si="42"/>
        <v>0</v>
      </c>
      <c r="AI286" s="581">
        <f t="shared" si="41"/>
        <v>0</v>
      </c>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row>
    <row r="287" spans="1:142" s="6" customFormat="1" ht="15" customHeight="1" x14ac:dyDescent="0.2">
      <c r="A287" s="2"/>
      <c r="B287" s="461"/>
      <c r="C287" s="39"/>
      <c r="D287" s="464"/>
      <c r="E287" s="462"/>
      <c r="F287" s="791" t="str">
        <f>IF(OR(Z294=1,S286=1),"","Biceps femoris (long head)")</f>
        <v>Biceps femoris (long head)</v>
      </c>
      <c r="G287" s="791"/>
      <c r="H287" s="791"/>
      <c r="I287" s="791"/>
      <c r="J287" s="791"/>
      <c r="K287" s="791"/>
      <c r="L287" s="791"/>
      <c r="M287" s="76">
        <f>IF(OR(F287="",S287=0),0,IF($Z$294=2,0.75,IF($Z$294=3,0.4,0)))</f>
        <v>0</v>
      </c>
      <c r="N287" s="202"/>
      <c r="O287" s="202"/>
      <c r="P287" s="291" t="str">
        <f>IF(X287=0,"",X287)</f>
        <v/>
      </c>
      <c r="Q287" s="2"/>
      <c r="R287" s="546" t="b">
        <v>0</v>
      </c>
      <c r="S287" s="571">
        <f>IF(R287=TRUE,1,0)</f>
        <v>0</v>
      </c>
      <c r="T287" s="581">
        <f>SUMIF($T$277:$AH$277,N287,$T$278:$AH$278)</f>
        <v>0</v>
      </c>
      <c r="U287" s="581">
        <f>SUMIF($S$277:$AH$277,O287,$S$278:$AH$278)</f>
        <v>0</v>
      </c>
      <c r="V287" s="581">
        <f>M287*T287</f>
        <v>0</v>
      </c>
      <c r="W287" s="581">
        <f>M287*U287</f>
        <v>0</v>
      </c>
      <c r="X287" s="581">
        <f>(IF(V287-W287&lt;=0,0,V287-W287))</f>
        <v>0</v>
      </c>
      <c r="Y287" s="129"/>
      <c r="Z287" s="10"/>
      <c r="AA287" s="129"/>
      <c r="AB287" s="129"/>
      <c r="AC287" s="10"/>
      <c r="AD287" s="129"/>
      <c r="AE287" s="583">
        <f>IF(P317="",0,IF(Z296=2,P317,0))</f>
        <v>0</v>
      </c>
      <c r="AF287" s="147">
        <f t="shared" si="40"/>
        <v>0</v>
      </c>
      <c r="AG287" s="147">
        <f>LARGE($AF$280:$AF$292,8)</f>
        <v>0</v>
      </c>
      <c r="AH287" s="544">
        <f t="shared" si="42"/>
        <v>0</v>
      </c>
      <c r="AI287" s="581">
        <f t="shared" si="41"/>
        <v>0</v>
      </c>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row>
    <row r="288" spans="1:142" s="6" customFormat="1" ht="15" customHeight="1" x14ac:dyDescent="0.2">
      <c r="A288" s="2"/>
      <c r="B288" s="461"/>
      <c r="C288" s="39"/>
      <c r="D288" s="464"/>
      <c r="E288" s="462"/>
      <c r="F288" s="791" t="str">
        <f>IF(OR(S286=1,Z294=1),"","Biceps femoris (short head)")</f>
        <v>Biceps femoris (short head)</v>
      </c>
      <c r="G288" s="791"/>
      <c r="H288" s="791"/>
      <c r="I288" s="791"/>
      <c r="J288" s="791"/>
      <c r="K288" s="791"/>
      <c r="L288" s="791"/>
      <c r="M288" s="76">
        <f>IF(OR(F288="",S288=0),0,IF($Z$294=2,0.75,IF($Z$294=3,0.4,0)))</f>
        <v>0</v>
      </c>
      <c r="N288" s="202"/>
      <c r="O288" s="202"/>
      <c r="P288" s="291" t="str">
        <f>IF(X288=0,"",X288)</f>
        <v/>
      </c>
      <c r="Q288" s="2"/>
      <c r="R288" s="546" t="b">
        <v>0</v>
      </c>
      <c r="S288" s="571">
        <f>IF(R288=TRUE,1,0)</f>
        <v>0</v>
      </c>
      <c r="T288" s="581">
        <f>SUMIF($T$277:$AH$277,N288,$T$278:$AH$278)</f>
        <v>0</v>
      </c>
      <c r="U288" s="581">
        <f>SUMIF($S$277:$AH$277,O288,$S$278:$AH$278)</f>
        <v>0</v>
      </c>
      <c r="V288" s="581">
        <f>M288*T288</f>
        <v>0</v>
      </c>
      <c r="W288" s="581">
        <f>M288*U288</f>
        <v>0</v>
      </c>
      <c r="X288" s="581">
        <f>(IF(V288-W288&lt;=0,0,V288-W288))</f>
        <v>0</v>
      </c>
      <c r="Y288" s="98"/>
      <c r="Z288" s="10"/>
      <c r="AA288" s="98"/>
      <c r="AB288" s="98"/>
      <c r="AC288" s="98"/>
      <c r="AD288" s="98"/>
      <c r="AE288" s="544">
        <f>P327</f>
        <v>0</v>
      </c>
      <c r="AF288" s="147">
        <f t="shared" si="40"/>
        <v>0</v>
      </c>
      <c r="AG288" s="147">
        <f>LARGE($AF$280:$AF$292,9)</f>
        <v>0</v>
      </c>
      <c r="AH288" s="544">
        <f t="shared" si="42"/>
        <v>0</v>
      </c>
      <c r="AI288" s="581">
        <f t="shared" si="41"/>
        <v>0</v>
      </c>
      <c r="AJ288" s="10"/>
      <c r="AK288" s="10"/>
      <c r="AL288" s="98"/>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row>
    <row r="289" spans="1:142" s="6" customFormat="1" ht="15" customHeight="1" x14ac:dyDescent="0.2">
      <c r="A289" s="2"/>
      <c r="B289" s="461"/>
      <c r="C289" s="39"/>
      <c r="D289" s="464"/>
      <c r="E289" s="462"/>
      <c r="F289" s="791" t="str">
        <f>IF(OR(Z294=1,S286=1),"","Semitendinosus")</f>
        <v>Semitendinosus</v>
      </c>
      <c r="G289" s="791"/>
      <c r="H289" s="791"/>
      <c r="I289" s="791"/>
      <c r="J289" s="791"/>
      <c r="K289" s="791"/>
      <c r="L289" s="791"/>
      <c r="M289" s="76">
        <f>IF(OR(F289="",S289=0),0,IF($Z$294=2,0.75,IF($Z$294=3,0.4,0)))</f>
        <v>0</v>
      </c>
      <c r="N289" s="202"/>
      <c r="O289" s="202"/>
      <c r="P289" s="291" t="str">
        <f>IF(X289=0,"",X289)</f>
        <v/>
      </c>
      <c r="Q289" s="2"/>
      <c r="R289" s="546" t="b">
        <v>0</v>
      </c>
      <c r="S289" s="571">
        <f>IF(R289=TRUE,1,0)</f>
        <v>0</v>
      </c>
      <c r="T289" s="581">
        <f>SUMIF($T$277:$AH$277,N289,$T$278:$AH$278)</f>
        <v>0</v>
      </c>
      <c r="U289" s="581">
        <f>SUMIF($S$277:$AH$277,O289,$S$278:$AH$278)</f>
        <v>0</v>
      </c>
      <c r="V289" s="581">
        <f>M289*T289</f>
        <v>0</v>
      </c>
      <c r="W289" s="581">
        <f>M289*U289</f>
        <v>0</v>
      </c>
      <c r="X289" s="581">
        <f>(IF(V289-W289&lt;=0,0,V289-W289))</f>
        <v>0</v>
      </c>
      <c r="Y289" s="14"/>
      <c r="Z289" s="10"/>
      <c r="AA289" s="14"/>
      <c r="AB289" s="14"/>
      <c r="AC289" s="14"/>
      <c r="AD289" s="14"/>
      <c r="AE289" s="581">
        <f>P328</f>
        <v>0</v>
      </c>
      <c r="AF289" s="147">
        <f t="shared" si="40"/>
        <v>0</v>
      </c>
      <c r="AG289" s="147">
        <f>LARGE($AF$280:$AF$292,10)</f>
        <v>0</v>
      </c>
      <c r="AH289" s="544">
        <f t="shared" si="42"/>
        <v>0</v>
      </c>
      <c r="AI289" s="581">
        <f t="shared" si="41"/>
        <v>0</v>
      </c>
      <c r="AJ289" s="14"/>
      <c r="AK289" s="14"/>
      <c r="AL289" s="14"/>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row>
    <row r="290" spans="1:142" s="6" customFormat="1" ht="15" customHeight="1" x14ac:dyDescent="0.2">
      <c r="A290" s="2"/>
      <c r="B290" s="282"/>
      <c r="C290" s="182"/>
      <c r="D290" s="449"/>
      <c r="E290" s="462"/>
      <c r="F290" s="791" t="str">
        <f>IF(OR(Z294=1,S286=1),"","Semimembranosus")</f>
        <v>Semimembranosus</v>
      </c>
      <c r="G290" s="791"/>
      <c r="H290" s="791"/>
      <c r="I290" s="791"/>
      <c r="J290" s="791"/>
      <c r="K290" s="791"/>
      <c r="L290" s="791"/>
      <c r="M290" s="76">
        <f>IF(OR(F290="",S290=0),0,IF($Z$294=2,0.75,IF($Z$294=3,0.4,0)))</f>
        <v>0</v>
      </c>
      <c r="N290" s="202"/>
      <c r="O290" s="202"/>
      <c r="P290" s="291" t="str">
        <f>IF(X290=0,"",X290)</f>
        <v/>
      </c>
      <c r="Q290" s="2"/>
      <c r="R290" s="546" t="b">
        <v>0</v>
      </c>
      <c r="S290" s="571">
        <f>IF(R290=TRUE,1,0)</f>
        <v>0</v>
      </c>
      <c r="T290" s="581">
        <f>SUMIF($T$277:$AH$277,N290,$T$278:$AH$278)</f>
        <v>0</v>
      </c>
      <c r="U290" s="581">
        <f>SUMIF($S$277:$AH$277,O290,$S$278:$AH$278)</f>
        <v>0</v>
      </c>
      <c r="V290" s="581">
        <f>M290*T290</f>
        <v>0</v>
      </c>
      <c r="W290" s="581">
        <f>M290*U290</f>
        <v>0</v>
      </c>
      <c r="X290" s="581">
        <f>(IF(V290-W290&lt;=0,0,V290-W290))</f>
        <v>0</v>
      </c>
      <c r="Y290" s="14"/>
      <c r="Z290" s="14"/>
      <c r="AA290" s="14"/>
      <c r="AB290" s="14"/>
      <c r="AC290" s="14"/>
      <c r="AD290" s="14"/>
      <c r="AE290" s="581">
        <f>P329</f>
        <v>0</v>
      </c>
      <c r="AF290" s="147">
        <f t="shared" si="40"/>
        <v>0</v>
      </c>
      <c r="AG290" s="147">
        <f>LARGE($AF$280:$AF$292,11)</f>
        <v>0</v>
      </c>
      <c r="AH290" s="544">
        <f t="shared" si="42"/>
        <v>0</v>
      </c>
      <c r="AI290" s="581">
        <f t="shared" si="41"/>
        <v>0</v>
      </c>
      <c r="AJ290" s="14"/>
      <c r="AK290" s="10"/>
      <c r="AL290" s="14"/>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row>
    <row r="291" spans="1:142" s="6" customFormat="1" ht="18" customHeight="1" x14ac:dyDescent="0.25">
      <c r="A291" s="2"/>
      <c r="B291" s="1190"/>
      <c r="C291" s="1190"/>
      <c r="D291" s="1190"/>
      <c r="E291" s="1191"/>
      <c r="F291" s="1191"/>
      <c r="G291" s="1191"/>
      <c r="H291" s="1191"/>
      <c r="I291" s="1191"/>
      <c r="J291" s="1191"/>
      <c r="K291" s="1191"/>
      <c r="L291" s="1191"/>
      <c r="M291" s="388"/>
      <c r="N291" s="1164" t="str">
        <f>IF(M286&gt;0,"Total:",IF(AND(M286=0,P291&gt;0),"Average:",""))</f>
        <v/>
      </c>
      <c r="O291" s="1164"/>
      <c r="P291" s="190">
        <f>IF(AND(P286="",P287="",P288="",P289="",P290=""),0,AVERAGE(P286:P290))</f>
        <v>0</v>
      </c>
      <c r="Q291" s="2"/>
      <c r="R291" s="10"/>
      <c r="S291" s="98"/>
      <c r="T291" s="147" t="s">
        <v>1656</v>
      </c>
      <c r="U291" s="147" t="s">
        <v>1565</v>
      </c>
      <c r="V291" s="147" t="s">
        <v>1659</v>
      </c>
      <c r="W291" s="147" t="s">
        <v>1660</v>
      </c>
      <c r="X291" s="147" t="s">
        <v>1661</v>
      </c>
      <c r="Y291" s="14"/>
      <c r="Z291" s="14"/>
      <c r="AA291" s="14"/>
      <c r="AB291" s="14"/>
      <c r="AC291" s="14"/>
      <c r="AD291" s="14"/>
      <c r="AE291" s="581">
        <f>P334</f>
        <v>0</v>
      </c>
      <c r="AF291" s="147">
        <f t="shared" si="40"/>
        <v>0</v>
      </c>
      <c r="AG291" s="147">
        <f>LARGE($AF$280:$AF$292,12)</f>
        <v>0</v>
      </c>
      <c r="AH291" s="544">
        <f t="shared" si="42"/>
        <v>0</v>
      </c>
      <c r="AI291" s="581">
        <f t="shared" si="41"/>
        <v>0</v>
      </c>
      <c r="AJ291" s="14"/>
      <c r="AK291" s="10"/>
      <c r="AL291" s="14"/>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row>
    <row r="292" spans="1:142" s="6" customFormat="1" ht="27" customHeight="1" x14ac:dyDescent="0.2">
      <c r="A292" s="2"/>
      <c r="B292" s="761" t="s">
        <v>965</v>
      </c>
      <c r="C292" s="761"/>
      <c r="D292" s="761"/>
      <c r="E292" s="367"/>
      <c r="F292" s="1150" t="str">
        <f>IF(OR(Z295=1,Z295=7),"","Peroneal - overall loss at level shown")</f>
        <v/>
      </c>
      <c r="G292" s="1150"/>
      <c r="H292" s="1150"/>
      <c r="I292" s="1150"/>
      <c r="J292" s="1150"/>
      <c r="K292" s="1150"/>
      <c r="L292" s="1150"/>
      <c r="M292" s="76">
        <f t="shared" ref="M292:M297" si="43">IF(OR(F292="",S292=0),0,IF($Z$295=2,0.39,IF(OR($Z$295=3,$Z$295=4),0.28,IF(OR($Z$295=5,$Z$295=6),0.06,0))))</f>
        <v>0</v>
      </c>
      <c r="N292" s="202"/>
      <c r="O292" s="202"/>
      <c r="P292" s="291" t="str">
        <f t="shared" ref="P292:P297" si="44">IF(X292=0,"",X292)</f>
        <v/>
      </c>
      <c r="Q292" s="2"/>
      <c r="R292" s="546" t="b">
        <v>0</v>
      </c>
      <c r="S292" s="571">
        <f t="shared" ref="S292:S297" si="45">IF(R292=TRUE,1,0)</f>
        <v>0</v>
      </c>
      <c r="T292" s="581">
        <f t="shared" ref="T292:T297" si="46">SUMIF($T$277:$AH$277,N292,$T$278:$AH$278)</f>
        <v>0</v>
      </c>
      <c r="U292" s="581">
        <f t="shared" ref="U292:U297" si="47">SUMIF($S$277:$AH$277,O292,$S$278:$AH$278)</f>
        <v>0</v>
      </c>
      <c r="V292" s="581">
        <f t="shared" ref="V292:V297" si="48">M292*T292</f>
        <v>0</v>
      </c>
      <c r="W292" s="581">
        <f t="shared" ref="W292:W297" si="49">M292*U292</f>
        <v>0</v>
      </c>
      <c r="X292" s="581">
        <f t="shared" ref="X292:X297" si="50">(IF(V292-W292&lt;=0,0,V292-W292))</f>
        <v>0</v>
      </c>
      <c r="Y292" s="14"/>
      <c r="Z292" s="14"/>
      <c r="AA292" s="14"/>
      <c r="AB292" s="14"/>
      <c r="AC292" s="14"/>
      <c r="AD292" s="14"/>
      <c r="AE292" s="581">
        <f>P335</f>
        <v>0</v>
      </c>
      <c r="AF292" s="147">
        <f t="shared" si="40"/>
        <v>0</v>
      </c>
      <c r="AG292" s="147">
        <f>LARGE($AF$280:$AF$292,13)</f>
        <v>0</v>
      </c>
      <c r="AH292" s="10"/>
      <c r="AI292" s="10"/>
      <c r="AJ292" s="14"/>
      <c r="AK292" s="10"/>
      <c r="AL292" s="14"/>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row>
    <row r="293" spans="1:142" s="6" customFormat="1" ht="15" customHeight="1" x14ac:dyDescent="0.2">
      <c r="A293" s="2"/>
      <c r="B293" s="761"/>
      <c r="C293" s="761"/>
      <c r="D293" s="761"/>
      <c r="E293" s="367"/>
      <c r="F293" s="1186" t="str">
        <f>IF(OR(Z295=1,Z295=7,S292=1),"","Tibialis anterior")</f>
        <v/>
      </c>
      <c r="G293" s="1186"/>
      <c r="H293" s="1186"/>
      <c r="I293" s="1186"/>
      <c r="J293" s="1186"/>
      <c r="K293" s="1186"/>
      <c r="L293" s="1186"/>
      <c r="M293" s="76">
        <f t="shared" si="43"/>
        <v>0</v>
      </c>
      <c r="N293" s="202"/>
      <c r="O293" s="202"/>
      <c r="P293" s="291" t="str">
        <f t="shared" si="44"/>
        <v/>
      </c>
      <c r="Q293" s="2"/>
      <c r="R293" s="546" t="b">
        <v>0</v>
      </c>
      <c r="S293" s="571">
        <f t="shared" si="45"/>
        <v>0</v>
      </c>
      <c r="T293" s="581">
        <f t="shared" si="46"/>
        <v>0</v>
      </c>
      <c r="U293" s="581">
        <f t="shared" si="47"/>
        <v>0</v>
      </c>
      <c r="V293" s="581">
        <f t="shared" si="48"/>
        <v>0</v>
      </c>
      <c r="W293" s="581">
        <f t="shared" si="49"/>
        <v>0</v>
      </c>
      <c r="X293" s="581">
        <f t="shared" si="50"/>
        <v>0</v>
      </c>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row>
    <row r="294" spans="1:142" s="6" customFormat="1" ht="15" customHeight="1" x14ac:dyDescent="0.2">
      <c r="A294" s="2"/>
      <c r="B294" s="761"/>
      <c r="C294" s="761"/>
      <c r="D294" s="761"/>
      <c r="E294" s="367"/>
      <c r="F294" s="791" t="str">
        <f>IF(OR(Z295=1,Z295=7,S292=1),"","Extensor hallucis longus")</f>
        <v/>
      </c>
      <c r="G294" s="791"/>
      <c r="H294" s="791"/>
      <c r="I294" s="791"/>
      <c r="J294" s="791"/>
      <c r="K294" s="791"/>
      <c r="L294" s="791"/>
      <c r="M294" s="76">
        <f t="shared" si="43"/>
        <v>0</v>
      </c>
      <c r="N294" s="202"/>
      <c r="O294" s="202"/>
      <c r="P294" s="291" t="str">
        <f t="shared" si="44"/>
        <v/>
      </c>
      <c r="Q294" s="2"/>
      <c r="R294" s="579" t="b">
        <v>0</v>
      </c>
      <c r="S294" s="571">
        <f t="shared" si="45"/>
        <v>0</v>
      </c>
      <c r="T294" s="581">
        <f t="shared" si="46"/>
        <v>0</v>
      </c>
      <c r="U294" s="581">
        <f t="shared" si="47"/>
        <v>0</v>
      </c>
      <c r="V294" s="581">
        <f t="shared" si="48"/>
        <v>0</v>
      </c>
      <c r="W294" s="581">
        <f t="shared" si="49"/>
        <v>0</v>
      </c>
      <c r="X294" s="581">
        <f t="shared" si="50"/>
        <v>0</v>
      </c>
      <c r="Y294" s="14"/>
      <c r="Z294" s="546">
        <v>2</v>
      </c>
      <c r="AA294" s="791" t="s">
        <v>795</v>
      </c>
      <c r="AB294" s="791"/>
      <c r="AC294" s="14"/>
      <c r="AD294" s="14"/>
      <c r="AE294" s="14"/>
      <c r="AF294" s="14"/>
      <c r="AG294" s="14"/>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row>
    <row r="295" spans="1:142" s="6" customFormat="1" ht="15" customHeight="1" x14ac:dyDescent="0.2">
      <c r="A295" s="2"/>
      <c r="B295" s="761"/>
      <c r="C295" s="761"/>
      <c r="D295" s="761"/>
      <c r="E295" s="367"/>
      <c r="F295" s="1186" t="str">
        <f>IF(OR(Z295=1,Z295=7,S292=1),"","Extensor digitorum longus")</f>
        <v/>
      </c>
      <c r="G295" s="1186"/>
      <c r="H295" s="1186"/>
      <c r="I295" s="1186"/>
      <c r="J295" s="1186"/>
      <c r="K295" s="1186"/>
      <c r="L295" s="1186"/>
      <c r="M295" s="76">
        <f t="shared" si="43"/>
        <v>0</v>
      </c>
      <c r="N295" s="202"/>
      <c r="O295" s="202"/>
      <c r="P295" s="291" t="str">
        <f t="shared" si="44"/>
        <v/>
      </c>
      <c r="Q295" s="2"/>
      <c r="R295" s="579" t="b">
        <v>0</v>
      </c>
      <c r="S295" s="571">
        <f t="shared" si="45"/>
        <v>0</v>
      </c>
      <c r="T295" s="581">
        <f t="shared" si="46"/>
        <v>0</v>
      </c>
      <c r="U295" s="581">
        <f t="shared" si="47"/>
        <v>0</v>
      </c>
      <c r="V295" s="581">
        <f t="shared" si="48"/>
        <v>0</v>
      </c>
      <c r="W295" s="581">
        <f t="shared" si="49"/>
        <v>0</v>
      </c>
      <c r="X295" s="581">
        <f t="shared" si="50"/>
        <v>0</v>
      </c>
      <c r="Y295" s="10"/>
      <c r="Z295" s="546">
        <v>7</v>
      </c>
      <c r="AA295" s="1108" t="s">
        <v>796</v>
      </c>
      <c r="AB295" s="1108"/>
      <c r="AC295" s="10"/>
      <c r="AD295" s="10"/>
      <c r="AE295" s="10"/>
      <c r="AF295" s="10"/>
      <c r="AG295" s="10"/>
      <c r="AH295" s="10"/>
      <c r="AI295" s="10"/>
      <c r="AJ295" s="10"/>
      <c r="AK295" s="10"/>
      <c r="AL295" s="10"/>
      <c r="AM295" s="14"/>
      <c r="AN295" s="10"/>
      <c r="AO295" s="14"/>
      <c r="AP295" s="10"/>
      <c r="AQ295" s="14"/>
      <c r="AR295" s="14"/>
      <c r="AS295" s="14"/>
      <c r="AT295" s="14"/>
      <c r="AU295" s="10"/>
      <c r="AV295" s="14"/>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row>
    <row r="296" spans="1:142" s="6" customFormat="1" ht="15" customHeight="1" x14ac:dyDescent="0.2">
      <c r="A296" s="2"/>
      <c r="B296" s="761"/>
      <c r="C296" s="761"/>
      <c r="D296" s="761"/>
      <c r="E296" s="367"/>
      <c r="F296" s="791" t="str">
        <f>IF(OR(Z295=1,Z295=7,S292=1),"","Peroneus tertius")</f>
        <v/>
      </c>
      <c r="G296" s="791"/>
      <c r="H296" s="791"/>
      <c r="I296" s="791"/>
      <c r="J296" s="791"/>
      <c r="K296" s="791"/>
      <c r="L296" s="791"/>
      <c r="M296" s="76">
        <f t="shared" si="43"/>
        <v>0</v>
      </c>
      <c r="N296" s="202"/>
      <c r="O296" s="202"/>
      <c r="P296" s="291" t="str">
        <f t="shared" si="44"/>
        <v/>
      </c>
      <c r="Q296" s="2"/>
      <c r="R296" s="579" t="b">
        <v>0</v>
      </c>
      <c r="S296" s="571">
        <f t="shared" si="45"/>
        <v>0</v>
      </c>
      <c r="T296" s="581">
        <f t="shared" si="46"/>
        <v>0</v>
      </c>
      <c r="U296" s="581">
        <f t="shared" si="47"/>
        <v>0</v>
      </c>
      <c r="V296" s="581">
        <f t="shared" si="48"/>
        <v>0</v>
      </c>
      <c r="W296" s="581">
        <f t="shared" si="49"/>
        <v>0</v>
      </c>
      <c r="X296" s="581">
        <f t="shared" si="50"/>
        <v>0</v>
      </c>
      <c r="Y296" s="62"/>
      <c r="Z296" s="602">
        <v>2</v>
      </c>
      <c r="AA296" s="1145" t="s">
        <v>1007</v>
      </c>
      <c r="AB296" s="1145"/>
      <c r="AC296" s="62"/>
      <c r="AD296" s="62"/>
      <c r="AE296" s="62"/>
      <c r="AF296" s="62"/>
      <c r="AG296" s="62"/>
      <c r="AH296" s="62"/>
      <c r="AI296" s="62"/>
      <c r="AJ296" s="62"/>
      <c r="AK296" s="62"/>
      <c r="AL296" s="62"/>
      <c r="AM296" s="62"/>
      <c r="AN296" s="62"/>
      <c r="AO296" s="62"/>
      <c r="AP296" s="62"/>
      <c r="AQ296" s="62"/>
      <c r="AR296" s="62"/>
      <c r="AS296" s="62"/>
      <c r="AT296" s="62"/>
      <c r="AU296" s="62"/>
      <c r="AV296" s="62"/>
      <c r="AW296" s="62"/>
      <c r="AX296" s="62"/>
      <c r="AY296" s="62"/>
      <c r="AZ296" s="62"/>
      <c r="BA296" s="87"/>
      <c r="BB296" s="87"/>
      <c r="BC296" s="87"/>
      <c r="BD296" s="87"/>
      <c r="BE296" s="87"/>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row>
    <row r="297" spans="1:142" s="6" customFormat="1" ht="15" customHeight="1" x14ac:dyDescent="0.2">
      <c r="A297" s="2"/>
      <c r="B297" s="761"/>
      <c r="C297" s="761"/>
      <c r="D297" s="761"/>
      <c r="E297" s="367"/>
      <c r="F297" s="1186" t="str">
        <f>IF(OR(Z295=1,Z295=7,S292=1),"","Extensor digitorum brevis")</f>
        <v/>
      </c>
      <c r="G297" s="1186"/>
      <c r="H297" s="1186"/>
      <c r="I297" s="1186"/>
      <c r="J297" s="1186"/>
      <c r="K297" s="1186"/>
      <c r="L297" s="1186"/>
      <c r="M297" s="76">
        <f t="shared" si="43"/>
        <v>0</v>
      </c>
      <c r="N297" s="202"/>
      <c r="O297" s="202"/>
      <c r="P297" s="291" t="str">
        <f t="shared" si="44"/>
        <v/>
      </c>
      <c r="Q297" s="2"/>
      <c r="R297" s="579" t="b">
        <v>0</v>
      </c>
      <c r="S297" s="571">
        <f t="shared" si="45"/>
        <v>0</v>
      </c>
      <c r="T297" s="581">
        <f t="shared" si="46"/>
        <v>0</v>
      </c>
      <c r="U297" s="581">
        <f t="shared" si="47"/>
        <v>0</v>
      </c>
      <c r="V297" s="581">
        <f t="shared" si="48"/>
        <v>0</v>
      </c>
      <c r="W297" s="581">
        <f t="shared" si="49"/>
        <v>0</v>
      </c>
      <c r="X297" s="581">
        <f t="shared" si="50"/>
        <v>0</v>
      </c>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87"/>
      <c r="BB297" s="87"/>
      <c r="BC297" s="87"/>
      <c r="BD297" s="87"/>
      <c r="BE297" s="87"/>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row>
    <row r="298" spans="1:142" s="6" customFormat="1" ht="15" customHeight="1" x14ac:dyDescent="0.2">
      <c r="A298" s="2"/>
      <c r="B298" s="761"/>
      <c r="C298" s="761"/>
      <c r="D298" s="761"/>
      <c r="E298" s="389"/>
      <c r="F298" s="956" t="str">
        <f>IF(OR(Z295=1,Z295=2,Z295=3,Z295=5,Z295=7),"",IF(OR(Z295=4,Z295=6),"Total for peroneal except superficial; FOOT impairment:",""))</f>
        <v/>
      </c>
      <c r="G298" s="956"/>
      <c r="H298" s="956"/>
      <c r="I298" s="956"/>
      <c r="J298" s="956"/>
      <c r="K298" s="956"/>
      <c r="L298" s="956"/>
      <c r="M298" s="956"/>
      <c r="N298" s="956"/>
      <c r="O298" s="956"/>
      <c r="P298" s="190" t="str">
        <f>IF(F298="","",IF(AND(P292="",P293="",P294="",P295="",P296="",P297=""),0,IF(Z295&lt;&gt;2,AVERAGE(P292:P297),"")))</f>
        <v/>
      </c>
      <c r="Q298" s="2"/>
      <c r="R298" s="128"/>
      <c r="S298" s="98"/>
      <c r="T298" s="147" t="s">
        <v>1656</v>
      </c>
      <c r="U298" s="147" t="s">
        <v>1565</v>
      </c>
      <c r="V298" s="147" t="s">
        <v>1659</v>
      </c>
      <c r="W298" s="147" t="s">
        <v>1660</v>
      </c>
      <c r="X298" s="147" t="s">
        <v>1661</v>
      </c>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87"/>
      <c r="BB298" s="87"/>
      <c r="BC298" s="87"/>
      <c r="BD298" s="87"/>
      <c r="BE298" s="87"/>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row>
    <row r="299" spans="1:142" s="6" customFormat="1" ht="25.5" customHeight="1" x14ac:dyDescent="0.2">
      <c r="A299" s="2"/>
      <c r="B299" s="761"/>
      <c r="C299" s="761"/>
      <c r="D299" s="761"/>
      <c r="E299" s="367"/>
      <c r="F299" s="761" t="str">
        <f>IF(OR(Z295=1,Z295=2,Z295=3,Z295=5),"","Superficial peroneal
overall loss; no averaging")</f>
        <v>Superficial peroneal
overall loss; no averaging</v>
      </c>
      <c r="G299" s="761"/>
      <c r="H299" s="761"/>
      <c r="I299" s="761"/>
      <c r="J299" s="761"/>
      <c r="K299" s="761"/>
      <c r="L299" s="761"/>
      <c r="M299" s="76">
        <f>IF(OR(F299="",S299=0),0,IF(Z295=2,0.39,0.11))</f>
        <v>0</v>
      </c>
      <c r="N299" s="202"/>
      <c r="O299" s="202"/>
      <c r="P299" s="291" t="str">
        <f>IF(X299=0,"",X299)</f>
        <v/>
      </c>
      <c r="Q299" s="2"/>
      <c r="R299" s="579" t="b">
        <v>0</v>
      </c>
      <c r="S299" s="571">
        <f>IF(R299=TRUE,1,0)</f>
        <v>0</v>
      </c>
      <c r="T299" s="581">
        <f>SUMIF($T$277:$AH$277,N299,$T$278:$AH$278)</f>
        <v>0</v>
      </c>
      <c r="U299" s="581">
        <f>SUMIF($S$277:$AH$277,O299,$S$278:$AH$278)</f>
        <v>0</v>
      </c>
      <c r="V299" s="581">
        <f>M299*T299</f>
        <v>0</v>
      </c>
      <c r="W299" s="581">
        <f>M299*U299</f>
        <v>0</v>
      </c>
      <c r="X299" s="581">
        <f>(IF(V299-W299&lt;=0,0,V299-W299))</f>
        <v>0</v>
      </c>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87"/>
      <c r="BB299" s="87"/>
      <c r="BC299" s="87"/>
      <c r="BD299" s="87"/>
      <c r="BE299" s="87"/>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row>
    <row r="300" spans="1:142" s="6" customFormat="1" ht="15" customHeight="1" x14ac:dyDescent="0.2">
      <c r="A300" s="2"/>
      <c r="B300" s="761"/>
      <c r="C300" s="761"/>
      <c r="D300" s="761"/>
      <c r="E300" s="367"/>
      <c r="F300" s="791" t="str">
        <f>IF(AND(Z295=2,S292=1),"",IF(S299=1,"",IF(OR(Z295=2,Z295=4,Z295=6,Z295=7),"Peroneus longus","")))</f>
        <v>Peroneus longus</v>
      </c>
      <c r="G300" s="791"/>
      <c r="H300" s="791"/>
      <c r="I300" s="791"/>
      <c r="J300" s="791"/>
      <c r="K300" s="791"/>
      <c r="L300" s="791"/>
      <c r="M300" s="76">
        <f>IF(OR(F300="",S300=0,Z295=3,Z295=5),0,IF(Z295=2,0.39,0.11))</f>
        <v>0</v>
      </c>
      <c r="N300" s="202"/>
      <c r="O300" s="202"/>
      <c r="P300" s="291" t="str">
        <f>IF(X300=0,"",X300)</f>
        <v/>
      </c>
      <c r="Q300" s="2"/>
      <c r="R300" s="579" t="b">
        <v>0</v>
      </c>
      <c r="S300" s="571">
        <f>IF(R300=TRUE,1,0)</f>
        <v>0</v>
      </c>
      <c r="T300" s="581">
        <f>SUMIF($T$277:$AH$277,N300,$T$278:$AH$278)</f>
        <v>0</v>
      </c>
      <c r="U300" s="581">
        <f>SUMIF($S$277:$AH$277,O300,$S$278:$AH$278)</f>
        <v>0</v>
      </c>
      <c r="V300" s="581">
        <f>M300*T300</f>
        <v>0</v>
      </c>
      <c r="W300" s="581">
        <f>M300*U300</f>
        <v>0</v>
      </c>
      <c r="X300" s="581">
        <f>(IF(V300-W300&lt;=0,0,V300-W300))</f>
        <v>0</v>
      </c>
      <c r="Y300" s="14"/>
      <c r="Z300" s="14"/>
      <c r="AA300" s="14"/>
      <c r="AB300" s="14"/>
      <c r="AC300" s="14"/>
      <c r="AD300" s="14"/>
      <c r="AE300" s="14"/>
      <c r="AF300" s="14"/>
      <c r="AG300" s="14"/>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row>
    <row r="301" spans="1:142" s="6" customFormat="1" ht="15" customHeight="1" x14ac:dyDescent="0.2">
      <c r="A301" s="2"/>
      <c r="B301" s="761"/>
      <c r="C301" s="761"/>
      <c r="D301" s="761"/>
      <c r="E301" s="367"/>
      <c r="F301" s="1186" t="str">
        <f>IF(AND(Z295=2,S292=1),"",IF(S299=1,"",IF(OR(Z295=2,Z295=4,Z295=6,Z295=7),"Peroneus brevis","")))</f>
        <v>Peroneus brevis</v>
      </c>
      <c r="G301" s="1186"/>
      <c r="H301" s="1186"/>
      <c r="I301" s="1186"/>
      <c r="J301" s="1186"/>
      <c r="K301" s="1186"/>
      <c r="L301" s="1186"/>
      <c r="M301" s="76">
        <f>IF(OR(F301="",S301=0,Z295=3,Z295=5),0,IF(Z295=2,0.39,0.11))</f>
        <v>0</v>
      </c>
      <c r="N301" s="202"/>
      <c r="O301" s="202"/>
      <c r="P301" s="291" t="str">
        <f>IF(X301=0,"",X301)</f>
        <v/>
      </c>
      <c r="Q301" s="2"/>
      <c r="R301" s="579" t="b">
        <v>0</v>
      </c>
      <c r="S301" s="571">
        <f>IF(R301=TRUE,1,0)</f>
        <v>0</v>
      </c>
      <c r="T301" s="581">
        <f>SUMIF($T$277:$AH$277,N301,$T$278:$AH$278)</f>
        <v>0</v>
      </c>
      <c r="U301" s="581">
        <f>SUMIF($S$277:$AH$277,O301,$S$278:$AH$278)</f>
        <v>0</v>
      </c>
      <c r="V301" s="581">
        <f>M301*T301</f>
        <v>0</v>
      </c>
      <c r="W301" s="581">
        <f>M301*U301</f>
        <v>0</v>
      </c>
      <c r="X301" s="581">
        <f>(IF(V301-W301&lt;=0,0,V301-W301))</f>
        <v>0</v>
      </c>
      <c r="Y301" s="14"/>
      <c r="Z301" s="14"/>
      <c r="AA301" s="14"/>
      <c r="AB301" s="14"/>
      <c r="AC301" s="14"/>
      <c r="AD301" s="14"/>
      <c r="AE301" s="14"/>
      <c r="AF301" s="14"/>
      <c r="AG301" s="14"/>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row>
    <row r="302" spans="1:142" s="6" customFormat="1" ht="15" customHeight="1" x14ac:dyDescent="0.2">
      <c r="A302" s="2"/>
      <c r="B302" s="1006" t="str">
        <f>IF(Z295=1,"",IF(OR(Z295=2,Z295=3,Z295=5),"Total for peroneal; FOOT impairment:",IF(OR(Z295=4,Z295=6,Z295=7),"Total for superficial peroneal; FOOT impairment:","")))</f>
        <v>Total for superficial peroneal; FOOT impairment:</v>
      </c>
      <c r="C302" s="1007"/>
      <c r="D302" s="1007"/>
      <c r="E302" s="1007"/>
      <c r="F302" s="1007"/>
      <c r="G302" s="1007"/>
      <c r="H302" s="1007"/>
      <c r="I302" s="1007"/>
      <c r="J302" s="1007"/>
      <c r="K302" s="1007"/>
      <c r="L302" s="1007"/>
      <c r="M302" s="1007"/>
      <c r="N302" s="1007"/>
      <c r="O302" s="1008"/>
      <c r="P302" s="291">
        <f>IF(T302=0,0,IF(Z295=2,AVERAGE(P292:P301),IF(OR(Z295=3,Z295=5),AVERAGE(P292:P297),IF(AND(P299="",P300="",P301=""),0,IF(OR(Z295=4,Z295=6,Z295=7),AVERAGE(P299:P301))))))</f>
        <v>0</v>
      </c>
      <c r="Q302" s="2"/>
      <c r="R302" s="548" t="s">
        <v>1687</v>
      </c>
      <c r="S302" s="571">
        <f>SUM(S292:S301)</f>
        <v>0</v>
      </c>
      <c r="T302" s="581">
        <f>SUM(P292,P293,P294,P295,P296,P297,P299,P300,P301)</f>
        <v>0</v>
      </c>
      <c r="U302" s="94"/>
      <c r="V302" s="94"/>
      <c r="W302" s="94"/>
      <c r="X302" s="94"/>
      <c r="Y302" s="14"/>
      <c r="Z302" s="14"/>
      <c r="AA302" s="14"/>
      <c r="AB302" s="14"/>
      <c r="AC302" s="14"/>
      <c r="AD302" s="14"/>
      <c r="AE302" s="14"/>
      <c r="AF302" s="14"/>
      <c r="AG302" s="14"/>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row>
    <row r="303" spans="1:142" s="6" customFormat="1" ht="12" customHeight="1" x14ac:dyDescent="0.2">
      <c r="A303" s="2"/>
      <c r="B303" s="1163"/>
      <c r="C303" s="1163"/>
      <c r="D303" s="1163"/>
      <c r="E303" s="1163"/>
      <c r="F303" s="1163"/>
      <c r="G303" s="1163"/>
      <c r="H303" s="1163"/>
      <c r="I303" s="1163"/>
      <c r="J303" s="1163"/>
      <c r="K303" s="1163"/>
      <c r="L303" s="1163"/>
      <c r="M303" s="1163"/>
      <c r="N303" s="1163"/>
      <c r="O303" s="1163"/>
      <c r="P303" s="1163"/>
      <c r="Q303" s="2"/>
      <c r="R303" s="128"/>
      <c r="S303" s="98"/>
      <c r="T303" s="94"/>
      <c r="U303" s="94"/>
      <c r="V303" s="94"/>
      <c r="W303" s="94"/>
      <c r="X303" s="94"/>
      <c r="Y303" s="14"/>
      <c r="Z303" s="14"/>
      <c r="AA303" s="14"/>
      <c r="AB303" s="14"/>
      <c r="AC303" s="14"/>
      <c r="AD303" s="14"/>
      <c r="AE303" s="14"/>
      <c r="AF303" s="14"/>
      <c r="AG303" s="14"/>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row>
    <row r="304" spans="1:142" s="6" customFormat="1" ht="12" customHeight="1" x14ac:dyDescent="0.2">
      <c r="A304" s="2"/>
      <c r="B304" s="1163"/>
      <c r="C304" s="1163"/>
      <c r="D304" s="1163"/>
      <c r="E304" s="1163"/>
      <c r="F304" s="1163"/>
      <c r="G304" s="1163"/>
      <c r="H304" s="1163"/>
      <c r="I304" s="1163"/>
      <c r="J304" s="1163"/>
      <c r="K304" s="1163"/>
      <c r="L304" s="1163"/>
      <c r="M304" s="1163"/>
      <c r="N304" s="1163"/>
      <c r="O304" s="1163"/>
      <c r="P304" s="1163"/>
      <c r="Q304" s="2"/>
      <c r="R304" s="128"/>
      <c r="S304" s="98"/>
      <c r="T304" s="94"/>
      <c r="U304" s="94"/>
      <c r="V304" s="94"/>
      <c r="W304" s="94"/>
      <c r="X304" s="94"/>
      <c r="Y304" s="14"/>
      <c r="Z304" s="14"/>
      <c r="AA304" s="14"/>
      <c r="AB304" s="14"/>
      <c r="AC304" s="14"/>
      <c r="AD304" s="14"/>
      <c r="AE304" s="14"/>
      <c r="AF304" s="14"/>
      <c r="AG304" s="14"/>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row>
    <row r="305" spans="1:142" s="6" customFormat="1" ht="15" customHeight="1" x14ac:dyDescent="0.2">
      <c r="A305" s="2"/>
      <c r="B305" s="1191"/>
      <c r="C305" s="1191"/>
      <c r="D305" s="1191"/>
      <c r="E305" s="1191"/>
      <c r="F305" s="1191"/>
      <c r="G305" s="1191"/>
      <c r="H305" s="1191"/>
      <c r="I305" s="1191"/>
      <c r="J305" s="1191"/>
      <c r="K305" s="1191"/>
      <c r="L305" s="1191"/>
      <c r="M305" s="1191"/>
      <c r="N305" s="1207" t="s">
        <v>1654</v>
      </c>
      <c r="O305" s="1207"/>
      <c r="P305" s="1207"/>
      <c r="Q305" s="2"/>
      <c r="R305" s="128"/>
      <c r="S305" s="98"/>
      <c r="T305" s="94"/>
      <c r="U305" s="94"/>
      <c r="V305" s="94"/>
      <c r="W305" s="94"/>
      <c r="X305" s="94"/>
      <c r="Y305" s="14"/>
      <c r="Z305" s="14"/>
      <c r="AA305" s="14"/>
      <c r="AB305" s="14"/>
      <c r="AC305" s="14"/>
      <c r="AD305" s="14"/>
      <c r="AE305" s="14"/>
      <c r="AF305" s="14"/>
      <c r="AG305" s="14"/>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row>
    <row r="306" spans="1:142" s="6" customFormat="1" ht="18" customHeight="1" x14ac:dyDescent="0.2">
      <c r="A306" s="2"/>
      <c r="B306" s="818" t="s">
        <v>409</v>
      </c>
      <c r="C306" s="698"/>
      <c r="D306" s="698"/>
      <c r="E306" s="753"/>
      <c r="F306" s="753"/>
      <c r="G306" s="753"/>
      <c r="H306" s="753"/>
      <c r="I306" s="753"/>
      <c r="J306" s="753"/>
      <c r="K306" s="753"/>
      <c r="L306" s="753"/>
      <c r="M306" s="754"/>
      <c r="N306" s="385" t="s">
        <v>1656</v>
      </c>
      <c r="O306" s="385" t="s">
        <v>1657</v>
      </c>
      <c r="P306" s="385" t="s">
        <v>1658</v>
      </c>
      <c r="Q306" s="2"/>
      <c r="R306" s="128"/>
      <c r="S306" s="98"/>
      <c r="T306" s="147" t="s">
        <v>1656</v>
      </c>
      <c r="U306" s="147" t="s">
        <v>1565</v>
      </c>
      <c r="V306" s="147" t="s">
        <v>1659</v>
      </c>
      <c r="W306" s="147" t="s">
        <v>1660</v>
      </c>
      <c r="X306" s="147" t="s">
        <v>1661</v>
      </c>
      <c r="Y306" s="14"/>
      <c r="Z306" s="14"/>
      <c r="AA306" s="14"/>
      <c r="AB306" s="14"/>
      <c r="AC306" s="14"/>
      <c r="AD306" s="14"/>
      <c r="AE306" s="14"/>
      <c r="AF306" s="14"/>
      <c r="AG306" s="14"/>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row>
    <row r="307" spans="1:142" s="6" customFormat="1" ht="27" customHeight="1" x14ac:dyDescent="0.2">
      <c r="A307" s="2"/>
      <c r="B307" s="447" t="s">
        <v>410</v>
      </c>
      <c r="C307" s="463"/>
      <c r="D307" s="448"/>
      <c r="E307" s="462"/>
      <c r="F307" s="1150" t="str">
        <f>IF(Z296=1,"","Tibial - overall loss at level shown; no averaging")</f>
        <v>Tibial - overall loss at level shown; no averaging</v>
      </c>
      <c r="G307" s="1150"/>
      <c r="H307" s="1150"/>
      <c r="I307" s="1150"/>
      <c r="J307" s="1150"/>
      <c r="K307" s="1150"/>
      <c r="L307" s="1150"/>
      <c r="M307" s="76">
        <f>IF(OR(F307="",S307=0),0,IF($Z$296=2,0.35,IF($Z$296=3,0.28,IF($Z$296=4,0.17,IF($Z$296=5,"See
below",IF(OR($Z$296=6,$Z$296=7),0.06,0))))))</f>
        <v>0</v>
      </c>
      <c r="N307" s="202"/>
      <c r="O307" s="202"/>
      <c r="P307" s="291" t="str">
        <f>IF(AND(S307=1,Z296=5),"",IF(X307=0,"",X307))</f>
        <v/>
      </c>
      <c r="Q307" s="2"/>
      <c r="R307" s="579" t="b">
        <v>0</v>
      </c>
      <c r="S307" s="571">
        <f t="shared" ref="S307:S316" si="51">IF(R307=TRUE,1,0)</f>
        <v>0</v>
      </c>
      <c r="T307" s="581">
        <f t="shared" ref="T307:T316" si="52">SUMIF($T$277:$AH$277,N307,$T$278:$AH$278)</f>
        <v>0</v>
      </c>
      <c r="U307" s="581">
        <f t="shared" ref="U307:U316" si="53">SUMIF($S$277:$AH$277,O307,$S$278:$AH$278)</f>
        <v>0</v>
      </c>
      <c r="V307" s="581">
        <f>IF(AND(S307=1,Z296=5),0,M307*T307)</f>
        <v>0</v>
      </c>
      <c r="W307" s="581">
        <f>IF(AND(S307=1,Z296=5),0,M307*U307)</f>
        <v>0</v>
      </c>
      <c r="X307" s="581">
        <f t="shared" ref="X307:X316" si="54">(IF(V307-W307&lt;=0,0,V307-W307))</f>
        <v>0</v>
      </c>
      <c r="Y307" s="14"/>
      <c r="Z307" s="14"/>
      <c r="AA307" s="14"/>
      <c r="AB307" s="14"/>
      <c r="AC307" s="14"/>
      <c r="AD307" s="14"/>
      <c r="AE307" s="14"/>
      <c r="AF307" s="14"/>
      <c r="AG307" s="14"/>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row>
    <row r="308" spans="1:142" s="6" customFormat="1" ht="15" customHeight="1" x14ac:dyDescent="0.2">
      <c r="A308" s="2"/>
      <c r="B308" s="461"/>
      <c r="C308" s="39"/>
      <c r="D308" s="464"/>
      <c r="E308" s="462"/>
      <c r="F308" s="1186" t="str">
        <f>IF(OR(S307=1,Z296=1,Z296=5,Z296=6,Z296=7),"","Gastrocnemius")</f>
        <v>Gastrocnemius</v>
      </c>
      <c r="G308" s="1186"/>
      <c r="H308" s="1186"/>
      <c r="I308" s="1186"/>
      <c r="J308" s="1186"/>
      <c r="K308" s="1186"/>
      <c r="L308" s="1186"/>
      <c r="M308" s="76">
        <f t="shared" ref="M308:M314" si="55">IF(OR(F308="",S308=0),0,IF($Z$296=2,0.35,IF($Z$296=3,0.28,IF($Z$296=4,0.17,0))))</f>
        <v>0</v>
      </c>
      <c r="N308" s="202"/>
      <c r="O308" s="202"/>
      <c r="P308" s="291" t="str">
        <f>IF(X308=0,"",X308)</f>
        <v/>
      </c>
      <c r="Q308" s="2"/>
      <c r="R308" s="579" t="b">
        <v>0</v>
      </c>
      <c r="S308" s="571">
        <f t="shared" si="51"/>
        <v>0</v>
      </c>
      <c r="T308" s="581">
        <f t="shared" si="52"/>
        <v>0</v>
      </c>
      <c r="U308" s="581">
        <f t="shared" si="53"/>
        <v>0</v>
      </c>
      <c r="V308" s="581">
        <f t="shared" ref="V308:V316" si="56">M308*T308</f>
        <v>0</v>
      </c>
      <c r="W308" s="581">
        <f t="shared" ref="W308:W316" si="57">M308*U308</f>
        <v>0</v>
      </c>
      <c r="X308" s="581">
        <f t="shared" si="54"/>
        <v>0</v>
      </c>
      <c r="Y308" s="10"/>
      <c r="Z308" s="10"/>
      <c r="AA308" s="10"/>
      <c r="AB308" s="10"/>
      <c r="AC308" s="14"/>
      <c r="AD308" s="14"/>
      <c r="AE308" s="14"/>
      <c r="AF308" s="14"/>
      <c r="AG308" s="14"/>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row>
    <row r="309" spans="1:142" s="6" customFormat="1" ht="15" customHeight="1" x14ac:dyDescent="0.2">
      <c r="A309" s="2"/>
      <c r="B309" s="461"/>
      <c r="C309" s="39"/>
      <c r="D309" s="464"/>
      <c r="E309" s="462"/>
      <c r="F309" s="791" t="str">
        <f>IF(OR(S307=1,Z296=1,Z296=5,Z296=6,Z296=7),"","Plantaris")</f>
        <v>Plantaris</v>
      </c>
      <c r="G309" s="791"/>
      <c r="H309" s="791"/>
      <c r="I309" s="791"/>
      <c r="J309" s="791"/>
      <c r="K309" s="791"/>
      <c r="L309" s="791"/>
      <c r="M309" s="76">
        <f t="shared" si="55"/>
        <v>0</v>
      </c>
      <c r="N309" s="202"/>
      <c r="O309" s="202"/>
      <c r="P309" s="291" t="str">
        <f t="shared" ref="P309:P318" si="58">IF(X309=0,"",X309)</f>
        <v/>
      </c>
      <c r="Q309" s="2"/>
      <c r="R309" s="579" t="b">
        <v>0</v>
      </c>
      <c r="S309" s="571">
        <f t="shared" si="51"/>
        <v>0</v>
      </c>
      <c r="T309" s="581">
        <f t="shared" si="52"/>
        <v>0</v>
      </c>
      <c r="U309" s="581">
        <f t="shared" si="53"/>
        <v>0</v>
      </c>
      <c r="V309" s="581">
        <f t="shared" si="56"/>
        <v>0</v>
      </c>
      <c r="W309" s="581">
        <f t="shared" si="57"/>
        <v>0</v>
      </c>
      <c r="X309" s="581">
        <f t="shared" si="54"/>
        <v>0</v>
      </c>
      <c r="Y309" s="10"/>
      <c r="Z309" s="10"/>
      <c r="AA309" s="10"/>
      <c r="AB309" s="14"/>
      <c r="AC309" s="14"/>
      <c r="AD309" s="14"/>
      <c r="AE309" s="14"/>
      <c r="AF309" s="14"/>
      <c r="AG309" s="14"/>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row>
    <row r="310" spans="1:142" s="6" customFormat="1" ht="15" customHeight="1" x14ac:dyDescent="0.2">
      <c r="A310" s="2"/>
      <c r="B310" s="461"/>
      <c r="C310" s="39"/>
      <c r="D310" s="464"/>
      <c r="E310" s="462"/>
      <c r="F310" s="1186" t="str">
        <f>IF(OR(S307=1,Z296=1,Z296=5,Z296=6,Z296=7),"","Popliteus")</f>
        <v>Popliteus</v>
      </c>
      <c r="G310" s="1186"/>
      <c r="H310" s="1186"/>
      <c r="I310" s="1186"/>
      <c r="J310" s="1186"/>
      <c r="K310" s="1186"/>
      <c r="L310" s="1186"/>
      <c r="M310" s="76">
        <f t="shared" si="55"/>
        <v>0</v>
      </c>
      <c r="N310" s="202"/>
      <c r="O310" s="202"/>
      <c r="P310" s="291" t="str">
        <f t="shared" si="58"/>
        <v/>
      </c>
      <c r="Q310" s="2"/>
      <c r="R310" s="579" t="b">
        <v>0</v>
      </c>
      <c r="S310" s="571">
        <f t="shared" si="51"/>
        <v>0</v>
      </c>
      <c r="T310" s="581">
        <f t="shared" si="52"/>
        <v>0</v>
      </c>
      <c r="U310" s="581">
        <f t="shared" si="53"/>
        <v>0</v>
      </c>
      <c r="V310" s="581">
        <f t="shared" si="56"/>
        <v>0</v>
      </c>
      <c r="W310" s="581">
        <f t="shared" si="57"/>
        <v>0</v>
      </c>
      <c r="X310" s="581">
        <f t="shared" si="54"/>
        <v>0</v>
      </c>
      <c r="Y310" s="10"/>
      <c r="Z310" s="10"/>
      <c r="AA310" s="14"/>
      <c r="AB310" s="14"/>
      <c r="AC310" s="14"/>
      <c r="AD310" s="14"/>
      <c r="AE310" s="14"/>
      <c r="AF310" s="14"/>
      <c r="AG310" s="14"/>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row>
    <row r="311" spans="1:142" s="6" customFormat="1" ht="15" customHeight="1" x14ac:dyDescent="0.2">
      <c r="A311" s="2"/>
      <c r="B311" s="461"/>
      <c r="C311" s="39"/>
      <c r="D311" s="464"/>
      <c r="E311" s="462"/>
      <c r="F311" s="791" t="str">
        <f>IF(OR(S307=1,Z296=1,Z296=5,Z296=6,Z296=7),"","Soleus")</f>
        <v>Soleus</v>
      </c>
      <c r="G311" s="791"/>
      <c r="H311" s="791"/>
      <c r="I311" s="791"/>
      <c r="J311" s="791"/>
      <c r="K311" s="791"/>
      <c r="L311" s="791"/>
      <c r="M311" s="76">
        <f t="shared" si="55"/>
        <v>0</v>
      </c>
      <c r="N311" s="202"/>
      <c r="O311" s="202"/>
      <c r="P311" s="291" t="str">
        <f t="shared" si="58"/>
        <v/>
      </c>
      <c r="Q311" s="2"/>
      <c r="R311" s="546" t="b">
        <v>0</v>
      </c>
      <c r="S311" s="571">
        <f t="shared" si="51"/>
        <v>0</v>
      </c>
      <c r="T311" s="581">
        <f t="shared" si="52"/>
        <v>0</v>
      </c>
      <c r="U311" s="581">
        <f t="shared" si="53"/>
        <v>0</v>
      </c>
      <c r="V311" s="581">
        <f t="shared" si="56"/>
        <v>0</v>
      </c>
      <c r="W311" s="581">
        <f t="shared" si="57"/>
        <v>0</v>
      </c>
      <c r="X311" s="581">
        <f t="shared" si="54"/>
        <v>0</v>
      </c>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row>
    <row r="312" spans="1:142" s="6" customFormat="1" ht="15" customHeight="1" x14ac:dyDescent="0.2">
      <c r="A312" s="2"/>
      <c r="B312" s="461"/>
      <c r="C312" s="39"/>
      <c r="D312" s="464"/>
      <c r="E312" s="462"/>
      <c r="F312" s="1186" t="str">
        <f>IF(OR(S307=1,Z296=1,Z296=5,Z296=6,Z296=7),"","Tibialis posterior")</f>
        <v>Tibialis posterior</v>
      </c>
      <c r="G312" s="1186"/>
      <c r="H312" s="1186"/>
      <c r="I312" s="1186"/>
      <c r="J312" s="1186"/>
      <c r="K312" s="1186"/>
      <c r="L312" s="1186"/>
      <c r="M312" s="76">
        <f t="shared" si="55"/>
        <v>0</v>
      </c>
      <c r="N312" s="202"/>
      <c r="O312" s="202"/>
      <c r="P312" s="291" t="str">
        <f t="shared" si="58"/>
        <v/>
      </c>
      <c r="Q312" s="2"/>
      <c r="R312" s="546" t="b">
        <v>0</v>
      </c>
      <c r="S312" s="571">
        <f t="shared" si="51"/>
        <v>0</v>
      </c>
      <c r="T312" s="581">
        <f t="shared" si="52"/>
        <v>0</v>
      </c>
      <c r="U312" s="581">
        <f t="shared" si="53"/>
        <v>0</v>
      </c>
      <c r="V312" s="581">
        <f t="shared" si="56"/>
        <v>0</v>
      </c>
      <c r="W312" s="581">
        <f t="shared" si="57"/>
        <v>0</v>
      </c>
      <c r="X312" s="581">
        <f t="shared" si="54"/>
        <v>0</v>
      </c>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28"/>
      <c r="BE312" s="11"/>
      <c r="BF312" s="11"/>
      <c r="BG312" s="11"/>
      <c r="BH312" s="11"/>
      <c r="BI312" s="11"/>
      <c r="BJ312" s="11"/>
      <c r="BK312" s="11"/>
      <c r="BL312" s="11"/>
      <c r="BM312" s="11"/>
      <c r="BN312" s="11"/>
      <c r="BO312" s="11"/>
      <c r="BP312" s="11"/>
      <c r="BQ312" s="11"/>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0"/>
      <c r="EH312" s="10"/>
      <c r="EI312" s="10"/>
      <c r="EJ312" s="10"/>
      <c r="EK312" s="10"/>
      <c r="EL312" s="10"/>
    </row>
    <row r="313" spans="1:142" s="6" customFormat="1" ht="15" customHeight="1" x14ac:dyDescent="0.2">
      <c r="A313" s="2"/>
      <c r="B313" s="461"/>
      <c r="C313" s="39"/>
      <c r="D313" s="464"/>
      <c r="E313" s="462"/>
      <c r="F313" s="791" t="str">
        <f>IF(OR(S307=1,Z296=1,Z296=5,Z296=6,Z296=7),"","Flexor digitorum longus")</f>
        <v>Flexor digitorum longus</v>
      </c>
      <c r="G313" s="791"/>
      <c r="H313" s="791"/>
      <c r="I313" s="791"/>
      <c r="J313" s="791"/>
      <c r="K313" s="791"/>
      <c r="L313" s="791"/>
      <c r="M313" s="76">
        <f t="shared" si="55"/>
        <v>0</v>
      </c>
      <c r="N313" s="202"/>
      <c r="O313" s="202"/>
      <c r="P313" s="291" t="str">
        <f t="shared" si="58"/>
        <v/>
      </c>
      <c r="Q313" s="2"/>
      <c r="R313" s="546" t="b">
        <v>0</v>
      </c>
      <c r="S313" s="571">
        <f t="shared" si="51"/>
        <v>0</v>
      </c>
      <c r="T313" s="581">
        <f t="shared" si="52"/>
        <v>0</v>
      </c>
      <c r="U313" s="581">
        <f t="shared" si="53"/>
        <v>0</v>
      </c>
      <c r="V313" s="581">
        <f t="shared" si="56"/>
        <v>0</v>
      </c>
      <c r="W313" s="581">
        <f t="shared" si="57"/>
        <v>0</v>
      </c>
      <c r="X313" s="581">
        <f t="shared" si="54"/>
        <v>0</v>
      </c>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1"/>
      <c r="BM313" s="11"/>
      <c r="BN313" s="11"/>
      <c r="BO313" s="11"/>
      <c r="BP313" s="11"/>
      <c r="BQ313" s="11"/>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row>
    <row r="314" spans="1:142" s="6" customFormat="1" ht="15" customHeight="1" x14ac:dyDescent="0.2">
      <c r="A314" s="2"/>
      <c r="B314" s="461"/>
      <c r="C314" s="39"/>
      <c r="D314" s="464"/>
      <c r="E314" s="462"/>
      <c r="F314" s="1186" t="str">
        <f>IF(OR(S307=1,Z296=1,Z296=5,Z296=6,Z296=7),"","Flexor hallucis longus")</f>
        <v>Flexor hallucis longus</v>
      </c>
      <c r="G314" s="1186"/>
      <c r="H314" s="1186"/>
      <c r="I314" s="1186"/>
      <c r="J314" s="1186"/>
      <c r="K314" s="1186"/>
      <c r="L314" s="1186"/>
      <c r="M314" s="76">
        <f t="shared" si="55"/>
        <v>0</v>
      </c>
      <c r="N314" s="202"/>
      <c r="O314" s="202"/>
      <c r="P314" s="291" t="str">
        <f t="shared" si="58"/>
        <v/>
      </c>
      <c r="Q314" s="2"/>
      <c r="R314" s="546" t="b">
        <v>0</v>
      </c>
      <c r="S314" s="571">
        <f t="shared" si="51"/>
        <v>0</v>
      </c>
      <c r="T314" s="581">
        <f t="shared" si="52"/>
        <v>0</v>
      </c>
      <c r="U314" s="581">
        <f t="shared" si="53"/>
        <v>0</v>
      </c>
      <c r="V314" s="581">
        <f t="shared" si="56"/>
        <v>0</v>
      </c>
      <c r="W314" s="581">
        <f t="shared" si="57"/>
        <v>0</v>
      </c>
      <c r="X314" s="581">
        <f t="shared" si="54"/>
        <v>0</v>
      </c>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0"/>
      <c r="EH314" s="10"/>
      <c r="EI314" s="10"/>
      <c r="EJ314" s="10"/>
      <c r="EK314" s="10"/>
      <c r="EL314" s="10"/>
    </row>
    <row r="315" spans="1:142" s="6" customFormat="1" ht="15" customHeight="1" x14ac:dyDescent="0.2">
      <c r="A315" s="2"/>
      <c r="B315" s="461"/>
      <c r="C315" s="39"/>
      <c r="D315" s="464"/>
      <c r="E315" s="462"/>
      <c r="F315" s="1186" t="str">
        <f>IF(OR(Z296=1,Z296=7),"",IF(AND(Z296=6,S307=1),"",IF(AND(S307=1,Z296=5),"Lateral plantar branch",IF(S307=1,"","Abductor digiti minimi"))))</f>
        <v>Abductor digiti minimi</v>
      </c>
      <c r="G315" s="1186"/>
      <c r="H315" s="1186"/>
      <c r="I315" s="1186"/>
      <c r="J315" s="1186"/>
      <c r="K315" s="1186"/>
      <c r="L315" s="1186"/>
      <c r="M315" s="76">
        <f>IF(OR(F315="",S315=0),0,0.06)</f>
        <v>0</v>
      </c>
      <c r="N315" s="202"/>
      <c r="O315" s="202"/>
      <c r="P315" s="291" t="str">
        <f t="shared" si="58"/>
        <v/>
      </c>
      <c r="Q315" s="2"/>
      <c r="R315" s="546" t="b">
        <v>0</v>
      </c>
      <c r="S315" s="571">
        <f t="shared" si="51"/>
        <v>0</v>
      </c>
      <c r="T315" s="603">
        <f t="shared" si="52"/>
        <v>0</v>
      </c>
      <c r="U315" s="603">
        <f t="shared" si="53"/>
        <v>0</v>
      </c>
      <c r="V315" s="603">
        <f t="shared" si="56"/>
        <v>0</v>
      </c>
      <c r="W315" s="603">
        <f t="shared" si="57"/>
        <v>0</v>
      </c>
      <c r="X315" s="603">
        <f t="shared" si="54"/>
        <v>0</v>
      </c>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0"/>
      <c r="EH315" s="10"/>
      <c r="EI315" s="10"/>
      <c r="EJ315" s="10"/>
      <c r="EK315" s="10"/>
      <c r="EL315" s="10"/>
    </row>
    <row r="316" spans="1:142" s="6" customFormat="1" ht="15" customHeight="1" x14ac:dyDescent="0.2">
      <c r="A316" s="2"/>
      <c r="B316" s="461"/>
      <c r="C316" s="39"/>
      <c r="D316" s="464"/>
      <c r="E316" s="462"/>
      <c r="F316" s="1186" t="str">
        <f>IF(OR(S307=1,Z296=1,Z296=7),"","Dorsal interossei")</f>
        <v>Dorsal interossei</v>
      </c>
      <c r="G316" s="1186"/>
      <c r="H316" s="1186"/>
      <c r="I316" s="1186"/>
      <c r="J316" s="1186"/>
      <c r="K316" s="1186"/>
      <c r="L316" s="1186"/>
      <c r="M316" s="76">
        <f>IF(OR(F316="",S316=0),0,0.06)</f>
        <v>0</v>
      </c>
      <c r="N316" s="202"/>
      <c r="O316" s="202"/>
      <c r="P316" s="291" t="str">
        <f t="shared" si="58"/>
        <v/>
      </c>
      <c r="Q316" s="2"/>
      <c r="R316" s="546" t="b">
        <v>0</v>
      </c>
      <c r="S316" s="571">
        <f t="shared" si="51"/>
        <v>0</v>
      </c>
      <c r="T316" s="581">
        <f t="shared" si="52"/>
        <v>0</v>
      </c>
      <c r="U316" s="581">
        <f t="shared" si="53"/>
        <v>0</v>
      </c>
      <c r="V316" s="581">
        <f t="shared" si="56"/>
        <v>0</v>
      </c>
      <c r="W316" s="581">
        <f t="shared" si="57"/>
        <v>0</v>
      </c>
      <c r="X316" s="581">
        <f t="shared" si="54"/>
        <v>0</v>
      </c>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row>
    <row r="317" spans="1:142" s="6" customFormat="1" ht="15" customHeight="1" x14ac:dyDescent="0.2">
      <c r="A317" s="2"/>
      <c r="B317" s="461"/>
      <c r="C317" s="39"/>
      <c r="D317" s="464"/>
      <c r="E317" s="467"/>
      <c r="F317" s="1006" t="str">
        <f>IF(OR(Z296=5,Z296=6),"Total for lateral plantar branch of the tibial nerve:","")</f>
        <v/>
      </c>
      <c r="G317" s="1007"/>
      <c r="H317" s="1007"/>
      <c r="I317" s="1007"/>
      <c r="J317" s="1007"/>
      <c r="K317" s="1007"/>
      <c r="L317" s="1007"/>
      <c r="M317" s="1007"/>
      <c r="N317" s="1007"/>
      <c r="O317" s="1008"/>
      <c r="P317" s="291" t="str">
        <f>IF(AND(P315="",P316=""),"",IF(OR(Z296=5,Z296=6),AVERAGE(P315:P316),""))</f>
        <v/>
      </c>
      <c r="Q317" s="2"/>
      <c r="R317" s="140"/>
      <c r="S317" s="98"/>
      <c r="T317" s="94"/>
      <c r="U317" s="94"/>
      <c r="V317" s="94"/>
      <c r="W317" s="94"/>
      <c r="X317" s="94"/>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c r="DY317" s="10"/>
      <c r="DZ317" s="10"/>
      <c r="EA317" s="10"/>
      <c r="EB317" s="10"/>
      <c r="EC317" s="10"/>
      <c r="ED317" s="10"/>
      <c r="EE317" s="10"/>
      <c r="EF317" s="10"/>
      <c r="EG317" s="10"/>
      <c r="EH317" s="10"/>
      <c r="EI317" s="10"/>
      <c r="EJ317" s="10"/>
      <c r="EK317" s="10"/>
      <c r="EL317" s="10"/>
    </row>
    <row r="318" spans="1:142" s="6" customFormat="1" ht="15" customHeight="1" x14ac:dyDescent="0.2">
      <c r="A318" s="2"/>
      <c r="B318" s="282"/>
      <c r="C318" s="182"/>
      <c r="D318" s="449"/>
      <c r="E318" s="462"/>
      <c r="F318" s="791" t="str">
        <f>IF(OR(Z296=1,Z296=6),"",IF(AND(Z296=7,S307=1),"",IF(AND(S307=1,Z296=5),"Medial plantar branch",IF(S307=1,"","Abductor hallucis"))))</f>
        <v>Abductor hallucis</v>
      </c>
      <c r="G318" s="791"/>
      <c r="H318" s="791"/>
      <c r="I318" s="791"/>
      <c r="J318" s="791"/>
      <c r="K318" s="791"/>
      <c r="L318" s="791"/>
      <c r="M318" s="76">
        <f>IF(OR(F318="",S318=0),0,0.06)</f>
        <v>0</v>
      </c>
      <c r="N318" s="202"/>
      <c r="O318" s="202"/>
      <c r="P318" s="291" t="str">
        <f t="shared" si="58"/>
        <v/>
      </c>
      <c r="Q318" s="2"/>
      <c r="R318" s="546" t="b">
        <v>0</v>
      </c>
      <c r="S318" s="571">
        <f>IF(R318=TRUE,1,0)</f>
        <v>0</v>
      </c>
      <c r="T318" s="581">
        <f>SUMIF($T$277:$AH$277,N318,$T$278:$AH$278)</f>
        <v>0</v>
      </c>
      <c r="U318" s="581">
        <f>SUMIF($S$277:$AH$277,O318,$S$278:$AH$278)</f>
        <v>0</v>
      </c>
      <c r="V318" s="581">
        <f>M318*T318</f>
        <v>0</v>
      </c>
      <c r="W318" s="581">
        <f>M318*U318</f>
        <v>0</v>
      </c>
      <c r="X318" s="581">
        <f>(IF(V318-W318&lt;=0,0,V318-W318))</f>
        <v>0</v>
      </c>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row>
    <row r="319" spans="1:142" s="6" customFormat="1" ht="18" customHeight="1" x14ac:dyDescent="0.2">
      <c r="A319" s="2"/>
      <c r="B319" s="1165" t="str">
        <f>IF(Z296=2,"Total for tibial nerve; LEG impairment:",IF(OR(Z296=3,Z296=4),"Total for tibial nerve; FOOT impairment:",IF(OR(Z296=5,Z296=7),"Total for medial plantar branch of the tibial nerve:","")))</f>
        <v>Total for tibial nerve; LEG impairment:</v>
      </c>
      <c r="C319" s="1165"/>
      <c r="D319" s="1165"/>
      <c r="E319" s="957"/>
      <c r="F319" s="957"/>
      <c r="G319" s="957"/>
      <c r="H319" s="957"/>
      <c r="I319" s="957"/>
      <c r="J319" s="957"/>
      <c r="K319" s="957"/>
      <c r="L319" s="957"/>
      <c r="M319" s="957"/>
      <c r="N319" s="957"/>
      <c r="O319" s="957"/>
      <c r="P319" s="291">
        <f>IF(T319=0,0,IF(OR(Z296=1,Z296=6),0,IF(OR(Z296=5,Z296=7),AVERAGE(P318,P307),IF(OR(Z296=2,Z296=3,Z296=4),AVERAGE(P307:P318)))))</f>
        <v>0</v>
      </c>
      <c r="Q319" s="2"/>
      <c r="R319" s="50" t="s">
        <v>1687</v>
      </c>
      <c r="S319" s="571">
        <f>SUM(S307:S318)</f>
        <v>0</v>
      </c>
      <c r="T319" s="581">
        <f>SUM(P307:P318)</f>
        <v>0</v>
      </c>
      <c r="U319" s="581"/>
      <c r="V319" s="544"/>
      <c r="W319" s="544"/>
      <c r="X319" s="544">
        <f>SUM(X307:X318)</f>
        <v>0</v>
      </c>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0"/>
      <c r="EH319" s="10"/>
      <c r="EI319" s="10"/>
      <c r="EJ319" s="10"/>
      <c r="EK319" s="10"/>
      <c r="EL319" s="10"/>
    </row>
    <row r="320" spans="1:142" s="6" customFormat="1" ht="15" customHeight="1" x14ac:dyDescent="0.2">
      <c r="A320" s="2"/>
      <c r="B320" s="749" t="s">
        <v>411</v>
      </c>
      <c r="C320" s="750"/>
      <c r="D320" s="751"/>
      <c r="E320" s="460"/>
      <c r="F320" s="791" t="s">
        <v>969</v>
      </c>
      <c r="G320" s="791"/>
      <c r="H320" s="791"/>
      <c r="I320" s="791"/>
      <c r="J320" s="791"/>
      <c r="K320" s="791"/>
      <c r="L320" s="791"/>
      <c r="M320" s="80">
        <f t="shared" ref="M320:M326" si="59">IF(OR(F320="",S320=0),0,0.3)</f>
        <v>0</v>
      </c>
      <c r="N320" s="202"/>
      <c r="O320" s="202"/>
      <c r="P320" s="291" t="str">
        <f>IF(X320=0,"",X320)</f>
        <v/>
      </c>
      <c r="Q320" s="2"/>
      <c r="R320" s="546" t="b">
        <v>0</v>
      </c>
      <c r="S320" s="571">
        <f t="shared" ref="S320:S326" si="60">IF(R320=TRUE,1,0)</f>
        <v>0</v>
      </c>
      <c r="T320" s="581">
        <f t="shared" ref="T320:T326" si="61">SUMIF($T$277:$AH$277,N320,$T$278:$AH$278)</f>
        <v>0</v>
      </c>
      <c r="U320" s="581">
        <f t="shared" ref="U320:U326" si="62">SUMIF($S$277:$AH$277,O320,$S$278:$AH$278)</f>
        <v>0</v>
      </c>
      <c r="V320" s="581">
        <f t="shared" ref="V320:V326" si="63">M320*T320</f>
        <v>0</v>
      </c>
      <c r="W320" s="581">
        <f t="shared" ref="W320:W326" si="64">M320*U320</f>
        <v>0</v>
      </c>
      <c r="X320" s="581">
        <f t="shared" ref="X320:X326" si="65">(IF(V320-W320&lt;=0,0,V320-W320))</f>
        <v>0</v>
      </c>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row>
    <row r="321" spans="1:142" s="6" customFormat="1" ht="15" customHeight="1" x14ac:dyDescent="0.2">
      <c r="A321" s="2"/>
      <c r="B321" s="818"/>
      <c r="C321" s="698"/>
      <c r="D321" s="819"/>
      <c r="E321" s="460"/>
      <c r="F321" s="791" t="str">
        <f>IF(S320=1,"","Pectineus")</f>
        <v>Pectineus</v>
      </c>
      <c r="G321" s="791"/>
      <c r="H321" s="791"/>
      <c r="I321" s="791"/>
      <c r="J321" s="791"/>
      <c r="K321" s="791"/>
      <c r="L321" s="791"/>
      <c r="M321" s="80">
        <f t="shared" si="59"/>
        <v>0</v>
      </c>
      <c r="N321" s="202"/>
      <c r="O321" s="202"/>
      <c r="P321" s="291" t="str">
        <f t="shared" ref="P321:P326" si="66">IF(X321=0,"",X321)</f>
        <v/>
      </c>
      <c r="Q321" s="2"/>
      <c r="R321" s="546" t="b">
        <v>0</v>
      </c>
      <c r="S321" s="571">
        <f t="shared" si="60"/>
        <v>0</v>
      </c>
      <c r="T321" s="581">
        <f t="shared" si="61"/>
        <v>0</v>
      </c>
      <c r="U321" s="581">
        <f t="shared" si="62"/>
        <v>0</v>
      </c>
      <c r="V321" s="581">
        <f t="shared" si="63"/>
        <v>0</v>
      </c>
      <c r="W321" s="581">
        <f t="shared" si="64"/>
        <v>0</v>
      </c>
      <c r="X321" s="581">
        <f t="shared" si="65"/>
        <v>0</v>
      </c>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0"/>
      <c r="EH321" s="10"/>
      <c r="EI321" s="10"/>
      <c r="EJ321" s="10"/>
      <c r="EK321" s="10"/>
      <c r="EL321" s="10"/>
    </row>
    <row r="322" spans="1:142" s="6" customFormat="1" ht="15" customHeight="1" x14ac:dyDescent="0.2">
      <c r="A322" s="2"/>
      <c r="B322" s="1190"/>
      <c r="C322" s="1190"/>
      <c r="D322" s="1190"/>
      <c r="E322" s="460"/>
      <c r="F322" s="791" t="str">
        <f>IF(S320=1,"","Sartorius")</f>
        <v>Sartorius</v>
      </c>
      <c r="G322" s="791"/>
      <c r="H322" s="791"/>
      <c r="I322" s="791"/>
      <c r="J322" s="791"/>
      <c r="K322" s="791"/>
      <c r="L322" s="791"/>
      <c r="M322" s="80">
        <f t="shared" si="59"/>
        <v>0</v>
      </c>
      <c r="N322" s="202"/>
      <c r="O322" s="202"/>
      <c r="P322" s="291" t="str">
        <f t="shared" si="66"/>
        <v/>
      </c>
      <c r="Q322" s="2"/>
      <c r="R322" s="546" t="b">
        <v>0</v>
      </c>
      <c r="S322" s="571">
        <f t="shared" si="60"/>
        <v>0</v>
      </c>
      <c r="T322" s="581">
        <f t="shared" si="61"/>
        <v>0</v>
      </c>
      <c r="U322" s="581">
        <f t="shared" si="62"/>
        <v>0</v>
      </c>
      <c r="V322" s="581">
        <f t="shared" si="63"/>
        <v>0</v>
      </c>
      <c r="W322" s="581">
        <f t="shared" si="64"/>
        <v>0</v>
      </c>
      <c r="X322" s="581">
        <f t="shared" si="65"/>
        <v>0</v>
      </c>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0"/>
      <c r="EH322" s="10"/>
      <c r="EI322" s="10"/>
      <c r="EJ322" s="10"/>
      <c r="EK322" s="10"/>
      <c r="EL322" s="10"/>
    </row>
    <row r="323" spans="1:142" s="6" customFormat="1" ht="15" customHeight="1" x14ac:dyDescent="0.2">
      <c r="A323" s="2"/>
      <c r="B323" s="1191"/>
      <c r="C323" s="1191"/>
      <c r="D323" s="1191"/>
      <c r="E323" s="460"/>
      <c r="F323" s="791" t="str">
        <f>IF(S320=1,"","Rectus femoris")</f>
        <v>Rectus femoris</v>
      </c>
      <c r="G323" s="791"/>
      <c r="H323" s="791"/>
      <c r="I323" s="791"/>
      <c r="J323" s="791"/>
      <c r="K323" s="791"/>
      <c r="L323" s="791"/>
      <c r="M323" s="80">
        <f t="shared" si="59"/>
        <v>0</v>
      </c>
      <c r="N323" s="202"/>
      <c r="O323" s="202"/>
      <c r="P323" s="291" t="str">
        <f t="shared" si="66"/>
        <v/>
      </c>
      <c r="Q323" s="2"/>
      <c r="R323" s="546" t="b">
        <v>0</v>
      </c>
      <c r="S323" s="571">
        <f t="shared" si="60"/>
        <v>0</v>
      </c>
      <c r="T323" s="581">
        <f t="shared" si="61"/>
        <v>0</v>
      </c>
      <c r="U323" s="581">
        <f t="shared" si="62"/>
        <v>0</v>
      </c>
      <c r="V323" s="581">
        <f t="shared" si="63"/>
        <v>0</v>
      </c>
      <c r="W323" s="581">
        <f t="shared" si="64"/>
        <v>0</v>
      </c>
      <c r="X323" s="581">
        <f t="shared" si="65"/>
        <v>0</v>
      </c>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row>
    <row r="324" spans="1:142" s="6" customFormat="1" ht="15" customHeight="1" x14ac:dyDescent="0.2">
      <c r="A324" s="2"/>
      <c r="B324" s="1191"/>
      <c r="C324" s="1191"/>
      <c r="D324" s="1191"/>
      <c r="E324" s="460"/>
      <c r="F324" s="791" t="str">
        <f>IF(S320=1,"","Vastus lateralis")</f>
        <v>Vastus lateralis</v>
      </c>
      <c r="G324" s="791"/>
      <c r="H324" s="791"/>
      <c r="I324" s="791"/>
      <c r="J324" s="791"/>
      <c r="K324" s="791"/>
      <c r="L324" s="791"/>
      <c r="M324" s="80">
        <f t="shared" si="59"/>
        <v>0</v>
      </c>
      <c r="N324" s="202"/>
      <c r="O324" s="202"/>
      <c r="P324" s="291" t="str">
        <f t="shared" si="66"/>
        <v/>
      </c>
      <c r="Q324" s="2"/>
      <c r="R324" s="546" t="b">
        <v>0</v>
      </c>
      <c r="S324" s="571">
        <f t="shared" si="60"/>
        <v>0</v>
      </c>
      <c r="T324" s="581">
        <f t="shared" si="61"/>
        <v>0</v>
      </c>
      <c r="U324" s="581">
        <f t="shared" si="62"/>
        <v>0</v>
      </c>
      <c r="V324" s="581">
        <f t="shared" si="63"/>
        <v>0</v>
      </c>
      <c r="W324" s="581">
        <f t="shared" si="64"/>
        <v>0</v>
      </c>
      <c r="X324" s="581">
        <f t="shared" si="65"/>
        <v>0</v>
      </c>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row>
    <row r="325" spans="1:142" s="6" customFormat="1" ht="15" customHeight="1" x14ac:dyDescent="0.2">
      <c r="A325" s="2"/>
      <c r="B325" s="1191"/>
      <c r="C325" s="1191"/>
      <c r="D325" s="1191"/>
      <c r="E325" s="460"/>
      <c r="F325" s="791" t="str">
        <f>IF(S320=1,"","Vastus intermedius")</f>
        <v>Vastus intermedius</v>
      </c>
      <c r="G325" s="791"/>
      <c r="H325" s="791"/>
      <c r="I325" s="791"/>
      <c r="J325" s="791"/>
      <c r="K325" s="791"/>
      <c r="L325" s="791"/>
      <c r="M325" s="80">
        <f t="shared" si="59"/>
        <v>0</v>
      </c>
      <c r="N325" s="202"/>
      <c r="O325" s="202"/>
      <c r="P325" s="291" t="str">
        <f t="shared" si="66"/>
        <v/>
      </c>
      <c r="Q325" s="2"/>
      <c r="R325" s="546" t="b">
        <v>0</v>
      </c>
      <c r="S325" s="571">
        <f t="shared" si="60"/>
        <v>0</v>
      </c>
      <c r="T325" s="581">
        <f t="shared" si="61"/>
        <v>0</v>
      </c>
      <c r="U325" s="581">
        <f t="shared" si="62"/>
        <v>0</v>
      </c>
      <c r="V325" s="581">
        <f t="shared" si="63"/>
        <v>0</v>
      </c>
      <c r="W325" s="581">
        <f t="shared" si="64"/>
        <v>0</v>
      </c>
      <c r="X325" s="581">
        <f t="shared" si="65"/>
        <v>0</v>
      </c>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row>
    <row r="326" spans="1:142" s="6" customFormat="1" ht="15" customHeight="1" x14ac:dyDescent="0.2">
      <c r="A326" s="2"/>
      <c r="B326" s="1191"/>
      <c r="C326" s="1191"/>
      <c r="D326" s="1191"/>
      <c r="E326" s="460"/>
      <c r="F326" s="791" t="str">
        <f>IF(S320=1,"","Vastus medialis")</f>
        <v>Vastus medialis</v>
      </c>
      <c r="G326" s="791"/>
      <c r="H326" s="791"/>
      <c r="I326" s="791"/>
      <c r="J326" s="791"/>
      <c r="K326" s="791"/>
      <c r="L326" s="791"/>
      <c r="M326" s="80">
        <f t="shared" si="59"/>
        <v>0</v>
      </c>
      <c r="N326" s="202"/>
      <c r="O326" s="202"/>
      <c r="P326" s="291" t="str">
        <f t="shared" si="66"/>
        <v/>
      </c>
      <c r="Q326" s="2"/>
      <c r="R326" s="546" t="b">
        <v>0</v>
      </c>
      <c r="S326" s="571">
        <f t="shared" si="60"/>
        <v>0</v>
      </c>
      <c r="T326" s="581">
        <f t="shared" si="61"/>
        <v>0</v>
      </c>
      <c r="U326" s="581">
        <f t="shared" si="62"/>
        <v>0</v>
      </c>
      <c r="V326" s="581">
        <f t="shared" si="63"/>
        <v>0</v>
      </c>
      <c r="W326" s="581">
        <f t="shared" si="64"/>
        <v>0</v>
      </c>
      <c r="X326" s="581">
        <f t="shared" si="65"/>
        <v>0</v>
      </c>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row>
    <row r="327" spans="1:142" s="6" customFormat="1" ht="18" customHeight="1" x14ac:dyDescent="0.2">
      <c r="A327" s="2"/>
      <c r="B327" s="957" t="str">
        <f>IF(SUM(M320:M326)=0,"","Total for femoral nerve; LEG impairment:")</f>
        <v/>
      </c>
      <c r="C327" s="957"/>
      <c r="D327" s="957"/>
      <c r="E327" s="957"/>
      <c r="F327" s="957"/>
      <c r="G327" s="957"/>
      <c r="H327" s="957"/>
      <c r="I327" s="957"/>
      <c r="J327" s="957"/>
      <c r="K327" s="957"/>
      <c r="L327" s="957"/>
      <c r="M327" s="957"/>
      <c r="N327" s="957"/>
      <c r="O327" s="957"/>
      <c r="P327" s="190">
        <f>IF(AND(P320="",P321="",P322="",P323="",P324="",P325="",P326=""),0,AVERAGE(P320:P326))</f>
        <v>0</v>
      </c>
      <c r="Q327" s="2"/>
      <c r="R327" s="10"/>
      <c r="S327" s="98"/>
      <c r="T327" s="94"/>
      <c r="U327" s="94"/>
      <c r="V327" s="94"/>
      <c r="W327" s="94"/>
      <c r="X327" s="94"/>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row>
    <row r="328" spans="1:142" s="6" customFormat="1" ht="27" customHeight="1" x14ac:dyDescent="0.2">
      <c r="A328" s="2"/>
      <c r="B328" s="761" t="s">
        <v>970</v>
      </c>
      <c r="C328" s="761"/>
      <c r="D328" s="761"/>
      <c r="E328" s="369"/>
      <c r="F328" s="761" t="s">
        <v>504</v>
      </c>
      <c r="G328" s="761"/>
      <c r="H328" s="761"/>
      <c r="I328" s="761"/>
      <c r="J328" s="761"/>
      <c r="K328" s="761"/>
      <c r="L328" s="761"/>
      <c r="M328" s="80">
        <f>IF(OR(F328="",S328=0),0,0.1)</f>
        <v>0</v>
      </c>
      <c r="N328" s="202"/>
      <c r="O328" s="202"/>
      <c r="P328" s="291">
        <f>IF(X328=0,0,X328)</f>
        <v>0</v>
      </c>
      <c r="Q328" s="2"/>
      <c r="R328" s="546" t="b">
        <v>0</v>
      </c>
      <c r="S328" s="571">
        <f t="shared" ref="S328:S333" si="67">IF(R328=TRUE,1,0)</f>
        <v>0</v>
      </c>
      <c r="T328" s="581">
        <f t="shared" ref="T328:T333" si="68">SUMIF($T$277:$AH$277,N328,$T$278:$AH$278)</f>
        <v>0</v>
      </c>
      <c r="U328" s="581">
        <f t="shared" ref="U328:U333" si="69">SUMIF($S$277:$AH$277,O328,$S$278:$AH$278)</f>
        <v>0</v>
      </c>
      <c r="V328" s="581">
        <f t="shared" ref="V328:V333" si="70">M328*T328</f>
        <v>0</v>
      </c>
      <c r="W328" s="581">
        <f t="shared" ref="W328:W333" si="71">M328*U328</f>
        <v>0</v>
      </c>
      <c r="X328" s="581">
        <f t="shared" ref="X328:X333" si="72">(IF(V328-W328&lt;=0,0,V328-W328))</f>
        <v>0</v>
      </c>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row>
    <row r="329" spans="1:142" s="6" customFormat="1" ht="39" customHeight="1" x14ac:dyDescent="0.2">
      <c r="A329" s="2"/>
      <c r="B329" s="948" t="s">
        <v>799</v>
      </c>
      <c r="C329" s="948"/>
      <c r="D329" s="948"/>
      <c r="E329" s="369"/>
      <c r="F329" s="761" t="s">
        <v>505</v>
      </c>
      <c r="G329" s="761"/>
      <c r="H329" s="761"/>
      <c r="I329" s="761"/>
      <c r="J329" s="761"/>
      <c r="K329" s="761"/>
      <c r="L329" s="761"/>
      <c r="M329" s="80">
        <f>IF(OR(F329="",S329=0),0,0.1)</f>
        <v>0</v>
      </c>
      <c r="N329" s="202"/>
      <c r="O329" s="202"/>
      <c r="P329" s="291">
        <f>IF(X329=0,0,X329)</f>
        <v>0</v>
      </c>
      <c r="Q329" s="2"/>
      <c r="R329" s="546" t="b">
        <v>0</v>
      </c>
      <c r="S329" s="571">
        <f t="shared" si="67"/>
        <v>0</v>
      </c>
      <c r="T329" s="581">
        <f t="shared" si="68"/>
        <v>0</v>
      </c>
      <c r="U329" s="581">
        <f t="shared" si="69"/>
        <v>0</v>
      </c>
      <c r="V329" s="581">
        <f t="shared" si="70"/>
        <v>0</v>
      </c>
      <c r="W329" s="581">
        <f t="shared" si="71"/>
        <v>0</v>
      </c>
      <c r="X329" s="581">
        <f t="shared" si="72"/>
        <v>0</v>
      </c>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row>
    <row r="330" spans="1:142" s="6" customFormat="1" ht="15" customHeight="1" x14ac:dyDescent="0.2">
      <c r="A330" s="2"/>
      <c r="B330" s="749" t="s">
        <v>506</v>
      </c>
      <c r="C330" s="750"/>
      <c r="D330" s="751"/>
      <c r="E330" s="460"/>
      <c r="F330" s="791" t="s">
        <v>969</v>
      </c>
      <c r="G330" s="791"/>
      <c r="H330" s="791"/>
      <c r="I330" s="791"/>
      <c r="J330" s="791"/>
      <c r="K330" s="791"/>
      <c r="L330" s="791"/>
      <c r="M330" s="80">
        <f>IF(OR(F330="",S330=0),0,0.2)</f>
        <v>0</v>
      </c>
      <c r="N330" s="202"/>
      <c r="O330" s="202"/>
      <c r="P330" s="291" t="str">
        <f>IF(X330=0,"",X330)</f>
        <v/>
      </c>
      <c r="Q330" s="2"/>
      <c r="R330" s="546" t="b">
        <v>0</v>
      </c>
      <c r="S330" s="571">
        <f t="shared" si="67"/>
        <v>0</v>
      </c>
      <c r="T330" s="581">
        <f t="shared" si="68"/>
        <v>0</v>
      </c>
      <c r="U330" s="581">
        <f t="shared" si="69"/>
        <v>0</v>
      </c>
      <c r="V330" s="581">
        <f t="shared" si="70"/>
        <v>0</v>
      </c>
      <c r="W330" s="581">
        <f t="shared" si="71"/>
        <v>0</v>
      </c>
      <c r="X330" s="581">
        <f t="shared" si="72"/>
        <v>0</v>
      </c>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0"/>
      <c r="EK330" s="10"/>
      <c r="EL330" s="10"/>
    </row>
    <row r="331" spans="1:142" s="6" customFormat="1" ht="15" customHeight="1" x14ac:dyDescent="0.2">
      <c r="A331" s="2"/>
      <c r="B331" s="1190"/>
      <c r="C331" s="1190"/>
      <c r="D331" s="1190"/>
      <c r="E331" s="460"/>
      <c r="F331" s="791" t="str">
        <f>IF(S330=1,"","Gluteus medius")</f>
        <v>Gluteus medius</v>
      </c>
      <c r="G331" s="791"/>
      <c r="H331" s="791"/>
      <c r="I331" s="791"/>
      <c r="J331" s="791"/>
      <c r="K331" s="791"/>
      <c r="L331" s="791"/>
      <c r="M331" s="80">
        <f>IF(OR(F331="",S331=0),0,0.2)</f>
        <v>0</v>
      </c>
      <c r="N331" s="202"/>
      <c r="O331" s="202"/>
      <c r="P331" s="291" t="str">
        <f>IF(X331=0,"",X331)</f>
        <v/>
      </c>
      <c r="Q331" s="2"/>
      <c r="R331" s="546" t="b">
        <v>0</v>
      </c>
      <c r="S331" s="571">
        <f t="shared" si="67"/>
        <v>0</v>
      </c>
      <c r="T331" s="581">
        <f t="shared" si="68"/>
        <v>0</v>
      </c>
      <c r="U331" s="581">
        <f t="shared" si="69"/>
        <v>0</v>
      </c>
      <c r="V331" s="581">
        <f t="shared" si="70"/>
        <v>0</v>
      </c>
      <c r="W331" s="581">
        <f t="shared" si="71"/>
        <v>0</v>
      </c>
      <c r="X331" s="581">
        <f t="shared" si="72"/>
        <v>0</v>
      </c>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0"/>
      <c r="EK331" s="10"/>
      <c r="EL331" s="10"/>
    </row>
    <row r="332" spans="1:142" s="6" customFormat="1" ht="15" customHeight="1" x14ac:dyDescent="0.2">
      <c r="A332" s="2"/>
      <c r="B332" s="1191"/>
      <c r="C332" s="1191"/>
      <c r="D332" s="1191"/>
      <c r="E332" s="460"/>
      <c r="F332" s="791" t="str">
        <f>IF(S330=1,"","Gluteus minimus")</f>
        <v>Gluteus minimus</v>
      </c>
      <c r="G332" s="791"/>
      <c r="H332" s="791"/>
      <c r="I332" s="791"/>
      <c r="J332" s="791"/>
      <c r="K332" s="791"/>
      <c r="L332" s="791"/>
      <c r="M332" s="80">
        <f>IF(OR(F332="",S332=0),0,0.2)</f>
        <v>0</v>
      </c>
      <c r="N332" s="202"/>
      <c r="O332" s="202"/>
      <c r="P332" s="291" t="str">
        <f>IF(X332=0,"",X332)</f>
        <v/>
      </c>
      <c r="Q332" s="2"/>
      <c r="R332" s="546" t="b">
        <v>0</v>
      </c>
      <c r="S332" s="571">
        <f t="shared" si="67"/>
        <v>0</v>
      </c>
      <c r="T332" s="581">
        <f t="shared" si="68"/>
        <v>0</v>
      </c>
      <c r="U332" s="581">
        <f t="shared" si="69"/>
        <v>0</v>
      </c>
      <c r="V332" s="581">
        <f t="shared" si="70"/>
        <v>0</v>
      </c>
      <c r="W332" s="581">
        <f t="shared" si="71"/>
        <v>0</v>
      </c>
      <c r="X332" s="581">
        <f t="shared" si="72"/>
        <v>0</v>
      </c>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row>
    <row r="333" spans="1:142" s="6" customFormat="1" ht="15" customHeight="1" x14ac:dyDescent="0.2">
      <c r="A333" s="2"/>
      <c r="B333" s="1191"/>
      <c r="C333" s="1191"/>
      <c r="D333" s="1191"/>
      <c r="E333" s="460"/>
      <c r="F333" s="791" t="str">
        <f>IF(S330=1,"","Tensor fasciae latae")</f>
        <v>Tensor fasciae latae</v>
      </c>
      <c r="G333" s="791"/>
      <c r="H333" s="791"/>
      <c r="I333" s="791"/>
      <c r="J333" s="791"/>
      <c r="K333" s="791"/>
      <c r="L333" s="791"/>
      <c r="M333" s="80">
        <f>IF(OR(F333="",S333=0),0,0.2)</f>
        <v>0</v>
      </c>
      <c r="N333" s="202"/>
      <c r="O333" s="202"/>
      <c r="P333" s="291" t="str">
        <f>IF(X333=0,"",X333)</f>
        <v/>
      </c>
      <c r="Q333" s="2"/>
      <c r="R333" s="546" t="b">
        <v>0</v>
      </c>
      <c r="S333" s="571">
        <f t="shared" si="67"/>
        <v>0</v>
      </c>
      <c r="T333" s="581">
        <f t="shared" si="68"/>
        <v>0</v>
      </c>
      <c r="U333" s="581">
        <f t="shared" si="69"/>
        <v>0</v>
      </c>
      <c r="V333" s="581">
        <f t="shared" si="70"/>
        <v>0</v>
      </c>
      <c r="W333" s="581">
        <f t="shared" si="71"/>
        <v>0</v>
      </c>
      <c r="X333" s="581">
        <f t="shared" si="72"/>
        <v>0</v>
      </c>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row>
    <row r="334" spans="1:142" s="6" customFormat="1" ht="18" customHeight="1" x14ac:dyDescent="0.2">
      <c r="A334" s="2"/>
      <c r="B334" s="957" t="str">
        <f>IF(SUM(M330:M333)=0,"","Total for superior gluteal; LEG impairment:")</f>
        <v/>
      </c>
      <c r="C334" s="957"/>
      <c r="D334" s="957"/>
      <c r="E334" s="957"/>
      <c r="F334" s="957"/>
      <c r="G334" s="957"/>
      <c r="H334" s="957"/>
      <c r="I334" s="957"/>
      <c r="J334" s="957"/>
      <c r="K334" s="957"/>
      <c r="L334" s="957"/>
      <c r="M334" s="957"/>
      <c r="N334" s="957"/>
      <c r="O334" s="957"/>
      <c r="P334" s="190">
        <f>IF(AND(P330="",P331="",P332="",P333=""),0,AVERAGE(P330:P333))</f>
        <v>0</v>
      </c>
      <c r="Q334" s="2"/>
      <c r="R334" s="10"/>
      <c r="S334" s="98"/>
      <c r="T334" s="94"/>
      <c r="U334" s="94"/>
      <c r="V334" s="94"/>
      <c r="W334" s="94"/>
      <c r="X334" s="94"/>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row>
    <row r="335" spans="1:142" s="6" customFormat="1" ht="15" customHeight="1" x14ac:dyDescent="0.2">
      <c r="A335" s="2"/>
      <c r="B335" s="761" t="s">
        <v>507</v>
      </c>
      <c r="C335" s="761"/>
      <c r="D335" s="761"/>
      <c r="E335" s="369"/>
      <c r="F335" s="791" t="s">
        <v>508</v>
      </c>
      <c r="G335" s="791"/>
      <c r="H335" s="791"/>
      <c r="I335" s="791"/>
      <c r="J335" s="791"/>
      <c r="K335" s="791"/>
      <c r="L335" s="791"/>
      <c r="M335" s="80">
        <f>IF(OR(F335="",S335=0),0,0.25)</f>
        <v>0</v>
      </c>
      <c r="N335" s="202"/>
      <c r="O335" s="202"/>
      <c r="P335" s="291">
        <f>IF(X335=0,0,X335)</f>
        <v>0</v>
      </c>
      <c r="Q335" s="2"/>
      <c r="R335" s="546" t="b">
        <v>0</v>
      </c>
      <c r="S335" s="571">
        <f>IF(R335=TRUE,1,0)</f>
        <v>0</v>
      </c>
      <c r="T335" s="581">
        <f>SUMIF($T$277:$AH$277,N335,$T$278:$AH$278)</f>
        <v>0</v>
      </c>
      <c r="U335" s="581">
        <f>SUMIF($S$277:$AH$277,O335,$S$278:$AH$278)</f>
        <v>0</v>
      </c>
      <c r="V335" s="581">
        <f>M335*T335</f>
        <v>0</v>
      </c>
      <c r="W335" s="581">
        <f>M335*U335</f>
        <v>0</v>
      </c>
      <c r="X335" s="581">
        <f>(IF(V335-W335&lt;=0,0,V335-W335))</f>
        <v>0</v>
      </c>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c r="DY335" s="10"/>
      <c r="DZ335" s="10"/>
      <c r="EA335" s="10"/>
      <c r="EB335" s="10"/>
      <c r="EC335" s="10"/>
      <c r="ED335" s="10"/>
      <c r="EE335" s="10"/>
      <c r="EF335" s="10"/>
      <c r="EG335" s="10"/>
      <c r="EH335" s="10"/>
      <c r="EI335" s="10"/>
      <c r="EJ335" s="10"/>
      <c r="EK335" s="10"/>
      <c r="EL335" s="10"/>
    </row>
    <row r="336" spans="1:142" s="6" customFormat="1" ht="18" customHeight="1" x14ac:dyDescent="0.2">
      <c r="A336" s="2"/>
      <c r="B336" s="957" t="s">
        <v>572</v>
      </c>
      <c r="C336" s="957"/>
      <c r="D336" s="957"/>
      <c r="E336" s="957"/>
      <c r="F336" s="957"/>
      <c r="G336" s="957"/>
      <c r="H336" s="957"/>
      <c r="I336" s="957"/>
      <c r="J336" s="957"/>
      <c r="K336" s="957"/>
      <c r="L336" s="957"/>
      <c r="M336" s="957"/>
      <c r="N336" s="957"/>
      <c r="O336" s="957"/>
      <c r="P336" s="281">
        <f>AD282</f>
        <v>0</v>
      </c>
      <c r="Q336" s="1"/>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c r="DY336" s="10"/>
      <c r="DZ336" s="10"/>
      <c r="EA336" s="10"/>
      <c r="EB336" s="10"/>
      <c r="EC336" s="10"/>
      <c r="ED336" s="10"/>
      <c r="EE336" s="10"/>
      <c r="EF336" s="10"/>
      <c r="EG336" s="10"/>
      <c r="EH336" s="10"/>
      <c r="EI336" s="10"/>
      <c r="EJ336" s="10"/>
      <c r="EK336" s="10"/>
      <c r="EL336" s="10"/>
    </row>
    <row r="337" spans="1:142" s="6" customFormat="1" ht="18" customHeight="1" x14ac:dyDescent="0.2">
      <c r="A337" s="2"/>
      <c r="B337" s="957" t="s">
        <v>843</v>
      </c>
      <c r="C337" s="957"/>
      <c r="D337" s="957"/>
      <c r="E337" s="957"/>
      <c r="F337" s="957"/>
      <c r="G337" s="957"/>
      <c r="H337" s="957"/>
      <c r="I337" s="957"/>
      <c r="J337" s="957"/>
      <c r="K337" s="957"/>
      <c r="L337" s="957"/>
      <c r="M337" s="957"/>
      <c r="N337" s="957"/>
      <c r="O337" s="957"/>
      <c r="P337" s="281">
        <f>AI291</f>
        <v>0</v>
      </c>
      <c r="Q337" s="1"/>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row>
    <row r="338" spans="1:142" s="6" customFormat="1" ht="12" customHeight="1" x14ac:dyDescent="0.2">
      <c r="A338" s="2"/>
      <c r="B338" s="777"/>
      <c r="C338" s="777"/>
      <c r="D338" s="777"/>
      <c r="E338" s="777"/>
      <c r="F338" s="777"/>
      <c r="G338" s="777"/>
      <c r="H338" s="777"/>
      <c r="I338" s="777"/>
      <c r="J338" s="777"/>
      <c r="K338" s="777"/>
      <c r="L338" s="777"/>
      <c r="M338" s="777"/>
      <c r="N338" s="777"/>
      <c r="O338" s="777"/>
      <c r="P338" s="777"/>
      <c r="Q338" s="1"/>
      <c r="R338" s="10"/>
      <c r="S338" s="10"/>
      <c r="T338" s="10"/>
      <c r="U338" s="10"/>
      <c r="V338" s="10"/>
      <c r="W338" s="10"/>
      <c r="X338" s="10"/>
      <c r="Y338" s="1"/>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row>
    <row r="339" spans="1:142" s="6" customFormat="1" ht="12.75" customHeight="1" x14ac:dyDescent="0.2">
      <c r="A339" s="2"/>
      <c r="B339" s="777"/>
      <c r="C339" s="777"/>
      <c r="D339" s="777"/>
      <c r="E339" s="777"/>
      <c r="F339" s="777"/>
      <c r="G339" s="777"/>
      <c r="H339" s="777"/>
      <c r="I339" s="777"/>
      <c r="J339" s="777"/>
      <c r="K339" s="777"/>
      <c r="L339" s="777"/>
      <c r="M339" s="777"/>
      <c r="N339" s="777"/>
      <c r="O339" s="777"/>
      <c r="P339" s="777"/>
      <c r="Q339" s="1"/>
      <c r="R339" s="10"/>
      <c r="S339" s="10"/>
      <c r="T339" s="10"/>
      <c r="U339" s="10"/>
      <c r="V339" s="10"/>
      <c r="W339" s="10"/>
      <c r="X339" s="10"/>
      <c r="Y339" s="1"/>
      <c r="Z339" s="10"/>
      <c r="AA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10"/>
      <c r="ED339" s="10"/>
      <c r="EE339" s="10"/>
      <c r="EF339" s="10"/>
      <c r="EG339" s="10"/>
      <c r="EH339" s="10"/>
      <c r="EI339" s="10"/>
      <c r="EJ339" s="10"/>
      <c r="EK339" s="10"/>
      <c r="EL339" s="10"/>
    </row>
    <row r="340" spans="1:142" s="6" customFormat="1" ht="36.75" customHeight="1" x14ac:dyDescent="0.2">
      <c r="A340" s="2"/>
      <c r="B340" s="1019" t="s">
        <v>800</v>
      </c>
      <c r="C340" s="1020"/>
      <c r="D340" s="1020"/>
      <c r="E340" s="1020"/>
      <c r="F340" s="1021"/>
      <c r="G340" s="907" t="s">
        <v>1495</v>
      </c>
      <c r="H340" s="945"/>
      <c r="I340" s="945"/>
      <c r="J340" s="945"/>
      <c r="K340" s="946"/>
      <c r="L340" s="967"/>
      <c r="M340" s="968"/>
      <c r="N340" s="968"/>
      <c r="O340" s="968"/>
      <c r="P340" s="1116">
        <f>V365</f>
        <v>0</v>
      </c>
      <c r="Q340" s="2"/>
      <c r="R340" s="10"/>
      <c r="S340" s="146" t="s">
        <v>1826</v>
      </c>
      <c r="T340" s="50" t="s">
        <v>1285</v>
      </c>
      <c r="U340" s="50" t="s">
        <v>1286</v>
      </c>
      <c r="V340" s="50" t="s">
        <v>1287</v>
      </c>
      <c r="W340" s="50" t="s">
        <v>844</v>
      </c>
      <c r="X340" s="10"/>
      <c r="Y340" s="18" t="s">
        <v>498</v>
      </c>
      <c r="Z340" s="2"/>
      <c r="AA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row>
    <row r="341" spans="1:142" s="6" customFormat="1" ht="15" customHeight="1" x14ac:dyDescent="0.2">
      <c r="A341" s="2"/>
      <c r="B341" s="742" t="s">
        <v>845</v>
      </c>
      <c r="C341" s="743"/>
      <c r="D341" s="744"/>
      <c r="E341" s="727">
        <f t="shared" ref="E341:E346" si="73">P207</f>
        <v>0</v>
      </c>
      <c r="F341" s="729"/>
      <c r="G341" s="1146"/>
      <c r="H341" s="1147"/>
      <c r="I341" s="1148"/>
      <c r="J341" s="1151">
        <f t="shared" ref="J341:J352" si="74">IF(AND(Y341&lt;0.01,Y341&gt;0),0.01,ROUND(Y341,2))</f>
        <v>0</v>
      </c>
      <c r="K341" s="1151"/>
      <c r="L341" s="971"/>
      <c r="M341" s="971"/>
      <c r="N341" s="971"/>
      <c r="O341" s="971"/>
      <c r="P341" s="1116"/>
      <c r="Q341" s="2"/>
      <c r="R341" s="10"/>
      <c r="S341" s="147">
        <f t="shared" ref="S341:S364" si="75">IF(J341&gt;0,J341,E341)</f>
        <v>0</v>
      </c>
      <c r="T341" s="147">
        <f>LARGE($S$341:$S$366,1)</f>
        <v>0</v>
      </c>
      <c r="U341" s="544">
        <f>T341+T342*(1-T341)</f>
        <v>0</v>
      </c>
      <c r="V341" s="548">
        <f>ROUND(U341,2)</f>
        <v>0</v>
      </c>
      <c r="W341" s="50">
        <f>IF(OR(P215&gt;0,P216&gt;0,P217&gt;0,P218&gt;0,P219&gt;0,P233&gt;0),1,0)</f>
        <v>0</v>
      </c>
      <c r="X341" s="10"/>
      <c r="Y341" s="21">
        <f t="shared" ref="Y341:Y352" si="76">G341*E341</f>
        <v>0</v>
      </c>
      <c r="Z341" s="2"/>
      <c r="AA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row>
    <row r="342" spans="1:142" s="6" customFormat="1" ht="15" customHeight="1" x14ac:dyDescent="0.2">
      <c r="A342" s="2"/>
      <c r="B342" s="146" t="s">
        <v>1855</v>
      </c>
      <c r="C342" s="146"/>
      <c r="D342" s="146"/>
      <c r="E342" s="727">
        <f t="shared" si="73"/>
        <v>0</v>
      </c>
      <c r="F342" s="729"/>
      <c r="G342" s="1146"/>
      <c r="H342" s="1147"/>
      <c r="I342" s="1148"/>
      <c r="J342" s="1151">
        <f t="shared" si="74"/>
        <v>0</v>
      </c>
      <c r="K342" s="1151"/>
      <c r="L342" s="971"/>
      <c r="M342" s="971"/>
      <c r="N342" s="971"/>
      <c r="O342" s="971"/>
      <c r="P342" s="1116"/>
      <c r="Q342" s="2"/>
      <c r="R342" s="10"/>
      <c r="S342" s="147">
        <f t="shared" si="75"/>
        <v>0</v>
      </c>
      <c r="T342" s="147">
        <f>LARGE($S$341:$S$366,2)</f>
        <v>0</v>
      </c>
      <c r="U342" s="544">
        <f>V341+T343*(1-V341)</f>
        <v>0</v>
      </c>
      <c r="V342" s="548">
        <f>ROUND(U342,2)</f>
        <v>0</v>
      </c>
      <c r="W342" s="50" t="s">
        <v>1859</v>
      </c>
      <c r="X342" s="10"/>
      <c r="Y342" s="21">
        <f t="shared" si="76"/>
        <v>0</v>
      </c>
      <c r="Z342" s="10"/>
      <c r="AA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row>
    <row r="343" spans="1:142" s="6" customFormat="1" ht="15" customHeight="1" x14ac:dyDescent="0.2">
      <c r="A343" s="2"/>
      <c r="B343" s="146" t="s">
        <v>1857</v>
      </c>
      <c r="C343" s="146"/>
      <c r="D343" s="146"/>
      <c r="E343" s="727">
        <f t="shared" si="73"/>
        <v>0</v>
      </c>
      <c r="F343" s="729"/>
      <c r="G343" s="1146"/>
      <c r="H343" s="1147"/>
      <c r="I343" s="1148"/>
      <c r="J343" s="1151">
        <f t="shared" si="74"/>
        <v>0</v>
      </c>
      <c r="K343" s="1151"/>
      <c r="L343" s="971"/>
      <c r="M343" s="971"/>
      <c r="N343" s="971"/>
      <c r="O343" s="971"/>
      <c r="P343" s="1116"/>
      <c r="Q343" s="2"/>
      <c r="R343" s="10"/>
      <c r="S343" s="147">
        <f t="shared" si="75"/>
        <v>0</v>
      </c>
      <c r="T343" s="147">
        <f>LARGE($S$341:$S$366,3)</f>
        <v>0</v>
      </c>
      <c r="U343" s="544">
        <f t="shared" ref="U343:U365" si="77">V342+T344*(1-V342)</f>
        <v>0</v>
      </c>
      <c r="V343" s="548">
        <f t="shared" ref="V343:V365" si="78">ROUND(U343,2)</f>
        <v>0</v>
      </c>
      <c r="W343" s="50">
        <f>IF(P336&gt;0,5,0)</f>
        <v>0</v>
      </c>
      <c r="X343" s="10"/>
      <c r="Y343" s="21">
        <f t="shared" si="76"/>
        <v>0</v>
      </c>
      <c r="Z343" s="2"/>
      <c r="AA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row>
    <row r="344" spans="1:142" s="6" customFormat="1" ht="15" customHeight="1" x14ac:dyDescent="0.2">
      <c r="A344" s="2"/>
      <c r="B344" s="146" t="s">
        <v>1858</v>
      </c>
      <c r="C344" s="146"/>
      <c r="D344" s="146"/>
      <c r="E344" s="727">
        <f t="shared" si="73"/>
        <v>0</v>
      </c>
      <c r="F344" s="729"/>
      <c r="G344" s="1146"/>
      <c r="H344" s="1147"/>
      <c r="I344" s="1148"/>
      <c r="J344" s="1151">
        <f t="shared" si="74"/>
        <v>0</v>
      </c>
      <c r="K344" s="1151"/>
      <c r="L344" s="971"/>
      <c r="M344" s="971"/>
      <c r="N344" s="971"/>
      <c r="O344" s="971"/>
      <c r="P344" s="1116"/>
      <c r="Q344" s="2"/>
      <c r="R344" s="10"/>
      <c r="S344" s="147">
        <f t="shared" si="75"/>
        <v>0</v>
      </c>
      <c r="T344" s="147">
        <f>LARGE($S$341:$S$366,4)</f>
        <v>0</v>
      </c>
      <c r="U344" s="544">
        <f t="shared" si="77"/>
        <v>0</v>
      </c>
      <c r="V344" s="548">
        <f t="shared" si="78"/>
        <v>0</v>
      </c>
      <c r="W344" s="50" t="s">
        <v>583</v>
      </c>
      <c r="X344" s="10"/>
      <c r="Y344" s="21">
        <f t="shared" si="76"/>
        <v>0</v>
      </c>
      <c r="Z344" s="2"/>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row>
    <row r="345" spans="1:142" s="6" customFormat="1" ht="15" customHeight="1" x14ac:dyDescent="0.2">
      <c r="A345" s="2"/>
      <c r="B345" s="146" t="s">
        <v>1860</v>
      </c>
      <c r="C345" s="146"/>
      <c r="D345" s="146"/>
      <c r="E345" s="727">
        <f t="shared" si="73"/>
        <v>0</v>
      </c>
      <c r="F345" s="729"/>
      <c r="G345" s="1146"/>
      <c r="H345" s="1147"/>
      <c r="I345" s="1148"/>
      <c r="J345" s="1151">
        <f t="shared" si="74"/>
        <v>0</v>
      </c>
      <c r="K345" s="1151"/>
      <c r="L345" s="971"/>
      <c r="M345" s="971"/>
      <c r="N345" s="971"/>
      <c r="O345" s="971"/>
      <c r="P345" s="1116"/>
      <c r="Q345" s="2"/>
      <c r="R345" s="10"/>
      <c r="S345" s="147">
        <f t="shared" si="75"/>
        <v>0</v>
      </c>
      <c r="T345" s="147">
        <f>LARGE($S$341:$S$366,5)</f>
        <v>0</v>
      </c>
      <c r="U345" s="544">
        <f t="shared" si="77"/>
        <v>0</v>
      </c>
      <c r="V345" s="548">
        <f t="shared" si="78"/>
        <v>0</v>
      </c>
      <c r="W345" s="50">
        <f>IF(P266&gt;0,1,0)</f>
        <v>0</v>
      </c>
      <c r="X345" s="10"/>
      <c r="Y345" s="21">
        <f t="shared" si="76"/>
        <v>0</v>
      </c>
      <c r="Z345" s="2"/>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row>
    <row r="346" spans="1:142" s="6" customFormat="1" ht="15" customHeight="1" x14ac:dyDescent="0.2">
      <c r="A346" s="2"/>
      <c r="B346" s="146" t="s">
        <v>1861</v>
      </c>
      <c r="C346" s="146"/>
      <c r="D346" s="146"/>
      <c r="E346" s="727">
        <f t="shared" si="73"/>
        <v>0</v>
      </c>
      <c r="F346" s="729"/>
      <c r="G346" s="1146"/>
      <c r="H346" s="1147"/>
      <c r="I346" s="1148"/>
      <c r="J346" s="1151">
        <f t="shared" si="74"/>
        <v>0</v>
      </c>
      <c r="K346" s="1151"/>
      <c r="L346" s="971"/>
      <c r="M346" s="971"/>
      <c r="N346" s="971"/>
      <c r="O346" s="971"/>
      <c r="P346" s="1116"/>
      <c r="Q346" s="2"/>
      <c r="R346" s="10"/>
      <c r="S346" s="147">
        <f t="shared" si="75"/>
        <v>0</v>
      </c>
      <c r="T346" s="147">
        <f>LARGE($S$341:$S$366,6)</f>
        <v>0</v>
      </c>
      <c r="U346" s="544">
        <f t="shared" si="77"/>
        <v>0</v>
      </c>
      <c r="V346" s="548">
        <f t="shared" si="78"/>
        <v>0</v>
      </c>
      <c r="W346" s="50" t="s">
        <v>1862</v>
      </c>
      <c r="X346" s="10"/>
      <c r="Y346" s="21">
        <f t="shared" si="76"/>
        <v>0</v>
      </c>
      <c r="Z346" s="2"/>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row>
    <row r="347" spans="1:142" s="6" customFormat="1" ht="15" customHeight="1" x14ac:dyDescent="0.2">
      <c r="A347" s="2"/>
      <c r="B347" s="1154" t="s">
        <v>1863</v>
      </c>
      <c r="C347" s="1155"/>
      <c r="D347" s="1156"/>
      <c r="E347" s="727">
        <f>IF(P426&gt;0,0,P215)</f>
        <v>0</v>
      </c>
      <c r="F347" s="729"/>
      <c r="G347" s="1146"/>
      <c r="H347" s="1147"/>
      <c r="I347" s="1148"/>
      <c r="J347" s="1151">
        <f t="shared" si="74"/>
        <v>0</v>
      </c>
      <c r="K347" s="1151"/>
      <c r="L347" s="971"/>
      <c r="M347" s="971"/>
      <c r="N347" s="971"/>
      <c r="O347" s="971"/>
      <c r="P347" s="1116"/>
      <c r="Q347" s="2"/>
      <c r="R347" s="10"/>
      <c r="S347" s="147">
        <f t="shared" si="75"/>
        <v>0</v>
      </c>
      <c r="T347" s="147">
        <f>LARGE($S$341:$S$366,7)</f>
        <v>0</v>
      </c>
      <c r="U347" s="544">
        <f t="shared" si="77"/>
        <v>0</v>
      </c>
      <c r="V347" s="548">
        <f t="shared" si="78"/>
        <v>0</v>
      </c>
      <c r="W347" s="50">
        <f>SUM(W341,W343,W345)</f>
        <v>0</v>
      </c>
      <c r="X347" s="10"/>
      <c r="Y347" s="21">
        <f t="shared" si="76"/>
        <v>0</v>
      </c>
      <c r="Z347" s="2"/>
      <c r="AA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row>
    <row r="348" spans="1:142" s="6" customFormat="1" ht="15" customHeight="1" x14ac:dyDescent="0.2">
      <c r="A348" s="2"/>
      <c r="B348" s="1154" t="s">
        <v>1412</v>
      </c>
      <c r="C348" s="1155"/>
      <c r="D348" s="1156"/>
      <c r="E348" s="727">
        <f>IF(P426&gt;0,0,P216)</f>
        <v>0</v>
      </c>
      <c r="F348" s="729"/>
      <c r="G348" s="1146"/>
      <c r="H348" s="1147"/>
      <c r="I348" s="1148"/>
      <c r="J348" s="1151">
        <f t="shared" si="74"/>
        <v>0</v>
      </c>
      <c r="K348" s="1151"/>
      <c r="L348" s="971"/>
      <c r="M348" s="971"/>
      <c r="N348" s="971"/>
      <c r="O348" s="971"/>
      <c r="P348" s="1116"/>
      <c r="Q348" s="2"/>
      <c r="R348" s="10"/>
      <c r="S348" s="147">
        <f t="shared" si="75"/>
        <v>0</v>
      </c>
      <c r="T348" s="147">
        <f>LARGE($S$341:$S$366,8)</f>
        <v>0</v>
      </c>
      <c r="U348" s="544">
        <f t="shared" si="77"/>
        <v>0</v>
      </c>
      <c r="V348" s="548">
        <f t="shared" si="78"/>
        <v>0</v>
      </c>
      <c r="W348" s="10"/>
      <c r="X348" s="10"/>
      <c r="Y348" s="21">
        <f t="shared" si="76"/>
        <v>0</v>
      </c>
      <c r="Z348" s="2"/>
      <c r="AA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row>
    <row r="349" spans="1:142" s="6" customFormat="1" ht="15" customHeight="1" x14ac:dyDescent="0.2">
      <c r="A349" s="2"/>
      <c r="B349" s="1154" t="s">
        <v>1413</v>
      </c>
      <c r="C349" s="1155"/>
      <c r="D349" s="1156"/>
      <c r="E349" s="727">
        <f>IF(P426&gt;0,0,P217)</f>
        <v>0</v>
      </c>
      <c r="F349" s="729"/>
      <c r="G349" s="1146"/>
      <c r="H349" s="1147"/>
      <c r="I349" s="1148"/>
      <c r="J349" s="1151">
        <f t="shared" si="74"/>
        <v>0</v>
      </c>
      <c r="K349" s="1151"/>
      <c r="L349" s="971"/>
      <c r="M349" s="971"/>
      <c r="N349" s="971"/>
      <c r="O349" s="971"/>
      <c r="P349" s="1116"/>
      <c r="Q349" s="2"/>
      <c r="R349" s="10"/>
      <c r="S349" s="147">
        <f t="shared" si="75"/>
        <v>0</v>
      </c>
      <c r="T349" s="147">
        <f>LARGE($S$341:$S$366,9)</f>
        <v>0</v>
      </c>
      <c r="U349" s="544">
        <f t="shared" si="77"/>
        <v>0</v>
      </c>
      <c r="V349" s="548">
        <f t="shared" si="78"/>
        <v>0</v>
      </c>
      <c r="W349" s="10"/>
      <c r="X349" s="10"/>
      <c r="Y349" s="21">
        <f t="shared" si="76"/>
        <v>0</v>
      </c>
      <c r="Z349" s="10"/>
      <c r="AA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row>
    <row r="350" spans="1:142" s="6" customFormat="1" ht="15" customHeight="1" x14ac:dyDescent="0.2">
      <c r="A350" s="2"/>
      <c r="B350" s="1154" t="s">
        <v>1415</v>
      </c>
      <c r="C350" s="1155"/>
      <c r="D350" s="1156"/>
      <c r="E350" s="727">
        <f>IF(P426&gt;0,0,P218)</f>
        <v>0</v>
      </c>
      <c r="F350" s="729"/>
      <c r="G350" s="1146"/>
      <c r="H350" s="1147"/>
      <c r="I350" s="1148"/>
      <c r="J350" s="1151">
        <f t="shared" si="74"/>
        <v>0</v>
      </c>
      <c r="K350" s="1151"/>
      <c r="L350" s="971"/>
      <c r="M350" s="971"/>
      <c r="N350" s="971"/>
      <c r="O350" s="971"/>
      <c r="P350" s="1116"/>
      <c r="Q350" s="2"/>
      <c r="R350" s="10"/>
      <c r="S350" s="147">
        <f t="shared" si="75"/>
        <v>0</v>
      </c>
      <c r="T350" s="147">
        <f>LARGE($S$341:$S$366,10)</f>
        <v>0</v>
      </c>
      <c r="U350" s="544">
        <f t="shared" si="77"/>
        <v>0</v>
      </c>
      <c r="V350" s="548">
        <f t="shared" si="78"/>
        <v>0</v>
      </c>
      <c r="W350" s="10"/>
      <c r="X350" s="10"/>
      <c r="Y350" s="21">
        <f t="shared" si="76"/>
        <v>0</v>
      </c>
      <c r="Z350" s="10"/>
      <c r="AA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row>
    <row r="351" spans="1:142" s="6" customFormat="1" ht="15" customHeight="1" x14ac:dyDescent="0.2">
      <c r="A351" s="2"/>
      <c r="B351" s="1154" t="s">
        <v>99</v>
      </c>
      <c r="C351" s="1155"/>
      <c r="D351" s="1156"/>
      <c r="E351" s="727">
        <f>IF(P426&gt;0,0,P219)</f>
        <v>0</v>
      </c>
      <c r="F351" s="729"/>
      <c r="G351" s="1146"/>
      <c r="H351" s="1147"/>
      <c r="I351" s="1148"/>
      <c r="J351" s="1151">
        <f t="shared" si="74"/>
        <v>0</v>
      </c>
      <c r="K351" s="1151"/>
      <c r="L351" s="971"/>
      <c r="M351" s="971"/>
      <c r="N351" s="971"/>
      <c r="O351" s="971"/>
      <c r="P351" s="1116"/>
      <c r="Q351" s="2"/>
      <c r="R351" s="10"/>
      <c r="S351" s="147">
        <f t="shared" si="75"/>
        <v>0</v>
      </c>
      <c r="T351" s="147">
        <f>LARGE($S$341:$S$366,11)</f>
        <v>0</v>
      </c>
      <c r="U351" s="544">
        <f t="shared" si="77"/>
        <v>0</v>
      </c>
      <c r="V351" s="548">
        <f t="shared" si="78"/>
        <v>0</v>
      </c>
      <c r="W351" s="10"/>
      <c r="X351" s="10"/>
      <c r="Y351" s="21">
        <f t="shared" si="76"/>
        <v>0</v>
      </c>
      <c r="Z351" s="10"/>
      <c r="AA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row>
    <row r="352" spans="1:142" s="6" customFormat="1" ht="15" customHeight="1" x14ac:dyDescent="0.2">
      <c r="A352" s="2"/>
      <c r="B352" s="1154" t="s">
        <v>1089</v>
      </c>
      <c r="C352" s="1155"/>
      <c r="D352" s="1156"/>
      <c r="E352" s="727">
        <f>IF(P426&gt;0,0,P233)</f>
        <v>0</v>
      </c>
      <c r="F352" s="729"/>
      <c r="G352" s="1146"/>
      <c r="H352" s="1147"/>
      <c r="I352" s="1148"/>
      <c r="J352" s="1151">
        <f t="shared" si="74"/>
        <v>0</v>
      </c>
      <c r="K352" s="1151"/>
      <c r="L352" s="971"/>
      <c r="M352" s="971"/>
      <c r="N352" s="971"/>
      <c r="O352" s="971"/>
      <c r="P352" s="1116"/>
      <c r="Q352" s="2"/>
      <c r="R352" s="10"/>
      <c r="S352" s="147">
        <f t="shared" si="75"/>
        <v>0</v>
      </c>
      <c r="T352" s="147">
        <f>LARGE($S$341:$S$366,12)</f>
        <v>0</v>
      </c>
      <c r="U352" s="544">
        <f t="shared" si="77"/>
        <v>0</v>
      </c>
      <c r="V352" s="548">
        <f t="shared" si="78"/>
        <v>0</v>
      </c>
      <c r="W352" s="10"/>
      <c r="X352" s="10"/>
      <c r="Y352" s="21">
        <f t="shared" si="76"/>
        <v>0</v>
      </c>
      <c r="Z352" s="10"/>
      <c r="AA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row>
    <row r="353" spans="1:142" s="6" customFormat="1" ht="15" customHeight="1" x14ac:dyDescent="0.2">
      <c r="A353" s="2"/>
      <c r="B353" s="1154" t="s">
        <v>1976</v>
      </c>
      <c r="C353" s="1155"/>
      <c r="D353" s="1156"/>
      <c r="E353" s="727">
        <f>P237</f>
        <v>0</v>
      </c>
      <c r="F353" s="729"/>
      <c r="G353" s="1146"/>
      <c r="H353" s="1147"/>
      <c r="I353" s="1148"/>
      <c r="J353" s="1151">
        <f t="shared" ref="J353:J357" si="79">IF(AND(Y353&lt;0.01,Y353&gt;0),0.01,ROUND(Y353,2))</f>
        <v>0</v>
      </c>
      <c r="K353" s="1151"/>
      <c r="L353" s="971"/>
      <c r="M353" s="971"/>
      <c r="N353" s="971"/>
      <c r="O353" s="971"/>
      <c r="P353" s="1116"/>
      <c r="Q353" s="2"/>
      <c r="R353" s="10"/>
      <c r="S353" s="147">
        <f t="shared" si="75"/>
        <v>0</v>
      </c>
      <c r="T353" s="147">
        <f>LARGE($S$341:$S$366,13)</f>
        <v>0</v>
      </c>
      <c r="U353" s="544">
        <f t="shared" si="77"/>
        <v>0</v>
      </c>
      <c r="V353" s="548">
        <f t="shared" si="78"/>
        <v>0</v>
      </c>
      <c r="W353" s="10"/>
      <c r="X353" s="10"/>
      <c r="Y353" s="21">
        <f>G353*E353</f>
        <v>0</v>
      </c>
      <c r="Z353" s="10"/>
      <c r="AA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row>
    <row r="354" spans="1:142" s="6" customFormat="1" ht="15" customHeight="1" x14ac:dyDescent="0.2">
      <c r="A354" s="2"/>
      <c r="B354" s="742" t="s">
        <v>1208</v>
      </c>
      <c r="C354" s="743"/>
      <c r="D354" s="744"/>
      <c r="E354" s="727">
        <f>P238</f>
        <v>0</v>
      </c>
      <c r="F354" s="729"/>
      <c r="G354" s="1146"/>
      <c r="H354" s="1147"/>
      <c r="I354" s="1148"/>
      <c r="J354" s="1151">
        <f t="shared" si="79"/>
        <v>0</v>
      </c>
      <c r="K354" s="1151"/>
      <c r="L354" s="971"/>
      <c r="M354" s="971"/>
      <c r="N354" s="971"/>
      <c r="O354" s="971"/>
      <c r="P354" s="1116"/>
      <c r="Q354" s="2"/>
      <c r="R354" s="10"/>
      <c r="S354" s="147">
        <f t="shared" si="75"/>
        <v>0</v>
      </c>
      <c r="T354" s="147">
        <f>LARGE($S$341:$S$366,14)</f>
        <v>0</v>
      </c>
      <c r="U354" s="544">
        <f t="shared" si="77"/>
        <v>0</v>
      </c>
      <c r="V354" s="548">
        <f t="shared" si="78"/>
        <v>0</v>
      </c>
      <c r="W354" s="10"/>
      <c r="X354" s="10"/>
      <c r="Y354" s="21">
        <f t="shared" ref="Y354:Y365" si="80">G354*E354</f>
        <v>0</v>
      </c>
      <c r="Z354" s="10"/>
      <c r="AA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row>
    <row r="355" spans="1:142" s="6" customFormat="1" ht="15" customHeight="1" x14ac:dyDescent="0.2">
      <c r="A355" s="2"/>
      <c r="B355" s="1154" t="s">
        <v>36</v>
      </c>
      <c r="C355" s="1155"/>
      <c r="D355" s="1156"/>
      <c r="E355" s="727">
        <f>P241</f>
        <v>0</v>
      </c>
      <c r="F355" s="729"/>
      <c r="G355" s="1146"/>
      <c r="H355" s="1147"/>
      <c r="I355" s="1148"/>
      <c r="J355" s="1151">
        <f t="shared" si="79"/>
        <v>0</v>
      </c>
      <c r="K355" s="1151"/>
      <c r="L355" s="971"/>
      <c r="M355" s="971"/>
      <c r="N355" s="971"/>
      <c r="O355" s="971"/>
      <c r="P355" s="1116"/>
      <c r="Q355" s="2"/>
      <c r="R355" s="10"/>
      <c r="S355" s="147">
        <f t="shared" si="75"/>
        <v>0</v>
      </c>
      <c r="T355" s="147">
        <f>LARGE($S$341:$S$366,15)</f>
        <v>0</v>
      </c>
      <c r="U355" s="544">
        <f t="shared" si="77"/>
        <v>0</v>
      </c>
      <c r="V355" s="548">
        <f t="shared" si="78"/>
        <v>0</v>
      </c>
      <c r="W355" s="10"/>
      <c r="X355" s="10"/>
      <c r="Y355" s="21">
        <f t="shared" si="80"/>
        <v>0</v>
      </c>
      <c r="Z355" s="10"/>
      <c r="AA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row>
    <row r="356" spans="1:142" s="6" customFormat="1" ht="15" customHeight="1" x14ac:dyDescent="0.2">
      <c r="A356" s="2"/>
      <c r="B356" s="1154" t="s">
        <v>1157</v>
      </c>
      <c r="C356" s="1155"/>
      <c r="D356" s="1156"/>
      <c r="E356" s="727">
        <f>P242</f>
        <v>0</v>
      </c>
      <c r="F356" s="729"/>
      <c r="G356" s="1146"/>
      <c r="H356" s="1147"/>
      <c r="I356" s="1148"/>
      <c r="J356" s="1151">
        <f t="shared" si="79"/>
        <v>0</v>
      </c>
      <c r="K356" s="1151"/>
      <c r="L356" s="971"/>
      <c r="M356" s="971"/>
      <c r="N356" s="971"/>
      <c r="O356" s="971"/>
      <c r="P356" s="1116"/>
      <c r="Q356" s="2"/>
      <c r="R356" s="10"/>
      <c r="S356" s="147">
        <f t="shared" si="75"/>
        <v>0</v>
      </c>
      <c r="T356" s="147">
        <f>LARGE($S$341:$S$366,16)</f>
        <v>0</v>
      </c>
      <c r="U356" s="544">
        <f t="shared" si="77"/>
        <v>0</v>
      </c>
      <c r="V356" s="548">
        <f t="shared" si="78"/>
        <v>0</v>
      </c>
      <c r="W356" s="10"/>
      <c r="X356" s="10"/>
      <c r="Y356" s="21">
        <f t="shared" si="80"/>
        <v>0</v>
      </c>
      <c r="Z356" s="10"/>
      <c r="AA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row>
    <row r="357" spans="1:142" s="6" customFormat="1" ht="15" customHeight="1" x14ac:dyDescent="0.2">
      <c r="A357" s="2"/>
      <c r="B357" s="1154" t="s">
        <v>1416</v>
      </c>
      <c r="C357" s="1155"/>
      <c r="D357" s="1156"/>
      <c r="E357" s="727">
        <f>P243</f>
        <v>0</v>
      </c>
      <c r="F357" s="729"/>
      <c r="G357" s="1146"/>
      <c r="H357" s="1147"/>
      <c r="I357" s="1148"/>
      <c r="J357" s="1151">
        <f t="shared" si="79"/>
        <v>0</v>
      </c>
      <c r="K357" s="1151"/>
      <c r="L357" s="971"/>
      <c r="M357" s="971"/>
      <c r="N357" s="971"/>
      <c r="O357" s="971"/>
      <c r="P357" s="1116"/>
      <c r="Q357" s="2"/>
      <c r="R357" s="10"/>
      <c r="S357" s="147">
        <f t="shared" si="75"/>
        <v>0</v>
      </c>
      <c r="T357" s="147">
        <f>LARGE($S$341:$S$366,17)</f>
        <v>0</v>
      </c>
      <c r="U357" s="544">
        <f t="shared" si="77"/>
        <v>0</v>
      </c>
      <c r="V357" s="548">
        <f t="shared" si="78"/>
        <v>0</v>
      </c>
      <c r="W357" s="10"/>
      <c r="X357" s="10"/>
      <c r="Y357" s="21">
        <f t="shared" si="80"/>
        <v>0</v>
      </c>
      <c r="Z357" s="10"/>
      <c r="AA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row>
    <row r="358" spans="1:142" s="6" customFormat="1" ht="15" customHeight="1" x14ac:dyDescent="0.2">
      <c r="A358" s="2"/>
      <c r="B358" s="1154" t="s">
        <v>1417</v>
      </c>
      <c r="C358" s="1155"/>
      <c r="D358" s="1156"/>
      <c r="E358" s="727">
        <f>P246</f>
        <v>0</v>
      </c>
      <c r="F358" s="729"/>
      <c r="G358" s="1146"/>
      <c r="H358" s="1147"/>
      <c r="I358" s="1148"/>
      <c r="J358" s="1151">
        <f t="shared" ref="J358:J360" si="81">IF(AND(Y358&lt;0.01,Y358&gt;0),0.01,ROUND(Y358,2))</f>
        <v>0</v>
      </c>
      <c r="K358" s="1151"/>
      <c r="L358" s="624"/>
      <c r="M358" s="624"/>
      <c r="N358" s="624"/>
      <c r="O358" s="624"/>
      <c r="P358" s="1116"/>
      <c r="Q358" s="2"/>
      <c r="R358" s="10"/>
      <c r="S358" s="147">
        <f t="shared" si="75"/>
        <v>0</v>
      </c>
      <c r="T358" s="147">
        <f>LARGE($S$341:$S$366,18)</f>
        <v>0</v>
      </c>
      <c r="U358" s="544">
        <f t="shared" si="77"/>
        <v>0</v>
      </c>
      <c r="V358" s="548">
        <f t="shared" si="78"/>
        <v>0</v>
      </c>
      <c r="W358" s="10"/>
      <c r="X358" s="10"/>
      <c r="Y358" s="21">
        <f t="shared" si="80"/>
        <v>0</v>
      </c>
      <c r="Z358" s="10"/>
      <c r="AA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row>
    <row r="359" spans="1:142" s="6" customFormat="1" ht="15" customHeight="1" x14ac:dyDescent="0.2">
      <c r="A359" s="2"/>
      <c r="B359" s="146" t="s">
        <v>1831</v>
      </c>
      <c r="C359" s="146"/>
      <c r="D359" s="146"/>
      <c r="E359" s="727">
        <f>P247</f>
        <v>0</v>
      </c>
      <c r="F359" s="729"/>
      <c r="G359" s="1146"/>
      <c r="H359" s="1147"/>
      <c r="I359" s="1148"/>
      <c r="J359" s="1151">
        <f t="shared" si="81"/>
        <v>0</v>
      </c>
      <c r="K359" s="1151"/>
      <c r="L359" s="624"/>
      <c r="M359" s="624"/>
      <c r="N359" s="624"/>
      <c r="O359" s="624"/>
      <c r="P359" s="1116"/>
      <c r="Q359" s="2"/>
      <c r="R359" s="10"/>
      <c r="S359" s="147">
        <f t="shared" si="75"/>
        <v>0</v>
      </c>
      <c r="T359" s="147">
        <f>LARGE($S$341:$S$366,19)</f>
        <v>0</v>
      </c>
      <c r="U359" s="544">
        <f t="shared" si="77"/>
        <v>0</v>
      </c>
      <c r="V359" s="548">
        <f t="shared" si="78"/>
        <v>0</v>
      </c>
      <c r="W359" s="10"/>
      <c r="X359" s="10"/>
      <c r="Y359" s="21">
        <f t="shared" si="80"/>
        <v>0</v>
      </c>
      <c r="Z359" s="10"/>
      <c r="AA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row>
    <row r="360" spans="1:142" s="6" customFormat="1" ht="15" customHeight="1" x14ac:dyDescent="0.2">
      <c r="A360" s="2"/>
      <c r="B360" s="1154" t="s">
        <v>1418</v>
      </c>
      <c r="C360" s="1155"/>
      <c r="D360" s="1156"/>
      <c r="E360" s="727">
        <f>P249</f>
        <v>0</v>
      </c>
      <c r="F360" s="729"/>
      <c r="G360" s="1146"/>
      <c r="H360" s="1147"/>
      <c r="I360" s="1148"/>
      <c r="J360" s="1151">
        <f t="shared" si="81"/>
        <v>0</v>
      </c>
      <c r="K360" s="1151"/>
      <c r="L360" s="624"/>
      <c r="M360" s="624"/>
      <c r="N360" s="624"/>
      <c r="O360" s="624"/>
      <c r="P360" s="1116"/>
      <c r="Q360" s="2"/>
      <c r="R360" s="10"/>
      <c r="S360" s="147">
        <f t="shared" si="75"/>
        <v>0</v>
      </c>
      <c r="T360" s="147">
        <f>LARGE($S$341:$S$366,20)</f>
        <v>0</v>
      </c>
      <c r="U360" s="544">
        <f t="shared" si="77"/>
        <v>0</v>
      </c>
      <c r="V360" s="548">
        <f t="shared" si="78"/>
        <v>0</v>
      </c>
      <c r="W360" s="10"/>
      <c r="X360" s="10"/>
      <c r="Y360" s="21">
        <f t="shared" si="80"/>
        <v>0</v>
      </c>
      <c r="Z360" s="10"/>
      <c r="AA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row>
    <row r="361" spans="1:142" s="6" customFormat="1" ht="15" customHeight="1" x14ac:dyDescent="0.2">
      <c r="A361" s="2"/>
      <c r="B361" s="1154" t="s">
        <v>1419</v>
      </c>
      <c r="C361" s="1155"/>
      <c r="D361" s="1156"/>
      <c r="E361" s="727">
        <f>P252</f>
        <v>0</v>
      </c>
      <c r="F361" s="729"/>
      <c r="G361" s="1146"/>
      <c r="H361" s="1147"/>
      <c r="I361" s="1148"/>
      <c r="J361" s="1151">
        <f t="shared" ref="J361:J365" si="82">IF(AND(Y361&lt;0.01,Y361&gt;0),0.01,ROUND(Y361,2))</f>
        <v>0</v>
      </c>
      <c r="K361" s="1151"/>
      <c r="L361" s="915" t="str">
        <f>IF(AND(P426&gt;0,W347&gt;0),"The worker has motor loss impairment. Additional impairment values are not allowed for chronic condition, reduced range of motion, or strength loss.","")</f>
        <v/>
      </c>
      <c r="M361" s="916"/>
      <c r="N361" s="916"/>
      <c r="O361" s="917"/>
      <c r="P361" s="1116"/>
      <c r="Q361" s="2"/>
      <c r="R361" s="10"/>
      <c r="S361" s="147">
        <f t="shared" si="75"/>
        <v>0</v>
      </c>
      <c r="T361" s="147">
        <f>LARGE($S$341:$S$366,21)</f>
        <v>0</v>
      </c>
      <c r="U361" s="544">
        <f t="shared" si="77"/>
        <v>0</v>
      </c>
      <c r="V361" s="548">
        <f t="shared" si="78"/>
        <v>0</v>
      </c>
      <c r="W361" s="10"/>
      <c r="X361" s="10"/>
      <c r="Y361" s="21">
        <f t="shared" si="80"/>
        <v>0</v>
      </c>
      <c r="Z361" s="10"/>
      <c r="AA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row>
    <row r="362" spans="1:142" s="6" customFormat="1" ht="15" customHeight="1" x14ac:dyDescent="0.2">
      <c r="A362" s="2"/>
      <c r="B362" s="1154" t="s">
        <v>1420</v>
      </c>
      <c r="C362" s="1155"/>
      <c r="D362" s="1156"/>
      <c r="E362" s="727">
        <f>P253</f>
        <v>0</v>
      </c>
      <c r="F362" s="729"/>
      <c r="G362" s="1146"/>
      <c r="H362" s="1147"/>
      <c r="I362" s="1148"/>
      <c r="J362" s="1151">
        <f t="shared" si="82"/>
        <v>0</v>
      </c>
      <c r="K362" s="1151"/>
      <c r="L362" s="915"/>
      <c r="M362" s="916"/>
      <c r="N362" s="916"/>
      <c r="O362" s="917"/>
      <c r="P362" s="1116"/>
      <c r="Q362" s="2"/>
      <c r="R362" s="10"/>
      <c r="S362" s="147">
        <f t="shared" si="75"/>
        <v>0</v>
      </c>
      <c r="T362" s="147">
        <f>LARGE($S$341:$S$366,22)</f>
        <v>0</v>
      </c>
      <c r="U362" s="544">
        <f t="shared" si="77"/>
        <v>0</v>
      </c>
      <c r="V362" s="548">
        <f t="shared" si="78"/>
        <v>0</v>
      </c>
      <c r="W362" s="10"/>
      <c r="X362" s="10"/>
      <c r="Y362" s="21">
        <f t="shared" si="80"/>
        <v>0</v>
      </c>
      <c r="Z362" s="10"/>
      <c r="AA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row>
    <row r="363" spans="1:142" s="6" customFormat="1" ht="15" customHeight="1" x14ac:dyDescent="0.2">
      <c r="A363" s="2"/>
      <c r="B363" s="1154" t="s">
        <v>1421</v>
      </c>
      <c r="C363" s="1155"/>
      <c r="D363" s="1156"/>
      <c r="E363" s="727">
        <f>P256</f>
        <v>0</v>
      </c>
      <c r="F363" s="729"/>
      <c r="G363" s="1146"/>
      <c r="H363" s="1147"/>
      <c r="I363" s="1148"/>
      <c r="J363" s="1151">
        <f t="shared" si="82"/>
        <v>0</v>
      </c>
      <c r="K363" s="1151"/>
      <c r="L363" s="915"/>
      <c r="M363" s="916"/>
      <c r="N363" s="916"/>
      <c r="O363" s="917"/>
      <c r="P363" s="1116"/>
      <c r="Q363" s="2"/>
      <c r="R363" s="10"/>
      <c r="S363" s="147">
        <f t="shared" si="75"/>
        <v>0</v>
      </c>
      <c r="T363" s="147">
        <f>LARGE($S$341:$S$366,23)</f>
        <v>0</v>
      </c>
      <c r="U363" s="544">
        <f t="shared" si="77"/>
        <v>0</v>
      </c>
      <c r="V363" s="548">
        <f t="shared" si="78"/>
        <v>0</v>
      </c>
      <c r="W363" s="10"/>
      <c r="X363" s="10"/>
      <c r="Y363" s="21">
        <f t="shared" si="80"/>
        <v>0</v>
      </c>
      <c r="Z363" s="10"/>
      <c r="AA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row>
    <row r="364" spans="1:142" s="6" customFormat="1" ht="15" customHeight="1" x14ac:dyDescent="0.2">
      <c r="A364" s="2"/>
      <c r="B364" s="1154" t="s">
        <v>583</v>
      </c>
      <c r="C364" s="1155"/>
      <c r="D364" s="1156"/>
      <c r="E364" s="727">
        <f>IF(P426&gt;0,0,P266)</f>
        <v>0</v>
      </c>
      <c r="F364" s="729"/>
      <c r="G364" s="1146"/>
      <c r="H364" s="1147"/>
      <c r="I364" s="1148"/>
      <c r="J364" s="1151">
        <f t="shared" si="82"/>
        <v>0</v>
      </c>
      <c r="K364" s="1151"/>
      <c r="L364" s="915"/>
      <c r="M364" s="916"/>
      <c r="N364" s="916"/>
      <c r="O364" s="917"/>
      <c r="P364" s="1116"/>
      <c r="Q364" s="2"/>
      <c r="R364" s="10"/>
      <c r="S364" s="147">
        <f t="shared" si="75"/>
        <v>0</v>
      </c>
      <c r="T364" s="147">
        <f>LARGE($S$341:$S$366,24)</f>
        <v>0</v>
      </c>
      <c r="U364" s="544">
        <f t="shared" si="77"/>
        <v>0</v>
      </c>
      <c r="V364" s="548">
        <f t="shared" si="78"/>
        <v>0</v>
      </c>
      <c r="W364" s="10"/>
      <c r="X364" s="10"/>
      <c r="Y364" s="21">
        <f t="shared" si="80"/>
        <v>0</v>
      </c>
      <c r="Z364" s="10"/>
      <c r="AA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row>
    <row r="365" spans="1:142" s="6" customFormat="1" ht="15" customHeight="1" x14ac:dyDescent="0.2">
      <c r="A365" s="2"/>
      <c r="B365" s="1154" t="s">
        <v>1607</v>
      </c>
      <c r="C365" s="1155"/>
      <c r="D365" s="1156"/>
      <c r="E365" s="727">
        <f>IF(P426&gt;0,0,P336)</f>
        <v>0</v>
      </c>
      <c r="F365" s="729"/>
      <c r="G365" s="1146"/>
      <c r="H365" s="1147"/>
      <c r="I365" s="1148"/>
      <c r="J365" s="1151">
        <f t="shared" si="82"/>
        <v>0</v>
      </c>
      <c r="K365" s="1151"/>
      <c r="L365" s="915"/>
      <c r="M365" s="916"/>
      <c r="N365" s="916"/>
      <c r="O365" s="917"/>
      <c r="P365" s="1116"/>
      <c r="Q365" s="2"/>
      <c r="R365" s="10"/>
      <c r="S365" s="147">
        <f t="shared" ref="S365" si="83">IF(J365&gt;0,J365,E365)</f>
        <v>0</v>
      </c>
      <c r="T365" s="147">
        <f>LARGE($S$341:$S$366,25)</f>
        <v>0</v>
      </c>
      <c r="U365" s="544">
        <f t="shared" si="77"/>
        <v>0</v>
      </c>
      <c r="V365" s="548">
        <f t="shared" si="78"/>
        <v>0</v>
      </c>
      <c r="W365" s="10"/>
      <c r="X365" s="10"/>
      <c r="Y365" s="21">
        <f t="shared" si="80"/>
        <v>0</v>
      </c>
      <c r="Z365" s="10"/>
      <c r="AA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row>
    <row r="366" spans="1:142" s="6" customFormat="1" ht="15" customHeight="1" x14ac:dyDescent="0.2">
      <c r="A366" s="2"/>
      <c r="B366" s="1187" t="s">
        <v>1423</v>
      </c>
      <c r="C366" s="1188"/>
      <c r="D366" s="1189"/>
      <c r="E366" s="1067">
        <f>P269</f>
        <v>0</v>
      </c>
      <c r="F366" s="1157"/>
      <c r="G366" s="944" t="s">
        <v>1901</v>
      </c>
      <c r="H366" s="945"/>
      <c r="I366" s="946"/>
      <c r="J366" s="1109"/>
      <c r="K366" s="1109"/>
      <c r="L366" s="918"/>
      <c r="M366" s="919"/>
      <c r="N366" s="919"/>
      <c r="O366" s="920"/>
      <c r="P366" s="1116"/>
      <c r="Q366" s="2"/>
      <c r="R366" s="10"/>
      <c r="S366" s="147">
        <f>E366</f>
        <v>0</v>
      </c>
      <c r="T366" s="147">
        <f>LARGE($S$341:$S$366,26)</f>
        <v>0</v>
      </c>
      <c r="U366" s="10"/>
      <c r="V366" s="10"/>
      <c r="W366" s="10"/>
      <c r="X366" s="10"/>
      <c r="Y366" s="10"/>
      <c r="Z366" s="10"/>
      <c r="AA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row>
    <row r="367" spans="1:142" s="6" customFormat="1" ht="15" customHeight="1" x14ac:dyDescent="0.2">
      <c r="A367" s="2"/>
      <c r="B367" s="957" t="s">
        <v>173</v>
      </c>
      <c r="C367" s="957"/>
      <c r="D367" s="957"/>
      <c r="E367" s="957"/>
      <c r="F367" s="957"/>
      <c r="G367" s="957"/>
      <c r="H367" s="957"/>
      <c r="I367" s="957"/>
      <c r="J367" s="957"/>
      <c r="K367" s="957"/>
      <c r="L367" s="957"/>
      <c r="M367" s="957"/>
      <c r="N367" s="957"/>
      <c r="O367" s="957"/>
      <c r="P367" s="1116"/>
      <c r="Q367" s="2"/>
      <c r="R367" s="10"/>
      <c r="S367" s="10"/>
      <c r="T367" s="10"/>
      <c r="U367" s="10"/>
      <c r="V367" s="10"/>
      <c r="W367" s="10"/>
      <c r="X367" s="10"/>
      <c r="Y367" s="10"/>
      <c r="Z367" s="10"/>
      <c r="AA367" s="2"/>
      <c r="AB367" s="2"/>
      <c r="AC367" s="2"/>
      <c r="AD367" s="2"/>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row>
    <row r="368" spans="1:142" s="6" customFormat="1" ht="12" customHeight="1" x14ac:dyDescent="0.2">
      <c r="A368" s="2"/>
      <c r="B368" s="777"/>
      <c r="C368" s="777"/>
      <c r="D368" s="777"/>
      <c r="E368" s="777"/>
      <c r="F368" s="777"/>
      <c r="G368" s="777"/>
      <c r="H368" s="777"/>
      <c r="I368" s="777"/>
      <c r="J368" s="777"/>
      <c r="K368" s="777"/>
      <c r="L368" s="777"/>
      <c r="M368" s="777"/>
      <c r="N368" s="777"/>
      <c r="O368" s="777"/>
      <c r="P368" s="777"/>
      <c r="Q368" s="2"/>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row>
    <row r="369" spans="1:142" s="6" customFormat="1" ht="12" customHeight="1" x14ac:dyDescent="0.25">
      <c r="A369" s="2"/>
      <c r="B369" s="1183"/>
      <c r="C369" s="1183"/>
      <c r="D369" s="1183"/>
      <c r="E369" s="1183"/>
      <c r="F369" s="1183"/>
      <c r="G369" s="1183"/>
      <c r="H369" s="1183"/>
      <c r="I369" s="1183"/>
      <c r="J369" s="1183"/>
      <c r="K369" s="1183"/>
      <c r="L369" s="1183"/>
      <c r="M369" s="1183"/>
      <c r="N369" s="1183"/>
      <c r="O369" s="1183"/>
      <c r="P369" s="1183"/>
      <c r="Q369" s="2"/>
      <c r="R369" s="10"/>
      <c r="S369" s="14"/>
      <c r="T369" s="96"/>
      <c r="U369" s="128"/>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row>
    <row r="370" spans="1:142" s="6" customFormat="1" ht="27.75" customHeight="1" x14ac:dyDescent="0.2">
      <c r="A370" s="2"/>
      <c r="B370" s="895" t="s">
        <v>698</v>
      </c>
      <c r="C370" s="896"/>
      <c r="D370" s="896"/>
      <c r="E370" s="896"/>
      <c r="F370" s="896"/>
      <c r="G370" s="896"/>
      <c r="H370" s="896"/>
      <c r="I370" s="896"/>
      <c r="J370" s="896"/>
      <c r="K370" s="896"/>
      <c r="L370" s="896"/>
      <c r="M370" s="896"/>
      <c r="N370" s="896"/>
      <c r="O370" s="896"/>
      <c r="P370" s="390" t="s">
        <v>699</v>
      </c>
      <c r="Q370" s="2"/>
      <c r="R370" s="10"/>
      <c r="S370" s="98"/>
      <c r="T370" s="96"/>
      <c r="U370" s="128"/>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row>
    <row r="371" spans="1:142" s="6" customFormat="1" ht="9" customHeight="1" x14ac:dyDescent="0.3">
      <c r="A371" s="2"/>
      <c r="B371" s="1253"/>
      <c r="C371" s="1253"/>
      <c r="D371" s="1253"/>
      <c r="E371" s="1253"/>
      <c r="F371" s="1253"/>
      <c r="G371" s="1253"/>
      <c r="H371" s="1253"/>
      <c r="I371" s="1253"/>
      <c r="J371" s="1253"/>
      <c r="K371" s="1253"/>
      <c r="L371" s="1253"/>
      <c r="M371" s="1253"/>
      <c r="N371" s="1253"/>
      <c r="O371" s="1253"/>
      <c r="P371" s="382"/>
      <c r="Q371" s="2"/>
      <c r="R371" s="10"/>
      <c r="S371" s="14"/>
      <c r="T371" s="96"/>
      <c r="U371" s="128"/>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row>
    <row r="372" spans="1:142" s="6" customFormat="1" ht="21" customHeight="1" x14ac:dyDescent="0.2">
      <c r="A372" s="15"/>
      <c r="B372" s="1206" t="s">
        <v>1181</v>
      </c>
      <c r="C372" s="1206"/>
      <c r="D372" s="1206"/>
      <c r="E372" s="1206"/>
      <c r="F372" s="1206"/>
      <c r="G372" s="1206"/>
      <c r="H372" s="1206"/>
      <c r="I372" s="1206"/>
      <c r="J372" s="1206"/>
      <c r="K372" s="1206"/>
      <c r="L372" s="1206"/>
      <c r="M372" s="1206"/>
      <c r="N372" s="1206"/>
      <c r="O372" s="1206"/>
      <c r="P372" s="21">
        <f>IF(R372=2,1,0)</f>
        <v>0</v>
      </c>
      <c r="Q372" s="2"/>
      <c r="R372" s="546">
        <v>1</v>
      </c>
      <c r="S372" s="14"/>
      <c r="T372" s="96"/>
      <c r="U372" s="128"/>
      <c r="V372" s="10"/>
      <c r="W372" s="10">
        <v>1E-4</v>
      </c>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row>
    <row r="373" spans="1:142" s="6" customFormat="1" ht="9" customHeight="1" x14ac:dyDescent="0.25">
      <c r="A373" s="2"/>
      <c r="B373" s="1183"/>
      <c r="C373" s="1183"/>
      <c r="D373" s="1183"/>
      <c r="E373" s="1183"/>
      <c r="F373" s="1183"/>
      <c r="G373" s="1183"/>
      <c r="H373" s="1183"/>
      <c r="I373" s="1183"/>
      <c r="J373" s="1183"/>
      <c r="K373" s="1183"/>
      <c r="L373" s="1183"/>
      <c r="M373" s="1183"/>
      <c r="N373" s="1183"/>
      <c r="O373" s="1183"/>
      <c r="P373" s="81"/>
      <c r="Q373" s="2"/>
      <c r="R373" s="10"/>
      <c r="S373" s="14"/>
      <c r="T373" s="96"/>
      <c r="U373" s="128"/>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row>
    <row r="374" spans="1:142" s="6" customFormat="1" ht="18" customHeight="1" x14ac:dyDescent="0.2">
      <c r="A374" s="2"/>
      <c r="B374" s="910" t="s">
        <v>1563</v>
      </c>
      <c r="C374" s="910"/>
      <c r="D374" s="910"/>
      <c r="E374" s="910"/>
      <c r="F374" s="910"/>
      <c r="G374" s="910"/>
      <c r="H374" s="910"/>
      <c r="I374" s="910"/>
      <c r="J374" s="910"/>
      <c r="K374" s="910"/>
      <c r="L374" s="910"/>
      <c r="M374" s="910"/>
      <c r="N374" s="910"/>
      <c r="O374" s="910"/>
      <c r="P374" s="910"/>
      <c r="Q374" s="2"/>
      <c r="R374" s="10"/>
      <c r="S374" s="10"/>
      <c r="T374" s="39"/>
      <c r="U374" s="39"/>
      <c r="V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row>
    <row r="375" spans="1:142" s="6" customFormat="1" ht="27" customHeight="1" x14ac:dyDescent="0.25">
      <c r="A375" s="2"/>
      <c r="B375" s="273"/>
      <c r="C375" s="910" t="s">
        <v>1564</v>
      </c>
      <c r="D375" s="910"/>
      <c r="E375" s="910"/>
      <c r="F375" s="910"/>
      <c r="G375" s="912" t="s">
        <v>1064</v>
      </c>
      <c r="H375" s="912"/>
      <c r="I375" s="912"/>
      <c r="J375" s="912"/>
      <c r="K375" s="912"/>
      <c r="L375" s="1192"/>
      <c r="M375" s="1193"/>
      <c r="N375" s="1193"/>
      <c r="O375" s="1194"/>
      <c r="P375" s="910"/>
      <c r="Q375" s="2"/>
      <c r="R375" s="10"/>
      <c r="S375" s="50" t="s">
        <v>1541</v>
      </c>
      <c r="T375" s="256" t="s">
        <v>1564</v>
      </c>
      <c r="U375" s="256" t="s">
        <v>1565</v>
      </c>
      <c r="V375" s="910" t="s">
        <v>1066</v>
      </c>
      <c r="W375" s="910"/>
      <c r="X375" s="910"/>
      <c r="Y375" s="910"/>
      <c r="Z375" s="256" t="s">
        <v>2175</v>
      </c>
      <c r="AA375" s="256" t="s">
        <v>2176</v>
      </c>
      <c r="AB375" s="127" t="s">
        <v>1188</v>
      </c>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row>
    <row r="376" spans="1:142" s="6" customFormat="1" ht="13.5" customHeight="1" x14ac:dyDescent="0.2">
      <c r="A376" s="2"/>
      <c r="B376" s="147" t="s">
        <v>1182</v>
      </c>
      <c r="C376" s="694"/>
      <c r="D376" s="694"/>
      <c r="E376" s="921">
        <f>LETable!AJ55</f>
        <v>0</v>
      </c>
      <c r="F376" s="921"/>
      <c r="G376" s="694"/>
      <c r="H376" s="694"/>
      <c r="I376" s="694"/>
      <c r="J376" s="936">
        <f>IF(C376="",0,IF(OR(C376&lt;=0,G376&lt;=0),E376,IF(G376&lt;C376,0,LETable!AO55)))</f>
        <v>0</v>
      </c>
      <c r="K376" s="936"/>
      <c r="L376" s="930" t="str">
        <f>IF(OR(C376="NA",G376="NA"),"",IF(AND(C376&lt;&gt;"",G376=""),"Enter contralateral or NA.",IF(AND(C376="",G376&lt;&gt;""),"Need data","")))</f>
        <v/>
      </c>
      <c r="M376" s="930"/>
      <c r="N376" s="930"/>
      <c r="O376" s="930"/>
      <c r="P376" s="910"/>
      <c r="Q376" s="2"/>
      <c r="R376" s="50" t="s">
        <v>1183</v>
      </c>
      <c r="S376" s="566">
        <v>150</v>
      </c>
      <c r="T376" s="50" t="str">
        <f>IF(OR(C376="",C376="NA"),"",IF(C376&gt;S376,S376,IF(C376&lt;0,0,C376)))</f>
        <v/>
      </c>
      <c r="U376" s="50" t="str">
        <f>IF(OR(G376="",G376="NA"),"",IF(G376&gt;S376,S376,IF(G376&lt;0,0,G376)))</f>
        <v/>
      </c>
      <c r="V376" s="553" t="str">
        <f>IF(Y376="","",ROUND(Y376,0))</f>
        <v/>
      </c>
      <c r="W376" s="910" t="s">
        <v>1184</v>
      </c>
      <c r="X376" s="910"/>
      <c r="Y376" s="554" t="str">
        <f>IF(T376="","",IF(OR(U376="",U376=0,U376&lt;T376),T376,(T376*S376)/U376))</f>
        <v/>
      </c>
      <c r="Z376" s="50">
        <f>IF(AND(C377&lt;&gt;"",C377&lt;&gt;"NA"),1,0)</f>
        <v>0</v>
      </c>
      <c r="AA376" s="50">
        <f>IF(AND(C376&lt;&gt;"",C376&lt;&gt;"NA"),1,0)</f>
        <v>0</v>
      </c>
      <c r="AB376" s="114">
        <f>MAX(E377,E379)</f>
        <v>0</v>
      </c>
      <c r="AD376" s="10"/>
      <c r="AE376" s="10"/>
      <c r="AF376" s="10"/>
      <c r="AG376" s="10"/>
      <c r="AH376" s="10"/>
      <c r="AI376" s="94"/>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row>
    <row r="377" spans="1:142" s="6" customFormat="1" ht="13.5" customHeight="1" x14ac:dyDescent="0.2">
      <c r="A377" s="2"/>
      <c r="B377" s="147" t="s">
        <v>1185</v>
      </c>
      <c r="C377" s="694"/>
      <c r="D377" s="694"/>
      <c r="E377" s="921">
        <f>IF(AND($Z$378&gt;0,$AA$378&gt;0),"ERROR",LETable!AJ56)</f>
        <v>0</v>
      </c>
      <c r="F377" s="921"/>
      <c r="G377" s="1203" t="str">
        <f>IF(E379="ERROR","Cannot rate ROM and ankylosis.",IF(AND(C377&lt;&gt;"",C377&lt;&gt;"NA",C379&lt;&gt;"",C379&lt;&gt;"NA"),"Multiple ankylosis values; use higher value only.",""))</f>
        <v/>
      </c>
      <c r="H377" s="1204"/>
      <c r="I377" s="1204"/>
      <c r="J377" s="1204"/>
      <c r="K377" s="1204"/>
      <c r="L377" s="1204"/>
      <c r="M377" s="1204"/>
      <c r="N377" s="1204"/>
      <c r="O377" s="1205"/>
      <c r="P377" s="910"/>
      <c r="Q377" s="2"/>
      <c r="R377" s="50">
        <f>IF(R378="ERROR",1,0)</f>
        <v>0</v>
      </c>
      <c r="S377" s="566">
        <v>150</v>
      </c>
      <c r="T377" s="50" t="str">
        <f>IF(OR(C377="",C377="NA"),"",IF(C377&gt;S377,S377,IF(C377&lt;0,0,C377)))</f>
        <v/>
      </c>
      <c r="U377" s="10"/>
      <c r="V377" s="61"/>
      <c r="W377" s="10"/>
      <c r="X377" s="10"/>
      <c r="Y377" s="130"/>
      <c r="Z377" s="50">
        <f>IF(AND(C379&lt;&gt;"",C379&lt;&gt;"NA"),1,0)</f>
        <v>0</v>
      </c>
      <c r="AA377" s="50">
        <f>IF(AND(C378&lt;&gt;"",C378&lt;&gt;"NA"),1,0)</f>
        <v>0</v>
      </c>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row>
    <row r="378" spans="1:142" s="6" customFormat="1" ht="13.5" customHeight="1" x14ac:dyDescent="0.2">
      <c r="A378" s="2"/>
      <c r="B378" s="147" t="s">
        <v>1186</v>
      </c>
      <c r="C378" s="694"/>
      <c r="D378" s="694"/>
      <c r="E378" s="921">
        <f>LETable!AJ57</f>
        <v>0</v>
      </c>
      <c r="F378" s="921"/>
      <c r="G378" s="694"/>
      <c r="H378" s="694"/>
      <c r="I378" s="694"/>
      <c r="J378" s="936">
        <f>IF(C378="",0,IF(OR(C378&gt;=150,G378&gt;=150),E378,IF(G378&gt;C378,0,LETable!AO57)))</f>
        <v>0</v>
      </c>
      <c r="K378" s="936"/>
      <c r="L378" s="930" t="str">
        <f>IF(OR(C378="NA",G378="NA"),"",IF(AND(C378&lt;&gt;"",G378=""),"Enter contralateral or NA.",IF(AND(C378="",G378&lt;&gt;""),"Need data","")))</f>
        <v/>
      </c>
      <c r="M378" s="930"/>
      <c r="N378" s="930"/>
      <c r="O378" s="930"/>
      <c r="P378" s="910"/>
      <c r="Q378" s="2"/>
      <c r="R378" s="604">
        <f>IF(OR(E377="ERROR",E379="ERROR"),"ERROR",J376+J378+AB376)</f>
        <v>0</v>
      </c>
      <c r="S378" s="566">
        <v>150</v>
      </c>
      <c r="T378" s="50" t="str">
        <f>IF(OR(C378="",C378="NA"),"",IF(C378&gt;S378,S378,IF(C378&lt;0,0,C378)))</f>
        <v/>
      </c>
      <c r="U378" s="50" t="str">
        <f>IF(OR(G378="",G378="NA"),"",IF(G378&gt;S378,S378,IF(G378&lt;0,0,G378)))</f>
        <v/>
      </c>
      <c r="V378" s="553" t="str">
        <f>IF(Y378="","",ROUND(Y378,0))</f>
        <v/>
      </c>
      <c r="W378" s="50">
        <f>IF(T378="",0,S378-T378)</f>
        <v>0</v>
      </c>
      <c r="X378" s="50">
        <f>IF(U378="",0,S378-U378)</f>
        <v>0</v>
      </c>
      <c r="Y378" s="554" t="str">
        <f>IF(T378="","",IF(OR(U378="",U378=0,U378&gt;T378),T378,S378-(W378*S378)/X378))</f>
        <v/>
      </c>
      <c r="Z378" s="50">
        <f>Z376+Z377</f>
        <v>0</v>
      </c>
      <c r="AA378" s="50">
        <f>AA376+AA377</f>
        <v>0</v>
      </c>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row>
    <row r="379" spans="1:142" s="6" customFormat="1" ht="15" customHeight="1" x14ac:dyDescent="0.2">
      <c r="A379" s="2"/>
      <c r="B379" s="147" t="s">
        <v>1187</v>
      </c>
      <c r="C379" s="694"/>
      <c r="D379" s="694"/>
      <c r="E379" s="921">
        <f>IF(AND($Z$378&gt;0,$AA$378&gt;0),"ERROR",LETable!AJ58)</f>
        <v>0</v>
      </c>
      <c r="F379" s="921"/>
      <c r="G379" s="1203" t="str">
        <f>IF(E379="ERROR","Cannot rate ROM and ankylosis.",IF(AND(C377&lt;&gt;"",C377&lt;&gt;"NA",C379&lt;&gt;"",C379&lt;&gt;"NA"),"Multiple ankylosis values; use higher value only.",""))</f>
        <v/>
      </c>
      <c r="H379" s="1204"/>
      <c r="I379" s="1204"/>
      <c r="J379" s="1204"/>
      <c r="K379" s="1204"/>
      <c r="L379" s="1204"/>
      <c r="M379" s="1204"/>
      <c r="N379" s="1204"/>
      <c r="O379" s="1205"/>
      <c r="P379" s="910"/>
      <c r="Q379" s="2"/>
      <c r="R379" s="147">
        <f>IF(R377=1,"ERROR",IF(AND(R378&gt;0,R378&lt;0.01),0.01,ROUND(R378,2)))</f>
        <v>0</v>
      </c>
      <c r="S379" s="566">
        <v>150</v>
      </c>
      <c r="T379" s="50" t="str">
        <f>IF(OR(C379="",C379="NA"),"",IF(C379&gt;S379,S379,IF(C379&lt;0,0,C379)))</f>
        <v/>
      </c>
      <c r="V379" s="58"/>
      <c r="W379" s="58"/>
      <c r="Y379" s="10"/>
      <c r="Z379" s="10"/>
      <c r="AA379" s="10"/>
      <c r="AB379" s="10"/>
      <c r="AC379" s="10"/>
      <c r="AD379" s="10"/>
      <c r="AE379" s="10"/>
      <c r="AF379" s="10"/>
      <c r="AG379" s="10"/>
      <c r="AH379" s="10"/>
      <c r="AI379" s="10"/>
      <c r="AJ379" s="39"/>
      <c r="AK379" s="39"/>
      <c r="AL379" s="39"/>
      <c r="AM379" s="39"/>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row>
    <row r="380" spans="1:142" s="6" customFormat="1" ht="13.5" customHeight="1" x14ac:dyDescent="0.25">
      <c r="A380" s="2"/>
      <c r="B380" s="1195"/>
      <c r="C380" s="1195"/>
      <c r="D380" s="1195"/>
      <c r="E380" s="1195"/>
      <c r="F380" s="1195"/>
      <c r="G380" s="1195"/>
      <c r="H380" s="1006" t="s">
        <v>1698</v>
      </c>
      <c r="I380" s="1007"/>
      <c r="J380" s="1007"/>
      <c r="K380" s="1007"/>
      <c r="L380" s="1007"/>
      <c r="M380" s="1007"/>
      <c r="N380" s="1007"/>
      <c r="O380" s="1008"/>
      <c r="P380" s="245">
        <f>IF(R379="ERROR","ERROR",IF(R379&gt;1,1,R379))</f>
        <v>0</v>
      </c>
      <c r="Q380" s="2"/>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row>
    <row r="381" spans="1:142" s="6" customFormat="1" ht="15" customHeight="1" x14ac:dyDescent="0.2">
      <c r="A381" s="2"/>
      <c r="B381" s="147" t="s">
        <v>165</v>
      </c>
      <c r="C381" s="694"/>
      <c r="D381" s="694"/>
      <c r="E381" s="921">
        <f>LETable!AJ61</f>
        <v>0</v>
      </c>
      <c r="F381" s="921"/>
      <c r="G381" s="694"/>
      <c r="H381" s="694"/>
      <c r="I381" s="694"/>
      <c r="J381" s="936">
        <f>IF(C381="",0,IF(OR(C381&lt;=0,G381&lt;=0),E381,IF(G381&lt;C381,0,LETable!AO61)))</f>
        <v>0</v>
      </c>
      <c r="K381" s="936"/>
      <c r="L381" s="1141" t="str">
        <f t="shared" ref="L381:L386" si="84">IF(OR(C381="NA",G381="NA"),"",IF(AND(C381&lt;&gt;"",G381=""),"Enter contralateral or NA.",IF(AND(C381="",G381&lt;&gt;""),"Need data","")))</f>
        <v/>
      </c>
      <c r="M381" s="1141"/>
      <c r="N381" s="1141"/>
      <c r="O381" s="1141"/>
      <c r="P381" s="1202"/>
      <c r="Q381" s="2"/>
      <c r="R381" s="10"/>
      <c r="S381" s="50">
        <v>100</v>
      </c>
      <c r="T381" s="50" t="str">
        <f t="shared" ref="T381:T386" si="85">IF(OR(C381="",C381="NA"),"",IF(C381&gt;S381,S381,IF(C381&lt;0,0,C381)))</f>
        <v/>
      </c>
      <c r="U381" s="50" t="str">
        <f t="shared" ref="U381:U386" si="86">IF(OR(G381="",G381="NA"),"",IF(G381&gt;S381,S381,IF(G381&lt;0,0,G381)))</f>
        <v/>
      </c>
      <c r="V381" s="553" t="str">
        <f t="shared" ref="V381:V386" si="87">IF(Y381="","",ROUND(Y381,0))</f>
        <v/>
      </c>
      <c r="W381" s="598"/>
      <c r="X381" s="598"/>
      <c r="Y381" s="554" t="str">
        <f t="shared" ref="Y381:Y386" si="88">IF(T381="","",IF(OR(U381="",U381=0,U381&lt;T381),T381,(T381*S381)/U381))</f>
        <v/>
      </c>
      <c r="Z381" s="10"/>
      <c r="AA381" s="742" t="s">
        <v>2291</v>
      </c>
      <c r="AB381" s="744"/>
      <c r="AC381" s="10"/>
      <c r="AD381" s="10"/>
      <c r="AE381" s="10"/>
      <c r="AF381" s="10"/>
      <c r="AG381" s="10"/>
      <c r="AH381" s="10"/>
      <c r="AI381" s="94"/>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row>
    <row r="382" spans="1:142" s="6" customFormat="1" ht="15" customHeight="1" x14ac:dyDescent="0.2">
      <c r="A382" s="2"/>
      <c r="B382" s="147" t="s">
        <v>1003</v>
      </c>
      <c r="C382" s="694"/>
      <c r="D382" s="694"/>
      <c r="E382" s="921">
        <f>LETable!AJ62</f>
        <v>0</v>
      </c>
      <c r="F382" s="921"/>
      <c r="G382" s="694"/>
      <c r="H382" s="694"/>
      <c r="I382" s="694"/>
      <c r="J382" s="936">
        <f>IF(C382="",0,IF(OR(C382&lt;=0,G382&lt;=0),E382,IF(G382&lt;C382,0,LETable!AO62)))</f>
        <v>0</v>
      </c>
      <c r="K382" s="936"/>
      <c r="L382" s="1141" t="str">
        <f t="shared" si="84"/>
        <v/>
      </c>
      <c r="M382" s="1141"/>
      <c r="N382" s="1141"/>
      <c r="O382" s="1141"/>
      <c r="P382" s="1202"/>
      <c r="Q382" s="2"/>
      <c r="R382" s="10"/>
      <c r="S382" s="50">
        <v>30</v>
      </c>
      <c r="T382" s="50" t="str">
        <f t="shared" si="85"/>
        <v/>
      </c>
      <c r="U382" s="50" t="str">
        <f t="shared" si="86"/>
        <v/>
      </c>
      <c r="V382" s="553" t="str">
        <f t="shared" si="87"/>
        <v/>
      </c>
      <c r="W382" s="10"/>
      <c r="X382" s="10"/>
      <c r="Y382" s="554" t="str">
        <f t="shared" si="88"/>
        <v/>
      </c>
      <c r="Z382" s="10"/>
      <c r="AA382" s="10"/>
      <c r="AB382" s="10"/>
      <c r="AC382" s="10"/>
      <c r="AD382" s="10"/>
      <c r="AE382" s="10"/>
      <c r="AF382" s="10"/>
      <c r="AG382" s="10"/>
      <c r="AH382" s="10"/>
      <c r="AI382" s="94"/>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row>
    <row r="383" spans="1:142" s="6" customFormat="1" ht="15" customHeight="1" x14ac:dyDescent="0.2">
      <c r="A383" s="2"/>
      <c r="B383" s="147" t="s">
        <v>1004</v>
      </c>
      <c r="C383" s="694"/>
      <c r="D383" s="694"/>
      <c r="E383" s="921">
        <f>LETable!AJ63</f>
        <v>0</v>
      </c>
      <c r="F383" s="921"/>
      <c r="G383" s="694"/>
      <c r="H383" s="694"/>
      <c r="I383" s="694"/>
      <c r="J383" s="936">
        <f>IF(C383="",0,IF(OR(C383&lt;=0,G383&lt;=0),E383,IF(G383&lt;C383,0,LETable!AO63)))</f>
        <v>0</v>
      </c>
      <c r="K383" s="936"/>
      <c r="L383" s="1141" t="str">
        <f t="shared" si="84"/>
        <v/>
      </c>
      <c r="M383" s="1141"/>
      <c r="N383" s="1141"/>
      <c r="O383" s="1141"/>
      <c r="P383" s="1202"/>
      <c r="Q383" s="2"/>
      <c r="R383" s="10"/>
      <c r="S383" s="50">
        <v>40</v>
      </c>
      <c r="T383" s="50" t="str">
        <f t="shared" si="85"/>
        <v/>
      </c>
      <c r="U383" s="50" t="str">
        <f t="shared" si="86"/>
        <v/>
      </c>
      <c r="V383" s="553" t="str">
        <f t="shared" si="87"/>
        <v/>
      </c>
      <c r="W383" s="10"/>
      <c r="X383" s="10"/>
      <c r="Y383" s="554" t="str">
        <f t="shared" si="88"/>
        <v/>
      </c>
      <c r="Z383" s="10"/>
      <c r="AA383" s="10"/>
      <c r="AB383" s="10"/>
      <c r="AC383" s="10"/>
      <c r="AD383" s="10"/>
      <c r="AE383" s="10"/>
      <c r="AF383" s="10"/>
      <c r="AG383" s="10"/>
      <c r="AH383" s="10"/>
      <c r="AI383" s="94"/>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0"/>
      <c r="EF383" s="10"/>
      <c r="EG383" s="10"/>
      <c r="EH383" s="10"/>
      <c r="EI383" s="10"/>
      <c r="EJ383" s="10"/>
      <c r="EK383" s="10"/>
      <c r="EL383" s="10"/>
    </row>
    <row r="384" spans="1:142" s="6" customFormat="1" ht="15" customHeight="1" x14ac:dyDescent="0.2">
      <c r="A384" s="2"/>
      <c r="B384" s="147" t="s">
        <v>1005</v>
      </c>
      <c r="C384" s="694"/>
      <c r="D384" s="694"/>
      <c r="E384" s="921">
        <f>LETable!AJ64</f>
        <v>0</v>
      </c>
      <c r="F384" s="921"/>
      <c r="G384" s="694"/>
      <c r="H384" s="694"/>
      <c r="I384" s="694"/>
      <c r="J384" s="936">
        <f>IF(C384="",0,IF(OR(C384&lt;=0,G384&lt;=0),E384,IF(G384&lt;C384,0,LETable!AO64)))</f>
        <v>0</v>
      </c>
      <c r="K384" s="936"/>
      <c r="L384" s="1141" t="str">
        <f t="shared" si="84"/>
        <v/>
      </c>
      <c r="M384" s="1141"/>
      <c r="N384" s="1141"/>
      <c r="O384" s="1141"/>
      <c r="P384" s="1202"/>
      <c r="Q384" s="2"/>
      <c r="R384" s="10"/>
      <c r="S384" s="50">
        <v>20</v>
      </c>
      <c r="T384" s="50" t="str">
        <f t="shared" si="85"/>
        <v/>
      </c>
      <c r="U384" s="50" t="str">
        <f t="shared" si="86"/>
        <v/>
      </c>
      <c r="V384" s="553" t="str">
        <f t="shared" si="87"/>
        <v/>
      </c>
      <c r="W384" s="10"/>
      <c r="X384" s="10"/>
      <c r="Y384" s="554" t="str">
        <f t="shared" si="88"/>
        <v/>
      </c>
      <c r="Z384" s="10"/>
      <c r="AA384" s="10"/>
      <c r="AB384" s="10"/>
      <c r="AC384" s="10"/>
      <c r="AD384" s="10"/>
      <c r="AE384" s="10"/>
      <c r="AF384" s="10"/>
      <c r="AG384" s="10"/>
      <c r="AH384" s="10"/>
      <c r="AI384" s="94"/>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row>
    <row r="385" spans="1:142" s="6" customFormat="1" ht="15" customHeight="1" x14ac:dyDescent="0.2">
      <c r="A385" s="2"/>
      <c r="B385" s="147" t="s">
        <v>616</v>
      </c>
      <c r="C385" s="694"/>
      <c r="D385" s="694"/>
      <c r="E385" s="921">
        <f>LETable!AJ65</f>
        <v>0</v>
      </c>
      <c r="F385" s="921"/>
      <c r="G385" s="694"/>
      <c r="H385" s="694"/>
      <c r="I385" s="694"/>
      <c r="J385" s="936">
        <f>IF(C385="",0,IF(OR(C385&lt;=0,G385&lt;=0),E385,IF(G385&lt;C385,0,LETable!AO65)))</f>
        <v>0</v>
      </c>
      <c r="K385" s="936"/>
      <c r="L385" s="1141" t="str">
        <f t="shared" si="84"/>
        <v/>
      </c>
      <c r="M385" s="1141"/>
      <c r="N385" s="1141"/>
      <c r="O385" s="1141"/>
      <c r="P385" s="1202"/>
      <c r="Q385" s="2"/>
      <c r="R385" s="544">
        <f>SUM(J381:K386)</f>
        <v>0</v>
      </c>
      <c r="S385" s="50">
        <v>40</v>
      </c>
      <c r="T385" s="50" t="str">
        <f t="shared" si="85"/>
        <v/>
      </c>
      <c r="U385" s="50" t="str">
        <f t="shared" si="86"/>
        <v/>
      </c>
      <c r="V385" s="553" t="str">
        <f t="shared" si="87"/>
        <v/>
      </c>
      <c r="W385" s="10"/>
      <c r="X385" s="10"/>
      <c r="Y385" s="554" t="str">
        <f t="shared" si="88"/>
        <v/>
      </c>
      <c r="Z385" s="10"/>
      <c r="AA385" s="10"/>
      <c r="AB385" s="10"/>
      <c r="AC385" s="10"/>
      <c r="AD385" s="10"/>
      <c r="AE385" s="10"/>
      <c r="AF385" s="10"/>
      <c r="AG385" s="10"/>
      <c r="AH385" s="10"/>
      <c r="AI385" s="94"/>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row>
    <row r="386" spans="1:142" s="6" customFormat="1" ht="15" customHeight="1" x14ac:dyDescent="0.2">
      <c r="A386" s="2"/>
      <c r="B386" s="147" t="s">
        <v>617</v>
      </c>
      <c r="C386" s="694"/>
      <c r="D386" s="694"/>
      <c r="E386" s="921">
        <f>LETable!AJ66</f>
        <v>0</v>
      </c>
      <c r="F386" s="921"/>
      <c r="G386" s="694"/>
      <c r="H386" s="694"/>
      <c r="I386" s="694"/>
      <c r="J386" s="936">
        <f>IF(C386="",0,IF(OR(C386&lt;=0,G386&lt;=0),E386,IF(G386&lt;C386,0,LETable!AO66)))</f>
        <v>0</v>
      </c>
      <c r="K386" s="936"/>
      <c r="L386" s="1141" t="str">
        <f t="shared" si="84"/>
        <v/>
      </c>
      <c r="M386" s="1141"/>
      <c r="N386" s="1141"/>
      <c r="O386" s="1141"/>
      <c r="P386" s="1202"/>
      <c r="Q386" s="2"/>
      <c r="R386" s="147">
        <f>IF(AND(R385&gt;0,R385&lt;0.01),0.01,ROUND(R385,2))</f>
        <v>0</v>
      </c>
      <c r="S386" s="50">
        <v>50</v>
      </c>
      <c r="T386" s="50" t="str">
        <f t="shared" si="85"/>
        <v/>
      </c>
      <c r="U386" s="50" t="str">
        <f t="shared" si="86"/>
        <v/>
      </c>
      <c r="V386" s="553" t="str">
        <f t="shared" si="87"/>
        <v/>
      </c>
      <c r="W386" s="568"/>
      <c r="X386" s="568"/>
      <c r="Y386" s="554" t="str">
        <f t="shared" si="88"/>
        <v/>
      </c>
      <c r="Z386" s="10"/>
      <c r="AA386" s="10"/>
      <c r="AB386" s="10"/>
      <c r="AC386" s="10"/>
      <c r="AD386" s="10"/>
      <c r="AE386" s="10"/>
      <c r="AF386" s="10"/>
      <c r="AG386" s="10"/>
      <c r="AH386" s="10"/>
      <c r="AI386" s="94"/>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row>
    <row r="387" spans="1:142" s="6" customFormat="1" ht="15" customHeight="1" x14ac:dyDescent="0.2">
      <c r="A387" s="2"/>
      <c r="B387" s="1006" t="s">
        <v>1699</v>
      </c>
      <c r="C387" s="1007"/>
      <c r="D387" s="1007"/>
      <c r="E387" s="1007"/>
      <c r="F387" s="1007"/>
      <c r="G387" s="1007"/>
      <c r="H387" s="1007"/>
      <c r="I387" s="1007"/>
      <c r="J387" s="1007"/>
      <c r="K387" s="1007"/>
      <c r="L387" s="1007"/>
      <c r="M387" s="1007"/>
      <c r="N387" s="1007"/>
      <c r="O387" s="1008"/>
      <c r="P387" s="245">
        <f>IF(R386&gt;1,1,R386)</f>
        <v>0</v>
      </c>
      <c r="Q387" s="2"/>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row>
    <row r="388" spans="1:142" s="6" customFormat="1" ht="12" customHeight="1" x14ac:dyDescent="0.25">
      <c r="A388" s="2"/>
      <c r="B388" s="1137"/>
      <c r="C388" s="1137"/>
      <c r="D388" s="1137"/>
      <c r="E388" s="1137"/>
      <c r="F388" s="1137"/>
      <c r="G388" s="1137"/>
      <c r="H388" s="1137"/>
      <c r="I388" s="1137"/>
      <c r="J388" s="1137"/>
      <c r="K388" s="1137"/>
      <c r="L388" s="1137"/>
      <c r="M388" s="1137"/>
      <c r="N388" s="1137"/>
      <c r="O388" s="1137"/>
      <c r="P388" s="63"/>
      <c r="Q388" s="2"/>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10"/>
      <c r="ED388" s="10"/>
      <c r="EE388" s="10"/>
      <c r="EF388" s="10"/>
      <c r="EG388" s="10"/>
      <c r="EH388" s="10"/>
      <c r="EI388" s="10"/>
      <c r="EJ388" s="10"/>
      <c r="EK388" s="10"/>
      <c r="EL388" s="10"/>
    </row>
    <row r="389" spans="1:142" s="6" customFormat="1" ht="18" customHeight="1" x14ac:dyDescent="0.2">
      <c r="A389" s="2"/>
      <c r="B389" s="1161" t="s">
        <v>1433</v>
      </c>
      <c r="C389" s="1161"/>
      <c r="D389" s="1161"/>
      <c r="E389" s="1161"/>
      <c r="F389" s="1161"/>
      <c r="G389" s="1161"/>
      <c r="H389" s="1161"/>
      <c r="I389" s="1161"/>
      <c r="J389" s="1161"/>
      <c r="K389" s="1161"/>
      <c r="L389" s="1161"/>
      <c r="M389" s="1161"/>
      <c r="N389" s="1161"/>
      <c r="O389" s="1161"/>
      <c r="P389" s="1199"/>
      <c r="Q389" s="2"/>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row>
    <row r="390" spans="1:142" s="6" customFormat="1" ht="27" customHeight="1" x14ac:dyDescent="0.2">
      <c r="A390" s="2"/>
      <c r="B390" s="761" t="s">
        <v>595</v>
      </c>
      <c r="C390" s="761"/>
      <c r="D390" s="761"/>
      <c r="E390" s="761"/>
      <c r="F390" s="761"/>
      <c r="G390" s="761"/>
      <c r="H390" s="761"/>
      <c r="I390" s="761"/>
      <c r="J390" s="761"/>
      <c r="K390" s="761"/>
      <c r="L390" s="761"/>
      <c r="M390" s="761"/>
      <c r="N390" s="761"/>
      <c r="O390" s="761"/>
      <c r="P390" s="1199"/>
      <c r="Q390" s="2"/>
      <c r="R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row>
    <row r="391" spans="1:142" s="6" customFormat="1" ht="18" customHeight="1" x14ac:dyDescent="0.2">
      <c r="A391" s="2"/>
      <c r="B391" s="289" t="s">
        <v>147</v>
      </c>
      <c r="C391" s="1030"/>
      <c r="D391" s="1198"/>
      <c r="E391" s="1198"/>
      <c r="F391" s="1198"/>
      <c r="G391" s="1198"/>
      <c r="H391" s="1198"/>
      <c r="I391" s="1198"/>
      <c r="J391" s="1198"/>
      <c r="K391" s="1198"/>
      <c r="L391" s="1198"/>
      <c r="M391" s="1198"/>
      <c r="N391" s="1198"/>
      <c r="O391" s="1198"/>
      <c r="P391" s="82">
        <f>IF(C391=S391,0,IF(C391=T391,0.05,IF(C391=U391,0.1,IF(C391=V391,0.15,IF(C391=W391,0.2,0)))))</f>
        <v>0</v>
      </c>
      <c r="Q391" s="2"/>
      <c r="R391" s="336" t="s">
        <v>2147</v>
      </c>
      <c r="S391" s="50" t="s">
        <v>1901</v>
      </c>
      <c r="T391" s="50" t="s">
        <v>596</v>
      </c>
      <c r="U391" s="50" t="s">
        <v>597</v>
      </c>
      <c r="V391" s="50" t="s">
        <v>145</v>
      </c>
      <c r="W391" s="50" t="s">
        <v>146</v>
      </c>
      <c r="X391" s="5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row>
    <row r="392" spans="1:142" s="6" customFormat="1" ht="12" customHeight="1" x14ac:dyDescent="0.25">
      <c r="A392" s="2"/>
      <c r="B392" s="1137"/>
      <c r="C392" s="1137"/>
      <c r="D392" s="1137"/>
      <c r="E392" s="1137"/>
      <c r="F392" s="1137"/>
      <c r="G392" s="1137"/>
      <c r="H392" s="1137"/>
      <c r="I392" s="1137"/>
      <c r="J392" s="1137"/>
      <c r="K392" s="1137"/>
      <c r="L392" s="1137"/>
      <c r="M392" s="1137"/>
      <c r="N392" s="1137"/>
      <c r="O392" s="1137"/>
      <c r="P392" s="63"/>
      <c r="Q392" s="2"/>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row>
    <row r="393" spans="1:142" s="6" customFormat="1" ht="18" customHeight="1" x14ac:dyDescent="0.2">
      <c r="A393" s="2"/>
      <c r="B393" s="1161" t="s">
        <v>1434</v>
      </c>
      <c r="C393" s="1161"/>
      <c r="D393" s="1161"/>
      <c r="E393" s="1161"/>
      <c r="F393" s="1161"/>
      <c r="G393" s="1161"/>
      <c r="H393" s="1161"/>
      <c r="I393" s="1161"/>
      <c r="J393" s="1161"/>
      <c r="K393" s="1161"/>
      <c r="L393" s="1161"/>
      <c r="M393" s="1161"/>
      <c r="N393" s="1161"/>
      <c r="O393" s="1161"/>
      <c r="P393" s="1199"/>
      <c r="Q393" s="2"/>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row>
    <row r="394" spans="1:142" s="6" customFormat="1" ht="40.5" customHeight="1" x14ac:dyDescent="0.2">
      <c r="A394" s="2"/>
      <c r="B394" s="761" t="s">
        <v>333</v>
      </c>
      <c r="C394" s="761"/>
      <c r="D394" s="761"/>
      <c r="E394" s="761"/>
      <c r="F394" s="761"/>
      <c r="G394" s="761"/>
      <c r="H394" s="761"/>
      <c r="I394" s="761"/>
      <c r="J394" s="761"/>
      <c r="K394" s="761"/>
      <c r="L394" s="761"/>
      <c r="M394" s="761"/>
      <c r="N394" s="761"/>
      <c r="O394" s="761"/>
      <c r="P394" s="1199"/>
      <c r="Q394" s="2"/>
      <c r="R394" s="10"/>
      <c r="S394" s="50" t="s">
        <v>1901</v>
      </c>
      <c r="T394" s="256" t="s">
        <v>149</v>
      </c>
      <c r="U394" s="256" t="s">
        <v>150</v>
      </c>
      <c r="V394" s="256" t="s">
        <v>1288</v>
      </c>
      <c r="W394" s="10"/>
      <c r="X394" s="10"/>
      <c r="Y394" s="50" t="s">
        <v>1285</v>
      </c>
      <c r="Z394" s="50" t="s">
        <v>1286</v>
      </c>
      <c r="AA394" s="50" t="s">
        <v>1287</v>
      </c>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row>
    <row r="395" spans="1:142" s="6" customFormat="1" ht="18" customHeight="1" x14ac:dyDescent="0.25">
      <c r="A395" s="2"/>
      <c r="B395" s="19" t="s">
        <v>1289</v>
      </c>
      <c r="C395" s="912" t="s">
        <v>1290</v>
      </c>
      <c r="D395" s="912"/>
      <c r="E395" s="912"/>
      <c r="F395" s="912"/>
      <c r="G395" s="912"/>
      <c r="H395" s="912"/>
      <c r="I395" s="912"/>
      <c r="J395" s="912"/>
      <c r="K395" s="912"/>
      <c r="L395" s="912"/>
      <c r="M395" s="912"/>
      <c r="N395" s="912"/>
      <c r="O395" s="912"/>
      <c r="P395" s="297"/>
      <c r="Q395" s="2"/>
      <c r="R395" s="10"/>
      <c r="S395" s="147">
        <v>0</v>
      </c>
      <c r="T395" s="147">
        <v>0.05</v>
      </c>
      <c r="U395" s="147">
        <v>0.1</v>
      </c>
      <c r="V395" s="147">
        <v>0.15</v>
      </c>
      <c r="W395" s="10"/>
      <c r="X395" s="10"/>
      <c r="Y395" s="514">
        <f>LARGE($O$396:$O$399,1)</f>
        <v>0</v>
      </c>
      <c r="Z395" s="544">
        <f>Y395+Y396*(1-Y395)</f>
        <v>0</v>
      </c>
      <c r="AA395" s="548">
        <f>ROUND(Z395,2)</f>
        <v>0</v>
      </c>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row>
    <row r="396" spans="1:142" s="6" customFormat="1" ht="15" customHeight="1" x14ac:dyDescent="0.2">
      <c r="A396" s="2"/>
      <c r="B396" s="289" t="s">
        <v>1291</v>
      </c>
      <c r="C396" s="1030"/>
      <c r="D396" s="1030"/>
      <c r="E396" s="1030"/>
      <c r="F396" s="1030"/>
      <c r="G396" s="1030"/>
      <c r="H396" s="1030"/>
      <c r="I396" s="1030"/>
      <c r="J396" s="1030"/>
      <c r="K396" s="1030"/>
      <c r="L396" s="1030"/>
      <c r="M396" s="1030"/>
      <c r="N396" s="1030"/>
      <c r="O396" s="82">
        <f>IF(AND(S416=1,R396=1),0,SUMIF(S394:V394,C396,S395:W395))</f>
        <v>0</v>
      </c>
      <c r="P396" s="910"/>
      <c r="Q396" s="2"/>
      <c r="R396" s="277">
        <f>IF(C396=$T$394,1,0)</f>
        <v>0</v>
      </c>
      <c r="S396" s="147">
        <v>0</v>
      </c>
      <c r="T396" s="147">
        <v>0.1</v>
      </c>
      <c r="U396" s="147">
        <v>0.15</v>
      </c>
      <c r="V396" s="147">
        <v>0.2</v>
      </c>
      <c r="W396" s="14"/>
      <c r="X396" s="10"/>
      <c r="Y396" s="514">
        <f>LARGE($O$396:$O$399,2)</f>
        <v>0</v>
      </c>
      <c r="Z396" s="544">
        <f>AA395+Y397*(1-AA395)</f>
        <v>0</v>
      </c>
      <c r="AA396" s="548">
        <f>ROUND(Z396,2)</f>
        <v>0</v>
      </c>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row>
    <row r="397" spans="1:142" s="6" customFormat="1" ht="15" customHeight="1" x14ac:dyDescent="0.2">
      <c r="A397" s="2"/>
      <c r="B397" s="289" t="s">
        <v>1292</v>
      </c>
      <c r="C397" s="1030"/>
      <c r="D397" s="1030"/>
      <c r="E397" s="1030"/>
      <c r="F397" s="1030"/>
      <c r="G397" s="1030"/>
      <c r="H397" s="1030"/>
      <c r="I397" s="1030"/>
      <c r="J397" s="1030"/>
      <c r="K397" s="1030"/>
      <c r="L397" s="1030"/>
      <c r="M397" s="1030"/>
      <c r="N397" s="1030"/>
      <c r="O397" s="82">
        <f>IF(AND(S416=1,R397=1),0,SUMIF(S394:V394,C397,S395:V395))</f>
        <v>0</v>
      </c>
      <c r="P397" s="910"/>
      <c r="Q397" s="2"/>
      <c r="R397" s="50">
        <f>IF(C397=$T$394,1,0)</f>
        <v>0</v>
      </c>
      <c r="S397" s="10"/>
      <c r="T397" s="10"/>
      <c r="U397" s="10"/>
      <c r="V397" s="10"/>
      <c r="W397" s="10"/>
      <c r="X397" s="10"/>
      <c r="Y397" s="514">
        <f>LARGE($O$396:$O$399,3)</f>
        <v>0</v>
      </c>
      <c r="Z397" s="544">
        <f>AA396+Y398*(1-AA396)</f>
        <v>0</v>
      </c>
      <c r="AA397" s="548">
        <f>ROUND(Z397,2)</f>
        <v>0</v>
      </c>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row>
    <row r="398" spans="1:142" s="6" customFormat="1" ht="15" customHeight="1" x14ac:dyDescent="0.2">
      <c r="A398" s="2"/>
      <c r="B398" s="289" t="s">
        <v>1293</v>
      </c>
      <c r="C398" s="1030"/>
      <c r="D398" s="1030"/>
      <c r="E398" s="1030"/>
      <c r="F398" s="1030"/>
      <c r="G398" s="1030"/>
      <c r="H398" s="1030"/>
      <c r="I398" s="1030"/>
      <c r="J398" s="1030"/>
      <c r="K398" s="1030"/>
      <c r="L398" s="1030"/>
      <c r="M398" s="1030"/>
      <c r="N398" s="1030"/>
      <c r="O398" s="82">
        <f>IF(AND(S416=1,R398=1),0,SUMIF(S394:V394,C398,S396:V396))</f>
        <v>0</v>
      </c>
      <c r="P398" s="910"/>
      <c r="Q398" s="2"/>
      <c r="R398" s="50">
        <f>IF(C398=$T$394,1,0)</f>
        <v>0</v>
      </c>
      <c r="S398" s="10"/>
      <c r="T398" s="10"/>
      <c r="U398" s="10"/>
      <c r="V398" s="10"/>
      <c r="W398" s="10"/>
      <c r="X398" s="10"/>
      <c r="Y398" s="514">
        <f>LARGE($O$396:$O$399,4)</f>
        <v>0</v>
      </c>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row>
    <row r="399" spans="1:142" s="6" customFormat="1" ht="15" customHeight="1" x14ac:dyDescent="0.2">
      <c r="A399" s="2"/>
      <c r="B399" s="289" t="s">
        <v>1294</v>
      </c>
      <c r="C399" s="1030"/>
      <c r="D399" s="1030"/>
      <c r="E399" s="1030"/>
      <c r="F399" s="1030"/>
      <c r="G399" s="1030"/>
      <c r="H399" s="1030"/>
      <c r="I399" s="1030"/>
      <c r="J399" s="1030"/>
      <c r="K399" s="1030"/>
      <c r="L399" s="1030"/>
      <c r="M399" s="1030"/>
      <c r="N399" s="1030"/>
      <c r="O399" s="82">
        <f>IF(AND(S416=1,R399=1),0,SUMIF(S394:V394,C399,S396:V396))</f>
        <v>0</v>
      </c>
      <c r="P399" s="910"/>
      <c r="Q399" s="2"/>
      <c r="R399" s="50">
        <f>IF(C399=$T$394,1,0)</f>
        <v>0</v>
      </c>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row>
    <row r="400" spans="1:142" s="6" customFormat="1" ht="27" customHeight="1" x14ac:dyDescent="0.2">
      <c r="A400" s="2"/>
      <c r="B400" s="1175" t="str">
        <f>IF(AND(S416=1,R400&gt;0),"When there is a prosthetic knee replacement, instability only receives a value if the severity is Grade 2 or greater.","")</f>
        <v/>
      </c>
      <c r="C400" s="1176"/>
      <c r="D400" s="1176"/>
      <c r="E400" s="1176"/>
      <c r="F400" s="1176"/>
      <c r="G400" s="1176"/>
      <c r="H400" s="1176"/>
      <c r="I400" s="1177"/>
      <c r="J400" s="1299" t="s">
        <v>1295</v>
      </c>
      <c r="K400" s="1299"/>
      <c r="L400" s="1299"/>
      <c r="M400" s="1299"/>
      <c r="N400" s="1299"/>
      <c r="O400" s="1299"/>
      <c r="P400" s="82">
        <f>AA397</f>
        <v>0</v>
      </c>
      <c r="Q400" s="2"/>
      <c r="R400" s="50">
        <f>SUM(R396:R399)</f>
        <v>0</v>
      </c>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row>
    <row r="401" spans="1:142" s="6" customFormat="1" ht="12" customHeight="1" x14ac:dyDescent="0.25">
      <c r="A401" s="2"/>
      <c r="B401" s="1137"/>
      <c r="C401" s="1137"/>
      <c r="D401" s="1137"/>
      <c r="E401" s="1137"/>
      <c r="F401" s="1137"/>
      <c r="G401" s="1137"/>
      <c r="H401" s="1137"/>
      <c r="I401" s="1137"/>
      <c r="J401" s="1137"/>
      <c r="K401" s="1137"/>
      <c r="L401" s="1137"/>
      <c r="M401" s="1137"/>
      <c r="N401" s="1137"/>
      <c r="O401" s="1137"/>
      <c r="P401" s="2"/>
      <c r="Q401" s="2"/>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row>
    <row r="402" spans="1:142" s="6" customFormat="1" ht="15" x14ac:dyDescent="0.25">
      <c r="A402" s="2"/>
      <c r="B402" s="910" t="s">
        <v>934</v>
      </c>
      <c r="C402" s="910"/>
      <c r="D402" s="910"/>
      <c r="E402" s="910"/>
      <c r="F402" s="910"/>
      <c r="G402" s="910"/>
      <c r="H402" s="910"/>
      <c r="I402" s="910"/>
      <c r="J402" s="910"/>
      <c r="K402" s="910"/>
      <c r="L402" s="910"/>
      <c r="M402" s="910"/>
      <c r="N402" s="910"/>
      <c r="O402" s="910"/>
      <c r="P402" s="380"/>
      <c r="Q402" s="2"/>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row>
    <row r="403" spans="1:142" s="6" customFormat="1" ht="18" customHeight="1" x14ac:dyDescent="0.2">
      <c r="A403" s="15"/>
      <c r="B403" s="146" t="s">
        <v>1297</v>
      </c>
      <c r="C403" s="910"/>
      <c r="D403" s="910"/>
      <c r="E403" s="910"/>
      <c r="F403" s="910"/>
      <c r="G403" s="910"/>
      <c r="H403" s="910"/>
      <c r="I403" s="910"/>
      <c r="J403" s="910"/>
      <c r="K403" s="910"/>
      <c r="L403" s="910"/>
      <c r="M403" s="910"/>
      <c r="N403" s="910"/>
      <c r="O403" s="910"/>
      <c r="P403" s="82">
        <f>IF(R403=1,0,IF(R403=2,0.1,IF(R403=3,0.1)))</f>
        <v>0</v>
      </c>
      <c r="Q403" s="2"/>
      <c r="R403" s="546">
        <v>1</v>
      </c>
      <c r="S403" s="10"/>
      <c r="T403" s="10"/>
      <c r="U403" s="10"/>
      <c r="V403" s="10"/>
      <c r="W403" s="10">
        <v>1E-4</v>
      </c>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row>
    <row r="404" spans="1:142" s="6" customFormat="1" ht="12" customHeight="1" x14ac:dyDescent="0.25">
      <c r="A404" s="2"/>
      <c r="B404" s="1137"/>
      <c r="C404" s="1137"/>
      <c r="D404" s="1137"/>
      <c r="E404" s="1137"/>
      <c r="F404" s="1137"/>
      <c r="G404" s="1137"/>
      <c r="H404" s="1137"/>
      <c r="I404" s="1137"/>
      <c r="J404" s="1137"/>
      <c r="K404" s="1137"/>
      <c r="L404" s="1137"/>
      <c r="M404" s="1137"/>
      <c r="N404" s="1137"/>
      <c r="O404" s="1137"/>
      <c r="P404" s="2"/>
      <c r="Q404" s="2"/>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row>
    <row r="405" spans="1:142" s="6" customFormat="1" ht="18" customHeight="1" x14ac:dyDescent="0.25">
      <c r="A405" s="2"/>
      <c r="B405" s="910" t="s">
        <v>1881</v>
      </c>
      <c r="C405" s="910"/>
      <c r="D405" s="910"/>
      <c r="E405" s="910"/>
      <c r="F405" s="910"/>
      <c r="G405" s="910"/>
      <c r="H405" s="910"/>
      <c r="I405" s="910"/>
      <c r="J405" s="910"/>
      <c r="K405" s="910"/>
      <c r="L405" s="910"/>
      <c r="M405" s="910"/>
      <c r="N405" s="910"/>
      <c r="O405" s="910"/>
      <c r="P405" s="380"/>
      <c r="Q405" s="2"/>
      <c r="R405" s="947" t="s">
        <v>2177</v>
      </c>
      <c r="S405" s="50" t="s">
        <v>1901</v>
      </c>
      <c r="T405" s="50" t="s">
        <v>1812</v>
      </c>
      <c r="U405" s="50" t="s">
        <v>1813</v>
      </c>
      <c r="V405" s="50" t="s">
        <v>1814</v>
      </c>
      <c r="W405" s="50" t="s">
        <v>1815</v>
      </c>
      <c r="X405" s="50" t="s">
        <v>1816</v>
      </c>
      <c r="Y405" s="50" t="s">
        <v>1817</v>
      </c>
      <c r="Z405" s="50" t="s">
        <v>1818</v>
      </c>
      <c r="AA405" s="50" t="s">
        <v>1819</v>
      </c>
      <c r="AB405" s="50" t="s">
        <v>1820</v>
      </c>
      <c r="AC405" s="50" t="s">
        <v>1314</v>
      </c>
      <c r="AD405" s="50" t="s">
        <v>476</v>
      </c>
      <c r="AE405" s="50" t="s">
        <v>477</v>
      </c>
      <c r="AF405" s="50" t="s">
        <v>478</v>
      </c>
      <c r="AG405" s="50" t="s">
        <v>479</v>
      </c>
      <c r="AH405" s="50" t="s">
        <v>480</v>
      </c>
      <c r="AI405" s="50" t="s">
        <v>481</v>
      </c>
      <c r="AJ405" s="50" t="s">
        <v>482</v>
      </c>
      <c r="AK405" s="50" t="s">
        <v>483</v>
      </c>
      <c r="AL405" s="50" t="s">
        <v>484</v>
      </c>
      <c r="AM405" s="50" t="s">
        <v>1731</v>
      </c>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row>
    <row r="406" spans="1:142" s="6" customFormat="1" ht="18" customHeight="1" x14ac:dyDescent="0.2">
      <c r="A406" s="2"/>
      <c r="B406" s="146" t="s">
        <v>1732</v>
      </c>
      <c r="C406" s="1030"/>
      <c r="D406" s="1030"/>
      <c r="E406" s="1030"/>
      <c r="F406" s="1030"/>
      <c r="G406" s="1030"/>
      <c r="H406" s="1030"/>
      <c r="I406" s="1030"/>
      <c r="J406" s="1030"/>
      <c r="K406" s="1030"/>
      <c r="L406" s="1030"/>
      <c r="M406" s="1030"/>
      <c r="N406" s="1030"/>
      <c r="O406" s="1030"/>
      <c r="P406" s="82">
        <f>SUMIF(S405:AM405,C406,S406:AM406)</f>
        <v>0</v>
      </c>
      <c r="Q406" s="2"/>
      <c r="R406" s="863"/>
      <c r="S406" s="514">
        <v>0</v>
      </c>
      <c r="T406" s="514">
        <v>0.17</v>
      </c>
      <c r="U406" s="514">
        <v>0.26</v>
      </c>
      <c r="V406" s="514">
        <v>0.26</v>
      </c>
      <c r="W406" s="514">
        <v>0.27</v>
      </c>
      <c r="X406" s="514">
        <v>0.28000000000000003</v>
      </c>
      <c r="Y406" s="514">
        <v>0.28999999999999998</v>
      </c>
      <c r="Z406" s="514">
        <v>0.3</v>
      </c>
      <c r="AA406" s="514">
        <v>0.31</v>
      </c>
      <c r="AB406" s="514">
        <v>0.32</v>
      </c>
      <c r="AC406" s="514">
        <v>0.33</v>
      </c>
      <c r="AD406" s="514">
        <v>0.34</v>
      </c>
      <c r="AE406" s="514">
        <v>0.35</v>
      </c>
      <c r="AF406" s="514">
        <v>0.36</v>
      </c>
      <c r="AG406" s="514">
        <v>0.37</v>
      </c>
      <c r="AH406" s="514">
        <v>0.38</v>
      </c>
      <c r="AI406" s="514">
        <v>0.39</v>
      </c>
      <c r="AJ406" s="514">
        <v>0.4</v>
      </c>
      <c r="AK406" s="514">
        <v>0.41</v>
      </c>
      <c r="AL406" s="514">
        <v>0.42</v>
      </c>
      <c r="AM406" s="514">
        <v>0.43</v>
      </c>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row>
    <row r="407" spans="1:142" s="6" customFormat="1" ht="12" customHeight="1" x14ac:dyDescent="0.2">
      <c r="A407" s="2"/>
      <c r="B407" s="777"/>
      <c r="C407" s="777"/>
      <c r="D407" s="777"/>
      <c r="E407" s="777"/>
      <c r="F407" s="777"/>
      <c r="G407" s="777"/>
      <c r="H407" s="777"/>
      <c r="I407" s="777"/>
      <c r="J407" s="777"/>
      <c r="K407" s="777"/>
      <c r="L407" s="777"/>
      <c r="M407" s="777"/>
      <c r="N407" s="777"/>
      <c r="O407" s="777"/>
      <c r="P407" s="777"/>
      <c r="Q407" s="2"/>
      <c r="R407" s="10"/>
      <c r="S407" s="97"/>
      <c r="T407" s="97"/>
      <c r="U407" s="97"/>
      <c r="V407" s="97"/>
      <c r="W407" s="97"/>
      <c r="X407" s="97"/>
      <c r="Y407" s="97"/>
      <c r="Z407" s="97"/>
      <c r="AA407" s="97"/>
      <c r="AB407" s="97"/>
      <c r="AC407" s="97"/>
      <c r="AD407" s="97"/>
      <c r="AE407" s="97"/>
      <c r="AF407" s="97"/>
      <c r="AG407" s="97"/>
      <c r="AH407" s="97"/>
      <c r="AI407" s="97"/>
      <c r="AJ407" s="97"/>
      <c r="AK407" s="97"/>
      <c r="AL407" s="97"/>
      <c r="AM407" s="97"/>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row>
    <row r="408" spans="1:142" s="6" customFormat="1" ht="7.5" customHeight="1" x14ac:dyDescent="0.25">
      <c r="A408" s="2"/>
      <c r="B408" s="1137"/>
      <c r="C408" s="1137"/>
      <c r="D408" s="1137"/>
      <c r="E408" s="1137"/>
      <c r="F408" s="1137"/>
      <c r="G408" s="1137"/>
      <c r="H408" s="1137"/>
      <c r="I408" s="1137"/>
      <c r="J408" s="1137"/>
      <c r="K408" s="1137"/>
      <c r="L408" s="1137"/>
      <c r="M408" s="1137"/>
      <c r="N408" s="1137"/>
      <c r="O408" s="1137"/>
      <c r="P408" s="1137"/>
      <c r="Q408" s="2"/>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97"/>
      <c r="AO408" s="97"/>
      <c r="AP408" s="97"/>
      <c r="AQ408" s="97"/>
      <c r="AR408" s="97"/>
      <c r="AS408" s="97"/>
      <c r="AT408" s="97"/>
      <c r="AU408" s="97"/>
      <c r="AV408" s="97"/>
      <c r="AW408" s="97"/>
      <c r="AX408" s="97"/>
      <c r="AY408" s="97"/>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0"/>
      <c r="EF408" s="10"/>
      <c r="EG408" s="10"/>
      <c r="EH408" s="10"/>
      <c r="EI408" s="10"/>
      <c r="EJ408" s="10"/>
      <c r="EK408" s="10"/>
      <c r="EL408" s="10"/>
    </row>
    <row r="409" spans="1:142" s="6" customFormat="1" ht="18" customHeight="1" x14ac:dyDescent="0.25">
      <c r="A409" s="2"/>
      <c r="B409" s="910" t="s">
        <v>1882</v>
      </c>
      <c r="C409" s="910"/>
      <c r="D409" s="910"/>
      <c r="E409" s="910"/>
      <c r="F409" s="910"/>
      <c r="G409" s="910"/>
      <c r="H409" s="910"/>
      <c r="I409" s="910"/>
      <c r="J409" s="910"/>
      <c r="K409" s="910"/>
      <c r="L409" s="910"/>
      <c r="M409" s="910"/>
      <c r="N409" s="910"/>
      <c r="O409" s="910"/>
      <c r="P409" s="297"/>
      <c r="Q409" s="2"/>
      <c r="R409" s="947" t="s">
        <v>2177</v>
      </c>
      <c r="S409" s="147" t="s">
        <v>301</v>
      </c>
      <c r="T409" s="50" t="s">
        <v>302</v>
      </c>
      <c r="U409" s="50" t="s">
        <v>1471</v>
      </c>
      <c r="V409" s="50" t="s">
        <v>303</v>
      </c>
      <c r="W409" s="50" t="s">
        <v>1335</v>
      </c>
      <c r="X409" s="10"/>
      <c r="Y409" s="135"/>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c r="DO409" s="10"/>
      <c r="DP409" s="10"/>
      <c r="DQ409" s="10"/>
      <c r="DR409" s="10"/>
      <c r="DS409" s="10"/>
      <c r="DT409" s="10"/>
      <c r="DU409" s="10"/>
      <c r="DV409" s="10"/>
      <c r="DW409" s="10"/>
      <c r="DX409" s="10"/>
      <c r="DY409" s="10"/>
      <c r="DZ409" s="10"/>
      <c r="EA409" s="10"/>
      <c r="EB409" s="10"/>
      <c r="EC409" s="10"/>
      <c r="ED409" s="10"/>
      <c r="EE409" s="10"/>
      <c r="EF409" s="10"/>
      <c r="EG409" s="10"/>
      <c r="EH409" s="10"/>
      <c r="EI409" s="10"/>
      <c r="EJ409" s="10"/>
      <c r="EK409" s="10"/>
      <c r="EL409" s="10"/>
    </row>
    <row r="410" spans="1:142" s="6" customFormat="1" ht="18" customHeight="1" x14ac:dyDescent="0.2">
      <c r="A410" s="15"/>
      <c r="B410" s="1152" t="s">
        <v>1470</v>
      </c>
      <c r="C410" s="694"/>
      <c r="D410" s="694"/>
      <c r="E410" s="694"/>
      <c r="F410" s="694"/>
      <c r="G410" s="694"/>
      <c r="H410" s="694"/>
      <c r="I410" s="694"/>
      <c r="J410" s="694"/>
      <c r="K410" s="694"/>
      <c r="L410" s="694"/>
      <c r="M410" s="694"/>
      <c r="N410" s="694"/>
      <c r="O410" s="694"/>
      <c r="P410" s="21">
        <f>IF(S416=1,0,SUMIF(S409:X409,C410,S410:X410))</f>
        <v>0</v>
      </c>
      <c r="Q410" s="2"/>
      <c r="R410" s="863"/>
      <c r="S410" s="147">
        <v>0.05</v>
      </c>
      <c r="T410" s="147">
        <v>0.1</v>
      </c>
      <c r="U410" s="548">
        <v>0.05</v>
      </c>
      <c r="V410" s="147">
        <v>0.15</v>
      </c>
      <c r="W410" s="147">
        <v>0.25</v>
      </c>
      <c r="X410" s="14"/>
      <c r="Y410" s="97"/>
      <c r="Z410" s="14"/>
      <c r="AA410" s="10"/>
      <c r="AB410" s="14"/>
      <c r="AC410" s="10"/>
      <c r="AD410" s="10"/>
      <c r="AE410" s="10"/>
      <c r="AF410" s="10"/>
      <c r="AG410" s="10"/>
      <c r="AH410" s="10"/>
      <c r="AI410" s="94"/>
      <c r="AJ410" s="724"/>
      <c r="AK410" s="724"/>
      <c r="AL410" s="724"/>
      <c r="AM410" s="724"/>
      <c r="AN410" s="724"/>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row>
    <row r="411" spans="1:142" s="6" customFormat="1" ht="18" customHeight="1" x14ac:dyDescent="0.2">
      <c r="A411" s="15"/>
      <c r="B411" s="1153"/>
      <c r="C411" s="944" t="str">
        <f>IF(S416=1,"",IF(P411&gt;0,"(For partial loss of both menisci, each loss is valued at 5%.)",""))</f>
        <v/>
      </c>
      <c r="D411" s="945"/>
      <c r="E411" s="945"/>
      <c r="F411" s="945"/>
      <c r="G411" s="945"/>
      <c r="H411" s="945"/>
      <c r="I411" s="945"/>
      <c r="J411" s="945"/>
      <c r="K411" s="945"/>
      <c r="L411" s="945"/>
      <c r="M411" s="945"/>
      <c r="N411" s="945"/>
      <c r="O411" s="946"/>
      <c r="P411" s="21">
        <f>IF(S416=1,0,IF(C410=U409,0.05,0))</f>
        <v>0</v>
      </c>
      <c r="Q411" s="2"/>
      <c r="R411" s="10"/>
      <c r="S411" s="14"/>
      <c r="T411" s="14"/>
      <c r="U411" s="14"/>
      <c r="V411" s="14"/>
      <c r="W411" s="14"/>
      <c r="X411" s="14"/>
      <c r="Y411" s="97"/>
      <c r="Z411" s="14"/>
      <c r="AA411" s="10"/>
      <c r="AB411" s="14"/>
      <c r="AC411" s="10"/>
      <c r="AD411" s="10"/>
      <c r="AE411" s="10"/>
      <c r="AF411" s="10"/>
      <c r="AG411" s="10"/>
      <c r="AH411" s="10"/>
      <c r="AI411" s="94"/>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row>
    <row r="412" spans="1:142" s="6" customFormat="1" ht="18" customHeight="1" x14ac:dyDescent="0.2">
      <c r="A412" s="2"/>
      <c r="B412" s="1284" t="str">
        <f>IF(AND(S412=1,S416=1),"Prosthetic knee replacement - no separate award is given for meniscectomy or patellectomy.","")</f>
        <v/>
      </c>
      <c r="C412" s="997"/>
      <c r="D412" s="1002"/>
      <c r="E412" s="1002"/>
      <c r="F412" s="1002"/>
      <c r="G412" s="1002"/>
      <c r="H412" s="1002"/>
      <c r="I412" s="1002"/>
      <c r="J412" s="1002"/>
      <c r="K412" s="1002"/>
      <c r="L412" s="1002"/>
      <c r="M412" s="1002"/>
      <c r="N412" s="1002"/>
      <c r="O412" s="1002"/>
      <c r="P412" s="21">
        <f>IF($S$416=1,0,IF(OR(R412=2,R412=3,R412=4,R412=5),0.05,0))</f>
        <v>0</v>
      </c>
      <c r="Q412" s="2"/>
      <c r="R412" s="546">
        <v>1</v>
      </c>
      <c r="S412" s="50">
        <f>IF(OR(C410&lt;&gt;"",R412&gt;1),1,0)</f>
        <v>0</v>
      </c>
      <c r="T412" s="10"/>
      <c r="U412" s="10"/>
      <c r="V412" s="10"/>
      <c r="W412" s="10">
        <v>1E-4</v>
      </c>
      <c r="X412" s="10"/>
      <c r="Y412" s="10"/>
      <c r="Z412" s="10"/>
      <c r="AA412" s="10"/>
      <c r="AB412" s="10"/>
      <c r="AC412" s="10"/>
      <c r="AD412" s="10"/>
      <c r="AE412" s="10"/>
      <c r="AF412" s="10"/>
      <c r="AG412" s="10"/>
      <c r="AH412" s="10"/>
      <c r="AI412" s="94"/>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row>
    <row r="413" spans="1:142" s="6" customFormat="1" ht="18" customHeight="1" x14ac:dyDescent="0.2">
      <c r="A413" s="2"/>
      <c r="B413" s="1285"/>
      <c r="C413" s="997"/>
      <c r="D413" s="1002"/>
      <c r="E413" s="1002"/>
      <c r="F413" s="1002"/>
      <c r="G413" s="1002"/>
      <c r="H413" s="1002"/>
      <c r="I413" s="1002"/>
      <c r="J413" s="1002"/>
      <c r="K413" s="1002"/>
      <c r="L413" s="1002"/>
      <c r="M413" s="1002"/>
      <c r="N413" s="1002"/>
      <c r="O413" s="1002"/>
      <c r="P413" s="21">
        <f>IF($S$416=1,0,IF(OR(R412=3,R412=4,R412=5),0.05,0))</f>
        <v>0</v>
      </c>
      <c r="Q413" s="2"/>
      <c r="R413" s="10"/>
      <c r="S413" s="10"/>
      <c r="T413" s="10"/>
      <c r="U413" s="10"/>
      <c r="V413" s="10"/>
      <c r="W413" s="10"/>
      <c r="X413" s="10"/>
      <c r="Y413" s="10"/>
      <c r="Z413" s="10"/>
      <c r="AA413" s="10"/>
      <c r="AB413" s="10"/>
      <c r="AC413" s="10"/>
      <c r="AD413" s="10"/>
      <c r="AE413" s="10"/>
      <c r="AF413" s="10"/>
      <c r="AG413" s="10"/>
      <c r="AH413" s="10"/>
      <c r="AI413" s="94"/>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c r="DO413" s="10"/>
      <c r="DP413" s="10"/>
      <c r="DQ413" s="10"/>
      <c r="DR413" s="10"/>
      <c r="DS413" s="10"/>
      <c r="DT413" s="10"/>
      <c r="DU413" s="10"/>
      <c r="DV413" s="10"/>
      <c r="DW413" s="10"/>
      <c r="DX413" s="10"/>
      <c r="DY413" s="10"/>
      <c r="DZ413" s="10"/>
      <c r="EA413" s="10"/>
      <c r="EB413" s="10"/>
      <c r="EC413" s="10"/>
      <c r="ED413" s="10"/>
      <c r="EE413" s="10"/>
      <c r="EF413" s="10"/>
      <c r="EG413" s="10"/>
      <c r="EH413" s="10"/>
      <c r="EI413" s="10"/>
      <c r="EJ413" s="10"/>
      <c r="EK413" s="10"/>
      <c r="EL413" s="10"/>
    </row>
    <row r="414" spans="1:142" s="6" customFormat="1" ht="18" customHeight="1" x14ac:dyDescent="0.2">
      <c r="A414" s="2"/>
      <c r="B414" s="1285"/>
      <c r="C414" s="997"/>
      <c r="D414" s="1002"/>
      <c r="E414" s="1002"/>
      <c r="F414" s="1002"/>
      <c r="G414" s="1002"/>
      <c r="H414" s="1002"/>
      <c r="I414" s="1002"/>
      <c r="J414" s="1002"/>
      <c r="K414" s="1002"/>
      <c r="L414" s="1002"/>
      <c r="M414" s="1002"/>
      <c r="N414" s="1002"/>
      <c r="O414" s="1002"/>
      <c r="P414" s="21">
        <f>IF($S$416=1,0,IF(OR(R412=4,R412=5),0.05,0))</f>
        <v>0</v>
      </c>
      <c r="Q414" s="2"/>
      <c r="R414" s="10"/>
      <c r="S414" s="10"/>
      <c r="T414" s="10"/>
      <c r="U414" s="10"/>
      <c r="V414" s="10"/>
      <c r="W414" s="10"/>
      <c r="X414" s="10"/>
      <c r="Y414" s="10"/>
      <c r="Z414" s="10"/>
      <c r="AA414" s="10"/>
      <c r="AB414" s="10"/>
      <c r="AC414" s="10"/>
      <c r="AD414" s="10"/>
      <c r="AE414" s="10"/>
      <c r="AF414" s="10"/>
      <c r="AG414" s="10"/>
      <c r="AH414" s="10"/>
      <c r="AI414" s="94"/>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row>
    <row r="415" spans="1:142" s="6" customFormat="1" ht="18" customHeight="1" x14ac:dyDescent="0.2">
      <c r="A415" s="2"/>
      <c r="B415" s="1285"/>
      <c r="C415" s="997"/>
      <c r="D415" s="1002"/>
      <c r="E415" s="1002"/>
      <c r="F415" s="1002"/>
      <c r="G415" s="1002"/>
      <c r="H415" s="1002"/>
      <c r="I415" s="1002"/>
      <c r="J415" s="1002"/>
      <c r="K415" s="1002"/>
      <c r="L415" s="1002"/>
      <c r="M415" s="1002"/>
      <c r="N415" s="1002"/>
      <c r="O415" s="1002"/>
      <c r="P415" s="21">
        <f>IF($S$416=1,0,IF(R412=5,0.05,0))</f>
        <v>0</v>
      </c>
      <c r="Q415" s="2"/>
      <c r="R415" s="10"/>
      <c r="S415" s="10"/>
      <c r="T415" s="10"/>
      <c r="U415" s="10"/>
      <c r="V415" s="10"/>
      <c r="W415" s="10"/>
      <c r="X415" s="10"/>
      <c r="Y415" s="10"/>
      <c r="Z415" s="10"/>
      <c r="AA415" s="10"/>
      <c r="AB415" s="10"/>
      <c r="AC415" s="10"/>
      <c r="AD415" s="10"/>
      <c r="AE415" s="10"/>
      <c r="AF415" s="10"/>
      <c r="AG415" s="10"/>
      <c r="AH415" s="10"/>
      <c r="AI415" s="94"/>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row>
    <row r="416" spans="1:142" s="6" customFormat="1" ht="18" customHeight="1" x14ac:dyDescent="0.2">
      <c r="A416" s="2"/>
      <c r="B416" s="391"/>
      <c r="C416" s="126"/>
      <c r="D416" s="791" t="s">
        <v>1821</v>
      </c>
      <c r="E416" s="791"/>
      <c r="F416" s="791"/>
      <c r="G416" s="791"/>
      <c r="H416" s="791"/>
      <c r="I416" s="791"/>
      <c r="J416" s="791"/>
      <c r="K416" s="791"/>
      <c r="L416" s="791"/>
      <c r="M416" s="791"/>
      <c r="N416" s="791"/>
      <c r="O416" s="791"/>
      <c r="P416" s="21">
        <f>IF(S416=1,0.2,0)</f>
        <v>0</v>
      </c>
      <c r="Q416" s="2"/>
      <c r="R416" s="546" t="b">
        <v>0</v>
      </c>
      <c r="S416" s="50">
        <f>IF(R416=TRUE,1,0)</f>
        <v>0</v>
      </c>
      <c r="T416" s="10"/>
      <c r="U416" s="10"/>
      <c r="V416" s="10"/>
      <c r="W416" s="10"/>
      <c r="X416" s="10"/>
      <c r="Y416" s="10"/>
      <c r="Z416" s="10"/>
      <c r="AA416" s="10"/>
      <c r="AB416" s="10"/>
      <c r="AC416" s="10"/>
      <c r="AD416" s="10"/>
      <c r="AE416" s="10"/>
      <c r="AF416" s="10"/>
      <c r="AG416" s="10"/>
      <c r="AH416" s="10"/>
      <c r="AI416" s="10"/>
      <c r="AJ416" s="10"/>
      <c r="AK416" s="10"/>
      <c r="AL416" s="10"/>
      <c r="AM416" s="10"/>
      <c r="AN416" s="97"/>
      <c r="AO416" s="97"/>
      <c r="AP416" s="97"/>
      <c r="AQ416" s="97"/>
      <c r="AR416" s="97"/>
      <c r="AS416" s="97"/>
      <c r="AT416" s="97"/>
      <c r="AU416" s="97"/>
      <c r="AV416" s="97"/>
      <c r="AW416" s="97"/>
      <c r="AX416" s="97"/>
      <c r="AY416" s="97"/>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row>
    <row r="417" spans="1:142" s="6" customFormat="1" ht="18" customHeight="1" x14ac:dyDescent="0.2">
      <c r="A417" s="2"/>
      <c r="B417" s="392"/>
      <c r="C417" s="126"/>
      <c r="D417" s="791" t="s">
        <v>1822</v>
      </c>
      <c r="E417" s="791"/>
      <c r="F417" s="791"/>
      <c r="G417" s="791"/>
      <c r="H417" s="791"/>
      <c r="I417" s="791"/>
      <c r="J417" s="791"/>
      <c r="K417" s="791"/>
      <c r="L417" s="791"/>
      <c r="M417" s="791"/>
      <c r="N417" s="791"/>
      <c r="O417" s="791"/>
      <c r="P417" s="21">
        <f>IF(S417=1,0.15,0)</f>
        <v>0</v>
      </c>
      <c r="Q417" s="2"/>
      <c r="R417" s="546" t="b">
        <v>0</v>
      </c>
      <c r="S417" s="50">
        <f>IF(R417=TRUE,1,0)</f>
        <v>0</v>
      </c>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row>
    <row r="418" spans="1:142" s="6" customFormat="1" ht="12" customHeight="1" x14ac:dyDescent="0.25">
      <c r="A418" s="2"/>
      <c r="B418" s="1137"/>
      <c r="C418" s="1137"/>
      <c r="D418" s="1137"/>
      <c r="E418" s="1137"/>
      <c r="F418" s="1137"/>
      <c r="G418" s="1137"/>
      <c r="H418" s="1137"/>
      <c r="I418" s="1137"/>
      <c r="J418" s="1137"/>
      <c r="K418" s="1137"/>
      <c r="L418" s="1137"/>
      <c r="M418" s="1137"/>
      <c r="N418" s="1137"/>
      <c r="O418" s="1137"/>
      <c r="P418" s="2"/>
      <c r="Q418" s="2"/>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c r="DO418" s="10"/>
      <c r="DP418" s="10"/>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row>
    <row r="419" spans="1:142" s="6" customFormat="1" ht="18" customHeight="1" x14ac:dyDescent="0.2">
      <c r="A419" s="2"/>
      <c r="B419" s="761" t="s">
        <v>538</v>
      </c>
      <c r="C419" s="761"/>
      <c r="D419" s="761"/>
      <c r="E419" s="761"/>
      <c r="F419" s="761"/>
      <c r="G419" s="761"/>
      <c r="H419" s="761"/>
      <c r="I419" s="761"/>
      <c r="J419" s="761"/>
      <c r="K419" s="761"/>
      <c r="L419" s="761"/>
      <c r="M419" s="761"/>
      <c r="N419" s="694"/>
      <c r="O419" s="694"/>
      <c r="P419" s="21">
        <f>IF(N419=S419,0.03,IF(N419=T419,0.15,IF(N419=U419,0.38,IF(N419=V419,0.68,IF(N419=W419,0.9,0)))))</f>
        <v>0</v>
      </c>
      <c r="Q419" s="2"/>
      <c r="R419" s="947" t="s">
        <v>2147</v>
      </c>
      <c r="S419" s="566" t="s">
        <v>1928</v>
      </c>
      <c r="T419" s="50" t="s">
        <v>1929</v>
      </c>
      <c r="U419" s="147" t="s">
        <v>1931</v>
      </c>
      <c r="V419" s="50" t="s">
        <v>929</v>
      </c>
      <c r="W419" s="147" t="s">
        <v>545</v>
      </c>
      <c r="Y419" s="10"/>
      <c r="Z419" s="10"/>
      <c r="AA419" s="10"/>
      <c r="AB419" s="14"/>
      <c r="AC419" s="10"/>
      <c r="AD419" s="14"/>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c r="DF419" s="10"/>
      <c r="DG419" s="10"/>
      <c r="DH419" s="10"/>
      <c r="DI419" s="10"/>
      <c r="DJ419" s="10"/>
      <c r="DK419" s="10"/>
      <c r="DL419" s="10"/>
      <c r="DM419" s="10"/>
      <c r="DN419" s="10"/>
      <c r="DO419" s="10"/>
      <c r="DP419" s="10"/>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row>
    <row r="420" spans="1:142" s="6" customFormat="1" ht="18" customHeight="1" x14ac:dyDescent="0.2">
      <c r="A420" s="2"/>
      <c r="B420" s="761" t="s">
        <v>539</v>
      </c>
      <c r="C420" s="761"/>
      <c r="D420" s="761"/>
      <c r="E420" s="761"/>
      <c r="F420" s="761"/>
      <c r="G420" s="761"/>
      <c r="H420" s="761"/>
      <c r="I420" s="761"/>
      <c r="J420" s="761"/>
      <c r="K420" s="761"/>
      <c r="L420" s="761"/>
      <c r="M420" s="761"/>
      <c r="N420" s="694"/>
      <c r="O420" s="694"/>
      <c r="P420" s="21">
        <f>IF(N420=S419,0.03,IF(N420=T419,0.15,IF(N420=U419,0.35,IF(N420=V419,0.63,IF(N420=W419,0.88,0)))))</f>
        <v>0</v>
      </c>
      <c r="Q420" s="2"/>
      <c r="R420" s="947"/>
      <c r="T420" s="14"/>
      <c r="U420" s="14"/>
      <c r="V420" s="14"/>
      <c r="W420" s="14"/>
      <c r="X420" s="14"/>
      <c r="Y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c r="DF420" s="10"/>
      <c r="DG420" s="10"/>
      <c r="DH420" s="10"/>
      <c r="DI420" s="10"/>
      <c r="DJ420" s="10"/>
      <c r="DK420" s="10"/>
      <c r="DL420" s="10"/>
      <c r="DM420" s="10"/>
      <c r="DN420" s="10"/>
      <c r="DO420" s="10"/>
      <c r="DP420" s="10"/>
      <c r="DQ420" s="10"/>
      <c r="DR420" s="10"/>
      <c r="DS420" s="10"/>
      <c r="DT420" s="10"/>
      <c r="DU420" s="10"/>
      <c r="DV420" s="10"/>
      <c r="DW420" s="10"/>
      <c r="DX420" s="10"/>
      <c r="DY420" s="10"/>
      <c r="DZ420" s="10"/>
      <c r="EA420" s="10"/>
      <c r="EB420" s="10"/>
      <c r="EC420" s="10"/>
      <c r="ED420" s="10"/>
      <c r="EE420" s="10"/>
      <c r="EF420" s="10"/>
      <c r="EG420" s="10"/>
      <c r="EH420" s="10"/>
      <c r="EI420" s="10"/>
      <c r="EJ420" s="10"/>
      <c r="EK420" s="10"/>
      <c r="EL420" s="10"/>
    </row>
    <row r="421" spans="1:142" s="6" customFormat="1" x14ac:dyDescent="0.2">
      <c r="A421" s="2"/>
      <c r="B421" s="777"/>
      <c r="C421" s="777"/>
      <c r="D421" s="777"/>
      <c r="E421" s="777"/>
      <c r="F421" s="777"/>
      <c r="G421" s="777"/>
      <c r="H421" s="777"/>
      <c r="I421" s="777"/>
      <c r="J421" s="777"/>
      <c r="K421" s="777"/>
      <c r="L421" s="777"/>
      <c r="M421" s="777"/>
      <c r="N421" s="777"/>
      <c r="O421" s="777"/>
      <c r="P421" s="2"/>
      <c r="Q421" s="2"/>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c r="DF421" s="10"/>
      <c r="DG421" s="10"/>
      <c r="DH421" s="10"/>
      <c r="DI421" s="10"/>
      <c r="DJ421" s="10"/>
      <c r="DK421" s="10"/>
      <c r="DL421" s="10"/>
      <c r="DM421" s="10"/>
      <c r="DN421" s="10"/>
      <c r="DO421" s="10"/>
      <c r="DP421" s="10"/>
      <c r="DQ421" s="10"/>
      <c r="DR421" s="10"/>
      <c r="DS421" s="10"/>
      <c r="DT421" s="10"/>
      <c r="DU421" s="10"/>
      <c r="DV421" s="10"/>
      <c r="DW421" s="10"/>
      <c r="DX421" s="10"/>
      <c r="DY421" s="10"/>
      <c r="DZ421" s="10"/>
      <c r="EA421" s="10"/>
      <c r="EB421" s="10"/>
      <c r="EC421" s="10"/>
      <c r="ED421" s="10"/>
      <c r="EE421" s="10"/>
      <c r="EF421" s="10"/>
      <c r="EG421" s="10"/>
      <c r="EH421" s="10"/>
      <c r="EI421" s="10"/>
      <c r="EJ421" s="10"/>
      <c r="EK421" s="10"/>
      <c r="EL421" s="10"/>
    </row>
    <row r="422" spans="1:142" s="6" customFormat="1" ht="18" customHeight="1" x14ac:dyDescent="0.25">
      <c r="A422" s="2"/>
      <c r="B422" s="1123" t="s">
        <v>1199</v>
      </c>
      <c r="C422" s="910"/>
      <c r="D422" s="910"/>
      <c r="E422" s="910"/>
      <c r="F422" s="910"/>
      <c r="G422" s="910"/>
      <c r="H422" s="910"/>
      <c r="I422" s="910"/>
      <c r="J422" s="910"/>
      <c r="K422" s="910"/>
      <c r="L422" s="910"/>
      <c r="M422" s="910"/>
      <c r="N422" s="910"/>
      <c r="O422" s="944"/>
      <c r="P422" s="300"/>
      <c r="Q422" s="2"/>
      <c r="R422" s="10"/>
      <c r="S422" s="10"/>
      <c r="T422" s="10"/>
      <c r="U422" s="10"/>
      <c r="V422" s="10"/>
      <c r="W422" s="10"/>
      <c r="X422" s="14"/>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row>
    <row r="423" spans="1:142" s="6" customFormat="1" ht="27" customHeight="1" x14ac:dyDescent="0.2">
      <c r="A423" s="15"/>
      <c r="B423" s="468" t="s">
        <v>1732</v>
      </c>
      <c r="C423" s="1278" t="s">
        <v>1981</v>
      </c>
      <c r="D423" s="1279"/>
      <c r="E423" s="1279"/>
      <c r="F423" s="1279"/>
      <c r="G423" s="1279"/>
      <c r="H423" s="1279"/>
      <c r="I423" s="1279"/>
      <c r="J423" s="1279"/>
      <c r="K423" s="1279"/>
      <c r="L423" s="1279"/>
      <c r="M423" s="1279"/>
      <c r="N423" s="1279"/>
      <c r="O423" s="1283"/>
      <c r="P423" s="201"/>
      <c r="Q423" s="2"/>
      <c r="R423" s="10"/>
      <c r="S423" s="10"/>
      <c r="T423" s="14"/>
      <c r="U423" s="14"/>
      <c r="V423" s="14"/>
      <c r="W423" s="98">
        <v>1E-4</v>
      </c>
      <c r="X423" s="14"/>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c r="DF423" s="10"/>
      <c r="DG423" s="10"/>
      <c r="DH423" s="10"/>
      <c r="DI423" s="10"/>
      <c r="DJ423" s="10"/>
      <c r="DK423" s="10"/>
      <c r="DL423" s="10"/>
      <c r="DM423" s="10"/>
      <c r="DN423" s="10"/>
      <c r="DO423" s="10"/>
      <c r="DP423" s="10"/>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row>
    <row r="424" spans="1:142" s="6" customFormat="1" ht="37.5" customHeight="1" x14ac:dyDescent="0.2">
      <c r="A424" s="2"/>
      <c r="B424" s="469"/>
      <c r="C424" s="1278" t="s">
        <v>1982</v>
      </c>
      <c r="D424" s="1279"/>
      <c r="E424" s="1279"/>
      <c r="F424" s="1279"/>
      <c r="G424" s="1279"/>
      <c r="H424" s="1279"/>
      <c r="I424" s="1279"/>
      <c r="J424" s="1279"/>
      <c r="K424" s="1279"/>
      <c r="L424" s="1279"/>
      <c r="M424" s="1279"/>
      <c r="N424" s="1279"/>
      <c r="O424" s="1283"/>
      <c r="P424" s="201"/>
      <c r="Q424" s="2"/>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0"/>
      <c r="DZ424" s="10"/>
      <c r="EA424" s="10"/>
      <c r="EB424" s="10"/>
      <c r="EC424" s="10"/>
      <c r="ED424" s="10"/>
      <c r="EE424" s="10"/>
      <c r="EF424" s="10"/>
      <c r="EG424" s="10"/>
      <c r="EH424" s="10"/>
      <c r="EI424" s="10"/>
      <c r="EJ424" s="10"/>
      <c r="EK424" s="10"/>
      <c r="EL424" s="10"/>
    </row>
    <row r="425" spans="1:142" s="6" customFormat="1" ht="27" customHeight="1" x14ac:dyDescent="0.2">
      <c r="A425" s="2"/>
      <c r="B425" s="469"/>
      <c r="C425" s="1273" t="s">
        <v>1983</v>
      </c>
      <c r="D425" s="1274"/>
      <c r="E425" s="1274"/>
      <c r="F425" s="1274"/>
      <c r="G425" s="1274"/>
      <c r="H425" s="1274"/>
      <c r="I425" s="1274"/>
      <c r="J425" s="1274"/>
      <c r="K425" s="1274"/>
      <c r="L425" s="1274"/>
      <c r="M425" s="1274"/>
      <c r="N425" s="1274"/>
      <c r="O425" s="1275"/>
      <c r="P425" s="20"/>
      <c r="Q425" s="2"/>
      <c r="R425" s="546">
        <v>5</v>
      </c>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c r="DF425" s="10"/>
      <c r="DG425" s="10"/>
      <c r="DH425" s="10"/>
      <c r="DI425" s="10"/>
      <c r="DJ425" s="10"/>
      <c r="DK425" s="10"/>
      <c r="DL425" s="10"/>
      <c r="DM425" s="10"/>
      <c r="DN425" s="10"/>
      <c r="DO425" s="10"/>
      <c r="DP425" s="10"/>
      <c r="DQ425" s="10"/>
      <c r="DR425" s="10"/>
      <c r="DS425" s="10"/>
      <c r="DT425" s="10"/>
      <c r="DU425" s="10"/>
      <c r="DV425" s="10"/>
      <c r="DW425" s="10"/>
      <c r="DX425" s="10"/>
      <c r="DY425" s="10"/>
      <c r="DZ425" s="10"/>
      <c r="EA425" s="10"/>
      <c r="EB425" s="10"/>
      <c r="EC425" s="10"/>
      <c r="ED425" s="10"/>
      <c r="EE425" s="10"/>
      <c r="EF425" s="10"/>
      <c r="EG425" s="10"/>
      <c r="EH425" s="10"/>
      <c r="EI425" s="10"/>
      <c r="EJ425" s="10"/>
      <c r="EK425" s="10"/>
      <c r="EL425" s="10"/>
    </row>
    <row r="426" spans="1:142" s="6" customFormat="1" ht="27" customHeight="1" x14ac:dyDescent="0.2">
      <c r="A426" s="2"/>
      <c r="B426" s="470"/>
      <c r="C426" s="1278" t="s">
        <v>1984</v>
      </c>
      <c r="D426" s="1279"/>
      <c r="E426" s="1279"/>
      <c r="F426" s="1279"/>
      <c r="G426" s="1279"/>
      <c r="H426" s="1279"/>
      <c r="I426" s="1279"/>
      <c r="J426" s="1279"/>
      <c r="K426" s="1279"/>
      <c r="L426" s="1279"/>
      <c r="M426" s="1279"/>
      <c r="N426" s="1279"/>
      <c r="O426" s="1279"/>
      <c r="P426" s="292">
        <f>IF(R425=1,0.23,IF(R425=2,0.48,IF(R425=3,0.76,IF(R425=4,1,0))))</f>
        <v>0</v>
      </c>
      <c r="Q426" s="2"/>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c r="DF426" s="10"/>
      <c r="DG426" s="10"/>
      <c r="DH426" s="10"/>
      <c r="DI426" s="10"/>
      <c r="DJ426" s="10"/>
      <c r="DK426" s="10"/>
      <c r="DL426" s="10"/>
      <c r="DM426" s="10"/>
      <c r="DN426" s="10"/>
      <c r="DO426" s="10"/>
      <c r="DP426" s="10"/>
      <c r="DQ426" s="10"/>
      <c r="DR426" s="10"/>
      <c r="DS426" s="10"/>
      <c r="DT426" s="10"/>
      <c r="DU426" s="10"/>
      <c r="DV426" s="10"/>
      <c r="DW426" s="10"/>
      <c r="DX426" s="10"/>
      <c r="DY426" s="10"/>
      <c r="DZ426" s="10"/>
      <c r="EA426" s="10"/>
      <c r="EB426" s="10"/>
      <c r="EC426" s="10"/>
      <c r="ED426" s="10"/>
      <c r="EE426" s="10"/>
      <c r="EF426" s="10"/>
      <c r="EG426" s="10"/>
      <c r="EH426" s="10"/>
      <c r="EI426" s="10"/>
      <c r="EJ426" s="10"/>
      <c r="EK426" s="10"/>
      <c r="EL426" s="10"/>
    </row>
    <row r="427" spans="1:142" s="6" customFormat="1" ht="12" customHeight="1" x14ac:dyDescent="0.2">
      <c r="A427" s="2"/>
      <c r="B427" s="777"/>
      <c r="C427" s="777"/>
      <c r="D427" s="777"/>
      <c r="E427" s="777"/>
      <c r="F427" s="777"/>
      <c r="G427" s="777"/>
      <c r="H427" s="777"/>
      <c r="I427" s="777"/>
      <c r="J427" s="777"/>
      <c r="K427" s="777"/>
      <c r="L427" s="777"/>
      <c r="M427" s="777"/>
      <c r="N427" s="777"/>
      <c r="O427" s="777"/>
      <c r="P427" s="2"/>
      <c r="Q427" s="2"/>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c r="DF427" s="10"/>
      <c r="DG427" s="10"/>
      <c r="DH427" s="10"/>
      <c r="DI427" s="10"/>
      <c r="DJ427" s="10"/>
      <c r="DK427" s="10"/>
      <c r="DL427" s="10"/>
      <c r="DM427" s="10"/>
      <c r="DN427" s="10"/>
      <c r="DO427" s="10"/>
      <c r="DP427" s="10"/>
      <c r="DQ427" s="10"/>
      <c r="DR427" s="10"/>
      <c r="DS427" s="10"/>
      <c r="DT427" s="10"/>
      <c r="DU427" s="10"/>
      <c r="DV427" s="10"/>
      <c r="DW427" s="10"/>
      <c r="DX427" s="10"/>
      <c r="DY427" s="10"/>
      <c r="DZ427" s="10"/>
      <c r="EA427" s="10"/>
      <c r="EB427" s="10"/>
      <c r="EC427" s="10"/>
      <c r="ED427" s="10"/>
      <c r="EE427" s="10"/>
      <c r="EF427" s="10"/>
      <c r="EG427" s="10"/>
      <c r="EH427" s="10"/>
      <c r="EI427" s="10"/>
      <c r="EJ427" s="10"/>
      <c r="EK427" s="10"/>
      <c r="EL427" s="10"/>
    </row>
    <row r="428" spans="1:142" s="6" customFormat="1" ht="18" customHeight="1" x14ac:dyDescent="0.25">
      <c r="A428" s="2"/>
      <c r="B428" s="1161" t="s">
        <v>1200</v>
      </c>
      <c r="C428" s="1161"/>
      <c r="D428" s="1161"/>
      <c r="E428" s="1161"/>
      <c r="F428" s="1161"/>
      <c r="G428" s="1170"/>
      <c r="H428" s="1170"/>
      <c r="I428" s="1170"/>
      <c r="J428" s="1170"/>
      <c r="K428" s="1170"/>
      <c r="L428" s="1170"/>
      <c r="M428" s="1170"/>
      <c r="N428" s="1170"/>
      <c r="O428" s="1170"/>
      <c r="P428" s="297"/>
      <c r="Q428" s="2"/>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c r="DF428" s="10"/>
      <c r="DG428" s="10"/>
      <c r="DH428" s="10"/>
      <c r="DI428" s="10"/>
      <c r="DJ428" s="10"/>
      <c r="DK428" s="10"/>
      <c r="DL428" s="10"/>
      <c r="DM428" s="10"/>
      <c r="DN428" s="10"/>
      <c r="DO428" s="10"/>
      <c r="DP428" s="10"/>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row>
    <row r="429" spans="1:142" s="6" customFormat="1" ht="18" customHeight="1" x14ac:dyDescent="0.2">
      <c r="A429" s="2"/>
      <c r="B429" s="1279" t="s">
        <v>2188</v>
      </c>
      <c r="C429" s="1279"/>
      <c r="D429" s="1279"/>
      <c r="E429" s="1002"/>
      <c r="F429" s="995"/>
      <c r="G429" s="749" t="s">
        <v>959</v>
      </c>
      <c r="H429" s="750"/>
      <c r="I429" s="750"/>
      <c r="J429" s="750"/>
      <c r="K429" s="750"/>
      <c r="L429" s="750"/>
      <c r="M429" s="750"/>
      <c r="N429" s="750"/>
      <c r="O429" s="751"/>
      <c r="P429" s="729">
        <f>U435</f>
        <v>0</v>
      </c>
      <c r="Q429" s="2"/>
      <c r="R429" s="546" t="b">
        <v>0</v>
      </c>
      <c r="S429" s="50">
        <f t="shared" ref="S429:S435" si="89">IF(R429=TRUE,1,0)</f>
        <v>0</v>
      </c>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row>
    <row r="430" spans="1:142" s="6" customFormat="1" ht="18" customHeight="1" x14ac:dyDescent="0.2">
      <c r="A430" s="15"/>
      <c r="B430" s="1279"/>
      <c r="C430" s="1279"/>
      <c r="D430" s="1279"/>
      <c r="E430" s="1002"/>
      <c r="F430" s="995"/>
      <c r="G430" s="818" t="s">
        <v>960</v>
      </c>
      <c r="H430" s="698"/>
      <c r="I430" s="698"/>
      <c r="J430" s="698"/>
      <c r="K430" s="698"/>
      <c r="L430" s="698"/>
      <c r="M430" s="698"/>
      <c r="N430" s="698"/>
      <c r="O430" s="819"/>
      <c r="P430" s="737"/>
      <c r="Q430" s="2"/>
      <c r="R430" s="546" t="b">
        <v>0</v>
      </c>
      <c r="S430" s="50">
        <f t="shared" si="89"/>
        <v>0</v>
      </c>
      <c r="T430" s="50" t="s">
        <v>1006</v>
      </c>
      <c r="U430" s="10"/>
      <c r="V430" s="10"/>
      <c r="W430" s="10">
        <v>1E-4</v>
      </c>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row>
    <row r="431" spans="1:142" s="6" customFormat="1" ht="18" customHeight="1" x14ac:dyDescent="0.2">
      <c r="A431" s="2"/>
      <c r="B431" s="1279"/>
      <c r="C431" s="1279"/>
      <c r="D431" s="1279"/>
      <c r="E431" s="1002"/>
      <c r="F431" s="995"/>
      <c r="G431" s="818" t="s">
        <v>961</v>
      </c>
      <c r="H431" s="698"/>
      <c r="I431" s="698"/>
      <c r="J431" s="698"/>
      <c r="K431" s="698"/>
      <c r="L431" s="698"/>
      <c r="M431" s="698"/>
      <c r="N431" s="698"/>
      <c r="O431" s="819"/>
      <c r="P431" s="737"/>
      <c r="Q431" s="2"/>
      <c r="R431" s="546" t="b">
        <v>0</v>
      </c>
      <c r="S431" s="50">
        <f t="shared" si="89"/>
        <v>0</v>
      </c>
      <c r="T431" s="50">
        <f>SUM(S429:S431)</f>
        <v>0</v>
      </c>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row>
    <row r="432" spans="1:142" s="6" customFormat="1" ht="18" customHeight="1" x14ac:dyDescent="0.2">
      <c r="A432" s="2"/>
      <c r="B432" s="1279"/>
      <c r="C432" s="1279"/>
      <c r="D432" s="1279"/>
      <c r="E432" s="1260"/>
      <c r="F432" s="1017"/>
      <c r="G432" s="1296" t="s">
        <v>962</v>
      </c>
      <c r="H432" s="1297"/>
      <c r="I432" s="1297"/>
      <c r="J432" s="1297"/>
      <c r="K432" s="1297"/>
      <c r="L432" s="1297"/>
      <c r="M432" s="1297"/>
      <c r="N432" s="1297"/>
      <c r="O432" s="1298"/>
      <c r="P432" s="737"/>
      <c r="Q432" s="2"/>
      <c r="R432" s="546" t="b">
        <v>0</v>
      </c>
      <c r="S432" s="50">
        <f t="shared" si="89"/>
        <v>0</v>
      </c>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row>
    <row r="433" spans="1:142" s="6" customFormat="1" ht="18" customHeight="1" x14ac:dyDescent="0.2">
      <c r="A433" s="2"/>
      <c r="B433" s="1279"/>
      <c r="C433" s="1279"/>
      <c r="D433" s="1279"/>
      <c r="E433" s="1002"/>
      <c r="F433" s="995"/>
      <c r="G433" s="1138" t="s">
        <v>963</v>
      </c>
      <c r="H433" s="1139"/>
      <c r="I433" s="1139"/>
      <c r="J433" s="1139"/>
      <c r="K433" s="1139"/>
      <c r="L433" s="1139"/>
      <c r="M433" s="1139"/>
      <c r="N433" s="1139"/>
      <c r="O433" s="1140"/>
      <c r="P433" s="737"/>
      <c r="Q433" s="2"/>
      <c r="R433" s="546" t="b">
        <v>0</v>
      </c>
      <c r="S433" s="50">
        <f t="shared" si="89"/>
        <v>0</v>
      </c>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row>
    <row r="434" spans="1:142" s="6" customFormat="1" ht="18" customHeight="1" x14ac:dyDescent="0.2">
      <c r="A434" s="2"/>
      <c r="B434" s="1279"/>
      <c r="C434" s="1279"/>
      <c r="D434" s="1279"/>
      <c r="E434" s="1002"/>
      <c r="F434" s="995"/>
      <c r="G434" s="1138" t="s">
        <v>1823</v>
      </c>
      <c r="H434" s="1139"/>
      <c r="I434" s="1139"/>
      <c r="J434" s="1139"/>
      <c r="K434" s="1139"/>
      <c r="L434" s="1139"/>
      <c r="M434" s="1139"/>
      <c r="N434" s="1139"/>
      <c r="O434" s="1140"/>
      <c r="P434" s="737"/>
      <c r="Q434" s="2"/>
      <c r="R434" s="546" t="b">
        <v>0</v>
      </c>
      <c r="S434" s="50">
        <f t="shared" si="89"/>
        <v>0</v>
      </c>
      <c r="T434" s="50" t="s">
        <v>1006</v>
      </c>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row>
    <row r="435" spans="1:142" s="6" customFormat="1" ht="18" customHeight="1" x14ac:dyDescent="0.2">
      <c r="A435" s="2"/>
      <c r="B435" s="1279"/>
      <c r="C435" s="1279"/>
      <c r="D435" s="1279"/>
      <c r="E435" s="1002"/>
      <c r="F435" s="995"/>
      <c r="G435" s="1168" t="s">
        <v>1567</v>
      </c>
      <c r="H435" s="1169"/>
      <c r="I435" s="1169"/>
      <c r="J435" s="1169"/>
      <c r="K435" s="1169"/>
      <c r="L435" s="1169"/>
      <c r="M435" s="1169"/>
      <c r="N435" s="1169"/>
      <c r="O435" s="1200"/>
      <c r="P435" s="737"/>
      <c r="Q435" s="2"/>
      <c r="R435" s="546" t="b">
        <v>0</v>
      </c>
      <c r="S435" s="50">
        <f t="shared" si="89"/>
        <v>0</v>
      </c>
      <c r="T435" s="50">
        <f>SUM(S432:S435)</f>
        <v>0</v>
      </c>
      <c r="U435" s="514">
        <f>IF(AND(T431&gt;0,T435&gt;0),0.05,0)</f>
        <v>0</v>
      </c>
      <c r="V435" s="97"/>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row>
    <row r="436" spans="1:142" s="6" customFormat="1" ht="12" customHeight="1" x14ac:dyDescent="0.2">
      <c r="A436" s="2"/>
      <c r="B436" s="777"/>
      <c r="C436" s="777"/>
      <c r="D436" s="777"/>
      <c r="E436" s="777"/>
      <c r="F436" s="777"/>
      <c r="G436" s="777"/>
      <c r="H436" s="777"/>
      <c r="I436" s="777"/>
      <c r="J436" s="777"/>
      <c r="K436" s="777"/>
      <c r="L436" s="777"/>
      <c r="M436" s="777"/>
      <c r="N436" s="777"/>
      <c r="O436" s="777"/>
      <c r="P436" s="2"/>
      <c r="Q436" s="2"/>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row>
    <row r="437" spans="1:142" s="6" customFormat="1" ht="18" customHeight="1" x14ac:dyDescent="0.25">
      <c r="A437" s="2"/>
      <c r="B437" s="1161" t="s">
        <v>1200</v>
      </c>
      <c r="C437" s="1161"/>
      <c r="D437" s="1161"/>
      <c r="E437" s="1161"/>
      <c r="F437" s="1161"/>
      <c r="G437" s="1161"/>
      <c r="H437" s="1161"/>
      <c r="I437" s="1161"/>
      <c r="J437" s="1161"/>
      <c r="K437" s="1161"/>
      <c r="L437" s="1161"/>
      <c r="M437" s="1161"/>
      <c r="N437" s="1161"/>
      <c r="O437" s="1161"/>
      <c r="P437" s="297"/>
      <c r="Q437" s="2"/>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row>
    <row r="438" spans="1:142" s="6" customFormat="1" ht="39" customHeight="1" x14ac:dyDescent="0.2">
      <c r="A438" s="15"/>
      <c r="B438" s="1257" t="s">
        <v>2202</v>
      </c>
      <c r="C438" s="1258"/>
      <c r="D438" s="1258"/>
      <c r="E438" s="1258"/>
      <c r="F438" s="1258"/>
      <c r="G438" s="1258"/>
      <c r="H438" s="1258"/>
      <c r="I438" s="1258"/>
      <c r="J438" s="1258"/>
      <c r="K438" s="1258"/>
      <c r="L438" s="1258"/>
      <c r="M438" s="1259"/>
      <c r="N438" s="1002"/>
      <c r="O438" s="1002"/>
      <c r="P438" s="82">
        <f>IF(R438=1,0.15,0)</f>
        <v>0</v>
      </c>
      <c r="Q438" s="2"/>
      <c r="R438" s="546">
        <v>2</v>
      </c>
      <c r="S438" s="10"/>
      <c r="T438" s="10"/>
      <c r="U438" s="10"/>
      <c r="V438" s="97"/>
      <c r="W438" s="10">
        <v>1E-4</v>
      </c>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row>
    <row r="439" spans="1:142" s="6" customFormat="1" ht="9" customHeight="1" x14ac:dyDescent="0.2">
      <c r="A439" s="2"/>
      <c r="B439" s="777"/>
      <c r="C439" s="777"/>
      <c r="D439" s="777"/>
      <c r="E439" s="777"/>
      <c r="F439" s="777"/>
      <c r="G439" s="777"/>
      <c r="H439" s="777"/>
      <c r="I439" s="777"/>
      <c r="J439" s="777"/>
      <c r="K439" s="777"/>
      <c r="L439" s="777"/>
      <c r="M439" s="777"/>
      <c r="N439" s="777"/>
      <c r="O439" s="777"/>
      <c r="P439" s="777"/>
      <c r="Q439" s="2"/>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row>
    <row r="440" spans="1:142" s="6" customFormat="1" ht="18" customHeight="1" x14ac:dyDescent="0.2">
      <c r="A440" s="2"/>
      <c r="B440" s="912" t="s">
        <v>236</v>
      </c>
      <c r="C440" s="910"/>
      <c r="D440" s="910"/>
      <c r="E440" s="910"/>
      <c r="F440" s="910"/>
      <c r="G440" s="910"/>
      <c r="H440" s="910"/>
      <c r="I440" s="910"/>
      <c r="J440" s="910"/>
      <c r="K440" s="910"/>
      <c r="L440" s="910"/>
      <c r="M440" s="910"/>
      <c r="N440" s="910"/>
      <c r="O440" s="910"/>
      <c r="P440" s="910"/>
      <c r="Q440" s="2"/>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row>
    <row r="441" spans="1:142" s="6" customFormat="1" ht="40.5" customHeight="1" x14ac:dyDescent="0.2">
      <c r="A441" s="2"/>
      <c r="B441" s="761" t="s">
        <v>573</v>
      </c>
      <c r="C441" s="761"/>
      <c r="D441" s="761"/>
      <c r="E441" s="761"/>
      <c r="F441" s="761"/>
      <c r="G441" s="761"/>
      <c r="H441" s="761"/>
      <c r="I441" s="761"/>
      <c r="J441" s="761"/>
      <c r="K441" s="761"/>
      <c r="L441" s="761"/>
      <c r="M441" s="761"/>
      <c r="N441" s="761"/>
      <c r="O441" s="761"/>
      <c r="P441" s="910"/>
      <c r="Q441" s="2"/>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row>
    <row r="442" spans="1:142" s="6" customFormat="1" ht="18" customHeight="1" x14ac:dyDescent="0.2">
      <c r="A442" s="15"/>
      <c r="B442" s="924" t="s">
        <v>1223</v>
      </c>
      <c r="C442" s="924"/>
      <c r="D442" s="924"/>
      <c r="E442" s="924"/>
      <c r="F442" s="924"/>
      <c r="G442" s="924"/>
      <c r="H442" s="924"/>
      <c r="I442" s="924"/>
      <c r="J442" s="924"/>
      <c r="K442" s="924"/>
      <c r="L442" s="924"/>
      <c r="M442" s="924"/>
      <c r="N442" s="940"/>
      <c r="O442" s="940"/>
      <c r="P442" s="21">
        <f>IF(R442=1,0.05,0)</f>
        <v>0</v>
      </c>
      <c r="Q442" s="2"/>
      <c r="R442" s="546">
        <v>2</v>
      </c>
      <c r="S442" s="10"/>
      <c r="T442" s="10"/>
      <c r="U442" s="10"/>
      <c r="V442" s="10"/>
      <c r="W442" s="10">
        <v>1E-4</v>
      </c>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row>
    <row r="443" spans="1:142" s="6" customFormat="1" ht="12" customHeight="1" x14ac:dyDescent="0.2">
      <c r="A443" s="2"/>
      <c r="B443" s="777"/>
      <c r="C443" s="777"/>
      <c r="D443" s="777"/>
      <c r="E443" s="777"/>
      <c r="F443" s="777"/>
      <c r="G443" s="777"/>
      <c r="H443" s="777"/>
      <c r="I443" s="777"/>
      <c r="J443" s="777"/>
      <c r="K443" s="777"/>
      <c r="L443" s="777"/>
      <c r="M443" s="777"/>
      <c r="N443" s="777"/>
      <c r="O443" s="777"/>
      <c r="P443" s="2"/>
      <c r="Q443" s="2"/>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row>
    <row r="444" spans="1:142" s="6" customFormat="1" ht="18" customHeight="1" x14ac:dyDescent="0.2">
      <c r="A444" s="2"/>
      <c r="B444" s="910" t="s">
        <v>1224</v>
      </c>
      <c r="C444" s="910"/>
      <c r="D444" s="910"/>
      <c r="E444" s="910"/>
      <c r="F444" s="910"/>
      <c r="G444" s="910"/>
      <c r="H444" s="910"/>
      <c r="I444" s="910"/>
      <c r="J444" s="910"/>
      <c r="K444" s="910"/>
      <c r="L444" s="910"/>
      <c r="M444" s="910"/>
      <c r="N444" s="910"/>
      <c r="O444" s="910"/>
      <c r="P444" s="146"/>
      <c r="Q444" s="2"/>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row>
    <row r="445" spans="1:142" s="6" customFormat="1" ht="15" customHeight="1" x14ac:dyDescent="0.2">
      <c r="A445" s="2"/>
      <c r="B445" s="289" t="s">
        <v>1322</v>
      </c>
      <c r="C445" s="1142">
        <f>IF(SUM($E$448:$E$469)&gt;0,P340,0)</f>
        <v>0</v>
      </c>
      <c r="D445" s="1162"/>
      <c r="E445" s="1162"/>
      <c r="F445" s="1161" t="s">
        <v>1146</v>
      </c>
      <c r="G445" s="1161"/>
      <c r="H445" s="1161"/>
      <c r="I445" s="1161"/>
      <c r="J445" s="1161"/>
      <c r="K445" s="1161"/>
      <c r="L445" s="1142">
        <f>LETable!AJ68</f>
        <v>0</v>
      </c>
      <c r="M445" s="1142"/>
      <c r="N445" s="1161" t="s">
        <v>1341</v>
      </c>
      <c r="O445" s="1161"/>
      <c r="P445" s="82">
        <f>L445</f>
        <v>0</v>
      </c>
      <c r="Q445" s="2"/>
      <c r="R445" s="10"/>
      <c r="S445" s="10"/>
      <c r="T445" s="10"/>
      <c r="U445" s="10"/>
      <c r="V445" s="10"/>
      <c r="W445" s="10"/>
      <c r="X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row>
    <row r="446" spans="1:142" s="6" customFormat="1" ht="12" customHeight="1" x14ac:dyDescent="0.2">
      <c r="A446" s="2"/>
      <c r="B446" s="777"/>
      <c r="C446" s="777"/>
      <c r="D446" s="777"/>
      <c r="E446" s="777"/>
      <c r="F446" s="777"/>
      <c r="G446" s="777"/>
      <c r="H446" s="777"/>
      <c r="I446" s="777"/>
      <c r="J446" s="777"/>
      <c r="K446" s="777"/>
      <c r="L446" s="777"/>
      <c r="M446" s="777"/>
      <c r="N446" s="777"/>
      <c r="O446" s="777"/>
      <c r="P446" s="2"/>
      <c r="Q446" s="2"/>
      <c r="R446" s="10"/>
      <c r="S446" s="10"/>
      <c r="T446" s="10"/>
      <c r="U446" s="10"/>
      <c r="V446" s="10"/>
      <c r="W446" s="10"/>
      <c r="X446" s="10"/>
      <c r="AA446" s="10"/>
      <c r="AB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row>
    <row r="447" spans="1:142" s="6" customFormat="1" ht="27.75" customHeight="1" x14ac:dyDescent="0.2">
      <c r="A447" s="2"/>
      <c r="B447" s="864" t="s">
        <v>237</v>
      </c>
      <c r="C447" s="865"/>
      <c r="D447" s="865"/>
      <c r="E447" s="865"/>
      <c r="F447" s="866"/>
      <c r="G447" s="907" t="s">
        <v>1495</v>
      </c>
      <c r="H447" s="945"/>
      <c r="I447" s="945"/>
      <c r="J447" s="945"/>
      <c r="K447" s="946"/>
      <c r="L447" s="944"/>
      <c r="M447" s="945"/>
      <c r="N447" s="945"/>
      <c r="O447" s="946"/>
      <c r="P447" s="857">
        <f>V469</f>
        <v>0</v>
      </c>
      <c r="Q447" s="2"/>
      <c r="R447" s="10"/>
      <c r="S447" s="146" t="s">
        <v>1826</v>
      </c>
      <c r="T447" s="50" t="s">
        <v>1285</v>
      </c>
      <c r="U447" s="50" t="s">
        <v>1286</v>
      </c>
      <c r="V447" s="277" t="s">
        <v>1287</v>
      </c>
      <c r="W447" s="588" t="s">
        <v>844</v>
      </c>
      <c r="X447" s="10"/>
      <c r="Y447" s="50" t="s">
        <v>498</v>
      </c>
      <c r="AA447" s="10"/>
      <c r="AB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row>
    <row r="448" spans="1:142" s="6" customFormat="1" ht="15" customHeight="1" x14ac:dyDescent="0.2">
      <c r="A448" s="2"/>
      <c r="B448" s="742" t="s">
        <v>1496</v>
      </c>
      <c r="C448" s="743"/>
      <c r="D448" s="744"/>
      <c r="E448" s="727">
        <f>P372</f>
        <v>0</v>
      </c>
      <c r="F448" s="729"/>
      <c r="G448" s="977"/>
      <c r="H448" s="977"/>
      <c r="I448" s="977"/>
      <c r="J448" s="1151">
        <f t="shared" ref="J448:J452" si="90">IF(AND(Y448&lt;0.01,Y448&gt;0),0.01,ROUND(Y448,2))</f>
        <v>0</v>
      </c>
      <c r="K448" s="1151"/>
      <c r="M448" s="628"/>
      <c r="N448" s="628"/>
      <c r="O448" s="629"/>
      <c r="P448" s="1091"/>
      <c r="Q448" s="2"/>
      <c r="R448" s="10"/>
      <c r="S448" s="147">
        <f t="shared" ref="S448:S468" si="91">IF(J448&gt;0,J448,E448)</f>
        <v>0</v>
      </c>
      <c r="T448" s="147">
        <f>LARGE($S$448:$S$470,1)</f>
        <v>0</v>
      </c>
      <c r="U448" s="544">
        <f>T448+T449*(1-T448)</f>
        <v>0</v>
      </c>
      <c r="V448" s="610">
        <f t="shared" ref="V448:V469" si="92">ROUND(U448,2)</f>
        <v>0</v>
      </c>
      <c r="W448" s="381">
        <f>IF(OR(P380&gt;0,P387&gt;0),1,0)</f>
        <v>0</v>
      </c>
      <c r="X448" s="10"/>
      <c r="Y448" s="21">
        <f t="shared" ref="Y448:Y469" si="93">G448*E448</f>
        <v>0</v>
      </c>
      <c r="AA448" s="10"/>
      <c r="AB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row>
    <row r="449" spans="1:142" s="6" customFormat="1" ht="15" customHeight="1" x14ac:dyDescent="0.2">
      <c r="A449" s="2"/>
      <c r="B449" s="742" t="s">
        <v>1497</v>
      </c>
      <c r="C449" s="743"/>
      <c r="D449" s="744"/>
      <c r="E449" s="727">
        <f>IF(P426&gt;0,0,P380)</f>
        <v>0</v>
      </c>
      <c r="F449" s="729"/>
      <c r="G449" s="977"/>
      <c r="H449" s="977"/>
      <c r="I449" s="977"/>
      <c r="J449" s="1151">
        <f t="shared" si="90"/>
        <v>0</v>
      </c>
      <c r="K449" s="1151"/>
      <c r="L449" s="970"/>
      <c r="M449" s="971"/>
      <c r="N449" s="971"/>
      <c r="O449" s="972"/>
      <c r="P449" s="1091"/>
      <c r="Q449" s="2"/>
      <c r="R449" s="10"/>
      <c r="S449" s="147">
        <f t="shared" si="91"/>
        <v>0</v>
      </c>
      <c r="T449" s="147">
        <f>LARGE($S$448:$S$470,2)</f>
        <v>0</v>
      </c>
      <c r="U449" s="544">
        <f>V448+T450*(1-V448)</f>
        <v>0</v>
      </c>
      <c r="V449" s="610">
        <f t="shared" si="92"/>
        <v>0</v>
      </c>
      <c r="W449" s="588" t="s">
        <v>1856</v>
      </c>
      <c r="X449" s="10"/>
      <c r="Y449" s="21">
        <f t="shared" si="93"/>
        <v>0</v>
      </c>
      <c r="AA449" s="10"/>
      <c r="AB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c r="DO449" s="10"/>
      <c r="DP449" s="10"/>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row>
    <row r="450" spans="1:142" s="6" customFormat="1" ht="15" customHeight="1" x14ac:dyDescent="0.2">
      <c r="A450" s="2"/>
      <c r="B450" s="742" t="s">
        <v>1498</v>
      </c>
      <c r="C450" s="743"/>
      <c r="D450" s="744"/>
      <c r="E450" s="727">
        <f>IF(P426&gt;0,0,P387)</f>
        <v>0</v>
      </c>
      <c r="F450" s="729"/>
      <c r="G450" s="977"/>
      <c r="H450" s="977"/>
      <c r="I450" s="977"/>
      <c r="J450" s="1151">
        <f t="shared" si="90"/>
        <v>0</v>
      </c>
      <c r="K450" s="1151"/>
      <c r="L450" s="623"/>
      <c r="M450" s="624"/>
      <c r="N450" s="624"/>
      <c r="O450" s="625"/>
      <c r="P450" s="1091"/>
      <c r="Q450" s="2"/>
      <c r="R450" s="10"/>
      <c r="S450" s="147">
        <f t="shared" si="91"/>
        <v>0</v>
      </c>
      <c r="T450" s="147">
        <f>LARGE($S$448:$S$470,3)</f>
        <v>0</v>
      </c>
      <c r="U450" s="544">
        <f>V449+T451*(1-V449)</f>
        <v>0</v>
      </c>
      <c r="V450" s="610">
        <f t="shared" si="92"/>
        <v>0</v>
      </c>
      <c r="W450" s="381">
        <f>IF(P438&gt;0,3,0)</f>
        <v>0</v>
      </c>
      <c r="X450" s="10"/>
      <c r="Y450" s="21">
        <f t="shared" si="93"/>
        <v>0</v>
      </c>
      <c r="AA450" s="10"/>
      <c r="AB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c r="DO450" s="10"/>
      <c r="DP450" s="10"/>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row>
    <row r="451" spans="1:142" s="6" customFormat="1" ht="15" customHeight="1" x14ac:dyDescent="0.2">
      <c r="A451" s="2"/>
      <c r="B451" s="742" t="s">
        <v>1499</v>
      </c>
      <c r="C451" s="743"/>
      <c r="D451" s="744"/>
      <c r="E451" s="727">
        <f>P391</f>
        <v>0</v>
      </c>
      <c r="F451" s="729"/>
      <c r="G451" s="977"/>
      <c r="H451" s="977"/>
      <c r="I451" s="977"/>
      <c r="J451" s="1151">
        <f t="shared" si="90"/>
        <v>0</v>
      </c>
      <c r="K451" s="1151"/>
      <c r="L451" s="623"/>
      <c r="M451" s="624"/>
      <c r="N451" s="624"/>
      <c r="O451" s="625"/>
      <c r="P451" s="1091"/>
      <c r="Q451" s="2"/>
      <c r="R451" s="10"/>
      <c r="S451" s="147">
        <f t="shared" si="91"/>
        <v>0</v>
      </c>
      <c r="T451" s="147">
        <f>LARGE($S$448:$S$470,4)</f>
        <v>0</v>
      </c>
      <c r="U451" s="544">
        <f>V450+T452*(1-V450)</f>
        <v>0</v>
      </c>
      <c r="V451" s="610">
        <f t="shared" si="92"/>
        <v>0</v>
      </c>
      <c r="W451" s="588" t="s">
        <v>1859</v>
      </c>
      <c r="X451" s="10"/>
      <c r="Y451" s="21">
        <f t="shared" si="93"/>
        <v>0</v>
      </c>
      <c r="AA451" s="10"/>
      <c r="AB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row>
    <row r="452" spans="1:142" s="6" customFormat="1" ht="15" customHeight="1" x14ac:dyDescent="0.2">
      <c r="A452" s="2"/>
      <c r="B452" s="1280" t="s">
        <v>1500</v>
      </c>
      <c r="C452" s="1281"/>
      <c r="D452" s="1282"/>
      <c r="E452" s="727">
        <f>P400</f>
        <v>0</v>
      </c>
      <c r="F452" s="729"/>
      <c r="G452" s="977"/>
      <c r="H452" s="977"/>
      <c r="I452" s="977"/>
      <c r="J452" s="1151">
        <f t="shared" si="90"/>
        <v>0</v>
      </c>
      <c r="K452" s="1151"/>
      <c r="L452" s="970"/>
      <c r="M452" s="971"/>
      <c r="N452" s="971"/>
      <c r="O452" s="972"/>
      <c r="P452" s="1091"/>
      <c r="Q452" s="2"/>
      <c r="R452" s="10"/>
      <c r="S452" s="147">
        <f t="shared" si="91"/>
        <v>0</v>
      </c>
      <c r="T452" s="147">
        <f>LARGE($S$448:$S$470,5)</f>
        <v>0</v>
      </c>
      <c r="U452" s="544">
        <f>V451+T453*(1-V451)</f>
        <v>0</v>
      </c>
      <c r="V452" s="610">
        <f t="shared" si="92"/>
        <v>0</v>
      </c>
      <c r="W452" s="381">
        <f>IF(P337&gt;0,5,0)</f>
        <v>0</v>
      </c>
      <c r="X452" s="10"/>
      <c r="Y452" s="21">
        <f t="shared" si="93"/>
        <v>0</v>
      </c>
      <c r="AA452" s="10"/>
      <c r="AB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row>
    <row r="453" spans="1:142" s="6" customFormat="1" ht="15" customHeight="1" x14ac:dyDescent="0.2">
      <c r="A453" s="2"/>
      <c r="B453" s="1280" t="s">
        <v>1501</v>
      </c>
      <c r="C453" s="1281"/>
      <c r="D453" s="1282"/>
      <c r="E453" s="727">
        <f>P403</f>
        <v>0</v>
      </c>
      <c r="F453" s="729"/>
      <c r="G453" s="977"/>
      <c r="H453" s="977"/>
      <c r="I453" s="977"/>
      <c r="J453" s="1151">
        <f t="shared" ref="J453:J462" si="94">IF(AND(Y453&lt;0.01,Y453&gt;0),0.01,ROUND(Y453,2))</f>
        <v>0</v>
      </c>
      <c r="K453" s="1151"/>
      <c r="L453" s="970"/>
      <c r="M453" s="971"/>
      <c r="N453" s="971"/>
      <c r="O453" s="972"/>
      <c r="P453" s="1091"/>
      <c r="Q453" s="2"/>
      <c r="R453" s="10"/>
      <c r="S453" s="147">
        <f t="shared" si="91"/>
        <v>0</v>
      </c>
      <c r="T453" s="147">
        <f>LARGE($S$448:$S$470,6)</f>
        <v>0</v>
      </c>
      <c r="U453" s="544">
        <f t="shared" ref="U453:U469" si="95">V452+T454*(1-V452)</f>
        <v>0</v>
      </c>
      <c r="V453" s="610">
        <f t="shared" si="92"/>
        <v>0</v>
      </c>
      <c r="W453" s="588" t="s">
        <v>583</v>
      </c>
      <c r="X453" s="10"/>
      <c r="Y453" s="21">
        <f t="shared" si="93"/>
        <v>0</v>
      </c>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c r="DF453" s="10"/>
      <c r="DG453" s="10"/>
      <c r="DH453" s="10"/>
      <c r="DI453" s="10"/>
      <c r="DJ453" s="10"/>
      <c r="DK453" s="10"/>
      <c r="DL453" s="10"/>
      <c r="DM453" s="10"/>
      <c r="DN453" s="10"/>
      <c r="DO453" s="10"/>
      <c r="DP453" s="10"/>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row>
    <row r="454" spans="1:142" s="6" customFormat="1" ht="27" customHeight="1" x14ac:dyDescent="0.2">
      <c r="A454" s="2"/>
      <c r="B454" s="1257" t="s">
        <v>1502</v>
      </c>
      <c r="C454" s="1258"/>
      <c r="D454" s="1259"/>
      <c r="E454" s="727">
        <f>P406</f>
        <v>0</v>
      </c>
      <c r="F454" s="729"/>
      <c r="G454" s="977"/>
      <c r="H454" s="977"/>
      <c r="I454" s="977"/>
      <c r="J454" s="1151">
        <f t="shared" si="94"/>
        <v>0</v>
      </c>
      <c r="K454" s="1151"/>
      <c r="L454" s="970"/>
      <c r="M454" s="971"/>
      <c r="N454" s="971"/>
      <c r="O454" s="972"/>
      <c r="P454" s="1091"/>
      <c r="Q454" s="2"/>
      <c r="R454" s="10"/>
      <c r="S454" s="147">
        <f t="shared" si="91"/>
        <v>0</v>
      </c>
      <c r="T454" s="147">
        <f>LARGE($S$448:$S$470,7)</f>
        <v>0</v>
      </c>
      <c r="U454" s="544">
        <f t="shared" si="95"/>
        <v>0</v>
      </c>
      <c r="V454" s="610">
        <f t="shared" si="92"/>
        <v>0</v>
      </c>
      <c r="W454" s="381">
        <f>IF(P442&gt;0,1,0)</f>
        <v>0</v>
      </c>
      <c r="X454" s="10"/>
      <c r="Y454" s="21">
        <f t="shared" si="93"/>
        <v>0</v>
      </c>
      <c r="Z454" s="10"/>
      <c r="AA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row>
    <row r="455" spans="1:142" s="6" customFormat="1" ht="15" customHeight="1" x14ac:dyDescent="0.2">
      <c r="A455" s="2"/>
      <c r="B455" s="1280" t="str">
        <f>IF(P411&gt;0,"Surgery: Partial loss of one menisus","Surgery: Menisci")</f>
        <v>Surgery: Menisci</v>
      </c>
      <c r="C455" s="1281"/>
      <c r="D455" s="1282"/>
      <c r="E455" s="727">
        <f>P410</f>
        <v>0</v>
      </c>
      <c r="F455" s="729"/>
      <c r="G455" s="977"/>
      <c r="H455" s="977"/>
      <c r="I455" s="977"/>
      <c r="J455" s="1151">
        <f t="shared" si="94"/>
        <v>0</v>
      </c>
      <c r="K455" s="1151"/>
      <c r="L455" s="970"/>
      <c r="M455" s="971"/>
      <c r="N455" s="971"/>
      <c r="O455" s="972"/>
      <c r="P455" s="1091"/>
      <c r="Q455" s="2"/>
      <c r="R455" s="10"/>
      <c r="S455" s="147">
        <f t="shared" si="91"/>
        <v>0</v>
      </c>
      <c r="T455" s="147">
        <f>LARGE($S$448:$S$470,8)</f>
        <v>0</v>
      </c>
      <c r="U455" s="544">
        <f t="shared" si="95"/>
        <v>0</v>
      </c>
      <c r="V455" s="610">
        <f t="shared" si="92"/>
        <v>0</v>
      </c>
      <c r="W455" s="588" t="s">
        <v>2189</v>
      </c>
      <c r="X455" s="10"/>
      <c r="Y455" s="21">
        <f t="shared" si="93"/>
        <v>0</v>
      </c>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10"/>
      <c r="DN455" s="10"/>
      <c r="DO455" s="10"/>
      <c r="DP455" s="10"/>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row>
    <row r="456" spans="1:142" s="6" customFormat="1" ht="15" customHeight="1" x14ac:dyDescent="0.2">
      <c r="A456" s="2"/>
      <c r="B456" s="1280" t="str">
        <f>IF(P411&gt;0,"Surgery: Partial loss of 2nd meniscus","")</f>
        <v/>
      </c>
      <c r="C456" s="1281"/>
      <c r="D456" s="1282"/>
      <c r="E456" s="727">
        <f>P411</f>
        <v>0</v>
      </c>
      <c r="F456" s="729"/>
      <c r="G456" s="977"/>
      <c r="H456" s="977"/>
      <c r="I456" s="977"/>
      <c r="J456" s="1151">
        <f t="shared" si="94"/>
        <v>0</v>
      </c>
      <c r="K456" s="1151"/>
      <c r="L456" s="970"/>
      <c r="M456" s="971"/>
      <c r="N456" s="971"/>
      <c r="O456" s="972"/>
      <c r="P456" s="1091"/>
      <c r="Q456" s="2"/>
      <c r="R456" s="10"/>
      <c r="S456" s="147">
        <f t="shared" si="91"/>
        <v>0</v>
      </c>
      <c r="T456" s="147">
        <f>LARGE($S$448:$S$470,9)</f>
        <v>0</v>
      </c>
      <c r="U456" s="544">
        <f t="shared" si="95"/>
        <v>0</v>
      </c>
      <c r="V456" s="610">
        <f t="shared" si="92"/>
        <v>0</v>
      </c>
      <c r="W456" s="381">
        <f>SUM(W448,W450,W452,W454)</f>
        <v>0</v>
      </c>
      <c r="X456" s="10"/>
      <c r="Y456" s="21">
        <f t="shared" si="93"/>
        <v>0</v>
      </c>
      <c r="Z456" s="2"/>
      <c r="AA456" s="2"/>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c r="DF456" s="10"/>
      <c r="DG456" s="10"/>
      <c r="DH456" s="10"/>
      <c r="DI456" s="10"/>
      <c r="DJ456" s="10"/>
      <c r="DK456" s="10"/>
      <c r="DL456" s="10"/>
      <c r="DM456" s="10"/>
      <c r="DN456" s="10"/>
      <c r="DO456" s="10"/>
      <c r="DP456" s="10"/>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row>
    <row r="457" spans="1:142" s="6" customFormat="1" ht="15" customHeight="1" x14ac:dyDescent="0.2">
      <c r="A457" s="2"/>
      <c r="B457" s="742" t="s">
        <v>1875</v>
      </c>
      <c r="C457" s="743"/>
      <c r="D457" s="744"/>
      <c r="E457" s="727">
        <f t="shared" ref="E457:E462" si="96">P412</f>
        <v>0</v>
      </c>
      <c r="F457" s="729"/>
      <c r="G457" s="977"/>
      <c r="H457" s="977"/>
      <c r="I457" s="977"/>
      <c r="J457" s="1151">
        <f t="shared" si="94"/>
        <v>0</v>
      </c>
      <c r="K457" s="1151"/>
      <c r="L457" s="970"/>
      <c r="M457" s="971"/>
      <c r="N457" s="971"/>
      <c r="O457" s="972"/>
      <c r="P457" s="1091"/>
      <c r="Q457" s="2"/>
      <c r="R457" s="10"/>
      <c r="S457" s="147">
        <f t="shared" si="91"/>
        <v>0</v>
      </c>
      <c r="T457" s="147">
        <f>LARGE($S$448:$S$470,10)</f>
        <v>0</v>
      </c>
      <c r="U457" s="544">
        <f t="shared" si="95"/>
        <v>0</v>
      </c>
      <c r="V457" s="610">
        <f t="shared" si="92"/>
        <v>0</v>
      </c>
      <c r="W457" s="1123" t="s">
        <v>971</v>
      </c>
      <c r="X457" s="10"/>
      <c r="Y457" s="21">
        <f t="shared" si="93"/>
        <v>0</v>
      </c>
      <c r="Z457" s="2"/>
      <c r="AA457" s="2"/>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row>
    <row r="458" spans="1:142" s="6" customFormat="1" ht="15" customHeight="1" x14ac:dyDescent="0.2">
      <c r="A458" s="2"/>
      <c r="B458" s="742" t="s">
        <v>1876</v>
      </c>
      <c r="C458" s="743"/>
      <c r="D458" s="744"/>
      <c r="E458" s="727">
        <f t="shared" si="96"/>
        <v>0</v>
      </c>
      <c r="F458" s="729"/>
      <c r="G458" s="977"/>
      <c r="H458" s="977"/>
      <c r="I458" s="977"/>
      <c r="J458" s="1151">
        <f t="shared" si="94"/>
        <v>0</v>
      </c>
      <c r="K458" s="1151"/>
      <c r="L458" s="970"/>
      <c r="M458" s="971"/>
      <c r="N458" s="971"/>
      <c r="O458" s="972"/>
      <c r="P458" s="1091"/>
      <c r="Q458" s="2"/>
      <c r="R458" s="10"/>
      <c r="S458" s="147">
        <f t="shared" si="91"/>
        <v>0</v>
      </c>
      <c r="T458" s="147">
        <f>LARGE($S$448:$S$470,11)</f>
        <v>0</v>
      </c>
      <c r="U458" s="544">
        <f t="shared" si="95"/>
        <v>0</v>
      </c>
      <c r="V458" s="610">
        <f t="shared" si="92"/>
        <v>0</v>
      </c>
      <c r="W458" s="1149"/>
      <c r="X458" s="10"/>
      <c r="Y458" s="21">
        <f t="shared" si="93"/>
        <v>0</v>
      </c>
      <c r="Z458" s="2"/>
      <c r="AA458" s="2"/>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c r="DF458" s="10"/>
      <c r="DG458" s="10"/>
      <c r="DH458" s="10"/>
      <c r="DI458" s="10"/>
      <c r="DJ458" s="10"/>
      <c r="DK458" s="10"/>
      <c r="DL458" s="10"/>
      <c r="DM458" s="10"/>
      <c r="DN458" s="10"/>
      <c r="DO458" s="10"/>
      <c r="DP458" s="10"/>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row>
    <row r="459" spans="1:142" s="6" customFormat="1" ht="15" customHeight="1" x14ac:dyDescent="0.2">
      <c r="A459" s="2"/>
      <c r="B459" s="742" t="s">
        <v>1877</v>
      </c>
      <c r="C459" s="743"/>
      <c r="D459" s="744"/>
      <c r="E459" s="727">
        <f t="shared" si="96"/>
        <v>0</v>
      </c>
      <c r="F459" s="729"/>
      <c r="G459" s="977"/>
      <c r="H459" s="977"/>
      <c r="I459" s="977"/>
      <c r="J459" s="1151">
        <f t="shared" si="94"/>
        <v>0</v>
      </c>
      <c r="K459" s="1151"/>
      <c r="L459" s="970"/>
      <c r="M459" s="971"/>
      <c r="N459" s="971"/>
      <c r="O459" s="972"/>
      <c r="P459" s="1091"/>
      <c r="Q459" s="2"/>
      <c r="R459" s="10"/>
      <c r="S459" s="147">
        <f t="shared" si="91"/>
        <v>0</v>
      </c>
      <c r="T459" s="147">
        <f>LARGE($S$448:$S$470,12)</f>
        <v>0</v>
      </c>
      <c r="U459" s="544">
        <f t="shared" si="95"/>
        <v>0</v>
      </c>
      <c r="V459" s="610">
        <f t="shared" si="92"/>
        <v>0</v>
      </c>
      <c r="W459" s="1149"/>
      <c r="X459" s="10"/>
      <c r="Y459" s="21">
        <f t="shared" si="93"/>
        <v>0</v>
      </c>
      <c r="Z459" s="2"/>
      <c r="AA459" s="2"/>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c r="DF459" s="10"/>
      <c r="DG459" s="10"/>
      <c r="DH459" s="10"/>
      <c r="DI459" s="10"/>
      <c r="DJ459" s="10"/>
      <c r="DK459" s="10"/>
      <c r="DL459" s="10"/>
      <c r="DM459" s="10"/>
      <c r="DN459" s="10"/>
      <c r="DO459" s="10"/>
      <c r="DP459" s="10"/>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row>
    <row r="460" spans="1:142" s="6" customFormat="1" ht="15" customHeight="1" x14ac:dyDescent="0.2">
      <c r="A460" s="2"/>
      <c r="B460" s="742" t="s">
        <v>697</v>
      </c>
      <c r="C460" s="743"/>
      <c r="D460" s="744"/>
      <c r="E460" s="727">
        <f t="shared" si="96"/>
        <v>0</v>
      </c>
      <c r="F460" s="729"/>
      <c r="G460" s="977"/>
      <c r="H460" s="977"/>
      <c r="I460" s="977"/>
      <c r="J460" s="1151">
        <f t="shared" si="94"/>
        <v>0</v>
      </c>
      <c r="K460" s="1151"/>
      <c r="L460" s="970"/>
      <c r="M460" s="971"/>
      <c r="N460" s="971"/>
      <c r="O460" s="972"/>
      <c r="P460" s="1091"/>
      <c r="Q460" s="2"/>
      <c r="R460" s="10"/>
      <c r="S460" s="147">
        <f t="shared" si="91"/>
        <v>0</v>
      </c>
      <c r="T460" s="147">
        <f>LARGE($S$448:$S$470,13)</f>
        <v>0</v>
      </c>
      <c r="U460" s="544">
        <f t="shared" si="95"/>
        <v>0</v>
      </c>
      <c r="V460" s="610">
        <f t="shared" si="92"/>
        <v>0</v>
      </c>
      <c r="W460" s="195">
        <f>SUM(AB376,E448,E451,E453:E462)</f>
        <v>0</v>
      </c>
      <c r="X460" s="10"/>
      <c r="Y460" s="21">
        <f t="shared" si="93"/>
        <v>0</v>
      </c>
      <c r="Z460" s="2"/>
      <c r="AA460" s="2"/>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c r="DF460" s="10"/>
      <c r="DG460" s="10"/>
      <c r="DH460" s="10"/>
      <c r="DI460" s="10"/>
      <c r="DJ460" s="10"/>
      <c r="DK460" s="10"/>
      <c r="DL460" s="10"/>
      <c r="DM460" s="10"/>
      <c r="DN460" s="10"/>
      <c r="DO460" s="10"/>
      <c r="DP460" s="10"/>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row>
    <row r="461" spans="1:142" s="6" customFormat="1" ht="27" customHeight="1" x14ac:dyDescent="0.2">
      <c r="A461" s="2"/>
      <c r="B461" s="756" t="s">
        <v>1821</v>
      </c>
      <c r="C461" s="757"/>
      <c r="D461" s="758"/>
      <c r="E461" s="727">
        <f t="shared" si="96"/>
        <v>0</v>
      </c>
      <c r="F461" s="729"/>
      <c r="G461" s="977"/>
      <c r="H461" s="977"/>
      <c r="I461" s="977"/>
      <c r="J461" s="1151">
        <f t="shared" si="94"/>
        <v>0</v>
      </c>
      <c r="K461" s="1151"/>
      <c r="L461" s="970"/>
      <c r="M461" s="971"/>
      <c r="N461" s="971"/>
      <c r="O461" s="972"/>
      <c r="P461" s="1091"/>
      <c r="Q461" s="2"/>
      <c r="R461" s="10"/>
      <c r="S461" s="147">
        <f t="shared" si="91"/>
        <v>0</v>
      </c>
      <c r="T461" s="147">
        <f>LARGE($S$448:$S$470,14)</f>
        <v>0</v>
      </c>
      <c r="U461" s="544">
        <f t="shared" si="95"/>
        <v>0</v>
      </c>
      <c r="V461" s="548">
        <f t="shared" si="92"/>
        <v>0</v>
      </c>
      <c r="W461" s="10"/>
      <c r="X461" s="10"/>
      <c r="Y461" s="21">
        <f t="shared" si="93"/>
        <v>0</v>
      </c>
      <c r="Z461" s="2"/>
      <c r="AA461" s="2"/>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10"/>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row>
    <row r="462" spans="1:142" s="6" customFormat="1" ht="15" customHeight="1" x14ac:dyDescent="0.2">
      <c r="A462" s="2"/>
      <c r="B462" s="742" t="s">
        <v>1822</v>
      </c>
      <c r="C462" s="743"/>
      <c r="D462" s="744"/>
      <c r="E462" s="727">
        <f t="shared" si="96"/>
        <v>0</v>
      </c>
      <c r="F462" s="729"/>
      <c r="G462" s="977"/>
      <c r="H462" s="977"/>
      <c r="I462" s="977"/>
      <c r="J462" s="1151">
        <f t="shared" si="94"/>
        <v>0</v>
      </c>
      <c r="K462" s="1151"/>
      <c r="L462" s="623"/>
      <c r="M462" s="624"/>
      <c r="N462" s="624"/>
      <c r="O462" s="625"/>
      <c r="P462" s="961"/>
      <c r="Q462" s="2"/>
      <c r="R462" s="10"/>
      <c r="S462" s="147">
        <f t="shared" si="91"/>
        <v>0</v>
      </c>
      <c r="T462" s="147">
        <f>LARGE($S$448:$S$470,15)</f>
        <v>0</v>
      </c>
      <c r="U462" s="544">
        <f t="shared" si="95"/>
        <v>0</v>
      </c>
      <c r="V462" s="548">
        <f t="shared" si="92"/>
        <v>0</v>
      </c>
      <c r="W462" s="10"/>
      <c r="X462" s="10"/>
      <c r="Y462" s="21">
        <f t="shared" si="93"/>
        <v>0</v>
      </c>
      <c r="Z462" s="10"/>
      <c r="AA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row>
    <row r="463" spans="1:142" s="6" customFormat="1" ht="15" customHeight="1" x14ac:dyDescent="0.2">
      <c r="A463" s="2"/>
      <c r="B463" s="742" t="s">
        <v>1419</v>
      </c>
      <c r="C463" s="743"/>
      <c r="D463" s="744"/>
      <c r="E463" s="727">
        <f>P419</f>
        <v>0</v>
      </c>
      <c r="F463" s="729"/>
      <c r="G463" s="977"/>
      <c r="H463" s="977"/>
      <c r="I463" s="977"/>
      <c r="J463" s="1151">
        <f t="shared" ref="J463:J469" si="97">IF(AND(Y463&lt;0.01,Y463&gt;0),0.01,ROUND(Y463,2))</f>
        <v>0</v>
      </c>
      <c r="K463" s="1151"/>
      <c r="L463" s="623"/>
      <c r="M463" s="624"/>
      <c r="N463" s="624"/>
      <c r="O463" s="625"/>
      <c r="P463" s="961"/>
      <c r="Q463" s="2"/>
      <c r="R463" s="10"/>
      <c r="S463" s="147">
        <f t="shared" si="91"/>
        <v>0</v>
      </c>
      <c r="T463" s="147">
        <f>LARGE($S$448:$S$470,16)</f>
        <v>0</v>
      </c>
      <c r="U463" s="544">
        <f t="shared" si="95"/>
        <v>0</v>
      </c>
      <c r="V463" s="548">
        <f t="shared" si="92"/>
        <v>0</v>
      </c>
      <c r="W463" s="10"/>
      <c r="X463" s="10"/>
      <c r="Y463" s="21">
        <f t="shared" ref="Y463" si="98">G463*E463</f>
        <v>0</v>
      </c>
      <c r="Z463" s="10"/>
      <c r="AA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row>
    <row r="464" spans="1:142" s="6" customFormat="1" ht="15" customHeight="1" x14ac:dyDescent="0.2">
      <c r="A464" s="2"/>
      <c r="B464" s="742" t="s">
        <v>909</v>
      </c>
      <c r="C464" s="743"/>
      <c r="D464" s="744"/>
      <c r="E464" s="727">
        <f>P420</f>
        <v>0</v>
      </c>
      <c r="F464" s="729"/>
      <c r="G464" s="977"/>
      <c r="H464" s="977"/>
      <c r="I464" s="977"/>
      <c r="J464" s="1151">
        <f t="shared" si="97"/>
        <v>0</v>
      </c>
      <c r="K464" s="1151"/>
      <c r="L464" s="623"/>
      <c r="M464" s="624"/>
      <c r="N464" s="624"/>
      <c r="O464" s="625"/>
      <c r="P464" s="961"/>
      <c r="Q464" s="2"/>
      <c r="R464" s="10"/>
      <c r="S464" s="147">
        <f t="shared" si="91"/>
        <v>0</v>
      </c>
      <c r="T464" s="147">
        <f>LARGE($S$448:$S$470,17)</f>
        <v>0</v>
      </c>
      <c r="U464" s="544">
        <f t="shared" si="95"/>
        <v>0</v>
      </c>
      <c r="V464" s="548">
        <f t="shared" si="92"/>
        <v>0</v>
      </c>
      <c r="W464" s="10"/>
      <c r="X464" s="10"/>
      <c r="Y464" s="21">
        <f t="shared" si="93"/>
        <v>0</v>
      </c>
      <c r="Z464" s="10"/>
      <c r="AA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row>
    <row r="465" spans="1:142" s="6" customFormat="1" ht="15" customHeight="1" x14ac:dyDescent="0.2">
      <c r="A465" s="2"/>
      <c r="B465" s="742" t="s">
        <v>910</v>
      </c>
      <c r="C465" s="743"/>
      <c r="D465" s="744"/>
      <c r="E465" s="727">
        <f>P426</f>
        <v>0</v>
      </c>
      <c r="F465" s="729"/>
      <c r="G465" s="977"/>
      <c r="H465" s="977"/>
      <c r="I465" s="977"/>
      <c r="J465" s="1151">
        <f t="shared" si="97"/>
        <v>0</v>
      </c>
      <c r="K465" s="1151"/>
      <c r="L465" s="970" t="str">
        <f>IF(AND(P426&gt;0,W456&gt;0),"The worker has motor loss impairment. Additional impairment values are not allowed for chronic condition, a walking/standing limitation, reduced range of motion, or strength loss.","")</f>
        <v/>
      </c>
      <c r="M465" s="971"/>
      <c r="N465" s="971"/>
      <c r="O465" s="972"/>
      <c r="P465" s="961"/>
      <c r="Q465" s="2"/>
      <c r="R465" s="10"/>
      <c r="S465" s="147">
        <f t="shared" si="91"/>
        <v>0</v>
      </c>
      <c r="T465" s="147">
        <f>LARGE($S$448:$S$470,18)</f>
        <v>0</v>
      </c>
      <c r="U465" s="544">
        <f t="shared" si="95"/>
        <v>0</v>
      </c>
      <c r="V465" s="548">
        <f t="shared" si="92"/>
        <v>0</v>
      </c>
      <c r="W465" s="10"/>
      <c r="X465" s="10"/>
      <c r="Y465" s="21">
        <f t="shared" si="93"/>
        <v>0</v>
      </c>
      <c r="Z465" s="10"/>
      <c r="AA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row>
    <row r="466" spans="1:142" s="6" customFormat="1" ht="15" customHeight="1" x14ac:dyDescent="0.2">
      <c r="A466" s="2"/>
      <c r="B466" s="742" t="s">
        <v>1421</v>
      </c>
      <c r="C466" s="743"/>
      <c r="D466" s="744"/>
      <c r="E466" s="727">
        <f>P429</f>
        <v>0</v>
      </c>
      <c r="F466" s="729"/>
      <c r="G466" s="977"/>
      <c r="H466" s="977"/>
      <c r="I466" s="977"/>
      <c r="J466" s="1151">
        <f t="shared" si="97"/>
        <v>0</v>
      </c>
      <c r="K466" s="1151"/>
      <c r="L466" s="970"/>
      <c r="M466" s="971"/>
      <c r="N466" s="971"/>
      <c r="O466" s="972"/>
      <c r="P466" s="961"/>
      <c r="Q466" s="2"/>
      <c r="R466" s="10"/>
      <c r="S466" s="147">
        <f t="shared" si="91"/>
        <v>0</v>
      </c>
      <c r="T466" s="147">
        <f>LARGE($S$448:$S$470,19)</f>
        <v>0</v>
      </c>
      <c r="U466" s="544">
        <f t="shared" si="95"/>
        <v>0</v>
      </c>
      <c r="V466" s="548">
        <f t="shared" si="92"/>
        <v>0</v>
      </c>
      <c r="Y466" s="21">
        <f t="shared" si="93"/>
        <v>0</v>
      </c>
      <c r="AA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row>
    <row r="467" spans="1:142" s="6" customFormat="1" ht="15" customHeight="1" x14ac:dyDescent="0.2">
      <c r="A467" s="2"/>
      <c r="B467" s="742" t="s">
        <v>1422</v>
      </c>
      <c r="C467" s="743"/>
      <c r="D467" s="744"/>
      <c r="E467" s="727">
        <f>IF(P426&gt;0,0,P438)</f>
        <v>0</v>
      </c>
      <c r="F467" s="729"/>
      <c r="G467" s="977"/>
      <c r="H467" s="977"/>
      <c r="I467" s="977"/>
      <c r="J467" s="1151">
        <f t="shared" si="97"/>
        <v>0</v>
      </c>
      <c r="K467" s="1151"/>
      <c r="L467" s="970"/>
      <c r="M467" s="971"/>
      <c r="N467" s="971"/>
      <c r="O467" s="972"/>
      <c r="P467" s="961"/>
      <c r="Q467" s="2"/>
      <c r="R467" s="10"/>
      <c r="S467" s="147">
        <f t="shared" si="91"/>
        <v>0</v>
      </c>
      <c r="T467" s="147">
        <f>LARGE($S$448:$S$470,20)</f>
        <v>0</v>
      </c>
      <c r="U467" s="544">
        <f t="shared" si="95"/>
        <v>0</v>
      </c>
      <c r="V467" s="548">
        <f t="shared" si="92"/>
        <v>0</v>
      </c>
      <c r="W467" s="10"/>
      <c r="X467" s="10"/>
      <c r="Y467" s="21">
        <f t="shared" si="93"/>
        <v>0</v>
      </c>
      <c r="AA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c r="DO467" s="10"/>
      <c r="DP467" s="10"/>
      <c r="DQ467" s="10"/>
      <c r="DR467" s="10"/>
      <c r="DS467" s="10"/>
      <c r="DT467" s="10"/>
      <c r="DU467" s="10"/>
      <c r="DV467" s="10"/>
      <c r="DW467" s="10"/>
      <c r="DX467" s="10"/>
      <c r="DY467" s="10"/>
      <c r="DZ467" s="10"/>
      <c r="EA467" s="10"/>
      <c r="EB467" s="10"/>
      <c r="EC467" s="10"/>
      <c r="ED467" s="10"/>
      <c r="EE467" s="10"/>
      <c r="EF467" s="10"/>
      <c r="EG467" s="10"/>
      <c r="EH467" s="10"/>
      <c r="EI467" s="10"/>
      <c r="EJ467" s="10"/>
      <c r="EK467" s="10"/>
      <c r="EL467" s="10"/>
    </row>
    <row r="468" spans="1:142" s="6" customFormat="1" ht="15" customHeight="1" x14ac:dyDescent="0.2">
      <c r="A468" s="2"/>
      <c r="B468" s="742" t="s">
        <v>583</v>
      </c>
      <c r="C468" s="743"/>
      <c r="D468" s="744"/>
      <c r="E468" s="727">
        <f>IF(P426&gt;0,0,P442)</f>
        <v>0</v>
      </c>
      <c r="F468" s="729"/>
      <c r="G468" s="977"/>
      <c r="H468" s="977"/>
      <c r="I468" s="977"/>
      <c r="J468" s="1151">
        <f t="shared" si="97"/>
        <v>0</v>
      </c>
      <c r="K468" s="1151"/>
      <c r="L468" s="970"/>
      <c r="M468" s="971"/>
      <c r="N468" s="971"/>
      <c r="O468" s="972"/>
      <c r="P468" s="961"/>
      <c r="Q468" s="2"/>
      <c r="R468" s="10"/>
      <c r="S468" s="147">
        <f t="shared" si="91"/>
        <v>0</v>
      </c>
      <c r="T468" s="147">
        <f>LARGE($S$448:$S$470,21)</f>
        <v>0</v>
      </c>
      <c r="U468" s="544">
        <f t="shared" si="95"/>
        <v>0</v>
      </c>
      <c r="V468" s="548">
        <f t="shared" si="92"/>
        <v>0</v>
      </c>
      <c r="Y468" s="21">
        <f t="shared" si="93"/>
        <v>0</v>
      </c>
      <c r="AA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row>
    <row r="469" spans="1:142" s="6" customFormat="1" ht="15" customHeight="1" x14ac:dyDescent="0.2">
      <c r="A469" s="2"/>
      <c r="B469" s="742" t="s">
        <v>1607</v>
      </c>
      <c r="C469" s="743"/>
      <c r="D469" s="744"/>
      <c r="E469" s="727">
        <f>IF(P426&gt;0,0,P337)</f>
        <v>0</v>
      </c>
      <c r="F469" s="729"/>
      <c r="G469" s="977"/>
      <c r="H469" s="977"/>
      <c r="I469" s="977"/>
      <c r="J469" s="1151">
        <f t="shared" si="97"/>
        <v>0</v>
      </c>
      <c r="K469" s="1151"/>
      <c r="L469" s="970"/>
      <c r="M469" s="971"/>
      <c r="N469" s="971"/>
      <c r="O469" s="972"/>
      <c r="P469" s="961"/>
      <c r="Q469" s="2"/>
      <c r="R469" s="10"/>
      <c r="S469" s="147">
        <f t="shared" ref="S469" si="99">IF(J469&gt;0,J469,E469)</f>
        <v>0</v>
      </c>
      <c r="T469" s="147">
        <f>LARGE($S$448:$S$470,22)</f>
        <v>0</v>
      </c>
      <c r="U469" s="544">
        <f t="shared" si="95"/>
        <v>0</v>
      </c>
      <c r="V469" s="548">
        <f t="shared" si="92"/>
        <v>0</v>
      </c>
      <c r="W469" s="10"/>
      <c r="X469" s="10"/>
      <c r="Y469" s="21">
        <f t="shared" si="93"/>
        <v>0</v>
      </c>
      <c r="AA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row>
    <row r="470" spans="1:142" s="6" customFormat="1" ht="15" customHeight="1" x14ac:dyDescent="0.2">
      <c r="A470" s="2"/>
      <c r="B470" s="782" t="s">
        <v>911</v>
      </c>
      <c r="C470" s="783"/>
      <c r="D470" s="784"/>
      <c r="E470" s="1067">
        <f>P445</f>
        <v>0</v>
      </c>
      <c r="F470" s="1157"/>
      <c r="G470" s="944" t="s">
        <v>1901</v>
      </c>
      <c r="H470" s="945"/>
      <c r="I470" s="946"/>
      <c r="J470" s="1109"/>
      <c r="K470" s="1109"/>
      <c r="L470" s="1099"/>
      <c r="M470" s="1100"/>
      <c r="N470" s="1100"/>
      <c r="O470" s="1101"/>
      <c r="P470" s="961"/>
      <c r="Q470" s="2"/>
      <c r="R470" s="10"/>
      <c r="S470" s="147">
        <f>E470</f>
        <v>0</v>
      </c>
      <c r="T470" s="147">
        <f>LARGE($S$448:$S$470,23)</f>
        <v>0</v>
      </c>
      <c r="U470" s="96"/>
      <c r="V470" s="128"/>
      <c r="W470" s="10"/>
      <c r="X470" s="10"/>
      <c r="Y470" s="10"/>
      <c r="AA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row>
    <row r="471" spans="1:142" s="6" customFormat="1" ht="15" customHeight="1" x14ac:dyDescent="0.2">
      <c r="A471" s="2"/>
      <c r="B471" s="957" t="s">
        <v>238</v>
      </c>
      <c r="C471" s="957"/>
      <c r="D471" s="957"/>
      <c r="E471" s="957"/>
      <c r="F471" s="957"/>
      <c r="G471" s="957"/>
      <c r="H471" s="957"/>
      <c r="I471" s="957"/>
      <c r="J471" s="957"/>
      <c r="K471" s="957"/>
      <c r="L471" s="957"/>
      <c r="M471" s="957"/>
      <c r="N471" s="957"/>
      <c r="O471" s="957"/>
      <c r="P471" s="962"/>
      <c r="Q471" s="2"/>
      <c r="R471" s="10"/>
      <c r="T471" s="10"/>
      <c r="U471" s="10"/>
      <c r="V471" s="10"/>
      <c r="W471" s="10"/>
      <c r="X471" s="10"/>
      <c r="Y471" s="10"/>
      <c r="AA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row>
    <row r="472" spans="1:142" s="6" customFormat="1" ht="15" customHeight="1" x14ac:dyDescent="0.2">
      <c r="A472" s="2"/>
      <c r="B472" s="777"/>
      <c r="C472" s="777"/>
      <c r="D472" s="777"/>
      <c r="E472" s="777"/>
      <c r="F472" s="777"/>
      <c r="G472" s="777"/>
      <c r="H472" s="777"/>
      <c r="I472" s="777"/>
      <c r="J472" s="777"/>
      <c r="K472" s="777"/>
      <c r="L472" s="777"/>
      <c r="M472" s="777"/>
      <c r="N472" s="777"/>
      <c r="O472" s="777"/>
      <c r="P472" s="777"/>
      <c r="Q472" s="2"/>
      <c r="R472" s="10"/>
      <c r="S472" s="10"/>
      <c r="T472" s="10"/>
      <c r="U472" s="10"/>
      <c r="V472" s="10"/>
      <c r="W472" s="10"/>
      <c r="X472" s="10"/>
      <c r="Y472" s="10"/>
      <c r="Z472" s="10"/>
      <c r="AA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row>
    <row r="473" spans="1:142" s="6" customFormat="1" x14ac:dyDescent="0.2">
      <c r="A473" s="2"/>
      <c r="B473" s="777"/>
      <c r="C473" s="777"/>
      <c r="D473" s="777"/>
      <c r="E473" s="777"/>
      <c r="F473" s="777"/>
      <c r="G473" s="777"/>
      <c r="H473" s="777"/>
      <c r="I473" s="777"/>
      <c r="J473" s="777"/>
      <c r="K473" s="777"/>
      <c r="L473" s="777"/>
      <c r="M473" s="777"/>
      <c r="N473" s="777"/>
      <c r="O473" s="777"/>
      <c r="P473" s="777"/>
      <c r="Q473" s="2"/>
      <c r="R473" s="10"/>
      <c r="S473" s="10"/>
      <c r="T473" s="10"/>
      <c r="U473" s="10"/>
      <c r="V473" s="10"/>
      <c r="W473" s="10"/>
      <c r="X473" s="10"/>
      <c r="AA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row>
    <row r="474" spans="1:142" s="6" customFormat="1" ht="36" customHeight="1" x14ac:dyDescent="0.2">
      <c r="A474" s="2"/>
      <c r="B474" s="907" t="s">
        <v>1331</v>
      </c>
      <c r="C474" s="945"/>
      <c r="D474" s="945"/>
      <c r="E474" s="945"/>
      <c r="F474" s="945"/>
      <c r="G474" s="945"/>
      <c r="H474" s="945"/>
      <c r="I474" s="945"/>
      <c r="J474" s="945"/>
      <c r="K474" s="945"/>
      <c r="L474" s="945"/>
      <c r="M474" s="945"/>
      <c r="N474" s="945"/>
      <c r="O474" s="945"/>
      <c r="P474" s="946"/>
      <c r="Q474" s="2"/>
      <c r="R474" s="10"/>
      <c r="S474" s="10"/>
      <c r="T474" s="10"/>
      <c r="U474" s="10"/>
      <c r="V474" s="10"/>
      <c r="W474" s="10"/>
      <c r="X474" s="10"/>
      <c r="AA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row>
    <row r="475" spans="1:142" s="6" customFormat="1" ht="12" customHeight="1" x14ac:dyDescent="0.25">
      <c r="A475" s="2"/>
      <c r="B475" s="1253"/>
      <c r="C475" s="1253"/>
      <c r="D475" s="1253"/>
      <c r="E475" s="1253"/>
      <c r="F475" s="1253"/>
      <c r="G475" s="1253"/>
      <c r="H475" s="1253"/>
      <c r="I475" s="1253"/>
      <c r="J475" s="1253"/>
      <c r="K475" s="1253"/>
      <c r="L475" s="1253"/>
      <c r="M475" s="1253"/>
      <c r="N475" s="1253"/>
      <c r="O475" s="1253"/>
      <c r="P475" s="1253"/>
      <c r="Q475" s="2"/>
      <c r="R475" s="10"/>
      <c r="S475" s="10"/>
      <c r="T475" s="10"/>
      <c r="U475" s="10"/>
      <c r="V475" s="10"/>
      <c r="W475" s="10"/>
      <c r="X475" s="10"/>
      <c r="AA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row>
    <row r="476" spans="1:142" s="6" customFormat="1" ht="40.5" customHeight="1" x14ac:dyDescent="0.2">
      <c r="A476" s="2"/>
      <c r="B476" s="761" t="s">
        <v>105</v>
      </c>
      <c r="C476" s="761"/>
      <c r="D476" s="761"/>
      <c r="E476" s="761"/>
      <c r="F476" s="761"/>
      <c r="G476" s="761"/>
      <c r="H476" s="761"/>
      <c r="I476" s="761"/>
      <c r="J476" s="761"/>
      <c r="K476" s="761"/>
      <c r="L476" s="761"/>
      <c r="M476" s="761"/>
      <c r="N476" s="761"/>
      <c r="O476" s="761"/>
      <c r="P476" s="761"/>
      <c r="Q476" s="2"/>
      <c r="R476" s="10"/>
      <c r="S476" s="10"/>
      <c r="T476" s="10"/>
      <c r="U476" s="141"/>
      <c r="V476" s="10"/>
      <c r="W476" s="10"/>
      <c r="X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row>
    <row r="477" spans="1:142" s="6" customFormat="1" ht="33.75" customHeight="1" x14ac:dyDescent="0.2">
      <c r="A477" s="2"/>
      <c r="B477" s="146"/>
      <c r="C477" s="912" t="s">
        <v>1759</v>
      </c>
      <c r="D477" s="910"/>
      <c r="E477" s="146"/>
      <c r="F477" s="912" t="s">
        <v>1257</v>
      </c>
      <c r="G477" s="912"/>
      <c r="H477" s="910"/>
      <c r="I477" s="910"/>
      <c r="J477" s="910" t="s">
        <v>1759</v>
      </c>
      <c r="K477" s="910"/>
      <c r="L477" s="910"/>
      <c r="M477" s="910"/>
      <c r="N477" s="910" t="s">
        <v>1702</v>
      </c>
      <c r="O477" s="910"/>
      <c r="P477" s="910"/>
      <c r="Q477" s="2"/>
      <c r="R477" s="10"/>
      <c r="S477" s="50" t="s">
        <v>1701</v>
      </c>
      <c r="T477" s="50" t="s">
        <v>1287</v>
      </c>
      <c r="U477" s="256" t="s">
        <v>1104</v>
      </c>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row>
    <row r="478" spans="1:142" s="6" customFormat="1" ht="18" customHeight="1" x14ac:dyDescent="0.2">
      <c r="A478" s="2"/>
      <c r="B478" s="146" t="s">
        <v>1336</v>
      </c>
      <c r="C478" s="755">
        <f>P33</f>
        <v>0</v>
      </c>
      <c r="D478" s="731"/>
      <c r="E478" s="18" t="s">
        <v>1754</v>
      </c>
      <c r="F478" s="1023">
        <v>0.06</v>
      </c>
      <c r="G478" s="1023"/>
      <c r="H478" s="1272" t="s">
        <v>1756</v>
      </c>
      <c r="I478" s="1272"/>
      <c r="J478" s="1290">
        <f>IF(C488&lt;R1,"DOI&lt;2005",IF($P$269&gt;0,0,T478))</f>
        <v>0</v>
      </c>
      <c r="K478" s="1290"/>
      <c r="L478" s="1290"/>
      <c r="M478" s="1290"/>
      <c r="N478" s="1272" t="str">
        <f>IF(C478=0,"",IF($P$269&gt;0,"Converted",""))</f>
        <v/>
      </c>
      <c r="O478" s="1272"/>
      <c r="P478" s="1272"/>
      <c r="Q478" s="2"/>
      <c r="R478" s="10"/>
      <c r="S478" s="583">
        <f>IF(AND(C478*F478&gt;0,C478*F478&lt;0.01),0.01,C478*F478)</f>
        <v>0</v>
      </c>
      <c r="T478" s="147">
        <f t="shared" ref="T478:T484" si="100">ROUND(S478,2)</f>
        <v>0</v>
      </c>
      <c r="U478" s="147">
        <f>SUM(E341:E366)</f>
        <v>0</v>
      </c>
      <c r="V478" s="50" t="s">
        <v>2179</v>
      </c>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row>
    <row r="479" spans="1:142" s="6" customFormat="1" ht="18" customHeight="1" x14ac:dyDescent="0.2">
      <c r="A479" s="2"/>
      <c r="B479" s="146" t="s">
        <v>1337</v>
      </c>
      <c r="C479" s="755">
        <f>P72</f>
        <v>0</v>
      </c>
      <c r="D479" s="731"/>
      <c r="E479" s="18" t="s">
        <v>1754</v>
      </c>
      <c r="F479" s="1023">
        <v>0.01</v>
      </c>
      <c r="G479" s="1023"/>
      <c r="H479" s="1272" t="s">
        <v>1756</v>
      </c>
      <c r="I479" s="1272"/>
      <c r="J479" s="1290">
        <f>IF(C488&lt;R1,"DOI&lt;2005",IF($P$269&gt;0,0,T479))</f>
        <v>0</v>
      </c>
      <c r="K479" s="1290"/>
      <c r="L479" s="1290"/>
      <c r="M479" s="1290"/>
      <c r="N479" s="1272" t="str">
        <f>IF(C479=0,"",IF($P$269&gt;0,"Converted",""))</f>
        <v/>
      </c>
      <c r="O479" s="1272"/>
      <c r="P479" s="1272"/>
      <c r="Q479" s="2"/>
      <c r="R479" s="10"/>
      <c r="S479" s="583">
        <f t="shared" ref="S479:S484" si="101">IF(AND(C479*F479&gt;0,C479*F479&lt;0.01),0.01,C479*F479)</f>
        <v>0</v>
      </c>
      <c r="T479" s="147">
        <f t="shared" si="100"/>
        <v>0</v>
      </c>
      <c r="U479" s="147">
        <f>SUM(E448:E470)</f>
        <v>0</v>
      </c>
      <c r="V479" s="50" t="s">
        <v>2178</v>
      </c>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row>
    <row r="480" spans="1:142" s="6" customFormat="1" ht="18" customHeight="1" x14ac:dyDescent="0.2">
      <c r="A480" s="2"/>
      <c r="B480" s="146" t="s">
        <v>1338</v>
      </c>
      <c r="C480" s="755">
        <f>P112</f>
        <v>0</v>
      </c>
      <c r="D480" s="731"/>
      <c r="E480" s="18" t="s">
        <v>1754</v>
      </c>
      <c r="F480" s="1023">
        <v>0.01</v>
      </c>
      <c r="G480" s="1023"/>
      <c r="H480" s="1272" t="s">
        <v>1756</v>
      </c>
      <c r="I480" s="1272"/>
      <c r="J480" s="1290">
        <f>IF(C488&lt;R1,"DOI&lt;2005",IF($P$269&gt;0,0,T480))</f>
        <v>0</v>
      </c>
      <c r="K480" s="1290"/>
      <c r="L480" s="1290"/>
      <c r="M480" s="1290"/>
      <c r="N480" s="1272" t="str">
        <f>IF(C480=0,"",IF($P$269&gt;0,"Converted",""))</f>
        <v/>
      </c>
      <c r="O480" s="1272"/>
      <c r="P480" s="1272"/>
      <c r="Q480" s="2"/>
      <c r="R480" s="10"/>
      <c r="S480" s="583">
        <f t="shared" si="101"/>
        <v>0</v>
      </c>
      <c r="T480" s="147">
        <f t="shared" si="100"/>
        <v>0</v>
      </c>
      <c r="U480" s="578">
        <f>IF(AND(U478&gt;0,U479&gt;0),1,0)</f>
        <v>0</v>
      </c>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row>
    <row r="481" spans="1:142" s="6" customFormat="1" ht="18" customHeight="1" x14ac:dyDescent="0.2">
      <c r="A481" s="2"/>
      <c r="B481" s="146" t="s">
        <v>1339</v>
      </c>
      <c r="C481" s="755">
        <f>P152</f>
        <v>0</v>
      </c>
      <c r="D481" s="731"/>
      <c r="E481" s="18" t="s">
        <v>1754</v>
      </c>
      <c r="F481" s="1023">
        <v>0.01</v>
      </c>
      <c r="G481" s="1023"/>
      <c r="H481" s="1272" t="s">
        <v>1756</v>
      </c>
      <c r="I481" s="1272"/>
      <c r="J481" s="1290">
        <f>IF(C488&lt;R1,"DOI&lt;2005",IF($P$269&gt;0,0,T481))</f>
        <v>0</v>
      </c>
      <c r="K481" s="1290"/>
      <c r="L481" s="1290"/>
      <c r="M481" s="1290"/>
      <c r="N481" s="1272" t="str">
        <f>IF(C481=0,"",IF($P$269&gt;0,"Converted",""))</f>
        <v/>
      </c>
      <c r="O481" s="1272"/>
      <c r="P481" s="1272"/>
      <c r="Q481" s="2"/>
      <c r="R481" s="10"/>
      <c r="S481" s="583">
        <f t="shared" si="101"/>
        <v>0</v>
      </c>
      <c r="T481" s="147">
        <f t="shared" si="100"/>
        <v>0</v>
      </c>
      <c r="U481" s="14"/>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c r="DO481" s="10"/>
      <c r="DP481" s="10"/>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row>
    <row r="482" spans="1:142" s="6" customFormat="1" ht="18" customHeight="1" x14ac:dyDescent="0.2">
      <c r="A482" s="2"/>
      <c r="B482" s="146" t="s">
        <v>1340</v>
      </c>
      <c r="C482" s="755">
        <f>P192</f>
        <v>0</v>
      </c>
      <c r="D482" s="731"/>
      <c r="E482" s="18" t="s">
        <v>1754</v>
      </c>
      <c r="F482" s="1023">
        <v>0.01</v>
      </c>
      <c r="G482" s="1023"/>
      <c r="H482" s="1272" t="s">
        <v>1756</v>
      </c>
      <c r="I482" s="1272"/>
      <c r="J482" s="1290">
        <f>IF(C488&lt;R1,"DOI&lt;2005",IF($P$269&gt;0,0,T482))</f>
        <v>0</v>
      </c>
      <c r="K482" s="1290"/>
      <c r="L482" s="1290"/>
      <c r="M482" s="1290"/>
      <c r="N482" s="1272" t="str">
        <f>IF(C482=0,"",IF($P$269&gt;0,"Converted",""))</f>
        <v/>
      </c>
      <c r="O482" s="1272"/>
      <c r="P482" s="1272"/>
      <c r="Q482" s="2"/>
      <c r="R482" s="10"/>
      <c r="S482" s="583">
        <f t="shared" si="101"/>
        <v>0</v>
      </c>
      <c r="T482" s="147">
        <f t="shared" si="100"/>
        <v>0</v>
      </c>
      <c r="U482" s="14"/>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row>
    <row r="483" spans="1:142" s="6" customFormat="1" ht="18" customHeight="1" x14ac:dyDescent="0.2">
      <c r="A483" s="2"/>
      <c r="B483" s="146" t="s">
        <v>1322</v>
      </c>
      <c r="C483" s="755">
        <f>P340</f>
        <v>0</v>
      </c>
      <c r="D483" s="731"/>
      <c r="E483" s="18" t="s">
        <v>1754</v>
      </c>
      <c r="F483" s="1023">
        <v>0.42</v>
      </c>
      <c r="G483" s="1023"/>
      <c r="H483" s="1272" t="s">
        <v>1756</v>
      </c>
      <c r="I483" s="1272"/>
      <c r="J483" s="1290">
        <f>IF(C488&lt;R1,"DOI&lt;2005",IF(AND(C483&gt;0,C484&gt;0),0,T483))</f>
        <v>0</v>
      </c>
      <c r="K483" s="1290"/>
      <c r="L483" s="1290"/>
      <c r="M483" s="1290"/>
      <c r="N483" s="1272" t="str">
        <f>IF(C483=0,"",IF(U480=1,"Converted",""))</f>
        <v/>
      </c>
      <c r="O483" s="1272"/>
      <c r="P483" s="1272"/>
      <c r="Q483" s="2"/>
      <c r="R483" s="10"/>
      <c r="S483" s="583">
        <f t="shared" si="101"/>
        <v>0</v>
      </c>
      <c r="T483" s="147">
        <f t="shared" si="100"/>
        <v>0</v>
      </c>
      <c r="U483" s="14"/>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10"/>
      <c r="DN483" s="10"/>
      <c r="DO483" s="10"/>
      <c r="DP483" s="10"/>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row>
    <row r="484" spans="1:142" s="6" customFormat="1" ht="18" customHeight="1" x14ac:dyDescent="0.2">
      <c r="A484" s="2"/>
      <c r="B484" s="146" t="s">
        <v>1341</v>
      </c>
      <c r="C484" s="755">
        <f>P447</f>
        <v>0</v>
      </c>
      <c r="D484" s="731"/>
      <c r="E484" s="18" t="s">
        <v>1754</v>
      </c>
      <c r="F484" s="1023">
        <v>0.47</v>
      </c>
      <c r="G484" s="1023"/>
      <c r="H484" s="1272" t="s">
        <v>1756</v>
      </c>
      <c r="I484" s="1272"/>
      <c r="J484" s="1290">
        <f>IF(C488&lt;R1,"DOI&lt;2005",T484)</f>
        <v>0</v>
      </c>
      <c r="K484" s="1290"/>
      <c r="L484" s="1290"/>
      <c r="M484" s="1290"/>
      <c r="N484" s="1272"/>
      <c r="O484" s="1272"/>
      <c r="P484" s="1272"/>
      <c r="Q484" s="2"/>
      <c r="R484" s="10"/>
      <c r="S484" s="583">
        <f t="shared" si="101"/>
        <v>0</v>
      </c>
      <c r="T484" s="147">
        <f t="shared" si="100"/>
        <v>0</v>
      </c>
      <c r="U484" s="14"/>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10"/>
      <c r="DN484" s="10"/>
      <c r="DO484" s="10"/>
      <c r="DP484" s="10"/>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row>
    <row r="485" spans="1:142" x14ac:dyDescent="0.2">
      <c r="B485" s="75"/>
      <c r="C485" s="167"/>
      <c r="D485" s="167"/>
      <c r="E485" s="167"/>
      <c r="F485" s="167"/>
      <c r="G485" s="167"/>
      <c r="H485" s="167"/>
      <c r="I485" s="167"/>
      <c r="J485" s="167"/>
      <c r="K485" s="167"/>
      <c r="L485" s="167"/>
      <c r="M485" s="167"/>
      <c r="N485" s="167"/>
      <c r="O485" s="167"/>
      <c r="P485" s="73"/>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10"/>
      <c r="DN485" s="10"/>
      <c r="DO485" s="10"/>
      <c r="DP485" s="10"/>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row>
    <row r="486" spans="1:142" ht="30.75" customHeight="1" x14ac:dyDescent="0.2">
      <c r="B486" s="912" t="s">
        <v>1332</v>
      </c>
      <c r="C486" s="910"/>
      <c r="D486" s="910"/>
      <c r="E486" s="910"/>
      <c r="F486" s="910"/>
      <c r="G486" s="910"/>
      <c r="H486" s="910"/>
      <c r="I486" s="910"/>
      <c r="J486" s="910"/>
      <c r="K486" s="910"/>
      <c r="L486" s="910"/>
      <c r="M486" s="910"/>
      <c r="N486" s="910"/>
      <c r="O486" s="910"/>
      <c r="P486" s="9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row>
    <row r="487" spans="1:142" x14ac:dyDescent="0.2">
      <c r="B487" s="1287"/>
      <c r="C487" s="1288"/>
      <c r="D487" s="1288"/>
      <c r="E487" s="1288"/>
      <c r="F487" s="1288"/>
      <c r="G487" s="1288"/>
      <c r="H487" s="1288"/>
      <c r="I487" s="1288"/>
      <c r="J487" s="1288"/>
      <c r="K487" s="1288"/>
      <c r="L487" s="1288"/>
      <c r="M487" s="1288"/>
      <c r="N487" s="1288"/>
      <c r="O487" s="1288"/>
      <c r="P487" s="1289"/>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c r="DG487" s="10"/>
      <c r="DH487" s="10"/>
      <c r="DI487" s="10"/>
      <c r="DJ487" s="10"/>
      <c r="DK487" s="10"/>
      <c r="DL487" s="10"/>
      <c r="DM487" s="10"/>
      <c r="DN487" s="10"/>
      <c r="DO487" s="10"/>
      <c r="DP487" s="10"/>
      <c r="DQ487" s="10"/>
      <c r="DR487" s="10"/>
      <c r="DS487" s="10"/>
      <c r="DT487" s="10"/>
      <c r="DU487" s="10"/>
      <c r="DV487" s="10"/>
      <c r="DW487" s="10"/>
      <c r="DX487" s="10"/>
      <c r="DY487" s="10"/>
      <c r="DZ487" s="10"/>
      <c r="EA487" s="10"/>
      <c r="EB487" s="10"/>
      <c r="EC487" s="10"/>
      <c r="ED487" s="10"/>
      <c r="EE487" s="10"/>
      <c r="EF487" s="10"/>
      <c r="EG487" s="10"/>
      <c r="EH487" s="10"/>
      <c r="EI487" s="10"/>
      <c r="EJ487" s="10"/>
      <c r="EK487" s="10"/>
      <c r="EL487" s="10"/>
    </row>
    <row r="488" spans="1:142" x14ac:dyDescent="0.2">
      <c r="B488" s="299" t="s">
        <v>1170</v>
      </c>
      <c r="C488" s="1303" t="str">
        <f>IF('Start here'!A8="","",'Start here'!A8)</f>
        <v/>
      </c>
      <c r="D488" s="1304"/>
      <c r="E488" s="1305"/>
      <c r="F488" s="1040" t="str">
        <f>IF(C488="","Enter date of injury on worksheet: Start here.","")</f>
        <v>Enter date of injury on worksheet: Start here.</v>
      </c>
      <c r="G488" s="1041"/>
      <c r="H488" s="1041"/>
      <c r="I488" s="1041"/>
      <c r="J488" s="1041"/>
      <c r="K488" s="1041"/>
      <c r="L488" s="1041"/>
      <c r="M488" s="1041"/>
      <c r="N488" s="1041"/>
      <c r="O488" s="1041"/>
      <c r="P488" s="1293"/>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c r="DF488" s="10"/>
      <c r="DG488" s="10"/>
      <c r="DH488" s="10"/>
      <c r="DI488" s="10"/>
      <c r="DJ488" s="10"/>
      <c r="DK488" s="10"/>
      <c r="DL488" s="10"/>
      <c r="DM488" s="10"/>
      <c r="DN488" s="10"/>
      <c r="DO488" s="10"/>
      <c r="DP488" s="10"/>
      <c r="DQ488" s="10"/>
      <c r="DR488" s="10"/>
      <c r="DS488" s="10"/>
      <c r="DT488" s="10"/>
      <c r="DU488" s="10"/>
      <c r="DV488" s="10"/>
      <c r="DW488" s="10"/>
      <c r="DX488" s="10"/>
      <c r="DY488" s="10"/>
      <c r="DZ488" s="10"/>
      <c r="EA488" s="10"/>
      <c r="EB488" s="10"/>
      <c r="EC488" s="10"/>
      <c r="ED488" s="10"/>
      <c r="EE488" s="10"/>
      <c r="EF488" s="10"/>
      <c r="EG488" s="10"/>
      <c r="EH488" s="10"/>
      <c r="EI488" s="10"/>
      <c r="EJ488" s="10"/>
      <c r="EK488" s="10"/>
      <c r="EL488" s="10"/>
    </row>
    <row r="489" spans="1:142" x14ac:dyDescent="0.2">
      <c r="B489" s="1301"/>
      <c r="C489" s="1196"/>
      <c r="D489" s="1196"/>
      <c r="E489" s="1196"/>
      <c r="F489" s="1196"/>
      <c r="G489" s="1196"/>
      <c r="H489" s="1196"/>
      <c r="I489" s="1196"/>
      <c r="J489" s="1196"/>
      <c r="K489" s="1196"/>
      <c r="L489" s="1196"/>
      <c r="M489" s="1196"/>
      <c r="N489" s="1196"/>
      <c r="O489" s="1196"/>
      <c r="P489" s="1302"/>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c r="DG489" s="10"/>
      <c r="DH489" s="10"/>
      <c r="DI489" s="10"/>
      <c r="DJ489" s="10"/>
      <c r="DK489" s="10"/>
      <c r="DL489" s="10"/>
      <c r="DM489" s="10"/>
      <c r="DN489" s="10"/>
      <c r="DO489" s="10"/>
      <c r="DP489" s="10"/>
      <c r="DQ489" s="10"/>
      <c r="DR489" s="10"/>
      <c r="DS489" s="10"/>
      <c r="DT489" s="10"/>
      <c r="DU489" s="10"/>
      <c r="DV489" s="10"/>
      <c r="DW489" s="10"/>
      <c r="DX489" s="10"/>
      <c r="DY489" s="10"/>
      <c r="DZ489" s="10"/>
      <c r="EA489" s="10"/>
      <c r="EB489" s="10"/>
      <c r="EC489" s="10"/>
      <c r="ED489" s="10"/>
      <c r="EE489" s="10"/>
      <c r="EF489" s="10"/>
      <c r="EG489" s="10"/>
      <c r="EH489" s="10"/>
      <c r="EI489" s="10"/>
      <c r="EJ489" s="10"/>
      <c r="EK489" s="10"/>
      <c r="EL489" s="10"/>
    </row>
    <row r="490" spans="1:142" ht="38.25" customHeight="1" x14ac:dyDescent="0.2">
      <c r="B490" s="1143" t="s">
        <v>105</v>
      </c>
      <c r="C490" s="1143"/>
      <c r="D490" s="1143"/>
      <c r="E490" s="1143"/>
      <c r="F490" s="1143"/>
      <c r="G490" s="1143"/>
      <c r="H490" s="1143"/>
      <c r="I490" s="1143"/>
      <c r="J490" s="1143"/>
      <c r="K490" s="1143"/>
      <c r="L490" s="1143"/>
      <c r="M490" s="1143"/>
      <c r="N490" s="1143"/>
      <c r="O490" s="1143"/>
      <c r="P490" s="1143"/>
      <c r="R490" s="50">
        <f>IF(OR(V365&gt;0,V469&gt;0),1,0)</f>
        <v>0</v>
      </c>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c r="DF490" s="10"/>
      <c r="DG490" s="10"/>
      <c r="DH490" s="10"/>
      <c r="DI490" s="10"/>
      <c r="DJ490" s="10"/>
      <c r="DK490" s="10"/>
      <c r="DL490" s="10"/>
      <c r="DM490" s="10"/>
      <c r="DN490" s="10"/>
      <c r="DO490" s="10"/>
      <c r="DP490" s="10"/>
      <c r="DQ490" s="10"/>
      <c r="DR490" s="10"/>
      <c r="DS490" s="10"/>
      <c r="DT490" s="10"/>
      <c r="DU490" s="10"/>
      <c r="DV490" s="10"/>
      <c r="DW490" s="10"/>
      <c r="DX490" s="10"/>
      <c r="DY490" s="10"/>
      <c r="DZ490" s="10"/>
      <c r="EA490" s="10"/>
      <c r="EB490" s="10"/>
      <c r="EC490" s="10"/>
      <c r="ED490" s="10"/>
      <c r="EE490" s="10"/>
      <c r="EF490" s="10"/>
      <c r="EG490" s="10"/>
      <c r="EH490" s="10"/>
      <c r="EI490" s="10"/>
      <c r="EJ490" s="10"/>
      <c r="EK490" s="10"/>
      <c r="EL490" s="10"/>
    </row>
    <row r="491" spans="1:142" ht="27" customHeight="1" x14ac:dyDescent="0.2">
      <c r="B491" s="289"/>
      <c r="C491" s="1161" t="s">
        <v>1759</v>
      </c>
      <c r="D491" s="1161"/>
      <c r="E491" s="36"/>
      <c r="F491" s="1295" t="s">
        <v>1333</v>
      </c>
      <c r="G491" s="1161"/>
      <c r="H491" s="1161" t="s">
        <v>355</v>
      </c>
      <c r="I491" s="1161"/>
      <c r="J491" s="1161"/>
      <c r="K491" s="36"/>
      <c r="L491" s="1295" t="s">
        <v>1334</v>
      </c>
      <c r="M491" s="1161"/>
      <c r="N491" s="36"/>
      <c r="O491" s="1161" t="s">
        <v>1173</v>
      </c>
      <c r="P491" s="1161"/>
      <c r="R491" s="527" t="s">
        <v>2147</v>
      </c>
      <c r="S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c r="DG491" s="10"/>
      <c r="DH491" s="10"/>
      <c r="DI491" s="10"/>
      <c r="DJ491" s="10"/>
      <c r="DK491" s="10"/>
      <c r="DL491" s="10"/>
      <c r="DM491" s="10"/>
      <c r="DN491" s="10"/>
      <c r="DO491" s="10"/>
      <c r="DP491" s="10"/>
      <c r="DQ491" s="10"/>
      <c r="DR491" s="10"/>
      <c r="DS491" s="10"/>
      <c r="DT491" s="10"/>
      <c r="DU491" s="10"/>
      <c r="DV491" s="10"/>
      <c r="DW491" s="10"/>
      <c r="DX491" s="10"/>
      <c r="DY491" s="10"/>
      <c r="DZ491" s="10"/>
      <c r="EA491" s="10"/>
      <c r="EB491" s="10"/>
      <c r="EC491" s="10"/>
      <c r="ED491" s="10"/>
      <c r="EE491" s="10"/>
      <c r="EF491" s="10"/>
      <c r="EG491" s="10"/>
      <c r="EH491" s="10"/>
      <c r="EI491" s="10"/>
      <c r="EJ491" s="10"/>
      <c r="EK491" s="10"/>
      <c r="EL491" s="10"/>
    </row>
    <row r="492" spans="1:142" ht="18" customHeight="1" x14ac:dyDescent="0.2">
      <c r="B492" s="289" t="s">
        <v>367</v>
      </c>
      <c r="C492" s="1142">
        <f>P33</f>
        <v>0</v>
      </c>
      <c r="D492" s="1162"/>
      <c r="E492" s="36" t="s">
        <v>1754</v>
      </c>
      <c r="F492" s="36">
        <v>18</v>
      </c>
      <c r="G492" s="36" t="s">
        <v>1756</v>
      </c>
      <c r="H492" s="1291">
        <f>C492*F492</f>
        <v>0</v>
      </c>
      <c r="I492" s="1291"/>
      <c r="J492" s="1291"/>
      <c r="K492" s="36" t="s">
        <v>1754</v>
      </c>
      <c r="L492" s="1292" t="e">
        <f>'Dol Per Deg'!$H$11</f>
        <v>#N/A</v>
      </c>
      <c r="M492" s="1162"/>
      <c r="N492" s="36" t="s">
        <v>1756</v>
      </c>
      <c r="O492" s="1286" t="str">
        <f>IF(C488&gt;=R1,"DOI&gt;2004",IF(C492=0,0,IF(AND($R$490=1,C492&gt;0),"Converted",H492*L492)))</f>
        <v>DOI&gt;2004</v>
      </c>
      <c r="P492" s="1286"/>
      <c r="R492" s="365">
        <f t="shared" ref="R492:R497" si="102">IF(O492="Converted",0,C492)</f>
        <v>0</v>
      </c>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10"/>
      <c r="DN492" s="10"/>
      <c r="DO492" s="10"/>
      <c r="DP492" s="10"/>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row>
    <row r="493" spans="1:142" ht="18" customHeight="1" x14ac:dyDescent="0.2">
      <c r="B493" s="289" t="s">
        <v>860</v>
      </c>
      <c r="C493" s="1142">
        <f>P72</f>
        <v>0</v>
      </c>
      <c r="D493" s="1162"/>
      <c r="E493" s="36" t="s">
        <v>1754</v>
      </c>
      <c r="F493" s="36">
        <v>4</v>
      </c>
      <c r="G493" s="36" t="s">
        <v>1756</v>
      </c>
      <c r="H493" s="1291">
        <f t="shared" ref="H493:H498" si="103">C493*F493</f>
        <v>0</v>
      </c>
      <c r="I493" s="1291"/>
      <c r="J493" s="1291"/>
      <c r="K493" s="36" t="s">
        <v>1754</v>
      </c>
      <c r="L493" s="1292" t="e">
        <f>'Dol Per Deg'!$H$11</f>
        <v>#N/A</v>
      </c>
      <c r="M493" s="1162"/>
      <c r="N493" s="36" t="s">
        <v>1756</v>
      </c>
      <c r="O493" s="1286" t="str">
        <f>IF(C488&gt;=R1,"DOI&gt;2004",IF(C493=0,0,IF(AND($R$490=1,C493&gt;0),"Converted",H493*L493)))</f>
        <v>DOI&gt;2004</v>
      </c>
      <c r="P493" s="1286"/>
      <c r="R493" s="365">
        <f t="shared" si="102"/>
        <v>0</v>
      </c>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c r="DF493" s="10"/>
      <c r="DG493" s="10"/>
      <c r="DH493" s="10"/>
      <c r="DI493" s="10"/>
      <c r="DJ493" s="10"/>
      <c r="DK493" s="10"/>
      <c r="DL493" s="10"/>
      <c r="DM493" s="10"/>
      <c r="DN493" s="10"/>
      <c r="DO493" s="10"/>
      <c r="DP493" s="10"/>
      <c r="DQ493" s="10"/>
      <c r="DR493" s="10"/>
      <c r="DS493" s="10"/>
      <c r="DT493" s="10"/>
      <c r="DU493" s="10"/>
      <c r="DV493" s="10"/>
      <c r="DW493" s="10"/>
      <c r="DX493" s="10"/>
      <c r="DY493" s="10"/>
      <c r="DZ493" s="10"/>
      <c r="EA493" s="10"/>
      <c r="EB493" s="10"/>
      <c r="EC493" s="10"/>
      <c r="ED493" s="10"/>
      <c r="EE493" s="10"/>
      <c r="EF493" s="10"/>
      <c r="EG493" s="10"/>
      <c r="EH493" s="10"/>
      <c r="EI493" s="10"/>
      <c r="EJ493" s="10"/>
      <c r="EK493" s="10"/>
      <c r="EL493" s="10"/>
    </row>
    <row r="494" spans="1:142" ht="18" customHeight="1" x14ac:dyDescent="0.2">
      <c r="B494" s="289" t="s">
        <v>526</v>
      </c>
      <c r="C494" s="1142">
        <f>P112</f>
        <v>0</v>
      </c>
      <c r="D494" s="1162"/>
      <c r="E494" s="36" t="s">
        <v>1754</v>
      </c>
      <c r="F494" s="36">
        <v>4</v>
      </c>
      <c r="G494" s="36" t="s">
        <v>1756</v>
      </c>
      <c r="H494" s="1291">
        <f t="shared" si="103"/>
        <v>0</v>
      </c>
      <c r="I494" s="1291"/>
      <c r="J494" s="1291"/>
      <c r="K494" s="36" t="s">
        <v>1754</v>
      </c>
      <c r="L494" s="1292" t="e">
        <f>'Dol Per Deg'!$H$11</f>
        <v>#N/A</v>
      </c>
      <c r="M494" s="1162"/>
      <c r="N494" s="36" t="s">
        <v>1756</v>
      </c>
      <c r="O494" s="1286" t="str">
        <f>IF(C488&gt;=R1,"DOI&gt;2004",IF(C494=0,0,IF(AND($R$490=1,C494&gt;0),"Converted",H494*L494)))</f>
        <v>DOI&gt;2004</v>
      </c>
      <c r="P494" s="1286"/>
      <c r="R494" s="365">
        <f t="shared" si="102"/>
        <v>0</v>
      </c>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row>
    <row r="495" spans="1:142" ht="18" customHeight="1" x14ac:dyDescent="0.2">
      <c r="B495" s="289" t="s">
        <v>527</v>
      </c>
      <c r="C495" s="1142">
        <f>P152</f>
        <v>0</v>
      </c>
      <c r="D495" s="1162"/>
      <c r="E495" s="36" t="s">
        <v>1754</v>
      </c>
      <c r="F495" s="36">
        <v>4</v>
      </c>
      <c r="G495" s="36" t="s">
        <v>1756</v>
      </c>
      <c r="H495" s="1291">
        <f t="shared" si="103"/>
        <v>0</v>
      </c>
      <c r="I495" s="1291"/>
      <c r="J495" s="1291"/>
      <c r="K495" s="36" t="s">
        <v>1754</v>
      </c>
      <c r="L495" s="1292" t="e">
        <f>'Dol Per Deg'!$H$11</f>
        <v>#N/A</v>
      </c>
      <c r="M495" s="1162"/>
      <c r="N495" s="36" t="s">
        <v>1756</v>
      </c>
      <c r="O495" s="1286" t="str">
        <f>IF(C488&gt;=R1,"DOI&gt;2004",IF(C495=0,0,IF(AND($R$490=1,C495&gt;0),"Converted",H495*L495)))</f>
        <v>DOI&gt;2004</v>
      </c>
      <c r="P495" s="1286"/>
      <c r="R495" s="365">
        <f t="shared" si="102"/>
        <v>0</v>
      </c>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10"/>
      <c r="DN495" s="10"/>
      <c r="DO495" s="10"/>
      <c r="DP495" s="10"/>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row>
    <row r="496" spans="1:142" ht="18" customHeight="1" x14ac:dyDescent="0.2">
      <c r="B496" s="289" t="s">
        <v>528</v>
      </c>
      <c r="C496" s="1142">
        <f>P192</f>
        <v>0</v>
      </c>
      <c r="D496" s="1162"/>
      <c r="E496" s="36" t="s">
        <v>1754</v>
      </c>
      <c r="F496" s="36">
        <v>4</v>
      </c>
      <c r="G496" s="36" t="s">
        <v>1756</v>
      </c>
      <c r="H496" s="1291">
        <f t="shared" si="103"/>
        <v>0</v>
      </c>
      <c r="I496" s="1291"/>
      <c r="J496" s="1291"/>
      <c r="K496" s="36" t="s">
        <v>1754</v>
      </c>
      <c r="L496" s="1292" t="e">
        <f>'Dol Per Deg'!$H$11</f>
        <v>#N/A</v>
      </c>
      <c r="M496" s="1162"/>
      <c r="N496" s="36" t="s">
        <v>1756</v>
      </c>
      <c r="O496" s="1286" t="str">
        <f>IF(C488&gt;=R1,"DOI&gt;2004",IF(C496=0,0,IF(AND($R$490=1,C496&gt;0),"Converted",H496*L496)))</f>
        <v>DOI&gt;2004</v>
      </c>
      <c r="P496" s="1286"/>
      <c r="R496" s="365">
        <f t="shared" si="102"/>
        <v>0</v>
      </c>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c r="DF496" s="10"/>
      <c r="DG496" s="10"/>
      <c r="DH496" s="10"/>
      <c r="DI496" s="10"/>
      <c r="DJ496" s="10"/>
      <c r="DK496" s="10"/>
      <c r="DL496" s="10"/>
      <c r="DM496" s="10"/>
      <c r="DN496" s="10"/>
      <c r="DO496" s="10"/>
      <c r="DP496" s="10"/>
      <c r="DQ496" s="10"/>
      <c r="DR496" s="10"/>
      <c r="DS496" s="10"/>
      <c r="DT496" s="10"/>
      <c r="DU496" s="10"/>
      <c r="DV496" s="10"/>
      <c r="DW496" s="10"/>
      <c r="DX496" s="10"/>
      <c r="DY496" s="10"/>
      <c r="DZ496" s="10"/>
      <c r="EA496" s="10"/>
      <c r="EB496" s="10"/>
      <c r="EC496" s="10"/>
      <c r="ED496" s="10"/>
      <c r="EE496" s="10"/>
      <c r="EF496" s="10"/>
      <c r="EG496" s="10"/>
      <c r="EH496" s="10"/>
      <c r="EI496" s="10"/>
      <c r="EJ496" s="10"/>
      <c r="EK496" s="10"/>
      <c r="EL496" s="10"/>
    </row>
    <row r="497" spans="1:241" ht="18" customHeight="1" x14ac:dyDescent="0.2">
      <c r="B497" s="289" t="s">
        <v>529</v>
      </c>
      <c r="C497" s="1142">
        <f>P340</f>
        <v>0</v>
      </c>
      <c r="D497" s="1162"/>
      <c r="E497" s="36" t="s">
        <v>1754</v>
      </c>
      <c r="F497" s="36">
        <v>135</v>
      </c>
      <c r="G497" s="36" t="s">
        <v>1756</v>
      </c>
      <c r="H497" s="1291">
        <f t="shared" si="103"/>
        <v>0</v>
      </c>
      <c r="I497" s="1291"/>
      <c r="J497" s="1291"/>
      <c r="K497" s="36" t="s">
        <v>1754</v>
      </c>
      <c r="L497" s="1292" t="e">
        <f>'Dol Per Deg'!$H$11</f>
        <v>#N/A</v>
      </c>
      <c r="M497" s="1162"/>
      <c r="N497" s="36" t="s">
        <v>1756</v>
      </c>
      <c r="O497" s="1286" t="str">
        <f>IF(C488&gt;=R1,"DOI&gt;2004",IF(C497=0,0,IF(AND(C497&gt;0,C498&gt;0),"Converted",H497*L497)))</f>
        <v>DOI&gt;2004</v>
      </c>
      <c r="P497" s="1286"/>
      <c r="R497" s="365">
        <f t="shared" si="102"/>
        <v>0</v>
      </c>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c r="DO497" s="10"/>
      <c r="DP497" s="10"/>
      <c r="DQ497" s="10"/>
      <c r="DR497" s="10"/>
      <c r="DS497" s="10"/>
      <c r="DT497" s="10"/>
      <c r="DU497" s="10"/>
      <c r="DV497" s="10"/>
      <c r="DW497" s="10"/>
      <c r="DX497" s="10"/>
      <c r="DY497" s="10"/>
      <c r="DZ497" s="10"/>
      <c r="EA497" s="10"/>
      <c r="EB497" s="10"/>
      <c r="EC497" s="10"/>
      <c r="ED497" s="10"/>
      <c r="EE497" s="10"/>
      <c r="EF497" s="10"/>
      <c r="EG497" s="10"/>
      <c r="EH497" s="10"/>
      <c r="EI497" s="10"/>
      <c r="EJ497" s="10"/>
      <c r="EK497" s="10"/>
      <c r="EL497" s="10"/>
    </row>
    <row r="498" spans="1:241" ht="18" customHeight="1" x14ac:dyDescent="0.2">
      <c r="B498" s="289" t="s">
        <v>530</v>
      </c>
      <c r="C498" s="1142">
        <f>P447</f>
        <v>0</v>
      </c>
      <c r="D498" s="1162"/>
      <c r="E498" s="36" t="s">
        <v>1754</v>
      </c>
      <c r="F498" s="36">
        <v>150</v>
      </c>
      <c r="G498" s="36" t="s">
        <v>1756</v>
      </c>
      <c r="H498" s="1291">
        <f t="shared" si="103"/>
        <v>0</v>
      </c>
      <c r="I498" s="1291"/>
      <c r="J498" s="1291"/>
      <c r="K498" s="36" t="s">
        <v>1754</v>
      </c>
      <c r="L498" s="1292" t="e">
        <f>'Dol Per Deg'!$H$11</f>
        <v>#N/A</v>
      </c>
      <c r="M498" s="1162"/>
      <c r="N498" s="36" t="s">
        <v>1756</v>
      </c>
      <c r="O498" s="1292" t="str">
        <f>IF(C488&gt;=R1,"DOI&gt;2004",IF(C498=0,0,H498*L498))</f>
        <v>DOI&gt;2004</v>
      </c>
      <c r="P498" s="1162"/>
      <c r="R498" s="365">
        <f>C498</f>
        <v>0</v>
      </c>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c r="DO498" s="10"/>
      <c r="DP498" s="10"/>
      <c r="DQ498" s="10"/>
      <c r="DR498" s="10"/>
      <c r="DS498" s="10"/>
      <c r="DT498" s="10"/>
      <c r="DU498" s="10"/>
      <c r="DV498" s="10"/>
      <c r="DW498" s="10"/>
      <c r="DX498" s="10"/>
      <c r="DY498" s="10"/>
      <c r="DZ498" s="10"/>
      <c r="EA498" s="10"/>
      <c r="EB498" s="10"/>
      <c r="EC498" s="10"/>
      <c r="ED498" s="10"/>
      <c r="EE498" s="10"/>
      <c r="EF498" s="10"/>
      <c r="EG498" s="10"/>
      <c r="EH498" s="10"/>
      <c r="EI498" s="10"/>
      <c r="EJ498" s="10"/>
      <c r="EK498" s="10"/>
      <c r="EL498" s="10"/>
    </row>
    <row r="499" spans="1:241" s="6" customFormat="1" ht="33.75" customHeight="1" x14ac:dyDescent="0.25">
      <c r="A499" s="2"/>
      <c r="B499" s="1037" t="s">
        <v>931</v>
      </c>
      <c r="C499" s="1037"/>
      <c r="D499" s="1037"/>
      <c r="E499" s="1037"/>
      <c r="F499" s="1037"/>
      <c r="G499" s="1037"/>
      <c r="H499" s="1037"/>
      <c r="I499" s="1037"/>
      <c r="J499" s="1037"/>
      <c r="K499" s="1037"/>
      <c r="L499" s="1037"/>
      <c r="M499" s="1037"/>
      <c r="N499" s="1037"/>
      <c r="O499" s="1037"/>
      <c r="P499" s="1037"/>
      <c r="Q499" s="2"/>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c r="DO499" s="10"/>
      <c r="DP499" s="10"/>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row>
    <row r="500" spans="1:241" x14ac:dyDescent="0.2">
      <c r="B500" s="243" t="s">
        <v>775</v>
      </c>
      <c r="C500" s="1294" t="str">
        <f>IF(S1&lt;&gt;"",S1,"")</f>
        <v>Go to PPD Worksheet</v>
      </c>
      <c r="D500" s="1294"/>
      <c r="E500" s="1294"/>
      <c r="F500" s="1294"/>
      <c r="G500" s="1294"/>
      <c r="H500" s="1294" t="str">
        <f>IF(S2&lt;&gt;"",S2,"")</f>
        <v/>
      </c>
      <c r="I500" s="1294"/>
      <c r="J500" s="1294"/>
      <c r="K500" s="1294"/>
      <c r="L500" s="1294"/>
      <c r="M500" s="1294"/>
      <c r="N500" s="167"/>
      <c r="O500" s="167"/>
      <c r="P500" s="172"/>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c r="DO500" s="10"/>
      <c r="DP500" s="10"/>
      <c r="DQ500" s="10"/>
      <c r="DR500" s="10"/>
      <c r="DS500" s="10"/>
      <c r="DT500" s="10"/>
      <c r="DU500" s="10"/>
      <c r="DV500" s="10"/>
      <c r="DW500" s="10"/>
      <c r="DX500" s="10"/>
      <c r="DY500" s="10"/>
      <c r="DZ500" s="10"/>
      <c r="EA500" s="10"/>
      <c r="EB500" s="10"/>
      <c r="EC500" s="10"/>
      <c r="ED500" s="10"/>
      <c r="EE500" s="10"/>
      <c r="EF500" s="10"/>
      <c r="EG500" s="10"/>
      <c r="EH500" s="10"/>
      <c r="EI500" s="10"/>
      <c r="EJ500" s="10"/>
      <c r="EK500" s="10"/>
      <c r="EL500" s="10"/>
    </row>
    <row r="501" spans="1:241" ht="15" x14ac:dyDescent="0.25">
      <c r="B501" s="83"/>
      <c r="C501" s="72"/>
      <c r="D501" s="72"/>
      <c r="E501" s="72"/>
      <c r="F501" s="72"/>
      <c r="G501" s="72"/>
      <c r="H501" s="72"/>
      <c r="I501" s="72"/>
      <c r="J501" s="72"/>
      <c r="K501" s="72"/>
      <c r="L501" s="72"/>
      <c r="M501" s="72"/>
      <c r="N501" s="72"/>
      <c r="O501" s="72"/>
      <c r="P501" s="63"/>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c r="DO501" s="10"/>
      <c r="DP501" s="10"/>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row>
    <row r="502" spans="1:241" ht="15" hidden="1" x14ac:dyDescent="0.25">
      <c r="B502" s="83"/>
      <c r="C502" s="72"/>
      <c r="D502" s="72"/>
      <c r="E502" s="72"/>
      <c r="F502" s="72"/>
      <c r="G502" s="72"/>
      <c r="H502" s="72"/>
      <c r="I502" s="72"/>
      <c r="J502" s="72"/>
      <c r="K502" s="72"/>
      <c r="L502" s="72"/>
      <c r="M502" s="72"/>
      <c r="N502" s="72"/>
      <c r="O502" s="72"/>
      <c r="P502" s="63"/>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row>
    <row r="503" spans="1:241" ht="15" hidden="1" x14ac:dyDescent="0.25">
      <c r="B503" s="1143" t="s">
        <v>2190</v>
      </c>
      <c r="C503" s="1143"/>
      <c r="D503" s="1143"/>
      <c r="E503" s="72"/>
      <c r="F503" s="72"/>
      <c r="G503" s="72"/>
      <c r="H503" s="72"/>
      <c r="I503" s="72"/>
      <c r="J503" s="72"/>
      <c r="K503" s="72"/>
      <c r="L503" s="72"/>
      <c r="M503" s="72"/>
      <c r="N503" s="72"/>
      <c r="O503" s="72"/>
      <c r="P503" s="63"/>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c r="DO503" s="10"/>
      <c r="DP503" s="10"/>
      <c r="DQ503" s="10"/>
      <c r="DR503" s="10"/>
      <c r="DS503" s="10"/>
      <c r="DT503" s="10"/>
      <c r="DU503" s="10"/>
      <c r="DV503" s="10"/>
      <c r="DW503" s="10"/>
      <c r="DX503" s="10"/>
      <c r="DY503" s="10"/>
      <c r="DZ503" s="10"/>
      <c r="EA503" s="10"/>
      <c r="EB503" s="10"/>
      <c r="EC503" s="10"/>
      <c r="ED503" s="10"/>
      <c r="EE503" s="10"/>
      <c r="EF503" s="10"/>
      <c r="EG503" s="10"/>
      <c r="EH503" s="10"/>
      <c r="EI503" s="10"/>
      <c r="EJ503" s="10"/>
      <c r="EK503" s="10"/>
      <c r="EL503" s="10"/>
    </row>
    <row r="504" spans="1:241" ht="15" hidden="1" x14ac:dyDescent="0.25">
      <c r="B504" s="1143"/>
      <c r="C504" s="1143"/>
      <c r="D504" s="1143"/>
      <c r="E504" s="72"/>
      <c r="F504" s="72"/>
      <c r="G504" s="72"/>
      <c r="H504" s="72"/>
      <c r="I504" s="72"/>
      <c r="J504" s="72"/>
      <c r="K504" s="72"/>
      <c r="L504" s="72"/>
      <c r="M504" s="72"/>
      <c r="N504" s="72"/>
      <c r="O504" s="72"/>
      <c r="P504" s="63"/>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row>
    <row r="505" spans="1:241" ht="15" hidden="1" x14ac:dyDescent="0.25">
      <c r="B505" s="1143"/>
      <c r="C505" s="1143"/>
      <c r="D505" s="1143"/>
      <c r="E505" s="72"/>
      <c r="F505" s="72"/>
      <c r="G505" s="72"/>
      <c r="H505" s="72"/>
      <c r="I505" s="72"/>
      <c r="J505" s="72"/>
      <c r="K505" s="72"/>
      <c r="L505" s="72"/>
      <c r="M505" s="72"/>
      <c r="N505" s="72"/>
      <c r="O505" s="72"/>
      <c r="P505" s="63"/>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row>
    <row r="506" spans="1:241" ht="15" hidden="1" x14ac:dyDescent="0.25">
      <c r="B506" s="611">
        <v>0.01</v>
      </c>
      <c r="C506" s="1144">
        <v>0.99</v>
      </c>
      <c r="D506" s="1144"/>
      <c r="E506" s="72"/>
      <c r="F506" s="72"/>
      <c r="G506" s="72"/>
      <c r="H506" s="72"/>
      <c r="I506" s="72"/>
      <c r="J506" s="72"/>
      <c r="K506" s="72"/>
      <c r="L506" s="72"/>
      <c r="M506" s="72"/>
      <c r="N506" s="72"/>
      <c r="O506" s="72"/>
      <c r="P506" s="63"/>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c r="DO506" s="10"/>
      <c r="DP506" s="10"/>
      <c r="DQ506" s="10"/>
      <c r="DR506" s="10"/>
      <c r="DS506" s="10"/>
      <c r="DT506" s="10"/>
      <c r="DU506" s="10"/>
      <c r="DV506" s="10"/>
      <c r="DW506" s="10"/>
      <c r="DX506" s="10"/>
      <c r="DY506" s="10"/>
      <c r="DZ506" s="10"/>
      <c r="EA506" s="10"/>
      <c r="EB506" s="10"/>
      <c r="EC506" s="10"/>
      <c r="ED506" s="10"/>
      <c r="EE506" s="10"/>
      <c r="EF506" s="10"/>
      <c r="EG506" s="10"/>
      <c r="EH506" s="10"/>
      <c r="EI506" s="10"/>
      <c r="EJ506" s="10"/>
      <c r="EK506" s="10"/>
      <c r="EL506" s="10"/>
    </row>
    <row r="507" spans="1:241" s="171" customFormat="1" hidden="1" x14ac:dyDescent="0.2">
      <c r="C507" s="9"/>
      <c r="D507" s="373"/>
      <c r="F507" s="9"/>
      <c r="G507" s="373"/>
      <c r="I507" s="9"/>
      <c r="J507" s="373"/>
      <c r="L507" s="9"/>
      <c r="M507" s="373"/>
      <c r="O507" s="9"/>
      <c r="P507" s="373"/>
      <c r="R507" s="61"/>
      <c r="S507" s="62"/>
      <c r="T507" s="61"/>
      <c r="U507" s="61"/>
      <c r="V507" s="62"/>
      <c r="W507" s="61"/>
      <c r="X507" s="61"/>
      <c r="Y507" s="62"/>
      <c r="Z507" s="61"/>
      <c r="AA507" s="61"/>
      <c r="AB507" s="62"/>
      <c r="AC507" s="61"/>
      <c r="AD507" s="61"/>
      <c r="AE507" s="62"/>
      <c r="AF507" s="61"/>
      <c r="AG507" s="61"/>
      <c r="AH507" s="62"/>
      <c r="AI507" s="61"/>
      <c r="AJ507" s="61"/>
      <c r="AK507" s="62"/>
      <c r="AL507" s="61"/>
      <c r="AM507" s="61"/>
      <c r="AN507" s="62"/>
      <c r="AO507" s="61"/>
      <c r="AP507" s="61"/>
      <c r="AQ507" s="62"/>
      <c r="AR507" s="61"/>
      <c r="AS507" s="61"/>
      <c r="AT507" s="62"/>
      <c r="AU507" s="61"/>
      <c r="AV507" s="61"/>
      <c r="AW507" s="62"/>
      <c r="AX507" s="61"/>
      <c r="AY507" s="61"/>
      <c r="AZ507" s="62"/>
      <c r="BA507" s="61"/>
      <c r="BB507" s="61"/>
      <c r="BC507" s="87"/>
      <c r="BD507" s="61"/>
      <c r="BE507" s="61"/>
      <c r="BF507" s="87"/>
      <c r="BG507" s="61"/>
      <c r="BH507" s="61"/>
      <c r="BI507" s="87"/>
      <c r="BJ507" s="61"/>
      <c r="BK507" s="61"/>
      <c r="BL507" s="87"/>
      <c r="BM507" s="61"/>
      <c r="BN507" s="61"/>
      <c r="BO507" s="87"/>
      <c r="BP507" s="61"/>
      <c r="BQ507" s="61"/>
      <c r="BR507" s="87"/>
      <c r="BS507" s="61"/>
      <c r="BT507" s="61"/>
      <c r="BU507" s="87"/>
      <c r="BV507" s="61"/>
      <c r="BW507" s="61"/>
      <c r="BX507" s="87"/>
      <c r="BY507" s="61"/>
      <c r="BZ507" s="61"/>
      <c r="CA507" s="87"/>
      <c r="CB507" s="61"/>
      <c r="CC507" s="61"/>
      <c r="CD507" s="87"/>
      <c r="CE507" s="61"/>
      <c r="CF507" s="61"/>
      <c r="CG507" s="87"/>
      <c r="CH507" s="61"/>
      <c r="CI507" s="61"/>
      <c r="CJ507" s="87"/>
      <c r="CK507" s="61"/>
      <c r="CL507" s="61"/>
      <c r="CM507" s="87"/>
      <c r="CN507" s="61"/>
      <c r="CO507" s="61"/>
      <c r="CP507" s="87"/>
      <c r="CQ507" s="61"/>
      <c r="CR507" s="61"/>
      <c r="CS507" s="87"/>
      <c r="CT507" s="61"/>
      <c r="CU507" s="61"/>
      <c r="CV507" s="87"/>
      <c r="CW507" s="61"/>
      <c r="CX507" s="61"/>
      <c r="CY507" s="87"/>
      <c r="CZ507" s="61"/>
      <c r="DA507" s="61"/>
      <c r="DB507" s="87"/>
      <c r="DC507" s="61"/>
      <c r="DD507" s="61"/>
      <c r="DE507" s="87"/>
      <c r="DF507" s="61"/>
      <c r="DG507" s="61"/>
      <c r="DH507" s="87"/>
      <c r="DI507" s="61"/>
      <c r="DJ507" s="61"/>
      <c r="DK507" s="87"/>
      <c r="DL507" s="61"/>
      <c r="DM507" s="61"/>
      <c r="DN507" s="87"/>
      <c r="DO507" s="61"/>
      <c r="DP507" s="61"/>
      <c r="DQ507" s="87"/>
      <c r="DR507" s="61"/>
      <c r="DS507" s="61"/>
      <c r="DT507" s="87"/>
      <c r="DU507" s="61"/>
      <c r="DV507" s="61"/>
      <c r="DW507" s="87"/>
      <c r="DX507" s="61"/>
      <c r="DY507" s="61"/>
      <c r="DZ507" s="87"/>
      <c r="EA507" s="61"/>
      <c r="EB507" s="61"/>
      <c r="EC507" s="87"/>
      <c r="ED507" s="61"/>
      <c r="EE507" s="61"/>
      <c r="EF507" s="87"/>
      <c r="EG507" s="61"/>
      <c r="EH507" s="61"/>
      <c r="EI507" s="87"/>
      <c r="EJ507" s="61"/>
      <c r="EK507" s="61"/>
      <c r="EL507" s="87"/>
      <c r="EN507" s="9"/>
      <c r="EO507" s="373"/>
      <c r="EQ507" s="9"/>
      <c r="ER507" s="373"/>
      <c r="ET507" s="9"/>
      <c r="EU507" s="373"/>
      <c r="EW507" s="9"/>
      <c r="EX507" s="373"/>
      <c r="EZ507" s="9"/>
      <c r="FA507" s="373"/>
      <c r="FC507" s="9"/>
      <c r="FD507" s="373"/>
      <c r="FF507" s="9"/>
      <c r="FG507" s="373"/>
      <c r="FI507" s="9"/>
      <c r="FJ507" s="373"/>
      <c r="FL507" s="9"/>
      <c r="FM507" s="373"/>
      <c r="FO507" s="9"/>
      <c r="FP507" s="373"/>
      <c r="FR507" s="9"/>
      <c r="FS507" s="373"/>
      <c r="FU507" s="9"/>
      <c r="FV507" s="373"/>
      <c r="FX507" s="9"/>
      <c r="FY507" s="373"/>
      <c r="GA507" s="9"/>
      <c r="GB507" s="373"/>
      <c r="GD507" s="9"/>
      <c r="GE507" s="373"/>
      <c r="GG507" s="9"/>
      <c r="GH507" s="373"/>
      <c r="GJ507" s="9"/>
      <c r="GK507" s="373"/>
      <c r="GM507" s="9"/>
      <c r="GN507" s="373"/>
      <c r="GP507" s="9"/>
      <c r="GQ507" s="373"/>
      <c r="GS507" s="9"/>
      <c r="GT507" s="373"/>
      <c r="GV507" s="9"/>
      <c r="GW507" s="373"/>
      <c r="GY507" s="9"/>
      <c r="GZ507" s="373"/>
      <c r="HB507" s="9"/>
      <c r="HC507" s="373"/>
      <c r="HE507" s="9"/>
      <c r="HF507" s="373"/>
      <c r="HH507" s="9"/>
      <c r="HI507" s="373"/>
      <c r="HK507" s="9"/>
      <c r="HL507" s="373"/>
      <c r="HN507" s="9"/>
      <c r="HO507" s="373"/>
      <c r="HQ507" s="9"/>
      <c r="HR507" s="373"/>
      <c r="HT507" s="9"/>
      <c r="HU507" s="373"/>
      <c r="HW507" s="9"/>
      <c r="HX507" s="373"/>
      <c r="HZ507" s="9"/>
      <c r="IA507" s="373"/>
      <c r="IC507" s="9"/>
      <c r="ID507" s="373"/>
      <c r="IF507" s="9"/>
      <c r="IG507" s="373"/>
    </row>
    <row r="508" spans="1:241" hidden="1" x14ac:dyDescent="0.2">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c r="DF508" s="10"/>
      <c r="DG508" s="10"/>
      <c r="DH508" s="10"/>
      <c r="DI508" s="10"/>
      <c r="DJ508" s="10"/>
      <c r="DK508" s="10"/>
      <c r="DL508" s="10"/>
      <c r="DM508" s="10"/>
      <c r="DN508" s="10"/>
      <c r="DO508" s="10"/>
      <c r="DP508" s="10"/>
      <c r="DQ508" s="10"/>
      <c r="DR508" s="10"/>
      <c r="DS508" s="10"/>
      <c r="DT508" s="10"/>
      <c r="DU508" s="10"/>
      <c r="DV508" s="10"/>
      <c r="DW508" s="10"/>
      <c r="DX508" s="10"/>
      <c r="DY508" s="10"/>
      <c r="DZ508" s="10"/>
      <c r="EA508" s="10"/>
      <c r="EB508" s="10"/>
      <c r="EC508" s="10"/>
      <c r="ED508" s="10"/>
      <c r="EE508" s="10"/>
      <c r="EF508" s="10"/>
      <c r="EG508" s="10"/>
      <c r="EH508" s="10"/>
      <c r="EI508" s="10"/>
      <c r="EJ508" s="10"/>
      <c r="EK508" s="10"/>
      <c r="EL508" s="10"/>
    </row>
    <row r="509" spans="1:241" hidden="1" x14ac:dyDescent="0.2">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row>
    <row r="510" spans="1:241" ht="46.5" hidden="1" customHeight="1" x14ac:dyDescent="0.2">
      <c r="B510" s="527" t="s">
        <v>2181</v>
      </c>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row>
    <row r="511" spans="1:241" hidden="1" x14ac:dyDescent="0.2">
      <c r="B511" s="146" t="s">
        <v>1901</v>
      </c>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c r="DO511" s="10"/>
      <c r="DP511" s="10"/>
      <c r="DQ511" s="10"/>
      <c r="DR511" s="10"/>
      <c r="DS511" s="10"/>
      <c r="DT511" s="10"/>
      <c r="DU511" s="10"/>
      <c r="DV511" s="10"/>
      <c r="DW511" s="10"/>
      <c r="DX511" s="10"/>
      <c r="DY511" s="10"/>
      <c r="DZ511" s="10"/>
      <c r="EA511" s="10"/>
      <c r="EB511" s="10"/>
      <c r="EC511" s="10"/>
      <c r="ED511" s="10"/>
      <c r="EE511" s="10"/>
      <c r="EF511" s="10"/>
      <c r="EG511" s="10"/>
      <c r="EH511" s="10"/>
      <c r="EI511" s="10"/>
      <c r="EJ511" s="10"/>
      <c r="EK511" s="10"/>
      <c r="EL511" s="10"/>
    </row>
    <row r="512" spans="1:241" hidden="1" x14ac:dyDescent="0.2">
      <c r="B512" s="146">
        <v>0</v>
      </c>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c r="DO512" s="10"/>
      <c r="DP512" s="10"/>
      <c r="DQ512" s="10"/>
      <c r="DR512" s="10"/>
      <c r="DS512" s="10"/>
      <c r="DT512" s="10"/>
      <c r="DU512" s="10"/>
      <c r="DV512" s="10"/>
      <c r="DW512" s="10"/>
      <c r="DX512" s="10"/>
      <c r="DY512" s="10"/>
      <c r="DZ512" s="10"/>
      <c r="EA512" s="10"/>
      <c r="EB512" s="10"/>
      <c r="EC512" s="10"/>
      <c r="ED512" s="10"/>
      <c r="EE512" s="10"/>
      <c r="EF512" s="10"/>
      <c r="EG512" s="10"/>
      <c r="EH512" s="10"/>
      <c r="EI512" s="10"/>
      <c r="EJ512" s="10"/>
      <c r="EK512" s="10"/>
      <c r="EL512" s="10"/>
    </row>
    <row r="513" spans="2:142" hidden="1" x14ac:dyDescent="0.2">
      <c r="B513" s="146">
        <v>1</v>
      </c>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row>
    <row r="514" spans="2:142" hidden="1" x14ac:dyDescent="0.2">
      <c r="B514" s="146">
        <v>2</v>
      </c>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c r="DO514" s="10"/>
      <c r="DP514" s="10"/>
      <c r="DQ514" s="10"/>
      <c r="DR514" s="10"/>
      <c r="DS514" s="10"/>
      <c r="DT514" s="10"/>
      <c r="DU514" s="10"/>
      <c r="DV514" s="10"/>
      <c r="DW514" s="10"/>
      <c r="DX514" s="10"/>
      <c r="DY514" s="10"/>
      <c r="DZ514" s="10"/>
      <c r="EA514" s="10"/>
      <c r="EB514" s="10"/>
      <c r="EC514" s="10"/>
      <c r="ED514" s="10"/>
      <c r="EE514" s="10"/>
      <c r="EF514" s="10"/>
      <c r="EG514" s="10"/>
      <c r="EH514" s="10"/>
      <c r="EI514" s="10"/>
      <c r="EJ514" s="10"/>
      <c r="EK514" s="10"/>
      <c r="EL514" s="10"/>
    </row>
    <row r="515" spans="2:142" hidden="1" x14ac:dyDescent="0.2">
      <c r="B515" s="146">
        <v>3</v>
      </c>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row>
    <row r="516" spans="2:142" hidden="1" x14ac:dyDescent="0.2">
      <c r="B516" s="146">
        <v>4</v>
      </c>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c r="DF516" s="10"/>
      <c r="DG516" s="10"/>
      <c r="DH516" s="10"/>
      <c r="DI516" s="10"/>
      <c r="DJ516" s="10"/>
      <c r="DK516" s="10"/>
      <c r="DL516" s="10"/>
      <c r="DM516" s="10"/>
      <c r="DN516" s="10"/>
      <c r="DO516" s="10"/>
      <c r="DP516" s="10"/>
      <c r="DQ516" s="10"/>
      <c r="DR516" s="10"/>
      <c r="DS516" s="10"/>
      <c r="DT516" s="10"/>
      <c r="DU516" s="10"/>
      <c r="DV516" s="10"/>
      <c r="DW516" s="10"/>
      <c r="DX516" s="10"/>
      <c r="DY516" s="10"/>
      <c r="DZ516" s="10"/>
      <c r="EA516" s="10"/>
      <c r="EB516" s="10"/>
      <c r="EC516" s="10"/>
      <c r="ED516" s="10"/>
      <c r="EE516" s="10"/>
      <c r="EF516" s="10"/>
      <c r="EG516" s="10"/>
      <c r="EH516" s="10"/>
      <c r="EI516" s="10"/>
      <c r="EJ516" s="10"/>
      <c r="EK516" s="10"/>
      <c r="EL516" s="10"/>
    </row>
    <row r="517" spans="2:142" hidden="1" x14ac:dyDescent="0.2">
      <c r="B517" s="146">
        <v>5</v>
      </c>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c r="DF517" s="10"/>
      <c r="DG517" s="10"/>
      <c r="DH517" s="10"/>
      <c r="DI517" s="10"/>
      <c r="DJ517" s="10"/>
      <c r="DK517" s="10"/>
      <c r="DL517" s="10"/>
      <c r="DM517" s="10"/>
      <c r="DN517" s="10"/>
      <c r="DO517" s="10"/>
      <c r="DP517" s="10"/>
      <c r="DQ517" s="10"/>
      <c r="DR517" s="10"/>
      <c r="DS517" s="10"/>
      <c r="DT517" s="10"/>
      <c r="DU517" s="10"/>
      <c r="DV517" s="10"/>
      <c r="DW517" s="10"/>
      <c r="DX517" s="10"/>
      <c r="DY517" s="10"/>
      <c r="DZ517" s="10"/>
      <c r="EA517" s="10"/>
      <c r="EB517" s="10"/>
      <c r="EC517" s="10"/>
      <c r="ED517" s="10"/>
      <c r="EE517" s="10"/>
      <c r="EF517" s="10"/>
      <c r="EG517" s="10"/>
      <c r="EH517" s="10"/>
      <c r="EI517" s="10"/>
      <c r="EJ517" s="10"/>
      <c r="EK517" s="10"/>
      <c r="EL517" s="10"/>
    </row>
    <row r="518" spans="2:142" hidden="1" x14ac:dyDescent="0.2">
      <c r="B518" s="146">
        <v>6</v>
      </c>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c r="DF518" s="10"/>
      <c r="DG518" s="10"/>
      <c r="DH518" s="10"/>
      <c r="DI518" s="10"/>
      <c r="DJ518" s="10"/>
      <c r="DK518" s="10"/>
      <c r="DL518" s="10"/>
      <c r="DM518" s="10"/>
      <c r="DN518" s="10"/>
      <c r="DO518" s="10"/>
      <c r="DP518" s="10"/>
      <c r="DQ518" s="10"/>
      <c r="DR518" s="10"/>
      <c r="DS518" s="10"/>
      <c r="DT518" s="10"/>
      <c r="DU518" s="10"/>
      <c r="DV518" s="10"/>
      <c r="DW518" s="10"/>
      <c r="DX518" s="10"/>
      <c r="DY518" s="10"/>
      <c r="DZ518" s="10"/>
      <c r="EA518" s="10"/>
      <c r="EB518" s="10"/>
      <c r="EC518" s="10"/>
      <c r="ED518" s="10"/>
      <c r="EE518" s="10"/>
      <c r="EF518" s="10"/>
      <c r="EG518" s="10"/>
      <c r="EH518" s="10"/>
      <c r="EI518" s="10"/>
      <c r="EJ518" s="10"/>
      <c r="EK518" s="10"/>
      <c r="EL518" s="10"/>
    </row>
    <row r="519" spans="2:142" hidden="1" x14ac:dyDescent="0.2">
      <c r="B519" s="146">
        <v>7</v>
      </c>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c r="DF519" s="10"/>
      <c r="DG519" s="10"/>
      <c r="DH519" s="10"/>
      <c r="DI519" s="10"/>
      <c r="DJ519" s="10"/>
      <c r="DK519" s="10"/>
      <c r="DL519" s="10"/>
      <c r="DM519" s="10"/>
      <c r="DN519" s="10"/>
      <c r="DO519" s="10"/>
      <c r="DP519" s="10"/>
      <c r="DQ519" s="10"/>
      <c r="DR519" s="10"/>
      <c r="DS519" s="10"/>
      <c r="DT519" s="10"/>
      <c r="DU519" s="10"/>
      <c r="DV519" s="10"/>
      <c r="DW519" s="10"/>
      <c r="DX519" s="10"/>
      <c r="DY519" s="10"/>
      <c r="DZ519" s="10"/>
      <c r="EA519" s="10"/>
      <c r="EB519" s="10"/>
      <c r="EC519" s="10"/>
      <c r="ED519" s="10"/>
      <c r="EE519" s="10"/>
      <c r="EF519" s="10"/>
      <c r="EG519" s="10"/>
      <c r="EH519" s="10"/>
      <c r="EI519" s="10"/>
      <c r="EJ519" s="10"/>
      <c r="EK519" s="10"/>
      <c r="EL519" s="10"/>
    </row>
    <row r="520" spans="2:142" hidden="1" x14ac:dyDescent="0.2">
      <c r="B520" s="146">
        <v>8</v>
      </c>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c r="DF520" s="10"/>
      <c r="DG520" s="10"/>
      <c r="DH520" s="10"/>
      <c r="DI520" s="10"/>
      <c r="DJ520" s="10"/>
      <c r="DK520" s="10"/>
      <c r="DL520" s="10"/>
      <c r="DM520" s="10"/>
      <c r="DN520" s="10"/>
      <c r="DO520" s="10"/>
      <c r="DP520" s="10"/>
      <c r="DQ520" s="10"/>
      <c r="DR520" s="10"/>
      <c r="DS520" s="10"/>
      <c r="DT520" s="10"/>
      <c r="DU520" s="10"/>
      <c r="DV520" s="10"/>
      <c r="DW520" s="10"/>
      <c r="DX520" s="10"/>
      <c r="DY520" s="10"/>
      <c r="DZ520" s="10"/>
      <c r="EA520" s="10"/>
      <c r="EB520" s="10"/>
      <c r="EC520" s="10"/>
      <c r="ED520" s="10"/>
      <c r="EE520" s="10"/>
      <c r="EF520" s="10"/>
      <c r="EG520" s="10"/>
      <c r="EH520" s="10"/>
      <c r="EI520" s="10"/>
      <c r="EJ520" s="10"/>
      <c r="EK520" s="10"/>
      <c r="EL520" s="10"/>
    </row>
    <row r="521" spans="2:142" hidden="1" x14ac:dyDescent="0.2">
      <c r="B521" s="146">
        <v>9</v>
      </c>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c r="DF521" s="10"/>
      <c r="DG521" s="10"/>
      <c r="DH521" s="10"/>
      <c r="DI521" s="10"/>
      <c r="DJ521" s="10"/>
      <c r="DK521" s="10"/>
      <c r="DL521" s="10"/>
      <c r="DM521" s="10"/>
      <c r="DN521" s="10"/>
      <c r="DO521" s="10"/>
      <c r="DP521" s="10"/>
      <c r="DQ521" s="10"/>
      <c r="DR521" s="10"/>
      <c r="DS521" s="10"/>
      <c r="DT521" s="10"/>
      <c r="DU521" s="10"/>
      <c r="DV521" s="10"/>
      <c r="DW521" s="10"/>
      <c r="DX521" s="10"/>
      <c r="DY521" s="10"/>
      <c r="DZ521" s="10"/>
      <c r="EA521" s="10"/>
      <c r="EB521" s="10"/>
      <c r="EC521" s="10"/>
      <c r="ED521" s="10"/>
      <c r="EE521" s="10"/>
      <c r="EF521" s="10"/>
      <c r="EG521" s="10"/>
      <c r="EH521" s="10"/>
      <c r="EI521" s="10"/>
      <c r="EJ521" s="10"/>
      <c r="EK521" s="10"/>
      <c r="EL521" s="10"/>
    </row>
    <row r="522" spans="2:142" hidden="1" x14ac:dyDescent="0.2">
      <c r="B522" s="146">
        <v>10</v>
      </c>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c r="DA522" s="10"/>
      <c r="DB522" s="10"/>
      <c r="DC522" s="10"/>
      <c r="DD522" s="10"/>
      <c r="DE522" s="10"/>
      <c r="DF522" s="10"/>
      <c r="DG522" s="10"/>
      <c r="DH522" s="10"/>
      <c r="DI522" s="10"/>
      <c r="DJ522" s="10"/>
      <c r="DK522" s="10"/>
      <c r="DL522" s="10"/>
      <c r="DM522" s="10"/>
      <c r="DN522" s="10"/>
      <c r="DO522" s="10"/>
      <c r="DP522" s="10"/>
      <c r="DQ522" s="10"/>
      <c r="DR522" s="10"/>
      <c r="DS522" s="10"/>
      <c r="DT522" s="10"/>
      <c r="DU522" s="10"/>
      <c r="DV522" s="10"/>
      <c r="DW522" s="10"/>
      <c r="DX522" s="10"/>
      <c r="DY522" s="10"/>
      <c r="DZ522" s="10"/>
      <c r="EA522" s="10"/>
      <c r="EB522" s="10"/>
      <c r="EC522" s="10"/>
      <c r="ED522" s="10"/>
      <c r="EE522" s="10"/>
      <c r="EF522" s="10"/>
      <c r="EG522" s="10"/>
      <c r="EH522" s="10"/>
      <c r="EI522" s="10"/>
      <c r="EJ522" s="10"/>
      <c r="EK522" s="10"/>
      <c r="EL522" s="10"/>
    </row>
    <row r="523" spans="2:142" hidden="1" x14ac:dyDescent="0.2">
      <c r="B523" s="146">
        <v>11</v>
      </c>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c r="DF523" s="10"/>
      <c r="DG523" s="10"/>
      <c r="DH523" s="10"/>
      <c r="DI523" s="10"/>
      <c r="DJ523" s="10"/>
      <c r="DK523" s="10"/>
      <c r="DL523" s="10"/>
      <c r="DM523" s="10"/>
      <c r="DN523" s="10"/>
      <c r="DO523" s="10"/>
      <c r="DP523" s="10"/>
      <c r="DQ523" s="10"/>
      <c r="DR523" s="10"/>
      <c r="DS523" s="10"/>
      <c r="DT523" s="10"/>
      <c r="DU523" s="10"/>
      <c r="DV523" s="10"/>
      <c r="DW523" s="10"/>
      <c r="DX523" s="10"/>
      <c r="DY523" s="10"/>
      <c r="DZ523" s="10"/>
      <c r="EA523" s="10"/>
      <c r="EB523" s="10"/>
      <c r="EC523" s="10"/>
      <c r="ED523" s="10"/>
      <c r="EE523" s="10"/>
      <c r="EF523" s="10"/>
      <c r="EG523" s="10"/>
      <c r="EH523" s="10"/>
      <c r="EI523" s="10"/>
      <c r="EJ523" s="10"/>
      <c r="EK523" s="10"/>
      <c r="EL523" s="10"/>
    </row>
    <row r="524" spans="2:142" hidden="1" x14ac:dyDescent="0.2">
      <c r="B524" s="146">
        <v>12</v>
      </c>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c r="DF524" s="10"/>
      <c r="DG524" s="10"/>
      <c r="DH524" s="10"/>
      <c r="DI524" s="10"/>
      <c r="DJ524" s="10"/>
      <c r="DK524" s="10"/>
      <c r="DL524" s="10"/>
      <c r="DM524" s="10"/>
      <c r="DN524" s="10"/>
      <c r="DO524" s="10"/>
      <c r="DP524" s="10"/>
      <c r="DQ524" s="10"/>
      <c r="DR524" s="10"/>
      <c r="DS524" s="10"/>
      <c r="DT524" s="10"/>
      <c r="DU524" s="10"/>
      <c r="DV524" s="10"/>
      <c r="DW524" s="10"/>
      <c r="DX524" s="10"/>
      <c r="DY524" s="10"/>
      <c r="DZ524" s="10"/>
      <c r="EA524" s="10"/>
      <c r="EB524" s="10"/>
      <c r="EC524" s="10"/>
      <c r="ED524" s="10"/>
      <c r="EE524" s="10"/>
      <c r="EF524" s="10"/>
      <c r="EG524" s="10"/>
      <c r="EH524" s="10"/>
      <c r="EI524" s="10"/>
      <c r="EJ524" s="10"/>
      <c r="EK524" s="10"/>
      <c r="EL524" s="10"/>
    </row>
    <row r="525" spans="2:142" hidden="1" x14ac:dyDescent="0.2">
      <c r="B525" s="146">
        <v>13</v>
      </c>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c r="DF525" s="10"/>
      <c r="DG525" s="10"/>
      <c r="DH525" s="10"/>
      <c r="DI525" s="10"/>
      <c r="DJ525" s="10"/>
      <c r="DK525" s="10"/>
      <c r="DL525" s="10"/>
      <c r="DM525" s="10"/>
      <c r="DN525" s="10"/>
      <c r="DO525" s="10"/>
      <c r="DP525" s="10"/>
      <c r="DQ525" s="10"/>
      <c r="DR525" s="10"/>
      <c r="DS525" s="10"/>
      <c r="DT525" s="10"/>
      <c r="DU525" s="10"/>
      <c r="DV525" s="10"/>
      <c r="DW525" s="10"/>
      <c r="DX525" s="10"/>
      <c r="DY525" s="10"/>
      <c r="DZ525" s="10"/>
      <c r="EA525" s="10"/>
      <c r="EB525" s="10"/>
      <c r="EC525" s="10"/>
      <c r="ED525" s="10"/>
      <c r="EE525" s="10"/>
      <c r="EF525" s="10"/>
      <c r="EG525" s="10"/>
      <c r="EH525" s="10"/>
      <c r="EI525" s="10"/>
      <c r="EJ525" s="10"/>
      <c r="EK525" s="10"/>
      <c r="EL525" s="10"/>
    </row>
    <row r="526" spans="2:142" hidden="1" x14ac:dyDescent="0.2">
      <c r="B526" s="146">
        <v>14</v>
      </c>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c r="DF526" s="10"/>
      <c r="DG526" s="10"/>
      <c r="DH526" s="10"/>
      <c r="DI526" s="10"/>
      <c r="DJ526" s="10"/>
      <c r="DK526" s="10"/>
      <c r="DL526" s="10"/>
      <c r="DM526" s="10"/>
      <c r="DN526" s="10"/>
      <c r="DO526" s="10"/>
      <c r="DP526" s="10"/>
      <c r="DQ526" s="10"/>
      <c r="DR526" s="10"/>
      <c r="DS526" s="10"/>
      <c r="DT526" s="10"/>
      <c r="DU526" s="10"/>
      <c r="DV526" s="10"/>
      <c r="DW526" s="10"/>
      <c r="DX526" s="10"/>
      <c r="DY526" s="10"/>
      <c r="DZ526" s="10"/>
      <c r="EA526" s="10"/>
      <c r="EB526" s="10"/>
      <c r="EC526" s="10"/>
      <c r="ED526" s="10"/>
      <c r="EE526" s="10"/>
      <c r="EF526" s="10"/>
      <c r="EG526" s="10"/>
      <c r="EH526" s="10"/>
      <c r="EI526" s="10"/>
      <c r="EJ526" s="10"/>
      <c r="EK526" s="10"/>
      <c r="EL526" s="10"/>
    </row>
    <row r="527" spans="2:142" hidden="1" x14ac:dyDescent="0.2">
      <c r="B527" s="146">
        <v>15</v>
      </c>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c r="DF527" s="10"/>
      <c r="DG527" s="10"/>
      <c r="DH527" s="10"/>
      <c r="DI527" s="10"/>
      <c r="DJ527" s="10"/>
      <c r="DK527" s="10"/>
      <c r="DL527" s="10"/>
      <c r="DM527" s="10"/>
      <c r="DN527" s="10"/>
      <c r="DO527" s="10"/>
      <c r="DP527" s="10"/>
      <c r="DQ527" s="10"/>
      <c r="DR527" s="10"/>
      <c r="DS527" s="10"/>
      <c r="DT527" s="10"/>
      <c r="DU527" s="10"/>
      <c r="DV527" s="10"/>
      <c r="DW527" s="10"/>
      <c r="DX527" s="10"/>
      <c r="DY527" s="10"/>
      <c r="DZ527" s="10"/>
      <c r="EA527" s="10"/>
      <c r="EB527" s="10"/>
      <c r="EC527" s="10"/>
      <c r="ED527" s="10"/>
      <c r="EE527" s="10"/>
      <c r="EF527" s="10"/>
      <c r="EG527" s="10"/>
      <c r="EH527" s="10"/>
      <c r="EI527" s="10"/>
      <c r="EJ527" s="10"/>
      <c r="EK527" s="10"/>
      <c r="EL527" s="10"/>
    </row>
    <row r="528" spans="2:142" hidden="1" x14ac:dyDescent="0.2">
      <c r="B528" s="146">
        <v>16</v>
      </c>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c r="DF528" s="10"/>
      <c r="DG528" s="10"/>
      <c r="DH528" s="10"/>
      <c r="DI528" s="10"/>
      <c r="DJ528" s="10"/>
      <c r="DK528" s="10"/>
      <c r="DL528" s="10"/>
      <c r="DM528" s="10"/>
      <c r="DN528" s="10"/>
      <c r="DO528" s="10"/>
      <c r="DP528" s="10"/>
      <c r="DQ528" s="10"/>
      <c r="DR528" s="10"/>
      <c r="DS528" s="10"/>
      <c r="DT528" s="10"/>
      <c r="DU528" s="10"/>
      <c r="DV528" s="10"/>
      <c r="DW528" s="10"/>
      <c r="DX528" s="10"/>
      <c r="DY528" s="10"/>
      <c r="DZ528" s="10"/>
      <c r="EA528" s="10"/>
      <c r="EB528" s="10"/>
      <c r="EC528" s="10"/>
      <c r="ED528" s="10"/>
      <c r="EE528" s="10"/>
      <c r="EF528" s="10"/>
      <c r="EG528" s="10"/>
      <c r="EH528" s="10"/>
      <c r="EI528" s="10"/>
      <c r="EJ528" s="10"/>
      <c r="EK528" s="10"/>
      <c r="EL528" s="10"/>
    </row>
    <row r="529" spans="2:142" hidden="1" x14ac:dyDescent="0.2">
      <c r="B529" s="146">
        <v>17</v>
      </c>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c r="DF529" s="10"/>
      <c r="DG529" s="10"/>
      <c r="DH529" s="10"/>
      <c r="DI529" s="10"/>
      <c r="DJ529" s="10"/>
      <c r="DK529" s="10"/>
      <c r="DL529" s="10"/>
      <c r="DM529" s="10"/>
      <c r="DN529" s="10"/>
      <c r="DO529" s="10"/>
      <c r="DP529" s="10"/>
      <c r="DQ529" s="10"/>
      <c r="DR529" s="10"/>
      <c r="DS529" s="10"/>
      <c r="DT529" s="10"/>
      <c r="DU529" s="10"/>
      <c r="DV529" s="10"/>
      <c r="DW529" s="10"/>
      <c r="DX529" s="10"/>
      <c r="DY529" s="10"/>
      <c r="DZ529" s="10"/>
      <c r="EA529" s="10"/>
      <c r="EB529" s="10"/>
      <c r="EC529" s="10"/>
      <c r="ED529" s="10"/>
      <c r="EE529" s="10"/>
      <c r="EF529" s="10"/>
      <c r="EG529" s="10"/>
      <c r="EH529" s="10"/>
      <c r="EI529" s="10"/>
      <c r="EJ529" s="10"/>
      <c r="EK529" s="10"/>
      <c r="EL529" s="10"/>
    </row>
    <row r="530" spans="2:142" hidden="1" x14ac:dyDescent="0.2">
      <c r="B530" s="146">
        <v>18</v>
      </c>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c r="DF530" s="10"/>
      <c r="DG530" s="10"/>
      <c r="DH530" s="10"/>
      <c r="DI530" s="10"/>
      <c r="DJ530" s="10"/>
      <c r="DK530" s="10"/>
      <c r="DL530" s="10"/>
      <c r="DM530" s="10"/>
      <c r="DN530" s="10"/>
      <c r="DO530" s="10"/>
      <c r="DP530" s="10"/>
      <c r="DQ530" s="10"/>
      <c r="DR530" s="10"/>
      <c r="DS530" s="10"/>
      <c r="DT530" s="10"/>
      <c r="DU530" s="10"/>
      <c r="DV530" s="10"/>
      <c r="DW530" s="10"/>
      <c r="DX530" s="10"/>
      <c r="DY530" s="10"/>
      <c r="DZ530" s="10"/>
      <c r="EA530" s="10"/>
      <c r="EB530" s="10"/>
      <c r="EC530" s="10"/>
      <c r="ED530" s="10"/>
      <c r="EE530" s="10"/>
      <c r="EF530" s="10"/>
      <c r="EG530" s="10"/>
      <c r="EH530" s="10"/>
      <c r="EI530" s="10"/>
      <c r="EJ530" s="10"/>
      <c r="EK530" s="10"/>
      <c r="EL530" s="10"/>
    </row>
    <row r="531" spans="2:142" hidden="1" x14ac:dyDescent="0.2">
      <c r="B531" s="146">
        <v>19</v>
      </c>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c r="DF531" s="10"/>
      <c r="DG531" s="10"/>
      <c r="DH531" s="10"/>
      <c r="DI531" s="10"/>
      <c r="DJ531" s="10"/>
      <c r="DK531" s="10"/>
      <c r="DL531" s="10"/>
      <c r="DM531" s="10"/>
      <c r="DN531" s="10"/>
      <c r="DO531" s="10"/>
      <c r="DP531" s="10"/>
      <c r="DQ531" s="10"/>
      <c r="DR531" s="10"/>
      <c r="DS531" s="10"/>
      <c r="DT531" s="10"/>
      <c r="DU531" s="10"/>
      <c r="DV531" s="10"/>
      <c r="DW531" s="10"/>
      <c r="DX531" s="10"/>
      <c r="DY531" s="10"/>
      <c r="DZ531" s="10"/>
      <c r="EA531" s="10"/>
      <c r="EB531" s="10"/>
      <c r="EC531" s="10"/>
      <c r="ED531" s="10"/>
      <c r="EE531" s="10"/>
      <c r="EF531" s="10"/>
      <c r="EG531" s="10"/>
      <c r="EH531" s="10"/>
      <c r="EI531" s="10"/>
      <c r="EJ531" s="10"/>
      <c r="EK531" s="10"/>
      <c r="EL531" s="10"/>
    </row>
    <row r="532" spans="2:142" hidden="1" x14ac:dyDescent="0.2">
      <c r="B532" s="146">
        <v>20</v>
      </c>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c r="DF532" s="10"/>
      <c r="DG532" s="10"/>
      <c r="DH532" s="10"/>
      <c r="DI532" s="10"/>
      <c r="DJ532" s="10"/>
      <c r="DK532" s="10"/>
      <c r="DL532" s="10"/>
      <c r="DM532" s="10"/>
      <c r="DN532" s="10"/>
      <c r="DO532" s="10"/>
      <c r="DP532" s="10"/>
      <c r="DQ532" s="10"/>
      <c r="DR532" s="10"/>
      <c r="DS532" s="10"/>
      <c r="DT532" s="10"/>
      <c r="DU532" s="10"/>
      <c r="DV532" s="10"/>
      <c r="DW532" s="10"/>
      <c r="DX532" s="10"/>
      <c r="DY532" s="10"/>
      <c r="DZ532" s="10"/>
      <c r="EA532" s="10"/>
      <c r="EB532" s="10"/>
      <c r="EC532" s="10"/>
      <c r="ED532" s="10"/>
      <c r="EE532" s="10"/>
      <c r="EF532" s="10"/>
      <c r="EG532" s="10"/>
      <c r="EH532" s="10"/>
      <c r="EI532" s="10"/>
      <c r="EJ532" s="10"/>
      <c r="EK532" s="10"/>
      <c r="EL532" s="10"/>
    </row>
    <row r="533" spans="2:142" hidden="1" x14ac:dyDescent="0.2">
      <c r="B533" s="146">
        <v>21</v>
      </c>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c r="CZ533" s="10"/>
      <c r="DA533" s="10"/>
      <c r="DB533" s="10"/>
      <c r="DC533" s="10"/>
      <c r="DD533" s="10"/>
      <c r="DE533" s="10"/>
      <c r="DF533" s="10"/>
      <c r="DG533" s="10"/>
      <c r="DH533" s="10"/>
      <c r="DI533" s="10"/>
      <c r="DJ533" s="10"/>
      <c r="DK533" s="10"/>
      <c r="DL533" s="10"/>
      <c r="DM533" s="10"/>
      <c r="DN533" s="10"/>
      <c r="DO533" s="10"/>
      <c r="DP533" s="10"/>
      <c r="DQ533" s="10"/>
      <c r="DR533" s="10"/>
      <c r="DS533" s="10"/>
      <c r="DT533" s="10"/>
      <c r="DU533" s="10"/>
      <c r="DV533" s="10"/>
      <c r="DW533" s="10"/>
      <c r="DX533" s="10"/>
      <c r="DY533" s="10"/>
      <c r="DZ533" s="10"/>
      <c r="EA533" s="10"/>
      <c r="EB533" s="10"/>
      <c r="EC533" s="10"/>
      <c r="ED533" s="10"/>
      <c r="EE533" s="10"/>
      <c r="EF533" s="10"/>
      <c r="EG533" s="10"/>
      <c r="EH533" s="10"/>
      <c r="EI533" s="10"/>
      <c r="EJ533" s="10"/>
      <c r="EK533" s="10"/>
      <c r="EL533" s="10"/>
    </row>
    <row r="534" spans="2:142" hidden="1" x14ac:dyDescent="0.2">
      <c r="B534" s="146">
        <v>22</v>
      </c>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c r="DF534" s="10"/>
      <c r="DG534" s="10"/>
      <c r="DH534" s="10"/>
      <c r="DI534" s="10"/>
      <c r="DJ534" s="10"/>
      <c r="DK534" s="10"/>
      <c r="DL534" s="10"/>
      <c r="DM534" s="10"/>
      <c r="DN534" s="10"/>
      <c r="DO534" s="10"/>
      <c r="DP534" s="10"/>
      <c r="DQ534" s="10"/>
      <c r="DR534" s="10"/>
      <c r="DS534" s="10"/>
      <c r="DT534" s="10"/>
      <c r="DU534" s="10"/>
      <c r="DV534" s="10"/>
      <c r="DW534" s="10"/>
      <c r="DX534" s="10"/>
      <c r="DY534" s="10"/>
      <c r="DZ534" s="10"/>
      <c r="EA534" s="10"/>
      <c r="EB534" s="10"/>
      <c r="EC534" s="10"/>
      <c r="ED534" s="10"/>
      <c r="EE534" s="10"/>
      <c r="EF534" s="10"/>
      <c r="EG534" s="10"/>
      <c r="EH534" s="10"/>
      <c r="EI534" s="10"/>
      <c r="EJ534" s="10"/>
      <c r="EK534" s="10"/>
      <c r="EL534" s="10"/>
    </row>
    <row r="535" spans="2:142" hidden="1" x14ac:dyDescent="0.2">
      <c r="B535" s="146">
        <v>23</v>
      </c>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c r="CZ535" s="10"/>
      <c r="DA535" s="10"/>
      <c r="DB535" s="10"/>
      <c r="DC535" s="10"/>
      <c r="DD535" s="10"/>
      <c r="DE535" s="10"/>
      <c r="DF535" s="10"/>
      <c r="DG535" s="10"/>
      <c r="DH535" s="10"/>
      <c r="DI535" s="10"/>
      <c r="DJ535" s="10"/>
      <c r="DK535" s="10"/>
      <c r="DL535" s="10"/>
      <c r="DM535" s="10"/>
      <c r="DN535" s="10"/>
      <c r="DO535" s="10"/>
      <c r="DP535" s="10"/>
      <c r="DQ535" s="10"/>
      <c r="DR535" s="10"/>
      <c r="DS535" s="10"/>
      <c r="DT535" s="10"/>
      <c r="DU535" s="10"/>
      <c r="DV535" s="10"/>
      <c r="DW535" s="10"/>
      <c r="DX535" s="10"/>
      <c r="DY535" s="10"/>
      <c r="DZ535" s="10"/>
      <c r="EA535" s="10"/>
      <c r="EB535" s="10"/>
      <c r="EC535" s="10"/>
      <c r="ED535" s="10"/>
      <c r="EE535" s="10"/>
      <c r="EF535" s="10"/>
      <c r="EG535" s="10"/>
      <c r="EH535" s="10"/>
      <c r="EI535" s="10"/>
      <c r="EJ535" s="10"/>
      <c r="EK535" s="10"/>
      <c r="EL535" s="10"/>
    </row>
    <row r="536" spans="2:142" hidden="1" x14ac:dyDescent="0.2">
      <c r="B536" s="146">
        <v>24</v>
      </c>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c r="DF536" s="10"/>
      <c r="DG536" s="10"/>
      <c r="DH536" s="10"/>
      <c r="DI536" s="10"/>
      <c r="DJ536" s="10"/>
      <c r="DK536" s="10"/>
      <c r="DL536" s="10"/>
      <c r="DM536" s="10"/>
      <c r="DN536" s="10"/>
      <c r="DO536" s="10"/>
      <c r="DP536" s="10"/>
      <c r="DQ536" s="10"/>
      <c r="DR536" s="10"/>
      <c r="DS536" s="10"/>
      <c r="DT536" s="10"/>
      <c r="DU536" s="10"/>
      <c r="DV536" s="10"/>
      <c r="DW536" s="10"/>
      <c r="DX536" s="10"/>
      <c r="DY536" s="10"/>
      <c r="DZ536" s="10"/>
      <c r="EA536" s="10"/>
      <c r="EB536" s="10"/>
      <c r="EC536" s="10"/>
      <c r="ED536" s="10"/>
      <c r="EE536" s="10"/>
      <c r="EF536" s="10"/>
      <c r="EG536" s="10"/>
      <c r="EH536" s="10"/>
      <c r="EI536" s="10"/>
      <c r="EJ536" s="10"/>
      <c r="EK536" s="10"/>
      <c r="EL536" s="10"/>
    </row>
    <row r="537" spans="2:142" hidden="1" x14ac:dyDescent="0.2">
      <c r="B537" s="146">
        <v>25</v>
      </c>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c r="DF537" s="10"/>
      <c r="DG537" s="10"/>
      <c r="DH537" s="10"/>
      <c r="DI537" s="10"/>
      <c r="DJ537" s="10"/>
      <c r="DK537" s="10"/>
      <c r="DL537" s="10"/>
      <c r="DM537" s="10"/>
      <c r="DN537" s="10"/>
      <c r="DO537" s="10"/>
      <c r="DP537" s="10"/>
      <c r="DQ537" s="10"/>
      <c r="DR537" s="10"/>
      <c r="DS537" s="10"/>
      <c r="DT537" s="10"/>
      <c r="DU537" s="10"/>
      <c r="DV537" s="10"/>
      <c r="DW537" s="10"/>
      <c r="DX537" s="10"/>
      <c r="DY537" s="10"/>
      <c r="DZ537" s="10"/>
      <c r="EA537" s="10"/>
      <c r="EB537" s="10"/>
      <c r="EC537" s="10"/>
      <c r="ED537" s="10"/>
      <c r="EE537" s="10"/>
      <c r="EF537" s="10"/>
      <c r="EG537" s="10"/>
      <c r="EH537" s="10"/>
      <c r="EI537" s="10"/>
      <c r="EJ537" s="10"/>
      <c r="EK537" s="10"/>
      <c r="EL537" s="10"/>
    </row>
    <row r="538" spans="2:142" hidden="1" x14ac:dyDescent="0.2">
      <c r="B538" s="146">
        <v>26</v>
      </c>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c r="CZ538" s="10"/>
      <c r="DA538" s="10"/>
      <c r="DB538" s="10"/>
      <c r="DC538" s="10"/>
      <c r="DD538" s="10"/>
      <c r="DE538" s="10"/>
      <c r="DF538" s="10"/>
      <c r="DG538" s="10"/>
      <c r="DH538" s="10"/>
      <c r="DI538" s="10"/>
      <c r="DJ538" s="10"/>
      <c r="DK538" s="10"/>
      <c r="DL538" s="10"/>
      <c r="DM538" s="10"/>
      <c r="DN538" s="10"/>
      <c r="DO538" s="10"/>
      <c r="DP538" s="10"/>
      <c r="DQ538" s="10"/>
      <c r="DR538" s="10"/>
      <c r="DS538" s="10"/>
      <c r="DT538" s="10"/>
      <c r="DU538" s="10"/>
      <c r="DV538" s="10"/>
      <c r="DW538" s="10"/>
      <c r="DX538" s="10"/>
      <c r="DY538" s="10"/>
      <c r="DZ538" s="10"/>
      <c r="EA538" s="10"/>
      <c r="EB538" s="10"/>
      <c r="EC538" s="10"/>
      <c r="ED538" s="10"/>
      <c r="EE538" s="10"/>
      <c r="EF538" s="10"/>
      <c r="EG538" s="10"/>
      <c r="EH538" s="10"/>
      <c r="EI538" s="10"/>
      <c r="EJ538" s="10"/>
      <c r="EK538" s="10"/>
      <c r="EL538" s="10"/>
    </row>
    <row r="539" spans="2:142" hidden="1" x14ac:dyDescent="0.2">
      <c r="B539" s="146">
        <v>27</v>
      </c>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c r="CZ539" s="10"/>
      <c r="DA539" s="10"/>
      <c r="DB539" s="10"/>
      <c r="DC539" s="10"/>
      <c r="DD539" s="10"/>
      <c r="DE539" s="10"/>
      <c r="DF539" s="10"/>
      <c r="DG539" s="10"/>
      <c r="DH539" s="10"/>
      <c r="DI539" s="10"/>
      <c r="DJ539" s="10"/>
      <c r="DK539" s="10"/>
      <c r="DL539" s="10"/>
      <c r="DM539" s="10"/>
      <c r="DN539" s="10"/>
      <c r="DO539" s="10"/>
      <c r="DP539" s="10"/>
      <c r="DQ539" s="10"/>
      <c r="DR539" s="10"/>
      <c r="DS539" s="10"/>
      <c r="DT539" s="10"/>
      <c r="DU539" s="10"/>
      <c r="DV539" s="10"/>
      <c r="DW539" s="10"/>
      <c r="DX539" s="10"/>
      <c r="DY539" s="10"/>
      <c r="DZ539" s="10"/>
      <c r="EA539" s="10"/>
      <c r="EB539" s="10"/>
      <c r="EC539" s="10"/>
      <c r="ED539" s="10"/>
      <c r="EE539" s="10"/>
      <c r="EF539" s="10"/>
      <c r="EG539" s="10"/>
      <c r="EH539" s="10"/>
      <c r="EI539" s="10"/>
      <c r="EJ539" s="10"/>
      <c r="EK539" s="10"/>
      <c r="EL539" s="10"/>
    </row>
    <row r="540" spans="2:142" hidden="1" x14ac:dyDescent="0.2">
      <c r="B540" s="146">
        <v>28</v>
      </c>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c r="CZ540" s="10"/>
      <c r="DA540" s="10"/>
      <c r="DB540" s="10"/>
      <c r="DC540" s="10"/>
      <c r="DD540" s="10"/>
      <c r="DE540" s="10"/>
      <c r="DF540" s="10"/>
      <c r="DG540" s="10"/>
      <c r="DH540" s="10"/>
      <c r="DI540" s="10"/>
      <c r="DJ540" s="10"/>
      <c r="DK540" s="10"/>
      <c r="DL540" s="10"/>
      <c r="DM540" s="10"/>
      <c r="DN540" s="10"/>
      <c r="DO540" s="10"/>
      <c r="DP540" s="10"/>
      <c r="DQ540" s="10"/>
      <c r="DR540" s="10"/>
      <c r="DS540" s="10"/>
      <c r="DT540" s="10"/>
      <c r="DU540" s="10"/>
      <c r="DV540" s="10"/>
      <c r="DW540" s="10"/>
      <c r="DX540" s="10"/>
      <c r="DY540" s="10"/>
      <c r="DZ540" s="10"/>
      <c r="EA540" s="10"/>
      <c r="EB540" s="10"/>
      <c r="EC540" s="10"/>
      <c r="ED540" s="10"/>
      <c r="EE540" s="10"/>
      <c r="EF540" s="10"/>
      <c r="EG540" s="10"/>
      <c r="EH540" s="10"/>
      <c r="EI540" s="10"/>
      <c r="EJ540" s="10"/>
      <c r="EK540" s="10"/>
      <c r="EL540" s="10"/>
    </row>
    <row r="541" spans="2:142" hidden="1" x14ac:dyDescent="0.2">
      <c r="B541" s="146">
        <v>29</v>
      </c>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c r="CZ541" s="10"/>
      <c r="DA541" s="10"/>
      <c r="DB541" s="10"/>
      <c r="DC541" s="10"/>
      <c r="DD541" s="10"/>
      <c r="DE541" s="10"/>
      <c r="DF541" s="10"/>
      <c r="DG541" s="10"/>
      <c r="DH541" s="10"/>
      <c r="DI541" s="10"/>
      <c r="DJ541" s="10"/>
      <c r="DK541" s="10"/>
      <c r="DL541" s="10"/>
      <c r="DM541" s="10"/>
      <c r="DN541" s="10"/>
      <c r="DO541" s="10"/>
      <c r="DP541" s="10"/>
      <c r="DQ541" s="10"/>
      <c r="DR541" s="10"/>
      <c r="DS541" s="10"/>
      <c r="DT541" s="10"/>
      <c r="DU541" s="10"/>
      <c r="DV541" s="10"/>
      <c r="DW541" s="10"/>
      <c r="DX541" s="10"/>
      <c r="DY541" s="10"/>
      <c r="DZ541" s="10"/>
      <c r="EA541" s="10"/>
      <c r="EB541" s="10"/>
      <c r="EC541" s="10"/>
      <c r="ED541" s="10"/>
      <c r="EE541" s="10"/>
      <c r="EF541" s="10"/>
      <c r="EG541" s="10"/>
      <c r="EH541" s="10"/>
      <c r="EI541" s="10"/>
      <c r="EJ541" s="10"/>
      <c r="EK541" s="10"/>
      <c r="EL541" s="10"/>
    </row>
    <row r="542" spans="2:142" hidden="1" x14ac:dyDescent="0.2">
      <c r="B542" s="146">
        <v>30</v>
      </c>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c r="DF542" s="10"/>
      <c r="DG542" s="10"/>
      <c r="DH542" s="10"/>
      <c r="DI542" s="10"/>
      <c r="DJ542" s="10"/>
      <c r="DK542" s="10"/>
      <c r="DL542" s="10"/>
      <c r="DM542" s="10"/>
      <c r="DN542" s="10"/>
      <c r="DO542" s="10"/>
      <c r="DP542" s="10"/>
      <c r="DQ542" s="10"/>
      <c r="DR542" s="10"/>
      <c r="DS542" s="10"/>
      <c r="DT542" s="10"/>
      <c r="DU542" s="10"/>
      <c r="DV542" s="10"/>
      <c r="DW542" s="10"/>
      <c r="DX542" s="10"/>
      <c r="DY542" s="10"/>
      <c r="DZ542" s="10"/>
      <c r="EA542" s="10"/>
      <c r="EB542" s="10"/>
      <c r="EC542" s="10"/>
      <c r="ED542" s="10"/>
      <c r="EE542" s="10"/>
      <c r="EF542" s="10"/>
      <c r="EG542" s="10"/>
      <c r="EH542" s="10"/>
      <c r="EI542" s="10"/>
      <c r="EJ542" s="10"/>
      <c r="EK542" s="10"/>
      <c r="EL542" s="10"/>
    </row>
    <row r="543" spans="2:142" hidden="1" x14ac:dyDescent="0.2">
      <c r="B543" s="146">
        <v>31</v>
      </c>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c r="CZ543" s="10"/>
      <c r="DA543" s="10"/>
      <c r="DB543" s="10"/>
      <c r="DC543" s="10"/>
      <c r="DD543" s="10"/>
      <c r="DE543" s="10"/>
      <c r="DF543" s="10"/>
      <c r="DG543" s="10"/>
      <c r="DH543" s="10"/>
      <c r="DI543" s="10"/>
      <c r="DJ543" s="10"/>
      <c r="DK543" s="10"/>
      <c r="DL543" s="10"/>
      <c r="DM543" s="10"/>
      <c r="DN543" s="10"/>
      <c r="DO543" s="10"/>
      <c r="DP543" s="10"/>
      <c r="DQ543" s="10"/>
      <c r="DR543" s="10"/>
      <c r="DS543" s="10"/>
      <c r="DT543" s="10"/>
      <c r="DU543" s="10"/>
      <c r="DV543" s="10"/>
      <c r="DW543" s="10"/>
      <c r="DX543" s="10"/>
      <c r="DY543" s="10"/>
      <c r="DZ543" s="10"/>
      <c r="EA543" s="10"/>
      <c r="EB543" s="10"/>
      <c r="EC543" s="10"/>
      <c r="ED543" s="10"/>
      <c r="EE543" s="10"/>
      <c r="EF543" s="10"/>
      <c r="EG543" s="10"/>
      <c r="EH543" s="10"/>
      <c r="EI543" s="10"/>
      <c r="EJ543" s="10"/>
      <c r="EK543" s="10"/>
      <c r="EL543" s="10"/>
    </row>
    <row r="544" spans="2:142" hidden="1" x14ac:dyDescent="0.2">
      <c r="B544" s="146">
        <v>32</v>
      </c>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c r="CZ544" s="10"/>
      <c r="DA544" s="10"/>
      <c r="DB544" s="10"/>
      <c r="DC544" s="10"/>
      <c r="DD544" s="10"/>
      <c r="DE544" s="10"/>
      <c r="DF544" s="10"/>
      <c r="DG544" s="10"/>
      <c r="DH544" s="10"/>
      <c r="DI544" s="10"/>
      <c r="DJ544" s="10"/>
      <c r="DK544" s="10"/>
      <c r="DL544" s="10"/>
      <c r="DM544" s="10"/>
      <c r="DN544" s="10"/>
      <c r="DO544" s="10"/>
      <c r="DP544" s="10"/>
      <c r="DQ544" s="10"/>
      <c r="DR544" s="10"/>
      <c r="DS544" s="10"/>
      <c r="DT544" s="10"/>
      <c r="DU544" s="10"/>
      <c r="DV544" s="10"/>
      <c r="DW544" s="10"/>
      <c r="DX544" s="10"/>
      <c r="DY544" s="10"/>
      <c r="DZ544" s="10"/>
      <c r="EA544" s="10"/>
      <c r="EB544" s="10"/>
      <c r="EC544" s="10"/>
      <c r="ED544" s="10"/>
      <c r="EE544" s="10"/>
      <c r="EF544" s="10"/>
      <c r="EG544" s="10"/>
      <c r="EH544" s="10"/>
      <c r="EI544" s="10"/>
      <c r="EJ544" s="10"/>
      <c r="EK544" s="10"/>
      <c r="EL544" s="10"/>
    </row>
    <row r="545" spans="2:142" hidden="1" x14ac:dyDescent="0.2">
      <c r="B545" s="146">
        <v>33</v>
      </c>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c r="CZ545" s="10"/>
      <c r="DA545" s="10"/>
      <c r="DB545" s="10"/>
      <c r="DC545" s="10"/>
      <c r="DD545" s="10"/>
      <c r="DE545" s="10"/>
      <c r="DF545" s="10"/>
      <c r="DG545" s="10"/>
      <c r="DH545" s="10"/>
      <c r="DI545" s="10"/>
      <c r="DJ545" s="10"/>
      <c r="DK545" s="10"/>
      <c r="DL545" s="10"/>
      <c r="DM545" s="10"/>
      <c r="DN545" s="10"/>
      <c r="DO545" s="10"/>
      <c r="DP545" s="10"/>
      <c r="DQ545" s="10"/>
      <c r="DR545" s="10"/>
      <c r="DS545" s="10"/>
      <c r="DT545" s="10"/>
      <c r="DU545" s="10"/>
      <c r="DV545" s="10"/>
      <c r="DW545" s="10"/>
      <c r="DX545" s="10"/>
      <c r="DY545" s="10"/>
      <c r="DZ545" s="10"/>
      <c r="EA545" s="10"/>
      <c r="EB545" s="10"/>
      <c r="EC545" s="10"/>
      <c r="ED545" s="10"/>
      <c r="EE545" s="10"/>
      <c r="EF545" s="10"/>
      <c r="EG545" s="10"/>
      <c r="EH545" s="10"/>
      <c r="EI545" s="10"/>
      <c r="EJ545" s="10"/>
      <c r="EK545" s="10"/>
      <c r="EL545" s="10"/>
    </row>
    <row r="546" spans="2:142" hidden="1" x14ac:dyDescent="0.2">
      <c r="B546" s="146">
        <v>34</v>
      </c>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c r="DF546" s="10"/>
      <c r="DG546" s="10"/>
      <c r="DH546" s="10"/>
      <c r="DI546" s="10"/>
      <c r="DJ546" s="10"/>
      <c r="DK546" s="10"/>
      <c r="DL546" s="10"/>
      <c r="DM546" s="10"/>
      <c r="DN546" s="10"/>
      <c r="DO546" s="10"/>
      <c r="DP546" s="10"/>
      <c r="DQ546" s="10"/>
      <c r="DR546" s="10"/>
      <c r="DS546" s="10"/>
      <c r="DT546" s="10"/>
      <c r="DU546" s="10"/>
      <c r="DV546" s="10"/>
      <c r="DW546" s="10"/>
      <c r="DX546" s="10"/>
      <c r="DY546" s="10"/>
      <c r="DZ546" s="10"/>
      <c r="EA546" s="10"/>
      <c r="EB546" s="10"/>
      <c r="EC546" s="10"/>
      <c r="ED546" s="10"/>
      <c r="EE546" s="10"/>
      <c r="EF546" s="10"/>
      <c r="EG546" s="10"/>
      <c r="EH546" s="10"/>
      <c r="EI546" s="10"/>
      <c r="EJ546" s="10"/>
      <c r="EK546" s="10"/>
      <c r="EL546" s="10"/>
    </row>
    <row r="547" spans="2:142" hidden="1" x14ac:dyDescent="0.2">
      <c r="B547" s="146">
        <v>35</v>
      </c>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c r="CZ547" s="10"/>
      <c r="DA547" s="10"/>
      <c r="DB547" s="10"/>
      <c r="DC547" s="10"/>
      <c r="DD547" s="10"/>
      <c r="DE547" s="10"/>
      <c r="DF547" s="10"/>
      <c r="DG547" s="10"/>
      <c r="DH547" s="10"/>
      <c r="DI547" s="10"/>
      <c r="DJ547" s="10"/>
      <c r="DK547" s="10"/>
      <c r="DL547" s="10"/>
      <c r="DM547" s="10"/>
      <c r="DN547" s="10"/>
      <c r="DO547" s="10"/>
      <c r="DP547" s="10"/>
      <c r="DQ547" s="10"/>
      <c r="DR547" s="10"/>
      <c r="DS547" s="10"/>
      <c r="DT547" s="10"/>
      <c r="DU547" s="10"/>
      <c r="DV547" s="10"/>
      <c r="DW547" s="10"/>
      <c r="DX547" s="10"/>
      <c r="DY547" s="10"/>
      <c r="DZ547" s="10"/>
      <c r="EA547" s="10"/>
      <c r="EB547" s="10"/>
      <c r="EC547" s="10"/>
      <c r="ED547" s="10"/>
      <c r="EE547" s="10"/>
      <c r="EF547" s="10"/>
      <c r="EG547" s="10"/>
      <c r="EH547" s="10"/>
      <c r="EI547" s="10"/>
      <c r="EJ547" s="10"/>
      <c r="EK547" s="10"/>
      <c r="EL547" s="10"/>
    </row>
    <row r="548" spans="2:142" hidden="1" x14ac:dyDescent="0.2">
      <c r="B548" s="146">
        <v>36</v>
      </c>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c r="CZ548" s="10"/>
      <c r="DA548" s="10"/>
      <c r="DB548" s="10"/>
      <c r="DC548" s="10"/>
      <c r="DD548" s="10"/>
      <c r="DE548" s="10"/>
      <c r="DF548" s="10"/>
      <c r="DG548" s="10"/>
      <c r="DH548" s="10"/>
      <c r="DI548" s="10"/>
      <c r="DJ548" s="10"/>
      <c r="DK548" s="10"/>
      <c r="DL548" s="10"/>
      <c r="DM548" s="10"/>
      <c r="DN548" s="10"/>
      <c r="DO548" s="10"/>
      <c r="DP548" s="10"/>
      <c r="DQ548" s="10"/>
      <c r="DR548" s="10"/>
      <c r="DS548" s="10"/>
      <c r="DT548" s="10"/>
      <c r="DU548" s="10"/>
      <c r="DV548" s="10"/>
      <c r="DW548" s="10"/>
      <c r="DX548" s="10"/>
      <c r="DY548" s="10"/>
      <c r="DZ548" s="10"/>
      <c r="EA548" s="10"/>
      <c r="EB548" s="10"/>
      <c r="EC548" s="10"/>
      <c r="ED548" s="10"/>
      <c r="EE548" s="10"/>
      <c r="EF548" s="10"/>
      <c r="EG548" s="10"/>
      <c r="EH548" s="10"/>
      <c r="EI548" s="10"/>
      <c r="EJ548" s="10"/>
      <c r="EK548" s="10"/>
      <c r="EL548" s="10"/>
    </row>
    <row r="549" spans="2:142" hidden="1" x14ac:dyDescent="0.2">
      <c r="B549" s="146">
        <v>37</v>
      </c>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c r="DF549" s="10"/>
      <c r="DG549" s="10"/>
      <c r="DH549" s="10"/>
      <c r="DI549" s="10"/>
      <c r="DJ549" s="10"/>
      <c r="DK549" s="10"/>
      <c r="DL549" s="10"/>
      <c r="DM549" s="10"/>
      <c r="DN549" s="10"/>
      <c r="DO549" s="10"/>
      <c r="DP549" s="10"/>
      <c r="DQ549" s="10"/>
      <c r="DR549" s="10"/>
      <c r="DS549" s="10"/>
      <c r="DT549" s="10"/>
      <c r="DU549" s="10"/>
      <c r="DV549" s="10"/>
      <c r="DW549" s="10"/>
      <c r="DX549" s="10"/>
      <c r="DY549" s="10"/>
      <c r="DZ549" s="10"/>
      <c r="EA549" s="10"/>
      <c r="EB549" s="10"/>
      <c r="EC549" s="10"/>
      <c r="ED549" s="10"/>
      <c r="EE549" s="10"/>
      <c r="EF549" s="10"/>
      <c r="EG549" s="10"/>
      <c r="EH549" s="10"/>
      <c r="EI549" s="10"/>
      <c r="EJ549" s="10"/>
      <c r="EK549" s="10"/>
      <c r="EL549" s="10"/>
    </row>
    <row r="550" spans="2:142" hidden="1" x14ac:dyDescent="0.2">
      <c r="B550" s="146">
        <v>38</v>
      </c>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c r="DF550" s="10"/>
      <c r="DG550" s="10"/>
      <c r="DH550" s="10"/>
      <c r="DI550" s="10"/>
      <c r="DJ550" s="10"/>
      <c r="DK550" s="10"/>
      <c r="DL550" s="10"/>
      <c r="DM550" s="10"/>
      <c r="DN550" s="10"/>
      <c r="DO550" s="10"/>
      <c r="DP550" s="10"/>
      <c r="DQ550" s="10"/>
      <c r="DR550" s="10"/>
      <c r="DS550" s="10"/>
      <c r="DT550" s="10"/>
      <c r="DU550" s="10"/>
      <c r="DV550" s="10"/>
      <c r="DW550" s="10"/>
      <c r="DX550" s="10"/>
      <c r="DY550" s="10"/>
      <c r="DZ550" s="10"/>
      <c r="EA550" s="10"/>
      <c r="EB550" s="10"/>
      <c r="EC550" s="10"/>
      <c r="ED550" s="10"/>
      <c r="EE550" s="10"/>
      <c r="EF550" s="10"/>
      <c r="EG550" s="10"/>
      <c r="EH550" s="10"/>
      <c r="EI550" s="10"/>
      <c r="EJ550" s="10"/>
      <c r="EK550" s="10"/>
      <c r="EL550" s="10"/>
    </row>
    <row r="551" spans="2:142" hidden="1" x14ac:dyDescent="0.2">
      <c r="B551" s="146">
        <v>39</v>
      </c>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c r="DF551" s="10"/>
      <c r="DG551" s="10"/>
      <c r="DH551" s="10"/>
      <c r="DI551" s="10"/>
      <c r="DJ551" s="10"/>
      <c r="DK551" s="10"/>
      <c r="DL551" s="10"/>
      <c r="DM551" s="10"/>
      <c r="DN551" s="10"/>
      <c r="DO551" s="10"/>
      <c r="DP551" s="10"/>
      <c r="DQ551" s="10"/>
      <c r="DR551" s="10"/>
      <c r="DS551" s="10"/>
      <c r="DT551" s="10"/>
      <c r="DU551" s="10"/>
      <c r="DV551" s="10"/>
      <c r="DW551" s="10"/>
      <c r="DX551" s="10"/>
      <c r="DY551" s="10"/>
      <c r="DZ551" s="10"/>
      <c r="EA551" s="10"/>
      <c r="EB551" s="10"/>
      <c r="EC551" s="10"/>
      <c r="ED551" s="10"/>
      <c r="EE551" s="10"/>
      <c r="EF551" s="10"/>
      <c r="EG551" s="10"/>
      <c r="EH551" s="10"/>
      <c r="EI551" s="10"/>
      <c r="EJ551" s="10"/>
      <c r="EK551" s="10"/>
      <c r="EL551" s="10"/>
    </row>
    <row r="552" spans="2:142" hidden="1" x14ac:dyDescent="0.2">
      <c r="B552" s="146">
        <v>40</v>
      </c>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c r="DF552" s="10"/>
      <c r="DG552" s="10"/>
      <c r="DH552" s="10"/>
      <c r="DI552" s="10"/>
      <c r="DJ552" s="10"/>
      <c r="DK552" s="10"/>
      <c r="DL552" s="10"/>
      <c r="DM552" s="10"/>
      <c r="DN552" s="10"/>
      <c r="DO552" s="10"/>
      <c r="DP552" s="10"/>
      <c r="DQ552" s="10"/>
      <c r="DR552" s="10"/>
      <c r="DS552" s="10"/>
      <c r="DT552" s="10"/>
      <c r="DU552" s="10"/>
      <c r="DV552" s="10"/>
      <c r="DW552" s="10"/>
      <c r="DX552" s="10"/>
      <c r="DY552" s="10"/>
      <c r="DZ552" s="10"/>
      <c r="EA552" s="10"/>
      <c r="EB552" s="10"/>
      <c r="EC552" s="10"/>
      <c r="ED552" s="10"/>
      <c r="EE552" s="10"/>
      <c r="EF552" s="10"/>
      <c r="EG552" s="10"/>
      <c r="EH552" s="10"/>
      <c r="EI552" s="10"/>
      <c r="EJ552" s="10"/>
      <c r="EK552" s="10"/>
      <c r="EL552" s="10"/>
    </row>
    <row r="553" spans="2:142" hidden="1" x14ac:dyDescent="0.2">
      <c r="B553" s="146">
        <v>41</v>
      </c>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c r="CZ553" s="10"/>
      <c r="DA553" s="10"/>
      <c r="DB553" s="10"/>
      <c r="DC553" s="10"/>
      <c r="DD553" s="10"/>
      <c r="DE553" s="10"/>
      <c r="DF553" s="10"/>
      <c r="DG553" s="10"/>
      <c r="DH553" s="10"/>
      <c r="DI553" s="10"/>
      <c r="DJ553" s="10"/>
      <c r="DK553" s="10"/>
      <c r="DL553" s="10"/>
      <c r="DM553" s="10"/>
      <c r="DN553" s="10"/>
      <c r="DO553" s="10"/>
      <c r="DP553" s="10"/>
      <c r="DQ553" s="10"/>
      <c r="DR553" s="10"/>
      <c r="DS553" s="10"/>
      <c r="DT553" s="10"/>
      <c r="DU553" s="10"/>
      <c r="DV553" s="10"/>
      <c r="DW553" s="10"/>
      <c r="DX553" s="10"/>
      <c r="DY553" s="10"/>
      <c r="DZ553" s="10"/>
      <c r="EA553" s="10"/>
      <c r="EB553" s="10"/>
      <c r="EC553" s="10"/>
      <c r="ED553" s="10"/>
      <c r="EE553" s="10"/>
      <c r="EF553" s="10"/>
      <c r="EG553" s="10"/>
      <c r="EH553" s="10"/>
      <c r="EI553" s="10"/>
      <c r="EJ553" s="10"/>
      <c r="EK553" s="10"/>
      <c r="EL553" s="10"/>
    </row>
    <row r="554" spans="2:142" hidden="1" x14ac:dyDescent="0.2">
      <c r="B554" s="146">
        <v>42</v>
      </c>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c r="CZ554" s="10"/>
      <c r="DA554" s="10"/>
      <c r="DB554" s="10"/>
      <c r="DC554" s="10"/>
      <c r="DD554" s="10"/>
      <c r="DE554" s="10"/>
      <c r="DF554" s="10"/>
      <c r="DG554" s="10"/>
      <c r="DH554" s="10"/>
      <c r="DI554" s="10"/>
      <c r="DJ554" s="10"/>
      <c r="DK554" s="10"/>
      <c r="DL554" s="10"/>
      <c r="DM554" s="10"/>
      <c r="DN554" s="10"/>
      <c r="DO554" s="10"/>
      <c r="DP554" s="10"/>
      <c r="DQ554" s="10"/>
      <c r="DR554" s="10"/>
      <c r="DS554" s="10"/>
      <c r="DT554" s="10"/>
      <c r="DU554" s="10"/>
      <c r="DV554" s="10"/>
      <c r="DW554" s="10"/>
      <c r="DX554" s="10"/>
      <c r="DY554" s="10"/>
      <c r="DZ554" s="10"/>
      <c r="EA554" s="10"/>
      <c r="EB554" s="10"/>
      <c r="EC554" s="10"/>
      <c r="ED554" s="10"/>
      <c r="EE554" s="10"/>
      <c r="EF554" s="10"/>
      <c r="EG554" s="10"/>
      <c r="EH554" s="10"/>
      <c r="EI554" s="10"/>
      <c r="EJ554" s="10"/>
      <c r="EK554" s="10"/>
      <c r="EL554" s="10"/>
    </row>
    <row r="555" spans="2:142" hidden="1" x14ac:dyDescent="0.2">
      <c r="B555" s="146">
        <v>43</v>
      </c>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c r="CZ555" s="10"/>
      <c r="DA555" s="10"/>
      <c r="DB555" s="10"/>
      <c r="DC555" s="10"/>
      <c r="DD555" s="10"/>
      <c r="DE555" s="10"/>
      <c r="DF555" s="10"/>
      <c r="DG555" s="10"/>
      <c r="DH555" s="10"/>
      <c r="DI555" s="10"/>
      <c r="DJ555" s="10"/>
      <c r="DK555" s="10"/>
      <c r="DL555" s="10"/>
      <c r="DM555" s="10"/>
      <c r="DN555" s="10"/>
      <c r="DO555" s="10"/>
      <c r="DP555" s="10"/>
      <c r="DQ555" s="10"/>
      <c r="DR555" s="10"/>
      <c r="DS555" s="10"/>
      <c r="DT555" s="10"/>
      <c r="DU555" s="10"/>
      <c r="DV555" s="10"/>
      <c r="DW555" s="10"/>
      <c r="DX555" s="10"/>
      <c r="DY555" s="10"/>
      <c r="DZ555" s="10"/>
      <c r="EA555" s="10"/>
      <c r="EB555" s="10"/>
      <c r="EC555" s="10"/>
      <c r="ED555" s="10"/>
      <c r="EE555" s="10"/>
      <c r="EF555" s="10"/>
      <c r="EG555" s="10"/>
      <c r="EH555" s="10"/>
      <c r="EI555" s="10"/>
      <c r="EJ555" s="10"/>
      <c r="EK555" s="10"/>
      <c r="EL555" s="10"/>
    </row>
    <row r="556" spans="2:142" hidden="1" x14ac:dyDescent="0.2">
      <c r="B556" s="146">
        <v>44</v>
      </c>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c r="DF556" s="10"/>
      <c r="DG556" s="10"/>
      <c r="DH556" s="10"/>
      <c r="DI556" s="10"/>
      <c r="DJ556" s="10"/>
      <c r="DK556" s="10"/>
      <c r="DL556" s="10"/>
      <c r="DM556" s="10"/>
      <c r="DN556" s="10"/>
      <c r="DO556" s="10"/>
      <c r="DP556" s="10"/>
      <c r="DQ556" s="10"/>
      <c r="DR556" s="10"/>
      <c r="DS556" s="10"/>
      <c r="DT556" s="10"/>
      <c r="DU556" s="10"/>
      <c r="DV556" s="10"/>
      <c r="DW556" s="10"/>
      <c r="DX556" s="10"/>
      <c r="DY556" s="10"/>
      <c r="DZ556" s="10"/>
      <c r="EA556" s="10"/>
      <c r="EB556" s="10"/>
      <c r="EC556" s="10"/>
      <c r="ED556" s="10"/>
      <c r="EE556" s="10"/>
      <c r="EF556" s="10"/>
      <c r="EG556" s="10"/>
      <c r="EH556" s="10"/>
      <c r="EI556" s="10"/>
      <c r="EJ556" s="10"/>
      <c r="EK556" s="10"/>
      <c r="EL556" s="10"/>
    </row>
    <row r="557" spans="2:142" hidden="1" x14ac:dyDescent="0.2">
      <c r="B557" s="146">
        <v>45</v>
      </c>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c r="DF557" s="10"/>
      <c r="DG557" s="10"/>
      <c r="DH557" s="10"/>
      <c r="DI557" s="10"/>
      <c r="DJ557" s="10"/>
      <c r="DK557" s="10"/>
      <c r="DL557" s="10"/>
      <c r="DM557" s="10"/>
      <c r="DN557" s="10"/>
      <c r="DO557" s="10"/>
      <c r="DP557" s="10"/>
      <c r="DQ557" s="10"/>
      <c r="DR557" s="10"/>
      <c r="DS557" s="10"/>
      <c r="DT557" s="10"/>
      <c r="DU557" s="10"/>
      <c r="DV557" s="10"/>
      <c r="DW557" s="10"/>
      <c r="DX557" s="10"/>
      <c r="DY557" s="10"/>
      <c r="DZ557" s="10"/>
      <c r="EA557" s="10"/>
      <c r="EB557" s="10"/>
      <c r="EC557" s="10"/>
      <c r="ED557" s="10"/>
      <c r="EE557" s="10"/>
      <c r="EF557" s="10"/>
      <c r="EG557" s="10"/>
      <c r="EH557" s="10"/>
      <c r="EI557" s="10"/>
      <c r="EJ557" s="10"/>
      <c r="EK557" s="10"/>
      <c r="EL557" s="10"/>
    </row>
    <row r="558" spans="2:142" hidden="1" x14ac:dyDescent="0.2">
      <c r="B558" s="146">
        <v>46</v>
      </c>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c r="DF558" s="10"/>
      <c r="DG558" s="10"/>
      <c r="DH558" s="10"/>
      <c r="DI558" s="10"/>
      <c r="DJ558" s="10"/>
      <c r="DK558" s="10"/>
      <c r="DL558" s="10"/>
      <c r="DM558" s="10"/>
      <c r="DN558" s="10"/>
      <c r="DO558" s="10"/>
      <c r="DP558" s="10"/>
      <c r="DQ558" s="10"/>
      <c r="DR558" s="10"/>
      <c r="DS558" s="10"/>
      <c r="DT558" s="10"/>
      <c r="DU558" s="10"/>
      <c r="DV558" s="10"/>
      <c r="DW558" s="10"/>
      <c r="DX558" s="10"/>
      <c r="DY558" s="10"/>
      <c r="DZ558" s="10"/>
      <c r="EA558" s="10"/>
      <c r="EB558" s="10"/>
      <c r="EC558" s="10"/>
      <c r="ED558" s="10"/>
      <c r="EE558" s="10"/>
      <c r="EF558" s="10"/>
      <c r="EG558" s="10"/>
      <c r="EH558" s="10"/>
      <c r="EI558" s="10"/>
      <c r="EJ558" s="10"/>
      <c r="EK558" s="10"/>
      <c r="EL558" s="10"/>
    </row>
    <row r="559" spans="2:142" hidden="1" x14ac:dyDescent="0.2">
      <c r="B559" s="146">
        <v>47</v>
      </c>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c r="CZ559" s="10"/>
      <c r="DA559" s="10"/>
      <c r="DB559" s="10"/>
      <c r="DC559" s="10"/>
      <c r="DD559" s="10"/>
      <c r="DE559" s="10"/>
      <c r="DF559" s="10"/>
      <c r="DG559" s="10"/>
      <c r="DH559" s="10"/>
      <c r="DI559" s="10"/>
      <c r="DJ559" s="10"/>
      <c r="DK559" s="10"/>
      <c r="DL559" s="10"/>
      <c r="DM559" s="10"/>
      <c r="DN559" s="10"/>
      <c r="DO559" s="10"/>
      <c r="DP559" s="10"/>
      <c r="DQ559" s="10"/>
      <c r="DR559" s="10"/>
      <c r="DS559" s="10"/>
      <c r="DT559" s="10"/>
      <c r="DU559" s="10"/>
      <c r="DV559" s="10"/>
      <c r="DW559" s="10"/>
      <c r="DX559" s="10"/>
      <c r="DY559" s="10"/>
      <c r="DZ559" s="10"/>
      <c r="EA559" s="10"/>
      <c r="EB559" s="10"/>
      <c r="EC559" s="10"/>
      <c r="ED559" s="10"/>
      <c r="EE559" s="10"/>
      <c r="EF559" s="10"/>
      <c r="EG559" s="10"/>
      <c r="EH559" s="10"/>
      <c r="EI559" s="10"/>
      <c r="EJ559" s="10"/>
      <c r="EK559" s="10"/>
      <c r="EL559" s="10"/>
    </row>
    <row r="560" spans="2:142" hidden="1" x14ac:dyDescent="0.2">
      <c r="B560" s="146">
        <v>48</v>
      </c>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c r="CZ560" s="10"/>
      <c r="DA560" s="10"/>
      <c r="DB560" s="10"/>
      <c r="DC560" s="10"/>
      <c r="DD560" s="10"/>
      <c r="DE560" s="10"/>
      <c r="DF560" s="10"/>
      <c r="DG560" s="10"/>
      <c r="DH560" s="10"/>
      <c r="DI560" s="10"/>
      <c r="DJ560" s="10"/>
      <c r="DK560" s="10"/>
      <c r="DL560" s="10"/>
      <c r="DM560" s="10"/>
      <c r="DN560" s="10"/>
      <c r="DO560" s="10"/>
      <c r="DP560" s="10"/>
      <c r="DQ560" s="10"/>
      <c r="DR560" s="10"/>
      <c r="DS560" s="10"/>
      <c r="DT560" s="10"/>
      <c r="DU560" s="10"/>
      <c r="DV560" s="10"/>
      <c r="DW560" s="10"/>
      <c r="DX560" s="10"/>
      <c r="DY560" s="10"/>
      <c r="DZ560" s="10"/>
      <c r="EA560" s="10"/>
      <c r="EB560" s="10"/>
      <c r="EC560" s="10"/>
      <c r="ED560" s="10"/>
      <c r="EE560" s="10"/>
      <c r="EF560" s="10"/>
      <c r="EG560" s="10"/>
      <c r="EH560" s="10"/>
      <c r="EI560" s="10"/>
      <c r="EJ560" s="10"/>
      <c r="EK560" s="10"/>
      <c r="EL560" s="10"/>
    </row>
    <row r="561" spans="2:142" hidden="1" x14ac:dyDescent="0.2">
      <c r="B561" s="146">
        <v>49</v>
      </c>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c r="DF561" s="10"/>
      <c r="DG561" s="10"/>
      <c r="DH561" s="10"/>
      <c r="DI561" s="10"/>
      <c r="DJ561" s="10"/>
      <c r="DK561" s="10"/>
      <c r="DL561" s="10"/>
      <c r="DM561" s="10"/>
      <c r="DN561" s="10"/>
      <c r="DO561" s="10"/>
      <c r="DP561" s="10"/>
      <c r="DQ561" s="10"/>
      <c r="DR561" s="10"/>
      <c r="DS561" s="10"/>
      <c r="DT561" s="10"/>
      <c r="DU561" s="10"/>
      <c r="DV561" s="10"/>
      <c r="DW561" s="10"/>
      <c r="DX561" s="10"/>
      <c r="DY561" s="10"/>
      <c r="DZ561" s="10"/>
      <c r="EA561" s="10"/>
      <c r="EB561" s="10"/>
      <c r="EC561" s="10"/>
      <c r="ED561" s="10"/>
      <c r="EE561" s="10"/>
      <c r="EF561" s="10"/>
      <c r="EG561" s="10"/>
      <c r="EH561" s="10"/>
      <c r="EI561" s="10"/>
      <c r="EJ561" s="10"/>
      <c r="EK561" s="10"/>
      <c r="EL561" s="10"/>
    </row>
    <row r="562" spans="2:142" hidden="1" x14ac:dyDescent="0.2">
      <c r="B562" s="146">
        <v>50</v>
      </c>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c r="CZ562" s="10"/>
      <c r="DA562" s="10"/>
      <c r="DB562" s="10"/>
      <c r="DC562" s="10"/>
      <c r="DD562" s="10"/>
      <c r="DE562" s="10"/>
      <c r="DF562" s="10"/>
      <c r="DG562" s="10"/>
      <c r="DH562" s="10"/>
      <c r="DI562" s="10"/>
      <c r="DJ562" s="10"/>
      <c r="DK562" s="10"/>
      <c r="DL562" s="10"/>
      <c r="DM562" s="10"/>
      <c r="DN562" s="10"/>
      <c r="DO562" s="10"/>
      <c r="DP562" s="10"/>
      <c r="DQ562" s="10"/>
      <c r="DR562" s="10"/>
      <c r="DS562" s="10"/>
      <c r="DT562" s="10"/>
      <c r="DU562" s="10"/>
      <c r="DV562" s="10"/>
      <c r="DW562" s="10"/>
      <c r="DX562" s="10"/>
      <c r="DY562" s="10"/>
      <c r="DZ562" s="10"/>
      <c r="EA562" s="10"/>
      <c r="EB562" s="10"/>
      <c r="EC562" s="10"/>
      <c r="ED562" s="10"/>
      <c r="EE562" s="10"/>
      <c r="EF562" s="10"/>
      <c r="EG562" s="10"/>
      <c r="EH562" s="10"/>
      <c r="EI562" s="10"/>
      <c r="EJ562" s="10"/>
      <c r="EK562" s="10"/>
      <c r="EL562" s="10"/>
    </row>
    <row r="563" spans="2:142" hidden="1" x14ac:dyDescent="0.2">
      <c r="B563" s="146">
        <v>51</v>
      </c>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c r="DF563" s="10"/>
      <c r="DG563" s="10"/>
      <c r="DH563" s="10"/>
      <c r="DI563" s="10"/>
      <c r="DJ563" s="10"/>
      <c r="DK563" s="10"/>
      <c r="DL563" s="10"/>
      <c r="DM563" s="10"/>
      <c r="DN563" s="10"/>
      <c r="DO563" s="10"/>
      <c r="DP563" s="10"/>
      <c r="DQ563" s="10"/>
      <c r="DR563" s="10"/>
      <c r="DS563" s="10"/>
      <c r="DT563" s="10"/>
      <c r="DU563" s="10"/>
      <c r="DV563" s="10"/>
      <c r="DW563" s="10"/>
      <c r="DX563" s="10"/>
      <c r="DY563" s="10"/>
      <c r="DZ563" s="10"/>
      <c r="EA563" s="10"/>
      <c r="EB563" s="10"/>
      <c r="EC563" s="10"/>
      <c r="ED563" s="10"/>
      <c r="EE563" s="10"/>
      <c r="EF563" s="10"/>
      <c r="EG563" s="10"/>
      <c r="EH563" s="10"/>
      <c r="EI563" s="10"/>
      <c r="EJ563" s="10"/>
      <c r="EK563" s="10"/>
      <c r="EL563" s="10"/>
    </row>
    <row r="564" spans="2:142" hidden="1" x14ac:dyDescent="0.2">
      <c r="B564" s="146">
        <v>52</v>
      </c>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c r="CZ564" s="10"/>
      <c r="DA564" s="10"/>
      <c r="DB564" s="10"/>
      <c r="DC564" s="10"/>
      <c r="DD564" s="10"/>
      <c r="DE564" s="10"/>
      <c r="DF564" s="10"/>
      <c r="DG564" s="10"/>
      <c r="DH564" s="10"/>
      <c r="DI564" s="10"/>
      <c r="DJ564" s="10"/>
      <c r="DK564" s="10"/>
      <c r="DL564" s="10"/>
      <c r="DM564" s="10"/>
      <c r="DN564" s="10"/>
      <c r="DO564" s="10"/>
      <c r="DP564" s="10"/>
      <c r="DQ564" s="10"/>
      <c r="DR564" s="10"/>
      <c r="DS564" s="10"/>
      <c r="DT564" s="10"/>
      <c r="DU564" s="10"/>
      <c r="DV564" s="10"/>
      <c r="DW564" s="10"/>
      <c r="DX564" s="10"/>
      <c r="DY564" s="10"/>
      <c r="DZ564" s="10"/>
      <c r="EA564" s="10"/>
      <c r="EB564" s="10"/>
      <c r="EC564" s="10"/>
      <c r="ED564" s="10"/>
      <c r="EE564" s="10"/>
      <c r="EF564" s="10"/>
      <c r="EG564" s="10"/>
      <c r="EH564" s="10"/>
      <c r="EI564" s="10"/>
      <c r="EJ564" s="10"/>
      <c r="EK564" s="10"/>
      <c r="EL564" s="10"/>
    </row>
    <row r="565" spans="2:142" hidden="1" x14ac:dyDescent="0.2">
      <c r="B565" s="146">
        <v>53</v>
      </c>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c r="DF565" s="10"/>
      <c r="DG565" s="10"/>
      <c r="DH565" s="10"/>
      <c r="DI565" s="10"/>
      <c r="DJ565" s="10"/>
      <c r="DK565" s="10"/>
      <c r="DL565" s="10"/>
      <c r="DM565" s="10"/>
      <c r="DN565" s="10"/>
      <c r="DO565" s="10"/>
      <c r="DP565" s="10"/>
      <c r="DQ565" s="10"/>
      <c r="DR565" s="10"/>
      <c r="DS565" s="10"/>
      <c r="DT565" s="10"/>
      <c r="DU565" s="10"/>
      <c r="DV565" s="10"/>
      <c r="DW565" s="10"/>
      <c r="DX565" s="10"/>
      <c r="DY565" s="10"/>
      <c r="DZ565" s="10"/>
      <c r="EA565" s="10"/>
      <c r="EB565" s="10"/>
      <c r="EC565" s="10"/>
      <c r="ED565" s="10"/>
      <c r="EE565" s="10"/>
      <c r="EF565" s="10"/>
      <c r="EG565" s="10"/>
      <c r="EH565" s="10"/>
      <c r="EI565" s="10"/>
      <c r="EJ565" s="10"/>
      <c r="EK565" s="10"/>
      <c r="EL565" s="10"/>
    </row>
    <row r="566" spans="2:142" hidden="1" x14ac:dyDescent="0.2">
      <c r="B566" s="146">
        <v>54</v>
      </c>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c r="DF566" s="10"/>
      <c r="DG566" s="10"/>
      <c r="DH566" s="10"/>
      <c r="DI566" s="10"/>
      <c r="DJ566" s="10"/>
      <c r="DK566" s="10"/>
      <c r="DL566" s="10"/>
      <c r="DM566" s="10"/>
      <c r="DN566" s="10"/>
      <c r="DO566" s="10"/>
      <c r="DP566" s="10"/>
      <c r="DQ566" s="10"/>
      <c r="DR566" s="10"/>
      <c r="DS566" s="10"/>
      <c r="DT566" s="10"/>
      <c r="DU566" s="10"/>
      <c r="DV566" s="10"/>
      <c r="DW566" s="10"/>
      <c r="DX566" s="10"/>
      <c r="DY566" s="10"/>
      <c r="DZ566" s="10"/>
      <c r="EA566" s="10"/>
      <c r="EB566" s="10"/>
      <c r="EC566" s="10"/>
      <c r="ED566" s="10"/>
      <c r="EE566" s="10"/>
      <c r="EF566" s="10"/>
      <c r="EG566" s="10"/>
      <c r="EH566" s="10"/>
      <c r="EI566" s="10"/>
      <c r="EJ566" s="10"/>
      <c r="EK566" s="10"/>
      <c r="EL566" s="10"/>
    </row>
    <row r="567" spans="2:142" hidden="1" x14ac:dyDescent="0.2">
      <c r="B567" s="146">
        <v>55</v>
      </c>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c r="CZ567" s="10"/>
      <c r="DA567" s="10"/>
      <c r="DB567" s="10"/>
      <c r="DC567" s="10"/>
      <c r="DD567" s="10"/>
      <c r="DE567" s="10"/>
      <c r="DF567" s="10"/>
      <c r="DG567" s="10"/>
      <c r="DH567" s="10"/>
      <c r="DI567" s="10"/>
      <c r="DJ567" s="10"/>
      <c r="DK567" s="10"/>
      <c r="DL567" s="10"/>
      <c r="DM567" s="10"/>
      <c r="DN567" s="10"/>
      <c r="DO567" s="10"/>
      <c r="DP567" s="10"/>
      <c r="DQ567" s="10"/>
      <c r="DR567" s="10"/>
      <c r="DS567" s="10"/>
      <c r="DT567" s="10"/>
      <c r="DU567" s="10"/>
      <c r="DV567" s="10"/>
      <c r="DW567" s="10"/>
      <c r="DX567" s="10"/>
      <c r="DY567" s="10"/>
      <c r="DZ567" s="10"/>
      <c r="EA567" s="10"/>
      <c r="EB567" s="10"/>
      <c r="EC567" s="10"/>
      <c r="ED567" s="10"/>
      <c r="EE567" s="10"/>
      <c r="EF567" s="10"/>
      <c r="EG567" s="10"/>
      <c r="EH567" s="10"/>
      <c r="EI567" s="10"/>
      <c r="EJ567" s="10"/>
      <c r="EK567" s="10"/>
      <c r="EL567" s="10"/>
    </row>
    <row r="568" spans="2:142" hidden="1" x14ac:dyDescent="0.2">
      <c r="B568" s="146">
        <v>56</v>
      </c>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c r="CZ568" s="10"/>
      <c r="DA568" s="10"/>
      <c r="DB568" s="10"/>
      <c r="DC568" s="10"/>
      <c r="DD568" s="10"/>
      <c r="DE568" s="10"/>
      <c r="DF568" s="10"/>
      <c r="DG568" s="10"/>
      <c r="DH568" s="10"/>
      <c r="DI568" s="10"/>
      <c r="DJ568" s="10"/>
      <c r="DK568" s="10"/>
      <c r="DL568" s="10"/>
      <c r="DM568" s="10"/>
      <c r="DN568" s="10"/>
      <c r="DO568" s="10"/>
      <c r="DP568" s="10"/>
      <c r="DQ568" s="10"/>
      <c r="DR568" s="10"/>
      <c r="DS568" s="10"/>
      <c r="DT568" s="10"/>
      <c r="DU568" s="10"/>
      <c r="DV568" s="10"/>
      <c r="DW568" s="10"/>
      <c r="DX568" s="10"/>
      <c r="DY568" s="10"/>
      <c r="DZ568" s="10"/>
      <c r="EA568" s="10"/>
      <c r="EB568" s="10"/>
      <c r="EC568" s="10"/>
      <c r="ED568" s="10"/>
      <c r="EE568" s="10"/>
      <c r="EF568" s="10"/>
      <c r="EG568" s="10"/>
      <c r="EH568" s="10"/>
      <c r="EI568" s="10"/>
      <c r="EJ568" s="10"/>
      <c r="EK568" s="10"/>
      <c r="EL568" s="10"/>
    </row>
    <row r="569" spans="2:142" hidden="1" x14ac:dyDescent="0.2">
      <c r="B569" s="146">
        <v>57</v>
      </c>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c r="CZ569" s="10"/>
      <c r="DA569" s="10"/>
      <c r="DB569" s="10"/>
      <c r="DC569" s="10"/>
      <c r="DD569" s="10"/>
      <c r="DE569" s="10"/>
      <c r="DF569" s="10"/>
      <c r="DG569" s="10"/>
      <c r="DH569" s="10"/>
      <c r="DI569" s="10"/>
      <c r="DJ569" s="10"/>
      <c r="DK569" s="10"/>
      <c r="DL569" s="10"/>
      <c r="DM569" s="10"/>
      <c r="DN569" s="10"/>
      <c r="DO569" s="10"/>
      <c r="DP569" s="10"/>
      <c r="DQ569" s="10"/>
      <c r="DR569" s="10"/>
      <c r="DS569" s="10"/>
      <c r="DT569" s="10"/>
      <c r="DU569" s="10"/>
      <c r="DV569" s="10"/>
      <c r="DW569" s="10"/>
      <c r="DX569" s="10"/>
      <c r="DY569" s="10"/>
      <c r="DZ569" s="10"/>
      <c r="EA569" s="10"/>
      <c r="EB569" s="10"/>
      <c r="EC569" s="10"/>
      <c r="ED569" s="10"/>
      <c r="EE569" s="10"/>
      <c r="EF569" s="10"/>
      <c r="EG569" s="10"/>
      <c r="EH569" s="10"/>
      <c r="EI569" s="10"/>
      <c r="EJ569" s="10"/>
      <c r="EK569" s="10"/>
      <c r="EL569" s="10"/>
    </row>
    <row r="570" spans="2:142" hidden="1" x14ac:dyDescent="0.2">
      <c r="B570" s="146">
        <v>58</v>
      </c>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c r="CZ570" s="10"/>
      <c r="DA570" s="10"/>
      <c r="DB570" s="10"/>
      <c r="DC570" s="10"/>
      <c r="DD570" s="10"/>
      <c r="DE570" s="10"/>
      <c r="DF570" s="10"/>
      <c r="DG570" s="10"/>
      <c r="DH570" s="10"/>
      <c r="DI570" s="10"/>
      <c r="DJ570" s="10"/>
      <c r="DK570" s="10"/>
      <c r="DL570" s="10"/>
      <c r="DM570" s="10"/>
      <c r="DN570" s="10"/>
      <c r="DO570" s="10"/>
      <c r="DP570" s="10"/>
      <c r="DQ570" s="10"/>
      <c r="DR570" s="10"/>
      <c r="DS570" s="10"/>
      <c r="DT570" s="10"/>
      <c r="DU570" s="10"/>
      <c r="DV570" s="10"/>
      <c r="DW570" s="10"/>
      <c r="DX570" s="10"/>
      <c r="DY570" s="10"/>
      <c r="DZ570" s="10"/>
      <c r="EA570" s="10"/>
      <c r="EB570" s="10"/>
      <c r="EC570" s="10"/>
      <c r="ED570" s="10"/>
      <c r="EE570" s="10"/>
      <c r="EF570" s="10"/>
      <c r="EG570" s="10"/>
      <c r="EH570" s="10"/>
      <c r="EI570" s="10"/>
      <c r="EJ570" s="10"/>
      <c r="EK570" s="10"/>
      <c r="EL570" s="10"/>
    </row>
    <row r="571" spans="2:142" hidden="1" x14ac:dyDescent="0.2">
      <c r="B571" s="146">
        <v>59</v>
      </c>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c r="CZ571" s="10"/>
      <c r="DA571" s="10"/>
      <c r="DB571" s="10"/>
      <c r="DC571" s="10"/>
      <c r="DD571" s="10"/>
      <c r="DE571" s="10"/>
      <c r="DF571" s="10"/>
      <c r="DG571" s="10"/>
      <c r="DH571" s="10"/>
      <c r="DI571" s="10"/>
      <c r="DJ571" s="10"/>
      <c r="DK571" s="10"/>
      <c r="DL571" s="10"/>
      <c r="DM571" s="10"/>
      <c r="DN571" s="10"/>
      <c r="DO571" s="10"/>
      <c r="DP571" s="10"/>
      <c r="DQ571" s="10"/>
      <c r="DR571" s="10"/>
      <c r="DS571" s="10"/>
      <c r="DT571" s="10"/>
      <c r="DU571" s="10"/>
      <c r="DV571" s="10"/>
      <c r="DW571" s="10"/>
      <c r="DX571" s="10"/>
      <c r="DY571" s="10"/>
      <c r="DZ571" s="10"/>
      <c r="EA571" s="10"/>
      <c r="EB571" s="10"/>
      <c r="EC571" s="10"/>
      <c r="ED571" s="10"/>
      <c r="EE571" s="10"/>
      <c r="EF571" s="10"/>
      <c r="EG571" s="10"/>
      <c r="EH571" s="10"/>
      <c r="EI571" s="10"/>
      <c r="EJ571" s="10"/>
      <c r="EK571" s="10"/>
      <c r="EL571" s="10"/>
    </row>
    <row r="572" spans="2:142" hidden="1" x14ac:dyDescent="0.2">
      <c r="B572" s="146">
        <v>60</v>
      </c>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c r="CZ572" s="10"/>
      <c r="DA572" s="10"/>
      <c r="DB572" s="10"/>
      <c r="DC572" s="10"/>
      <c r="DD572" s="10"/>
      <c r="DE572" s="10"/>
      <c r="DF572" s="10"/>
      <c r="DG572" s="10"/>
      <c r="DH572" s="10"/>
      <c r="DI572" s="10"/>
      <c r="DJ572" s="10"/>
      <c r="DK572" s="10"/>
      <c r="DL572" s="10"/>
      <c r="DM572" s="10"/>
      <c r="DN572" s="10"/>
      <c r="DO572" s="10"/>
      <c r="DP572" s="10"/>
      <c r="DQ572" s="10"/>
      <c r="DR572" s="10"/>
      <c r="DS572" s="10"/>
      <c r="DT572" s="10"/>
      <c r="DU572" s="10"/>
      <c r="DV572" s="10"/>
      <c r="DW572" s="10"/>
      <c r="DX572" s="10"/>
      <c r="DY572" s="10"/>
      <c r="DZ572" s="10"/>
      <c r="EA572" s="10"/>
      <c r="EB572" s="10"/>
      <c r="EC572" s="10"/>
      <c r="ED572" s="10"/>
      <c r="EE572" s="10"/>
      <c r="EF572" s="10"/>
      <c r="EG572" s="10"/>
      <c r="EH572" s="10"/>
      <c r="EI572" s="10"/>
      <c r="EJ572" s="10"/>
      <c r="EK572" s="10"/>
      <c r="EL572" s="10"/>
    </row>
    <row r="573" spans="2:142" hidden="1" x14ac:dyDescent="0.2">
      <c r="B573" s="146">
        <v>61</v>
      </c>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c r="DF573" s="10"/>
      <c r="DG573" s="10"/>
      <c r="DH573" s="10"/>
      <c r="DI573" s="10"/>
      <c r="DJ573" s="10"/>
      <c r="DK573" s="10"/>
      <c r="DL573" s="10"/>
      <c r="DM573" s="10"/>
      <c r="DN573" s="10"/>
      <c r="DO573" s="10"/>
      <c r="DP573" s="10"/>
      <c r="DQ573" s="10"/>
      <c r="DR573" s="10"/>
      <c r="DS573" s="10"/>
      <c r="DT573" s="10"/>
      <c r="DU573" s="10"/>
      <c r="DV573" s="10"/>
      <c r="DW573" s="10"/>
      <c r="DX573" s="10"/>
      <c r="DY573" s="10"/>
      <c r="DZ573" s="10"/>
      <c r="EA573" s="10"/>
      <c r="EB573" s="10"/>
      <c r="EC573" s="10"/>
      <c r="ED573" s="10"/>
      <c r="EE573" s="10"/>
      <c r="EF573" s="10"/>
      <c r="EG573" s="10"/>
      <c r="EH573" s="10"/>
      <c r="EI573" s="10"/>
      <c r="EJ573" s="10"/>
      <c r="EK573" s="10"/>
      <c r="EL573" s="10"/>
    </row>
    <row r="574" spans="2:142" hidden="1" x14ac:dyDescent="0.2">
      <c r="B574" s="146">
        <v>62</v>
      </c>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c r="DF574" s="10"/>
      <c r="DG574" s="10"/>
      <c r="DH574" s="10"/>
      <c r="DI574" s="10"/>
      <c r="DJ574" s="10"/>
      <c r="DK574" s="10"/>
      <c r="DL574" s="10"/>
      <c r="DM574" s="10"/>
      <c r="DN574" s="10"/>
      <c r="DO574" s="10"/>
      <c r="DP574" s="10"/>
      <c r="DQ574" s="10"/>
      <c r="DR574" s="10"/>
      <c r="DS574" s="10"/>
      <c r="DT574" s="10"/>
      <c r="DU574" s="10"/>
      <c r="DV574" s="10"/>
      <c r="DW574" s="10"/>
      <c r="DX574" s="10"/>
      <c r="DY574" s="10"/>
      <c r="DZ574" s="10"/>
      <c r="EA574" s="10"/>
      <c r="EB574" s="10"/>
      <c r="EC574" s="10"/>
      <c r="ED574" s="10"/>
      <c r="EE574" s="10"/>
      <c r="EF574" s="10"/>
      <c r="EG574" s="10"/>
      <c r="EH574" s="10"/>
      <c r="EI574" s="10"/>
      <c r="EJ574" s="10"/>
      <c r="EK574" s="10"/>
      <c r="EL574" s="10"/>
    </row>
    <row r="575" spans="2:142" hidden="1" x14ac:dyDescent="0.2">
      <c r="B575" s="146">
        <v>63</v>
      </c>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c r="DF575" s="10"/>
      <c r="DG575" s="10"/>
      <c r="DH575" s="10"/>
      <c r="DI575" s="10"/>
      <c r="DJ575" s="10"/>
      <c r="DK575" s="10"/>
      <c r="DL575" s="10"/>
      <c r="DM575" s="10"/>
      <c r="DN575" s="10"/>
      <c r="DO575" s="10"/>
      <c r="DP575" s="10"/>
      <c r="DQ575" s="10"/>
      <c r="DR575" s="10"/>
      <c r="DS575" s="10"/>
      <c r="DT575" s="10"/>
      <c r="DU575" s="10"/>
      <c r="DV575" s="10"/>
      <c r="DW575" s="10"/>
      <c r="DX575" s="10"/>
      <c r="DY575" s="10"/>
      <c r="DZ575" s="10"/>
      <c r="EA575" s="10"/>
      <c r="EB575" s="10"/>
      <c r="EC575" s="10"/>
      <c r="ED575" s="10"/>
      <c r="EE575" s="10"/>
      <c r="EF575" s="10"/>
      <c r="EG575" s="10"/>
      <c r="EH575" s="10"/>
      <c r="EI575" s="10"/>
      <c r="EJ575" s="10"/>
      <c r="EK575" s="10"/>
      <c r="EL575" s="10"/>
    </row>
    <row r="576" spans="2:142" hidden="1" x14ac:dyDescent="0.2">
      <c r="B576" s="146">
        <v>64</v>
      </c>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c r="CZ576" s="10"/>
      <c r="DA576" s="10"/>
      <c r="DB576" s="10"/>
      <c r="DC576" s="10"/>
      <c r="DD576" s="10"/>
      <c r="DE576" s="10"/>
      <c r="DF576" s="10"/>
      <c r="DG576" s="10"/>
      <c r="DH576" s="10"/>
      <c r="DI576" s="10"/>
      <c r="DJ576" s="10"/>
      <c r="DK576" s="10"/>
      <c r="DL576" s="10"/>
      <c r="DM576" s="10"/>
      <c r="DN576" s="10"/>
      <c r="DO576" s="10"/>
      <c r="DP576" s="10"/>
      <c r="DQ576" s="10"/>
      <c r="DR576" s="10"/>
      <c r="DS576" s="10"/>
      <c r="DT576" s="10"/>
      <c r="DU576" s="10"/>
      <c r="DV576" s="10"/>
      <c r="DW576" s="10"/>
      <c r="DX576" s="10"/>
      <c r="DY576" s="10"/>
      <c r="DZ576" s="10"/>
      <c r="EA576" s="10"/>
      <c r="EB576" s="10"/>
      <c r="EC576" s="10"/>
      <c r="ED576" s="10"/>
      <c r="EE576" s="10"/>
      <c r="EF576" s="10"/>
      <c r="EG576" s="10"/>
      <c r="EH576" s="10"/>
      <c r="EI576" s="10"/>
      <c r="EJ576" s="10"/>
      <c r="EK576" s="10"/>
      <c r="EL576" s="10"/>
    </row>
    <row r="577" spans="2:142" hidden="1" x14ac:dyDescent="0.2">
      <c r="B577" s="146">
        <v>65</v>
      </c>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c r="DF577" s="10"/>
      <c r="DG577" s="10"/>
      <c r="DH577" s="10"/>
      <c r="DI577" s="10"/>
      <c r="DJ577" s="10"/>
      <c r="DK577" s="10"/>
      <c r="DL577" s="10"/>
      <c r="DM577" s="10"/>
      <c r="DN577" s="10"/>
      <c r="DO577" s="10"/>
      <c r="DP577" s="10"/>
      <c r="DQ577" s="10"/>
      <c r="DR577" s="10"/>
      <c r="DS577" s="10"/>
      <c r="DT577" s="10"/>
      <c r="DU577" s="10"/>
      <c r="DV577" s="10"/>
      <c r="DW577" s="10"/>
      <c r="DX577" s="10"/>
      <c r="DY577" s="10"/>
      <c r="DZ577" s="10"/>
      <c r="EA577" s="10"/>
      <c r="EB577" s="10"/>
      <c r="EC577" s="10"/>
      <c r="ED577" s="10"/>
      <c r="EE577" s="10"/>
      <c r="EF577" s="10"/>
      <c r="EG577" s="10"/>
      <c r="EH577" s="10"/>
      <c r="EI577" s="10"/>
      <c r="EJ577" s="10"/>
      <c r="EK577" s="10"/>
      <c r="EL577" s="10"/>
    </row>
    <row r="578" spans="2:142" hidden="1" x14ac:dyDescent="0.2">
      <c r="B578" s="146">
        <v>66</v>
      </c>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c r="CZ578" s="10"/>
      <c r="DA578" s="10"/>
      <c r="DB578" s="10"/>
      <c r="DC578" s="10"/>
      <c r="DD578" s="10"/>
      <c r="DE578" s="10"/>
      <c r="DF578" s="10"/>
      <c r="DG578" s="10"/>
      <c r="DH578" s="10"/>
      <c r="DI578" s="10"/>
      <c r="DJ578" s="10"/>
      <c r="DK578" s="10"/>
      <c r="DL578" s="10"/>
      <c r="DM578" s="10"/>
      <c r="DN578" s="10"/>
      <c r="DO578" s="10"/>
      <c r="DP578" s="10"/>
      <c r="DQ578" s="10"/>
      <c r="DR578" s="10"/>
      <c r="DS578" s="10"/>
      <c r="DT578" s="10"/>
      <c r="DU578" s="10"/>
      <c r="DV578" s="10"/>
      <c r="DW578" s="10"/>
      <c r="DX578" s="10"/>
      <c r="DY578" s="10"/>
      <c r="DZ578" s="10"/>
      <c r="EA578" s="10"/>
      <c r="EB578" s="10"/>
      <c r="EC578" s="10"/>
      <c r="ED578" s="10"/>
      <c r="EE578" s="10"/>
      <c r="EF578" s="10"/>
      <c r="EG578" s="10"/>
      <c r="EH578" s="10"/>
      <c r="EI578" s="10"/>
      <c r="EJ578" s="10"/>
      <c r="EK578" s="10"/>
      <c r="EL578" s="10"/>
    </row>
    <row r="579" spans="2:142" hidden="1" x14ac:dyDescent="0.2">
      <c r="B579" s="146">
        <v>67</v>
      </c>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c r="CZ579" s="10"/>
      <c r="DA579" s="10"/>
      <c r="DB579" s="10"/>
      <c r="DC579" s="10"/>
      <c r="DD579" s="10"/>
      <c r="DE579" s="10"/>
      <c r="DF579" s="10"/>
      <c r="DG579" s="10"/>
      <c r="DH579" s="10"/>
      <c r="DI579" s="10"/>
      <c r="DJ579" s="10"/>
      <c r="DK579" s="10"/>
      <c r="DL579" s="10"/>
      <c r="DM579" s="10"/>
      <c r="DN579" s="10"/>
      <c r="DO579" s="10"/>
      <c r="DP579" s="10"/>
      <c r="DQ579" s="10"/>
      <c r="DR579" s="10"/>
      <c r="DS579" s="10"/>
      <c r="DT579" s="10"/>
      <c r="DU579" s="10"/>
      <c r="DV579" s="10"/>
      <c r="DW579" s="10"/>
      <c r="DX579" s="10"/>
      <c r="DY579" s="10"/>
      <c r="DZ579" s="10"/>
      <c r="EA579" s="10"/>
      <c r="EB579" s="10"/>
      <c r="EC579" s="10"/>
      <c r="ED579" s="10"/>
      <c r="EE579" s="10"/>
      <c r="EF579" s="10"/>
      <c r="EG579" s="10"/>
      <c r="EH579" s="10"/>
      <c r="EI579" s="10"/>
      <c r="EJ579" s="10"/>
      <c r="EK579" s="10"/>
      <c r="EL579" s="10"/>
    </row>
    <row r="580" spans="2:142" hidden="1" x14ac:dyDescent="0.2">
      <c r="B580" s="146">
        <v>68</v>
      </c>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c r="DF580" s="10"/>
      <c r="DG580" s="10"/>
      <c r="DH580" s="10"/>
      <c r="DI580" s="10"/>
      <c r="DJ580" s="10"/>
      <c r="DK580" s="10"/>
      <c r="DL580" s="10"/>
      <c r="DM580" s="10"/>
      <c r="DN580" s="10"/>
      <c r="DO580" s="10"/>
      <c r="DP580" s="10"/>
      <c r="DQ580" s="10"/>
      <c r="DR580" s="10"/>
      <c r="DS580" s="10"/>
      <c r="DT580" s="10"/>
      <c r="DU580" s="10"/>
      <c r="DV580" s="10"/>
      <c r="DW580" s="10"/>
      <c r="DX580" s="10"/>
      <c r="DY580" s="10"/>
      <c r="DZ580" s="10"/>
      <c r="EA580" s="10"/>
      <c r="EB580" s="10"/>
      <c r="EC580" s="10"/>
      <c r="ED580" s="10"/>
      <c r="EE580" s="10"/>
      <c r="EF580" s="10"/>
      <c r="EG580" s="10"/>
      <c r="EH580" s="10"/>
      <c r="EI580" s="10"/>
      <c r="EJ580" s="10"/>
      <c r="EK580" s="10"/>
      <c r="EL580" s="10"/>
    </row>
    <row r="581" spans="2:142" hidden="1" x14ac:dyDescent="0.2">
      <c r="B581" s="146">
        <v>69</v>
      </c>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c r="CZ581" s="10"/>
      <c r="DA581" s="10"/>
      <c r="DB581" s="10"/>
      <c r="DC581" s="10"/>
      <c r="DD581" s="10"/>
      <c r="DE581" s="10"/>
      <c r="DF581" s="10"/>
      <c r="DG581" s="10"/>
      <c r="DH581" s="10"/>
      <c r="DI581" s="10"/>
      <c r="DJ581" s="10"/>
      <c r="DK581" s="10"/>
      <c r="DL581" s="10"/>
      <c r="DM581" s="10"/>
      <c r="DN581" s="10"/>
      <c r="DO581" s="10"/>
      <c r="DP581" s="10"/>
      <c r="DQ581" s="10"/>
      <c r="DR581" s="10"/>
      <c r="DS581" s="10"/>
      <c r="DT581" s="10"/>
      <c r="DU581" s="10"/>
      <c r="DV581" s="10"/>
      <c r="DW581" s="10"/>
      <c r="DX581" s="10"/>
      <c r="DY581" s="10"/>
      <c r="DZ581" s="10"/>
      <c r="EA581" s="10"/>
      <c r="EB581" s="10"/>
      <c r="EC581" s="10"/>
      <c r="ED581" s="10"/>
      <c r="EE581" s="10"/>
      <c r="EF581" s="10"/>
      <c r="EG581" s="10"/>
      <c r="EH581" s="10"/>
      <c r="EI581" s="10"/>
      <c r="EJ581" s="10"/>
      <c r="EK581" s="10"/>
      <c r="EL581" s="10"/>
    </row>
    <row r="582" spans="2:142" hidden="1" x14ac:dyDescent="0.2">
      <c r="B582" s="146">
        <v>70</v>
      </c>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c r="CZ582" s="10"/>
      <c r="DA582" s="10"/>
      <c r="DB582" s="10"/>
      <c r="DC582" s="10"/>
      <c r="DD582" s="10"/>
      <c r="DE582" s="10"/>
      <c r="DF582" s="10"/>
      <c r="DG582" s="10"/>
      <c r="DH582" s="10"/>
      <c r="DI582" s="10"/>
      <c r="DJ582" s="10"/>
      <c r="DK582" s="10"/>
      <c r="DL582" s="10"/>
      <c r="DM582" s="10"/>
      <c r="DN582" s="10"/>
      <c r="DO582" s="10"/>
      <c r="DP582" s="10"/>
      <c r="DQ582" s="10"/>
      <c r="DR582" s="10"/>
      <c r="DS582" s="10"/>
      <c r="DT582" s="10"/>
      <c r="DU582" s="10"/>
      <c r="DV582" s="10"/>
      <c r="DW582" s="10"/>
      <c r="DX582" s="10"/>
      <c r="DY582" s="10"/>
      <c r="DZ582" s="10"/>
      <c r="EA582" s="10"/>
      <c r="EB582" s="10"/>
      <c r="EC582" s="10"/>
      <c r="ED582" s="10"/>
      <c r="EE582" s="10"/>
      <c r="EF582" s="10"/>
      <c r="EG582" s="10"/>
      <c r="EH582" s="10"/>
      <c r="EI582" s="10"/>
      <c r="EJ582" s="10"/>
      <c r="EK582" s="10"/>
      <c r="EL582" s="10"/>
    </row>
    <row r="583" spans="2:142" hidden="1" x14ac:dyDescent="0.2">
      <c r="B583" s="146">
        <v>71</v>
      </c>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c r="DF583" s="10"/>
      <c r="DG583" s="10"/>
      <c r="DH583" s="10"/>
      <c r="DI583" s="10"/>
      <c r="DJ583" s="10"/>
      <c r="DK583" s="10"/>
      <c r="DL583" s="10"/>
      <c r="DM583" s="10"/>
      <c r="DN583" s="10"/>
      <c r="DO583" s="10"/>
      <c r="DP583" s="10"/>
      <c r="DQ583" s="10"/>
      <c r="DR583" s="10"/>
      <c r="DS583" s="10"/>
      <c r="DT583" s="10"/>
      <c r="DU583" s="10"/>
      <c r="DV583" s="10"/>
      <c r="DW583" s="10"/>
      <c r="DX583" s="10"/>
      <c r="DY583" s="10"/>
      <c r="DZ583" s="10"/>
      <c r="EA583" s="10"/>
      <c r="EB583" s="10"/>
      <c r="EC583" s="10"/>
      <c r="ED583" s="10"/>
      <c r="EE583" s="10"/>
      <c r="EF583" s="10"/>
      <c r="EG583" s="10"/>
      <c r="EH583" s="10"/>
      <c r="EI583" s="10"/>
      <c r="EJ583" s="10"/>
      <c r="EK583" s="10"/>
      <c r="EL583" s="10"/>
    </row>
    <row r="584" spans="2:142" hidden="1" x14ac:dyDescent="0.2">
      <c r="B584" s="146">
        <v>72</v>
      </c>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c r="DF584" s="10"/>
      <c r="DG584" s="10"/>
      <c r="DH584" s="10"/>
      <c r="DI584" s="10"/>
      <c r="DJ584" s="10"/>
      <c r="DK584" s="10"/>
      <c r="DL584" s="10"/>
      <c r="DM584" s="10"/>
      <c r="DN584" s="10"/>
      <c r="DO584" s="10"/>
      <c r="DP584" s="10"/>
      <c r="DQ584" s="10"/>
      <c r="DR584" s="10"/>
      <c r="DS584" s="10"/>
      <c r="DT584" s="10"/>
      <c r="DU584" s="10"/>
      <c r="DV584" s="10"/>
      <c r="DW584" s="10"/>
      <c r="DX584" s="10"/>
      <c r="DY584" s="10"/>
      <c r="DZ584" s="10"/>
      <c r="EA584" s="10"/>
      <c r="EB584" s="10"/>
      <c r="EC584" s="10"/>
      <c r="ED584" s="10"/>
      <c r="EE584" s="10"/>
      <c r="EF584" s="10"/>
      <c r="EG584" s="10"/>
      <c r="EH584" s="10"/>
      <c r="EI584" s="10"/>
      <c r="EJ584" s="10"/>
      <c r="EK584" s="10"/>
      <c r="EL584" s="10"/>
    </row>
    <row r="585" spans="2:142" hidden="1" x14ac:dyDescent="0.2">
      <c r="B585" s="146">
        <v>73</v>
      </c>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c r="DF585" s="10"/>
      <c r="DG585" s="10"/>
      <c r="DH585" s="10"/>
      <c r="DI585" s="10"/>
      <c r="DJ585" s="10"/>
      <c r="DK585" s="10"/>
      <c r="DL585" s="10"/>
      <c r="DM585" s="10"/>
      <c r="DN585" s="10"/>
      <c r="DO585" s="10"/>
      <c r="DP585" s="10"/>
      <c r="DQ585" s="10"/>
      <c r="DR585" s="10"/>
      <c r="DS585" s="10"/>
      <c r="DT585" s="10"/>
      <c r="DU585" s="10"/>
      <c r="DV585" s="10"/>
      <c r="DW585" s="10"/>
      <c r="DX585" s="10"/>
      <c r="DY585" s="10"/>
      <c r="DZ585" s="10"/>
      <c r="EA585" s="10"/>
      <c r="EB585" s="10"/>
      <c r="EC585" s="10"/>
      <c r="ED585" s="10"/>
      <c r="EE585" s="10"/>
      <c r="EF585" s="10"/>
      <c r="EG585" s="10"/>
      <c r="EH585" s="10"/>
      <c r="EI585" s="10"/>
      <c r="EJ585" s="10"/>
      <c r="EK585" s="10"/>
      <c r="EL585" s="10"/>
    </row>
    <row r="586" spans="2:142" hidden="1" x14ac:dyDescent="0.2">
      <c r="B586" s="146">
        <v>74</v>
      </c>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c r="DF586" s="10"/>
      <c r="DG586" s="10"/>
      <c r="DH586" s="10"/>
      <c r="DI586" s="10"/>
      <c r="DJ586" s="10"/>
      <c r="DK586" s="10"/>
      <c r="DL586" s="10"/>
      <c r="DM586" s="10"/>
      <c r="DN586" s="10"/>
      <c r="DO586" s="10"/>
      <c r="DP586" s="10"/>
      <c r="DQ586" s="10"/>
      <c r="DR586" s="10"/>
      <c r="DS586" s="10"/>
      <c r="DT586" s="10"/>
      <c r="DU586" s="10"/>
      <c r="DV586" s="10"/>
      <c r="DW586" s="10"/>
      <c r="DX586" s="10"/>
      <c r="DY586" s="10"/>
      <c r="DZ586" s="10"/>
      <c r="EA586" s="10"/>
      <c r="EB586" s="10"/>
      <c r="EC586" s="10"/>
      <c r="ED586" s="10"/>
      <c r="EE586" s="10"/>
      <c r="EF586" s="10"/>
      <c r="EG586" s="10"/>
      <c r="EH586" s="10"/>
      <c r="EI586" s="10"/>
      <c r="EJ586" s="10"/>
      <c r="EK586" s="10"/>
      <c r="EL586" s="10"/>
    </row>
    <row r="587" spans="2:142" hidden="1" x14ac:dyDescent="0.2">
      <c r="B587" s="146">
        <v>75</v>
      </c>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c r="DF587" s="10"/>
      <c r="DG587" s="10"/>
      <c r="DH587" s="10"/>
      <c r="DI587" s="10"/>
      <c r="DJ587" s="10"/>
      <c r="DK587" s="10"/>
      <c r="DL587" s="10"/>
      <c r="DM587" s="10"/>
      <c r="DN587" s="10"/>
      <c r="DO587" s="10"/>
      <c r="DP587" s="10"/>
      <c r="DQ587" s="10"/>
      <c r="DR587" s="10"/>
      <c r="DS587" s="10"/>
      <c r="DT587" s="10"/>
      <c r="DU587" s="10"/>
      <c r="DV587" s="10"/>
      <c r="DW587" s="10"/>
      <c r="DX587" s="10"/>
      <c r="DY587" s="10"/>
      <c r="DZ587" s="10"/>
      <c r="EA587" s="10"/>
      <c r="EB587" s="10"/>
      <c r="EC587" s="10"/>
      <c r="ED587" s="10"/>
      <c r="EE587" s="10"/>
      <c r="EF587" s="10"/>
      <c r="EG587" s="10"/>
      <c r="EH587" s="10"/>
      <c r="EI587" s="10"/>
      <c r="EJ587" s="10"/>
      <c r="EK587" s="10"/>
      <c r="EL587" s="10"/>
    </row>
    <row r="588" spans="2:142" hidden="1" x14ac:dyDescent="0.2">
      <c r="B588" s="146">
        <v>76</v>
      </c>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c r="DF588" s="10"/>
      <c r="DG588" s="10"/>
      <c r="DH588" s="10"/>
      <c r="DI588" s="10"/>
      <c r="DJ588" s="10"/>
      <c r="DK588" s="10"/>
      <c r="DL588" s="10"/>
      <c r="DM588" s="10"/>
      <c r="DN588" s="10"/>
      <c r="DO588" s="10"/>
      <c r="DP588" s="10"/>
      <c r="DQ588" s="10"/>
      <c r="DR588" s="10"/>
      <c r="DS588" s="10"/>
      <c r="DT588" s="10"/>
      <c r="DU588" s="10"/>
      <c r="DV588" s="10"/>
      <c r="DW588" s="10"/>
      <c r="DX588" s="10"/>
      <c r="DY588" s="10"/>
      <c r="DZ588" s="10"/>
      <c r="EA588" s="10"/>
      <c r="EB588" s="10"/>
      <c r="EC588" s="10"/>
      <c r="ED588" s="10"/>
      <c r="EE588" s="10"/>
      <c r="EF588" s="10"/>
      <c r="EG588" s="10"/>
      <c r="EH588" s="10"/>
      <c r="EI588" s="10"/>
      <c r="EJ588" s="10"/>
      <c r="EK588" s="10"/>
      <c r="EL588" s="10"/>
    </row>
    <row r="589" spans="2:142" hidden="1" x14ac:dyDescent="0.2">
      <c r="B589" s="146">
        <v>77</v>
      </c>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c r="CZ589" s="10"/>
      <c r="DA589" s="10"/>
      <c r="DB589" s="10"/>
      <c r="DC589" s="10"/>
      <c r="DD589" s="10"/>
      <c r="DE589" s="10"/>
      <c r="DF589" s="10"/>
      <c r="DG589" s="10"/>
      <c r="DH589" s="10"/>
      <c r="DI589" s="10"/>
      <c r="DJ589" s="10"/>
      <c r="DK589" s="10"/>
      <c r="DL589" s="10"/>
      <c r="DM589" s="10"/>
      <c r="DN589" s="10"/>
      <c r="DO589" s="10"/>
      <c r="DP589" s="10"/>
      <c r="DQ589" s="10"/>
      <c r="DR589" s="10"/>
      <c r="DS589" s="10"/>
      <c r="DT589" s="10"/>
      <c r="DU589" s="10"/>
      <c r="DV589" s="10"/>
      <c r="DW589" s="10"/>
      <c r="DX589" s="10"/>
      <c r="DY589" s="10"/>
      <c r="DZ589" s="10"/>
      <c r="EA589" s="10"/>
      <c r="EB589" s="10"/>
      <c r="EC589" s="10"/>
      <c r="ED589" s="10"/>
      <c r="EE589" s="10"/>
      <c r="EF589" s="10"/>
      <c r="EG589" s="10"/>
      <c r="EH589" s="10"/>
      <c r="EI589" s="10"/>
      <c r="EJ589" s="10"/>
      <c r="EK589" s="10"/>
      <c r="EL589" s="10"/>
    </row>
    <row r="590" spans="2:142" hidden="1" x14ac:dyDescent="0.2">
      <c r="B590" s="146">
        <v>78</v>
      </c>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c r="DF590" s="10"/>
      <c r="DG590" s="10"/>
      <c r="DH590" s="10"/>
      <c r="DI590" s="10"/>
      <c r="DJ590" s="10"/>
      <c r="DK590" s="10"/>
      <c r="DL590" s="10"/>
      <c r="DM590" s="10"/>
      <c r="DN590" s="10"/>
      <c r="DO590" s="10"/>
      <c r="DP590" s="10"/>
      <c r="DQ590" s="10"/>
      <c r="DR590" s="10"/>
      <c r="DS590" s="10"/>
      <c r="DT590" s="10"/>
      <c r="DU590" s="10"/>
      <c r="DV590" s="10"/>
      <c r="DW590" s="10"/>
      <c r="DX590" s="10"/>
      <c r="DY590" s="10"/>
      <c r="DZ590" s="10"/>
      <c r="EA590" s="10"/>
      <c r="EB590" s="10"/>
      <c r="EC590" s="10"/>
      <c r="ED590" s="10"/>
      <c r="EE590" s="10"/>
      <c r="EF590" s="10"/>
      <c r="EG590" s="10"/>
      <c r="EH590" s="10"/>
      <c r="EI590" s="10"/>
      <c r="EJ590" s="10"/>
      <c r="EK590" s="10"/>
      <c r="EL590" s="10"/>
    </row>
    <row r="591" spans="2:142" hidden="1" x14ac:dyDescent="0.2">
      <c r="B591" s="146">
        <v>79</v>
      </c>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c r="DF591" s="10"/>
      <c r="DG591" s="10"/>
      <c r="DH591" s="10"/>
      <c r="DI591" s="10"/>
      <c r="DJ591" s="10"/>
      <c r="DK591" s="10"/>
      <c r="DL591" s="10"/>
      <c r="DM591" s="10"/>
      <c r="DN591" s="10"/>
      <c r="DO591" s="10"/>
      <c r="DP591" s="10"/>
      <c r="DQ591" s="10"/>
      <c r="DR591" s="10"/>
      <c r="DS591" s="10"/>
      <c r="DT591" s="10"/>
      <c r="DU591" s="10"/>
      <c r="DV591" s="10"/>
      <c r="DW591" s="10"/>
      <c r="DX591" s="10"/>
      <c r="DY591" s="10"/>
      <c r="DZ591" s="10"/>
      <c r="EA591" s="10"/>
      <c r="EB591" s="10"/>
      <c r="EC591" s="10"/>
      <c r="ED591" s="10"/>
      <c r="EE591" s="10"/>
      <c r="EF591" s="10"/>
      <c r="EG591" s="10"/>
      <c r="EH591" s="10"/>
      <c r="EI591" s="10"/>
      <c r="EJ591" s="10"/>
      <c r="EK591" s="10"/>
      <c r="EL591" s="10"/>
    </row>
    <row r="592" spans="2:142" hidden="1" x14ac:dyDescent="0.2">
      <c r="B592" s="146">
        <v>80</v>
      </c>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c r="DF592" s="10"/>
      <c r="DG592" s="10"/>
      <c r="DH592" s="10"/>
      <c r="DI592" s="10"/>
      <c r="DJ592" s="10"/>
      <c r="DK592" s="10"/>
      <c r="DL592" s="10"/>
      <c r="DM592" s="10"/>
      <c r="DN592" s="10"/>
      <c r="DO592" s="10"/>
      <c r="DP592" s="10"/>
      <c r="DQ592" s="10"/>
      <c r="DR592" s="10"/>
      <c r="DS592" s="10"/>
      <c r="DT592" s="10"/>
      <c r="DU592" s="10"/>
      <c r="DV592" s="10"/>
      <c r="DW592" s="10"/>
      <c r="DX592" s="10"/>
      <c r="DY592" s="10"/>
      <c r="DZ592" s="10"/>
      <c r="EA592" s="10"/>
      <c r="EB592" s="10"/>
      <c r="EC592" s="10"/>
      <c r="ED592" s="10"/>
      <c r="EE592" s="10"/>
      <c r="EF592" s="10"/>
      <c r="EG592" s="10"/>
      <c r="EH592" s="10"/>
      <c r="EI592" s="10"/>
      <c r="EJ592" s="10"/>
      <c r="EK592" s="10"/>
      <c r="EL592" s="10"/>
    </row>
    <row r="593" spans="2:142" hidden="1" x14ac:dyDescent="0.2">
      <c r="B593" s="146">
        <v>81</v>
      </c>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c r="CZ593" s="10"/>
      <c r="DA593" s="10"/>
      <c r="DB593" s="10"/>
      <c r="DC593" s="10"/>
      <c r="DD593" s="10"/>
      <c r="DE593" s="10"/>
      <c r="DF593" s="10"/>
      <c r="DG593" s="10"/>
      <c r="DH593" s="10"/>
      <c r="DI593" s="10"/>
      <c r="DJ593" s="10"/>
      <c r="DK593" s="10"/>
      <c r="DL593" s="10"/>
      <c r="DM593" s="10"/>
      <c r="DN593" s="10"/>
      <c r="DO593" s="10"/>
      <c r="DP593" s="10"/>
      <c r="DQ593" s="10"/>
      <c r="DR593" s="10"/>
      <c r="DS593" s="10"/>
      <c r="DT593" s="10"/>
      <c r="DU593" s="10"/>
      <c r="DV593" s="10"/>
      <c r="DW593" s="10"/>
      <c r="DX593" s="10"/>
      <c r="DY593" s="10"/>
      <c r="DZ593" s="10"/>
      <c r="EA593" s="10"/>
      <c r="EB593" s="10"/>
      <c r="EC593" s="10"/>
      <c r="ED593" s="10"/>
      <c r="EE593" s="10"/>
      <c r="EF593" s="10"/>
      <c r="EG593" s="10"/>
      <c r="EH593" s="10"/>
      <c r="EI593" s="10"/>
      <c r="EJ593" s="10"/>
      <c r="EK593" s="10"/>
      <c r="EL593" s="10"/>
    </row>
    <row r="594" spans="2:142" hidden="1" x14ac:dyDescent="0.2">
      <c r="B594" s="146">
        <v>82</v>
      </c>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c r="CZ594" s="10"/>
      <c r="DA594" s="10"/>
      <c r="DB594" s="10"/>
      <c r="DC594" s="10"/>
      <c r="DD594" s="10"/>
      <c r="DE594" s="10"/>
      <c r="DF594" s="10"/>
      <c r="DG594" s="10"/>
      <c r="DH594" s="10"/>
      <c r="DI594" s="10"/>
      <c r="DJ594" s="10"/>
      <c r="DK594" s="10"/>
      <c r="DL594" s="10"/>
      <c r="DM594" s="10"/>
      <c r="DN594" s="10"/>
      <c r="DO594" s="10"/>
      <c r="DP594" s="10"/>
      <c r="DQ594" s="10"/>
      <c r="DR594" s="10"/>
      <c r="DS594" s="10"/>
      <c r="DT594" s="10"/>
      <c r="DU594" s="10"/>
      <c r="DV594" s="10"/>
      <c r="DW594" s="10"/>
      <c r="DX594" s="10"/>
      <c r="DY594" s="10"/>
      <c r="DZ594" s="10"/>
      <c r="EA594" s="10"/>
      <c r="EB594" s="10"/>
      <c r="EC594" s="10"/>
      <c r="ED594" s="10"/>
      <c r="EE594" s="10"/>
      <c r="EF594" s="10"/>
      <c r="EG594" s="10"/>
      <c r="EH594" s="10"/>
      <c r="EI594" s="10"/>
      <c r="EJ594" s="10"/>
      <c r="EK594" s="10"/>
      <c r="EL594" s="10"/>
    </row>
    <row r="595" spans="2:142" hidden="1" x14ac:dyDescent="0.2">
      <c r="B595" s="146">
        <v>83</v>
      </c>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c r="CZ595" s="10"/>
      <c r="DA595" s="10"/>
      <c r="DB595" s="10"/>
      <c r="DC595" s="10"/>
      <c r="DD595" s="10"/>
      <c r="DE595" s="10"/>
      <c r="DF595" s="10"/>
      <c r="DG595" s="10"/>
      <c r="DH595" s="10"/>
      <c r="DI595" s="10"/>
      <c r="DJ595" s="10"/>
      <c r="DK595" s="10"/>
      <c r="DL595" s="10"/>
      <c r="DM595" s="10"/>
      <c r="DN595" s="10"/>
      <c r="DO595" s="10"/>
      <c r="DP595" s="10"/>
      <c r="DQ595" s="10"/>
      <c r="DR595" s="10"/>
      <c r="DS595" s="10"/>
      <c r="DT595" s="10"/>
      <c r="DU595" s="10"/>
      <c r="DV595" s="10"/>
      <c r="DW595" s="10"/>
      <c r="DX595" s="10"/>
      <c r="DY595" s="10"/>
      <c r="DZ595" s="10"/>
      <c r="EA595" s="10"/>
      <c r="EB595" s="10"/>
      <c r="EC595" s="10"/>
      <c r="ED595" s="10"/>
      <c r="EE595" s="10"/>
      <c r="EF595" s="10"/>
      <c r="EG595" s="10"/>
      <c r="EH595" s="10"/>
      <c r="EI595" s="10"/>
      <c r="EJ595" s="10"/>
      <c r="EK595" s="10"/>
      <c r="EL595" s="10"/>
    </row>
    <row r="596" spans="2:142" hidden="1" x14ac:dyDescent="0.2">
      <c r="B596" s="146">
        <v>84</v>
      </c>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c r="CZ596" s="10"/>
      <c r="DA596" s="10"/>
      <c r="DB596" s="10"/>
      <c r="DC596" s="10"/>
      <c r="DD596" s="10"/>
      <c r="DE596" s="10"/>
      <c r="DF596" s="10"/>
      <c r="DG596" s="10"/>
      <c r="DH596" s="10"/>
      <c r="DI596" s="10"/>
      <c r="DJ596" s="10"/>
      <c r="DK596" s="10"/>
      <c r="DL596" s="10"/>
      <c r="DM596" s="10"/>
      <c r="DN596" s="10"/>
      <c r="DO596" s="10"/>
      <c r="DP596" s="10"/>
      <c r="DQ596" s="10"/>
      <c r="DR596" s="10"/>
      <c r="DS596" s="10"/>
      <c r="DT596" s="10"/>
      <c r="DU596" s="10"/>
      <c r="DV596" s="10"/>
      <c r="DW596" s="10"/>
      <c r="DX596" s="10"/>
      <c r="DY596" s="10"/>
      <c r="DZ596" s="10"/>
      <c r="EA596" s="10"/>
      <c r="EB596" s="10"/>
      <c r="EC596" s="10"/>
      <c r="ED596" s="10"/>
      <c r="EE596" s="10"/>
      <c r="EF596" s="10"/>
      <c r="EG596" s="10"/>
      <c r="EH596" s="10"/>
      <c r="EI596" s="10"/>
      <c r="EJ596" s="10"/>
      <c r="EK596" s="10"/>
      <c r="EL596" s="10"/>
    </row>
    <row r="597" spans="2:142" hidden="1" x14ac:dyDescent="0.2">
      <c r="B597" s="146">
        <v>85</v>
      </c>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c r="CZ597" s="10"/>
      <c r="DA597" s="10"/>
      <c r="DB597" s="10"/>
      <c r="DC597" s="10"/>
      <c r="DD597" s="10"/>
      <c r="DE597" s="10"/>
      <c r="DF597" s="10"/>
      <c r="DG597" s="10"/>
      <c r="DH597" s="10"/>
      <c r="DI597" s="10"/>
      <c r="DJ597" s="10"/>
      <c r="DK597" s="10"/>
      <c r="DL597" s="10"/>
      <c r="DM597" s="10"/>
      <c r="DN597" s="10"/>
      <c r="DO597" s="10"/>
      <c r="DP597" s="10"/>
      <c r="DQ597" s="10"/>
      <c r="DR597" s="10"/>
      <c r="DS597" s="10"/>
      <c r="DT597" s="10"/>
      <c r="DU597" s="10"/>
      <c r="DV597" s="10"/>
      <c r="DW597" s="10"/>
      <c r="DX597" s="10"/>
      <c r="DY597" s="10"/>
      <c r="DZ597" s="10"/>
      <c r="EA597" s="10"/>
      <c r="EB597" s="10"/>
      <c r="EC597" s="10"/>
      <c r="ED597" s="10"/>
      <c r="EE597" s="10"/>
      <c r="EF597" s="10"/>
      <c r="EG597" s="10"/>
      <c r="EH597" s="10"/>
      <c r="EI597" s="10"/>
      <c r="EJ597" s="10"/>
      <c r="EK597" s="10"/>
      <c r="EL597" s="10"/>
    </row>
    <row r="598" spans="2:142" hidden="1" x14ac:dyDescent="0.2">
      <c r="B598" s="146">
        <v>86</v>
      </c>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c r="DF598" s="10"/>
      <c r="DG598" s="10"/>
      <c r="DH598" s="10"/>
      <c r="DI598" s="10"/>
      <c r="DJ598" s="10"/>
      <c r="DK598" s="10"/>
      <c r="DL598" s="10"/>
      <c r="DM598" s="10"/>
      <c r="DN598" s="10"/>
      <c r="DO598" s="10"/>
      <c r="DP598" s="10"/>
      <c r="DQ598" s="10"/>
      <c r="DR598" s="10"/>
      <c r="DS598" s="10"/>
      <c r="DT598" s="10"/>
      <c r="DU598" s="10"/>
      <c r="DV598" s="10"/>
      <c r="DW598" s="10"/>
      <c r="DX598" s="10"/>
      <c r="DY598" s="10"/>
      <c r="DZ598" s="10"/>
      <c r="EA598" s="10"/>
      <c r="EB598" s="10"/>
      <c r="EC598" s="10"/>
      <c r="ED598" s="10"/>
      <c r="EE598" s="10"/>
      <c r="EF598" s="10"/>
      <c r="EG598" s="10"/>
      <c r="EH598" s="10"/>
      <c r="EI598" s="10"/>
      <c r="EJ598" s="10"/>
      <c r="EK598" s="10"/>
      <c r="EL598" s="10"/>
    </row>
    <row r="599" spans="2:142" hidden="1" x14ac:dyDescent="0.2">
      <c r="B599" s="146">
        <v>87</v>
      </c>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c r="DF599" s="10"/>
      <c r="DG599" s="10"/>
      <c r="DH599" s="10"/>
      <c r="DI599" s="10"/>
      <c r="DJ599" s="10"/>
      <c r="DK599" s="10"/>
      <c r="DL599" s="10"/>
      <c r="DM599" s="10"/>
      <c r="DN599" s="10"/>
      <c r="DO599" s="10"/>
      <c r="DP599" s="10"/>
      <c r="DQ599" s="10"/>
      <c r="DR599" s="10"/>
      <c r="DS599" s="10"/>
      <c r="DT599" s="10"/>
      <c r="DU599" s="10"/>
      <c r="DV599" s="10"/>
      <c r="DW599" s="10"/>
      <c r="DX599" s="10"/>
      <c r="DY599" s="10"/>
      <c r="DZ599" s="10"/>
      <c r="EA599" s="10"/>
      <c r="EB599" s="10"/>
      <c r="EC599" s="10"/>
      <c r="ED599" s="10"/>
      <c r="EE599" s="10"/>
      <c r="EF599" s="10"/>
      <c r="EG599" s="10"/>
      <c r="EH599" s="10"/>
      <c r="EI599" s="10"/>
      <c r="EJ599" s="10"/>
      <c r="EK599" s="10"/>
      <c r="EL599" s="10"/>
    </row>
    <row r="600" spans="2:142" hidden="1" x14ac:dyDescent="0.2">
      <c r="B600" s="146">
        <v>88</v>
      </c>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c r="DF600" s="10"/>
      <c r="DG600" s="10"/>
      <c r="DH600" s="10"/>
      <c r="DI600" s="10"/>
      <c r="DJ600" s="10"/>
      <c r="DK600" s="10"/>
      <c r="DL600" s="10"/>
      <c r="DM600" s="10"/>
      <c r="DN600" s="10"/>
      <c r="DO600" s="10"/>
      <c r="DP600" s="10"/>
      <c r="DQ600" s="10"/>
      <c r="DR600" s="10"/>
      <c r="DS600" s="10"/>
      <c r="DT600" s="10"/>
      <c r="DU600" s="10"/>
      <c r="DV600" s="10"/>
      <c r="DW600" s="10"/>
      <c r="DX600" s="10"/>
      <c r="DY600" s="10"/>
      <c r="DZ600" s="10"/>
      <c r="EA600" s="10"/>
      <c r="EB600" s="10"/>
      <c r="EC600" s="10"/>
      <c r="ED600" s="10"/>
      <c r="EE600" s="10"/>
      <c r="EF600" s="10"/>
      <c r="EG600" s="10"/>
      <c r="EH600" s="10"/>
      <c r="EI600" s="10"/>
      <c r="EJ600" s="10"/>
      <c r="EK600" s="10"/>
      <c r="EL600" s="10"/>
    </row>
    <row r="601" spans="2:142" hidden="1" x14ac:dyDescent="0.2">
      <c r="B601" s="146">
        <v>89</v>
      </c>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c r="CZ601" s="10"/>
      <c r="DA601" s="10"/>
      <c r="DB601" s="10"/>
      <c r="DC601" s="10"/>
      <c r="DD601" s="10"/>
      <c r="DE601" s="10"/>
      <c r="DF601" s="10"/>
      <c r="DG601" s="10"/>
      <c r="DH601" s="10"/>
      <c r="DI601" s="10"/>
      <c r="DJ601" s="10"/>
      <c r="DK601" s="10"/>
      <c r="DL601" s="10"/>
      <c r="DM601" s="10"/>
      <c r="DN601" s="10"/>
      <c r="DO601" s="10"/>
      <c r="DP601" s="10"/>
      <c r="DQ601" s="10"/>
      <c r="DR601" s="10"/>
      <c r="DS601" s="10"/>
      <c r="DT601" s="10"/>
      <c r="DU601" s="10"/>
      <c r="DV601" s="10"/>
      <c r="DW601" s="10"/>
      <c r="DX601" s="10"/>
      <c r="DY601" s="10"/>
      <c r="DZ601" s="10"/>
      <c r="EA601" s="10"/>
      <c r="EB601" s="10"/>
      <c r="EC601" s="10"/>
      <c r="ED601" s="10"/>
      <c r="EE601" s="10"/>
      <c r="EF601" s="10"/>
      <c r="EG601" s="10"/>
      <c r="EH601" s="10"/>
      <c r="EI601" s="10"/>
      <c r="EJ601" s="10"/>
      <c r="EK601" s="10"/>
      <c r="EL601" s="10"/>
    </row>
    <row r="602" spans="2:142" hidden="1" x14ac:dyDescent="0.2">
      <c r="B602" s="146">
        <v>90</v>
      </c>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c r="CZ602" s="10"/>
      <c r="DA602" s="10"/>
      <c r="DB602" s="10"/>
      <c r="DC602" s="10"/>
      <c r="DD602" s="10"/>
      <c r="DE602" s="10"/>
      <c r="DF602" s="10"/>
      <c r="DG602" s="10"/>
      <c r="DH602" s="10"/>
      <c r="DI602" s="10"/>
      <c r="DJ602" s="10"/>
      <c r="DK602" s="10"/>
      <c r="DL602" s="10"/>
      <c r="DM602" s="10"/>
      <c r="DN602" s="10"/>
      <c r="DO602" s="10"/>
      <c r="DP602" s="10"/>
      <c r="DQ602" s="10"/>
      <c r="DR602" s="10"/>
      <c r="DS602" s="10"/>
      <c r="DT602" s="10"/>
      <c r="DU602" s="10"/>
      <c r="DV602" s="10"/>
      <c r="DW602" s="10"/>
      <c r="DX602" s="10"/>
      <c r="DY602" s="10"/>
      <c r="DZ602" s="10"/>
      <c r="EA602" s="10"/>
      <c r="EB602" s="10"/>
      <c r="EC602" s="10"/>
      <c r="ED602" s="10"/>
      <c r="EE602" s="10"/>
      <c r="EF602" s="10"/>
      <c r="EG602" s="10"/>
      <c r="EH602" s="10"/>
      <c r="EI602" s="10"/>
      <c r="EJ602" s="10"/>
      <c r="EK602" s="10"/>
      <c r="EL602" s="10"/>
    </row>
    <row r="603" spans="2:142" hidden="1" x14ac:dyDescent="0.2">
      <c r="B603" s="146">
        <v>91</v>
      </c>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c r="CZ603" s="10"/>
      <c r="DA603" s="10"/>
      <c r="DB603" s="10"/>
      <c r="DC603" s="10"/>
      <c r="DD603" s="10"/>
      <c r="DE603" s="10"/>
      <c r="DF603" s="10"/>
      <c r="DG603" s="10"/>
      <c r="DH603" s="10"/>
      <c r="DI603" s="10"/>
      <c r="DJ603" s="10"/>
      <c r="DK603" s="10"/>
      <c r="DL603" s="10"/>
      <c r="DM603" s="10"/>
      <c r="DN603" s="10"/>
      <c r="DO603" s="10"/>
      <c r="DP603" s="10"/>
      <c r="DQ603" s="10"/>
      <c r="DR603" s="10"/>
      <c r="DS603" s="10"/>
      <c r="DT603" s="10"/>
      <c r="DU603" s="10"/>
      <c r="DV603" s="10"/>
      <c r="DW603" s="10"/>
      <c r="DX603" s="10"/>
      <c r="DY603" s="10"/>
      <c r="DZ603" s="10"/>
      <c r="EA603" s="10"/>
      <c r="EB603" s="10"/>
      <c r="EC603" s="10"/>
      <c r="ED603" s="10"/>
      <c r="EE603" s="10"/>
      <c r="EF603" s="10"/>
      <c r="EG603" s="10"/>
      <c r="EH603" s="10"/>
      <c r="EI603" s="10"/>
      <c r="EJ603" s="10"/>
      <c r="EK603" s="10"/>
      <c r="EL603" s="10"/>
    </row>
    <row r="604" spans="2:142" hidden="1" x14ac:dyDescent="0.2">
      <c r="B604" s="146">
        <v>92</v>
      </c>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c r="CZ604" s="10"/>
      <c r="DA604" s="10"/>
      <c r="DB604" s="10"/>
      <c r="DC604" s="10"/>
      <c r="DD604" s="10"/>
      <c r="DE604" s="10"/>
      <c r="DF604" s="10"/>
      <c r="DG604" s="10"/>
      <c r="DH604" s="10"/>
      <c r="DI604" s="10"/>
      <c r="DJ604" s="10"/>
      <c r="DK604" s="10"/>
      <c r="DL604" s="10"/>
      <c r="DM604" s="10"/>
      <c r="DN604" s="10"/>
      <c r="DO604" s="10"/>
      <c r="DP604" s="10"/>
      <c r="DQ604" s="10"/>
      <c r="DR604" s="10"/>
      <c r="DS604" s="10"/>
      <c r="DT604" s="10"/>
      <c r="DU604" s="10"/>
      <c r="DV604" s="10"/>
      <c r="DW604" s="10"/>
      <c r="DX604" s="10"/>
      <c r="DY604" s="10"/>
      <c r="DZ604" s="10"/>
      <c r="EA604" s="10"/>
      <c r="EB604" s="10"/>
      <c r="EC604" s="10"/>
      <c r="ED604" s="10"/>
      <c r="EE604" s="10"/>
      <c r="EF604" s="10"/>
      <c r="EG604" s="10"/>
      <c r="EH604" s="10"/>
      <c r="EI604" s="10"/>
      <c r="EJ604" s="10"/>
      <c r="EK604" s="10"/>
      <c r="EL604" s="10"/>
    </row>
    <row r="605" spans="2:142" hidden="1" x14ac:dyDescent="0.2">
      <c r="B605" s="146">
        <v>93</v>
      </c>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c r="CZ605" s="10"/>
      <c r="DA605" s="10"/>
      <c r="DB605" s="10"/>
      <c r="DC605" s="10"/>
      <c r="DD605" s="10"/>
      <c r="DE605" s="10"/>
      <c r="DF605" s="10"/>
      <c r="DG605" s="10"/>
      <c r="DH605" s="10"/>
      <c r="DI605" s="10"/>
      <c r="DJ605" s="10"/>
      <c r="DK605" s="10"/>
      <c r="DL605" s="10"/>
      <c r="DM605" s="10"/>
      <c r="DN605" s="10"/>
      <c r="DO605" s="10"/>
      <c r="DP605" s="10"/>
      <c r="DQ605" s="10"/>
      <c r="DR605" s="10"/>
      <c r="DS605" s="10"/>
      <c r="DT605" s="10"/>
      <c r="DU605" s="10"/>
      <c r="DV605" s="10"/>
      <c r="DW605" s="10"/>
      <c r="DX605" s="10"/>
      <c r="DY605" s="10"/>
      <c r="DZ605" s="10"/>
      <c r="EA605" s="10"/>
      <c r="EB605" s="10"/>
      <c r="EC605" s="10"/>
      <c r="ED605" s="10"/>
      <c r="EE605" s="10"/>
      <c r="EF605" s="10"/>
      <c r="EG605" s="10"/>
      <c r="EH605" s="10"/>
      <c r="EI605" s="10"/>
      <c r="EJ605" s="10"/>
      <c r="EK605" s="10"/>
      <c r="EL605" s="10"/>
    </row>
    <row r="606" spans="2:142" hidden="1" x14ac:dyDescent="0.2">
      <c r="B606" s="146">
        <v>94</v>
      </c>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c r="CZ606" s="10"/>
      <c r="DA606" s="10"/>
      <c r="DB606" s="10"/>
      <c r="DC606" s="10"/>
      <c r="DD606" s="10"/>
      <c r="DE606" s="10"/>
      <c r="DF606" s="10"/>
      <c r="DG606" s="10"/>
      <c r="DH606" s="10"/>
      <c r="DI606" s="10"/>
      <c r="DJ606" s="10"/>
      <c r="DK606" s="10"/>
      <c r="DL606" s="10"/>
      <c r="DM606" s="10"/>
      <c r="DN606" s="10"/>
      <c r="DO606" s="10"/>
      <c r="DP606" s="10"/>
      <c r="DQ606" s="10"/>
      <c r="DR606" s="10"/>
      <c r="DS606" s="10"/>
      <c r="DT606" s="10"/>
      <c r="DU606" s="10"/>
      <c r="DV606" s="10"/>
      <c r="DW606" s="10"/>
      <c r="DX606" s="10"/>
      <c r="DY606" s="10"/>
      <c r="DZ606" s="10"/>
      <c r="EA606" s="10"/>
      <c r="EB606" s="10"/>
      <c r="EC606" s="10"/>
      <c r="ED606" s="10"/>
      <c r="EE606" s="10"/>
      <c r="EF606" s="10"/>
      <c r="EG606" s="10"/>
      <c r="EH606" s="10"/>
      <c r="EI606" s="10"/>
      <c r="EJ606" s="10"/>
      <c r="EK606" s="10"/>
      <c r="EL606" s="10"/>
    </row>
    <row r="607" spans="2:142" hidden="1" x14ac:dyDescent="0.2">
      <c r="B607" s="146">
        <v>95</v>
      </c>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c r="CZ607" s="10"/>
      <c r="DA607" s="10"/>
      <c r="DB607" s="10"/>
      <c r="DC607" s="10"/>
      <c r="DD607" s="10"/>
      <c r="DE607" s="10"/>
      <c r="DF607" s="10"/>
      <c r="DG607" s="10"/>
      <c r="DH607" s="10"/>
      <c r="DI607" s="10"/>
      <c r="DJ607" s="10"/>
      <c r="DK607" s="10"/>
      <c r="DL607" s="10"/>
      <c r="DM607" s="10"/>
      <c r="DN607" s="10"/>
      <c r="DO607" s="10"/>
      <c r="DP607" s="10"/>
      <c r="DQ607" s="10"/>
      <c r="DR607" s="10"/>
      <c r="DS607" s="10"/>
      <c r="DT607" s="10"/>
      <c r="DU607" s="10"/>
      <c r="DV607" s="10"/>
      <c r="DW607" s="10"/>
      <c r="DX607" s="10"/>
      <c r="DY607" s="10"/>
      <c r="DZ607" s="10"/>
      <c r="EA607" s="10"/>
      <c r="EB607" s="10"/>
      <c r="EC607" s="10"/>
      <c r="ED607" s="10"/>
      <c r="EE607" s="10"/>
      <c r="EF607" s="10"/>
      <c r="EG607" s="10"/>
      <c r="EH607" s="10"/>
      <c r="EI607" s="10"/>
      <c r="EJ607" s="10"/>
      <c r="EK607" s="10"/>
      <c r="EL607" s="10"/>
    </row>
    <row r="608" spans="2:142" hidden="1" x14ac:dyDescent="0.2">
      <c r="B608" s="146">
        <v>96</v>
      </c>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c r="CZ608" s="10"/>
      <c r="DA608" s="10"/>
      <c r="DB608" s="10"/>
      <c r="DC608" s="10"/>
      <c r="DD608" s="10"/>
      <c r="DE608" s="10"/>
      <c r="DF608" s="10"/>
      <c r="DG608" s="10"/>
      <c r="DH608" s="10"/>
      <c r="DI608" s="10"/>
      <c r="DJ608" s="10"/>
      <c r="DK608" s="10"/>
      <c r="DL608" s="10"/>
      <c r="DM608" s="10"/>
      <c r="DN608" s="10"/>
      <c r="DO608" s="10"/>
      <c r="DP608" s="10"/>
      <c r="DQ608" s="10"/>
      <c r="DR608" s="10"/>
      <c r="DS608" s="10"/>
      <c r="DT608" s="10"/>
      <c r="DU608" s="10"/>
      <c r="DV608" s="10"/>
      <c r="DW608" s="10"/>
      <c r="DX608" s="10"/>
      <c r="DY608" s="10"/>
      <c r="DZ608" s="10"/>
      <c r="EA608" s="10"/>
      <c r="EB608" s="10"/>
      <c r="EC608" s="10"/>
      <c r="ED608" s="10"/>
      <c r="EE608" s="10"/>
      <c r="EF608" s="10"/>
      <c r="EG608" s="10"/>
      <c r="EH608" s="10"/>
      <c r="EI608" s="10"/>
      <c r="EJ608" s="10"/>
      <c r="EK608" s="10"/>
      <c r="EL608" s="10"/>
    </row>
    <row r="609" spans="2:142" hidden="1" x14ac:dyDescent="0.2">
      <c r="B609" s="146">
        <v>97</v>
      </c>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c r="DF609" s="10"/>
      <c r="DG609" s="10"/>
      <c r="DH609" s="10"/>
      <c r="DI609" s="10"/>
      <c r="DJ609" s="10"/>
      <c r="DK609" s="10"/>
      <c r="DL609" s="10"/>
      <c r="DM609" s="10"/>
      <c r="DN609" s="10"/>
      <c r="DO609" s="10"/>
      <c r="DP609" s="10"/>
      <c r="DQ609" s="10"/>
      <c r="DR609" s="10"/>
      <c r="DS609" s="10"/>
      <c r="DT609" s="10"/>
      <c r="DU609" s="10"/>
      <c r="DV609" s="10"/>
      <c r="DW609" s="10"/>
      <c r="DX609" s="10"/>
      <c r="DY609" s="10"/>
      <c r="DZ609" s="10"/>
      <c r="EA609" s="10"/>
      <c r="EB609" s="10"/>
      <c r="EC609" s="10"/>
      <c r="ED609" s="10"/>
      <c r="EE609" s="10"/>
      <c r="EF609" s="10"/>
      <c r="EG609" s="10"/>
      <c r="EH609" s="10"/>
      <c r="EI609" s="10"/>
      <c r="EJ609" s="10"/>
      <c r="EK609" s="10"/>
      <c r="EL609" s="10"/>
    </row>
    <row r="610" spans="2:142" hidden="1" x14ac:dyDescent="0.2">
      <c r="B610" s="146">
        <v>98</v>
      </c>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c r="DF610" s="10"/>
      <c r="DG610" s="10"/>
      <c r="DH610" s="10"/>
      <c r="DI610" s="10"/>
      <c r="DJ610" s="10"/>
      <c r="DK610" s="10"/>
      <c r="DL610" s="10"/>
      <c r="DM610" s="10"/>
      <c r="DN610" s="10"/>
      <c r="DO610" s="10"/>
      <c r="DP610" s="10"/>
      <c r="DQ610" s="10"/>
      <c r="DR610" s="10"/>
      <c r="DS610" s="10"/>
      <c r="DT610" s="10"/>
      <c r="DU610" s="10"/>
      <c r="DV610" s="10"/>
      <c r="DW610" s="10"/>
      <c r="DX610" s="10"/>
      <c r="DY610" s="10"/>
      <c r="DZ610" s="10"/>
      <c r="EA610" s="10"/>
      <c r="EB610" s="10"/>
      <c r="EC610" s="10"/>
      <c r="ED610" s="10"/>
      <c r="EE610" s="10"/>
      <c r="EF610" s="10"/>
      <c r="EG610" s="10"/>
      <c r="EH610" s="10"/>
      <c r="EI610" s="10"/>
      <c r="EJ610" s="10"/>
      <c r="EK610" s="10"/>
      <c r="EL610" s="10"/>
    </row>
    <row r="611" spans="2:142" hidden="1" x14ac:dyDescent="0.2">
      <c r="B611" s="146">
        <v>99</v>
      </c>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c r="CZ611" s="10"/>
      <c r="DA611" s="10"/>
      <c r="DB611" s="10"/>
      <c r="DC611" s="10"/>
      <c r="DD611" s="10"/>
      <c r="DE611" s="10"/>
      <c r="DF611" s="10"/>
      <c r="DG611" s="10"/>
      <c r="DH611" s="10"/>
      <c r="DI611" s="10"/>
      <c r="DJ611" s="10"/>
      <c r="DK611" s="10"/>
      <c r="DL611" s="10"/>
      <c r="DM611" s="10"/>
      <c r="DN611" s="10"/>
      <c r="DO611" s="10"/>
      <c r="DP611" s="10"/>
      <c r="DQ611" s="10"/>
      <c r="DR611" s="10"/>
      <c r="DS611" s="10"/>
      <c r="DT611" s="10"/>
      <c r="DU611" s="10"/>
      <c r="DV611" s="10"/>
      <c r="DW611" s="10"/>
      <c r="DX611" s="10"/>
      <c r="DY611" s="10"/>
      <c r="DZ611" s="10"/>
      <c r="EA611" s="10"/>
      <c r="EB611" s="10"/>
      <c r="EC611" s="10"/>
      <c r="ED611" s="10"/>
      <c r="EE611" s="10"/>
      <c r="EF611" s="10"/>
      <c r="EG611" s="10"/>
      <c r="EH611" s="10"/>
      <c r="EI611" s="10"/>
      <c r="EJ611" s="10"/>
      <c r="EK611" s="10"/>
      <c r="EL611" s="10"/>
    </row>
    <row r="612" spans="2:142" hidden="1" x14ac:dyDescent="0.2">
      <c r="B612" s="146">
        <v>100</v>
      </c>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c r="CZ612" s="10"/>
      <c r="DA612" s="10"/>
      <c r="DB612" s="10"/>
      <c r="DC612" s="10"/>
      <c r="DD612" s="10"/>
      <c r="DE612" s="10"/>
      <c r="DF612" s="10"/>
      <c r="DG612" s="10"/>
      <c r="DH612" s="10"/>
      <c r="DI612" s="10"/>
      <c r="DJ612" s="10"/>
      <c r="DK612" s="10"/>
      <c r="DL612" s="10"/>
      <c r="DM612" s="10"/>
      <c r="DN612" s="10"/>
      <c r="DO612" s="10"/>
      <c r="DP612" s="10"/>
      <c r="DQ612" s="10"/>
      <c r="DR612" s="10"/>
      <c r="DS612" s="10"/>
      <c r="DT612" s="10"/>
      <c r="DU612" s="10"/>
      <c r="DV612" s="10"/>
      <c r="DW612" s="10"/>
      <c r="DX612" s="10"/>
      <c r="DY612" s="10"/>
      <c r="DZ612" s="10"/>
      <c r="EA612" s="10"/>
      <c r="EB612" s="10"/>
      <c r="EC612" s="10"/>
      <c r="ED612" s="10"/>
      <c r="EE612" s="10"/>
      <c r="EF612" s="10"/>
      <c r="EG612" s="10"/>
      <c r="EH612" s="10"/>
      <c r="EI612" s="10"/>
      <c r="EJ612" s="10"/>
      <c r="EK612" s="10"/>
      <c r="EL612" s="10"/>
    </row>
    <row r="613" spans="2:142" hidden="1" x14ac:dyDescent="0.2">
      <c r="B613" s="146">
        <v>101</v>
      </c>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c r="CZ613" s="10"/>
      <c r="DA613" s="10"/>
      <c r="DB613" s="10"/>
      <c r="DC613" s="10"/>
      <c r="DD613" s="10"/>
      <c r="DE613" s="10"/>
      <c r="DF613" s="10"/>
      <c r="DG613" s="10"/>
      <c r="DH613" s="10"/>
      <c r="DI613" s="10"/>
      <c r="DJ613" s="10"/>
      <c r="DK613" s="10"/>
      <c r="DL613" s="10"/>
      <c r="DM613" s="10"/>
      <c r="DN613" s="10"/>
      <c r="DO613" s="10"/>
      <c r="DP613" s="10"/>
      <c r="DQ613" s="10"/>
      <c r="DR613" s="10"/>
      <c r="DS613" s="10"/>
      <c r="DT613" s="10"/>
      <c r="DU613" s="10"/>
      <c r="DV613" s="10"/>
      <c r="DW613" s="10"/>
      <c r="DX613" s="10"/>
      <c r="DY613" s="10"/>
      <c r="DZ613" s="10"/>
      <c r="EA613" s="10"/>
      <c r="EB613" s="10"/>
      <c r="EC613" s="10"/>
      <c r="ED613" s="10"/>
      <c r="EE613" s="10"/>
      <c r="EF613" s="10"/>
      <c r="EG613" s="10"/>
      <c r="EH613" s="10"/>
      <c r="EI613" s="10"/>
      <c r="EJ613" s="10"/>
      <c r="EK613" s="10"/>
      <c r="EL613" s="10"/>
    </row>
    <row r="614" spans="2:142" hidden="1" x14ac:dyDescent="0.2">
      <c r="B614" s="146">
        <v>102</v>
      </c>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c r="CZ614" s="10"/>
      <c r="DA614" s="10"/>
      <c r="DB614" s="10"/>
      <c r="DC614" s="10"/>
      <c r="DD614" s="10"/>
      <c r="DE614" s="10"/>
      <c r="DF614" s="10"/>
      <c r="DG614" s="10"/>
      <c r="DH614" s="10"/>
      <c r="DI614" s="10"/>
      <c r="DJ614" s="10"/>
      <c r="DK614" s="10"/>
      <c r="DL614" s="10"/>
      <c r="DM614" s="10"/>
      <c r="DN614" s="10"/>
      <c r="DO614" s="10"/>
      <c r="DP614" s="10"/>
      <c r="DQ614" s="10"/>
      <c r="DR614" s="10"/>
      <c r="DS614" s="10"/>
      <c r="DT614" s="10"/>
      <c r="DU614" s="10"/>
      <c r="DV614" s="10"/>
      <c r="DW614" s="10"/>
      <c r="DX614" s="10"/>
      <c r="DY614" s="10"/>
      <c r="DZ614" s="10"/>
      <c r="EA614" s="10"/>
      <c r="EB614" s="10"/>
      <c r="EC614" s="10"/>
      <c r="ED614" s="10"/>
      <c r="EE614" s="10"/>
      <c r="EF614" s="10"/>
      <c r="EG614" s="10"/>
      <c r="EH614" s="10"/>
      <c r="EI614" s="10"/>
      <c r="EJ614" s="10"/>
      <c r="EK614" s="10"/>
      <c r="EL614" s="10"/>
    </row>
    <row r="615" spans="2:142" hidden="1" x14ac:dyDescent="0.2">
      <c r="B615" s="146">
        <v>103</v>
      </c>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c r="DF615" s="10"/>
      <c r="DG615" s="10"/>
      <c r="DH615" s="10"/>
      <c r="DI615" s="10"/>
      <c r="DJ615" s="10"/>
      <c r="DK615" s="10"/>
      <c r="DL615" s="10"/>
      <c r="DM615" s="10"/>
      <c r="DN615" s="10"/>
      <c r="DO615" s="10"/>
      <c r="DP615" s="10"/>
      <c r="DQ615" s="10"/>
      <c r="DR615" s="10"/>
      <c r="DS615" s="10"/>
      <c r="DT615" s="10"/>
      <c r="DU615" s="10"/>
      <c r="DV615" s="10"/>
      <c r="DW615" s="10"/>
      <c r="DX615" s="10"/>
      <c r="DY615" s="10"/>
      <c r="DZ615" s="10"/>
      <c r="EA615" s="10"/>
      <c r="EB615" s="10"/>
      <c r="EC615" s="10"/>
      <c r="ED615" s="10"/>
      <c r="EE615" s="10"/>
      <c r="EF615" s="10"/>
      <c r="EG615" s="10"/>
      <c r="EH615" s="10"/>
      <c r="EI615" s="10"/>
      <c r="EJ615" s="10"/>
      <c r="EK615" s="10"/>
      <c r="EL615" s="10"/>
    </row>
    <row r="616" spans="2:142" hidden="1" x14ac:dyDescent="0.2">
      <c r="B616" s="146">
        <v>104</v>
      </c>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c r="CZ616" s="10"/>
      <c r="DA616" s="10"/>
      <c r="DB616" s="10"/>
      <c r="DC616" s="10"/>
      <c r="DD616" s="10"/>
      <c r="DE616" s="10"/>
      <c r="DF616" s="10"/>
      <c r="DG616" s="10"/>
      <c r="DH616" s="10"/>
      <c r="DI616" s="10"/>
      <c r="DJ616" s="10"/>
      <c r="DK616" s="10"/>
      <c r="DL616" s="10"/>
      <c r="DM616" s="10"/>
      <c r="DN616" s="10"/>
      <c r="DO616" s="10"/>
      <c r="DP616" s="10"/>
      <c r="DQ616" s="10"/>
      <c r="DR616" s="10"/>
      <c r="DS616" s="10"/>
      <c r="DT616" s="10"/>
      <c r="DU616" s="10"/>
      <c r="DV616" s="10"/>
      <c r="DW616" s="10"/>
      <c r="DX616" s="10"/>
      <c r="DY616" s="10"/>
      <c r="DZ616" s="10"/>
      <c r="EA616" s="10"/>
      <c r="EB616" s="10"/>
      <c r="EC616" s="10"/>
      <c r="ED616" s="10"/>
      <c r="EE616" s="10"/>
      <c r="EF616" s="10"/>
      <c r="EG616" s="10"/>
      <c r="EH616" s="10"/>
      <c r="EI616" s="10"/>
      <c r="EJ616" s="10"/>
      <c r="EK616" s="10"/>
      <c r="EL616" s="10"/>
    </row>
    <row r="617" spans="2:142" hidden="1" x14ac:dyDescent="0.2">
      <c r="B617" s="146">
        <v>105</v>
      </c>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c r="CZ617" s="10"/>
      <c r="DA617" s="10"/>
      <c r="DB617" s="10"/>
      <c r="DC617" s="10"/>
      <c r="DD617" s="10"/>
      <c r="DE617" s="10"/>
      <c r="DF617" s="10"/>
      <c r="DG617" s="10"/>
      <c r="DH617" s="10"/>
      <c r="DI617" s="10"/>
      <c r="DJ617" s="10"/>
      <c r="DK617" s="10"/>
      <c r="DL617" s="10"/>
      <c r="DM617" s="10"/>
      <c r="DN617" s="10"/>
      <c r="DO617" s="10"/>
      <c r="DP617" s="10"/>
      <c r="DQ617" s="10"/>
      <c r="DR617" s="10"/>
      <c r="DS617" s="10"/>
      <c r="DT617" s="10"/>
      <c r="DU617" s="10"/>
      <c r="DV617" s="10"/>
      <c r="DW617" s="10"/>
      <c r="DX617" s="10"/>
      <c r="DY617" s="10"/>
      <c r="DZ617" s="10"/>
      <c r="EA617" s="10"/>
      <c r="EB617" s="10"/>
      <c r="EC617" s="10"/>
      <c r="ED617" s="10"/>
      <c r="EE617" s="10"/>
      <c r="EF617" s="10"/>
      <c r="EG617" s="10"/>
      <c r="EH617" s="10"/>
      <c r="EI617" s="10"/>
      <c r="EJ617" s="10"/>
      <c r="EK617" s="10"/>
      <c r="EL617" s="10"/>
    </row>
    <row r="618" spans="2:142" hidden="1" x14ac:dyDescent="0.2">
      <c r="B618" s="146">
        <v>106</v>
      </c>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c r="CZ618" s="10"/>
      <c r="DA618" s="10"/>
      <c r="DB618" s="10"/>
      <c r="DC618" s="10"/>
      <c r="DD618" s="10"/>
      <c r="DE618" s="10"/>
      <c r="DF618" s="10"/>
      <c r="DG618" s="10"/>
      <c r="DH618" s="10"/>
      <c r="DI618" s="10"/>
      <c r="DJ618" s="10"/>
      <c r="DK618" s="10"/>
      <c r="DL618" s="10"/>
      <c r="DM618" s="10"/>
      <c r="DN618" s="10"/>
      <c r="DO618" s="10"/>
      <c r="DP618" s="10"/>
      <c r="DQ618" s="10"/>
      <c r="DR618" s="10"/>
      <c r="DS618" s="10"/>
      <c r="DT618" s="10"/>
      <c r="DU618" s="10"/>
      <c r="DV618" s="10"/>
      <c r="DW618" s="10"/>
      <c r="DX618" s="10"/>
      <c r="DY618" s="10"/>
      <c r="DZ618" s="10"/>
      <c r="EA618" s="10"/>
      <c r="EB618" s="10"/>
      <c r="EC618" s="10"/>
      <c r="ED618" s="10"/>
      <c r="EE618" s="10"/>
      <c r="EF618" s="10"/>
      <c r="EG618" s="10"/>
      <c r="EH618" s="10"/>
      <c r="EI618" s="10"/>
      <c r="EJ618" s="10"/>
      <c r="EK618" s="10"/>
      <c r="EL618" s="10"/>
    </row>
    <row r="619" spans="2:142" hidden="1" x14ac:dyDescent="0.2">
      <c r="B619" s="146">
        <v>107</v>
      </c>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c r="CZ619" s="10"/>
      <c r="DA619" s="10"/>
      <c r="DB619" s="10"/>
      <c r="DC619" s="10"/>
      <c r="DD619" s="10"/>
      <c r="DE619" s="10"/>
      <c r="DF619" s="10"/>
      <c r="DG619" s="10"/>
      <c r="DH619" s="10"/>
      <c r="DI619" s="10"/>
      <c r="DJ619" s="10"/>
      <c r="DK619" s="10"/>
      <c r="DL619" s="10"/>
      <c r="DM619" s="10"/>
      <c r="DN619" s="10"/>
      <c r="DO619" s="10"/>
      <c r="DP619" s="10"/>
      <c r="DQ619" s="10"/>
      <c r="DR619" s="10"/>
      <c r="DS619" s="10"/>
      <c r="DT619" s="10"/>
      <c r="DU619" s="10"/>
      <c r="DV619" s="10"/>
      <c r="DW619" s="10"/>
      <c r="DX619" s="10"/>
      <c r="DY619" s="10"/>
      <c r="DZ619" s="10"/>
      <c r="EA619" s="10"/>
      <c r="EB619" s="10"/>
      <c r="EC619" s="10"/>
      <c r="ED619" s="10"/>
      <c r="EE619" s="10"/>
      <c r="EF619" s="10"/>
      <c r="EG619" s="10"/>
      <c r="EH619" s="10"/>
      <c r="EI619" s="10"/>
      <c r="EJ619" s="10"/>
      <c r="EK619" s="10"/>
      <c r="EL619" s="10"/>
    </row>
    <row r="620" spans="2:142" hidden="1" x14ac:dyDescent="0.2">
      <c r="B620" s="146">
        <v>108</v>
      </c>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c r="CZ620" s="10"/>
      <c r="DA620" s="10"/>
      <c r="DB620" s="10"/>
      <c r="DC620" s="10"/>
      <c r="DD620" s="10"/>
      <c r="DE620" s="10"/>
      <c r="DF620" s="10"/>
      <c r="DG620" s="10"/>
      <c r="DH620" s="10"/>
      <c r="DI620" s="10"/>
      <c r="DJ620" s="10"/>
      <c r="DK620" s="10"/>
      <c r="DL620" s="10"/>
      <c r="DM620" s="10"/>
      <c r="DN620" s="10"/>
      <c r="DO620" s="10"/>
      <c r="DP620" s="10"/>
      <c r="DQ620" s="10"/>
      <c r="DR620" s="10"/>
      <c r="DS620" s="10"/>
      <c r="DT620" s="10"/>
      <c r="DU620" s="10"/>
      <c r="DV620" s="10"/>
      <c r="DW620" s="10"/>
      <c r="DX620" s="10"/>
      <c r="DY620" s="10"/>
      <c r="DZ620" s="10"/>
      <c r="EA620" s="10"/>
      <c r="EB620" s="10"/>
      <c r="EC620" s="10"/>
      <c r="ED620" s="10"/>
      <c r="EE620" s="10"/>
      <c r="EF620" s="10"/>
      <c r="EG620" s="10"/>
      <c r="EH620" s="10"/>
      <c r="EI620" s="10"/>
      <c r="EJ620" s="10"/>
      <c r="EK620" s="10"/>
      <c r="EL620" s="10"/>
    </row>
    <row r="621" spans="2:142" hidden="1" x14ac:dyDescent="0.2">
      <c r="B621" s="146">
        <v>109</v>
      </c>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c r="CZ621" s="10"/>
      <c r="DA621" s="10"/>
      <c r="DB621" s="10"/>
      <c r="DC621" s="10"/>
      <c r="DD621" s="10"/>
      <c r="DE621" s="10"/>
      <c r="DF621" s="10"/>
      <c r="DG621" s="10"/>
      <c r="DH621" s="10"/>
      <c r="DI621" s="10"/>
      <c r="DJ621" s="10"/>
      <c r="DK621" s="10"/>
      <c r="DL621" s="10"/>
      <c r="DM621" s="10"/>
      <c r="DN621" s="10"/>
      <c r="DO621" s="10"/>
      <c r="DP621" s="10"/>
      <c r="DQ621" s="10"/>
      <c r="DR621" s="10"/>
      <c r="DS621" s="10"/>
      <c r="DT621" s="10"/>
      <c r="DU621" s="10"/>
      <c r="DV621" s="10"/>
      <c r="DW621" s="10"/>
      <c r="DX621" s="10"/>
      <c r="DY621" s="10"/>
      <c r="DZ621" s="10"/>
      <c r="EA621" s="10"/>
      <c r="EB621" s="10"/>
      <c r="EC621" s="10"/>
      <c r="ED621" s="10"/>
      <c r="EE621" s="10"/>
      <c r="EF621" s="10"/>
      <c r="EG621" s="10"/>
      <c r="EH621" s="10"/>
      <c r="EI621" s="10"/>
      <c r="EJ621" s="10"/>
      <c r="EK621" s="10"/>
      <c r="EL621" s="10"/>
    </row>
    <row r="622" spans="2:142" hidden="1" x14ac:dyDescent="0.2">
      <c r="B622" s="146">
        <v>110</v>
      </c>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c r="DF622" s="10"/>
      <c r="DG622" s="10"/>
      <c r="DH622" s="10"/>
      <c r="DI622" s="10"/>
      <c r="DJ622" s="10"/>
      <c r="DK622" s="10"/>
      <c r="DL622" s="10"/>
      <c r="DM622" s="10"/>
      <c r="DN622" s="10"/>
      <c r="DO622" s="10"/>
      <c r="DP622" s="10"/>
      <c r="DQ622" s="10"/>
      <c r="DR622" s="10"/>
      <c r="DS622" s="10"/>
      <c r="DT622" s="10"/>
      <c r="DU622" s="10"/>
      <c r="DV622" s="10"/>
      <c r="DW622" s="10"/>
      <c r="DX622" s="10"/>
      <c r="DY622" s="10"/>
      <c r="DZ622" s="10"/>
      <c r="EA622" s="10"/>
      <c r="EB622" s="10"/>
      <c r="EC622" s="10"/>
      <c r="ED622" s="10"/>
      <c r="EE622" s="10"/>
      <c r="EF622" s="10"/>
      <c r="EG622" s="10"/>
      <c r="EH622" s="10"/>
      <c r="EI622" s="10"/>
      <c r="EJ622" s="10"/>
      <c r="EK622" s="10"/>
      <c r="EL622" s="10"/>
    </row>
    <row r="623" spans="2:142" hidden="1" x14ac:dyDescent="0.2">
      <c r="B623" s="146">
        <v>111</v>
      </c>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c r="CZ623" s="10"/>
      <c r="DA623" s="10"/>
      <c r="DB623" s="10"/>
      <c r="DC623" s="10"/>
      <c r="DD623" s="10"/>
      <c r="DE623" s="10"/>
      <c r="DF623" s="10"/>
      <c r="DG623" s="10"/>
      <c r="DH623" s="10"/>
      <c r="DI623" s="10"/>
      <c r="DJ623" s="10"/>
      <c r="DK623" s="10"/>
      <c r="DL623" s="10"/>
      <c r="DM623" s="10"/>
      <c r="DN623" s="10"/>
      <c r="DO623" s="10"/>
      <c r="DP623" s="10"/>
      <c r="DQ623" s="10"/>
      <c r="DR623" s="10"/>
      <c r="DS623" s="10"/>
      <c r="DT623" s="10"/>
      <c r="DU623" s="10"/>
      <c r="DV623" s="10"/>
      <c r="DW623" s="10"/>
      <c r="DX623" s="10"/>
      <c r="DY623" s="10"/>
      <c r="DZ623" s="10"/>
      <c r="EA623" s="10"/>
      <c r="EB623" s="10"/>
      <c r="EC623" s="10"/>
      <c r="ED623" s="10"/>
      <c r="EE623" s="10"/>
      <c r="EF623" s="10"/>
      <c r="EG623" s="10"/>
      <c r="EH623" s="10"/>
      <c r="EI623" s="10"/>
      <c r="EJ623" s="10"/>
      <c r="EK623" s="10"/>
      <c r="EL623" s="10"/>
    </row>
    <row r="624" spans="2:142" hidden="1" x14ac:dyDescent="0.2">
      <c r="B624" s="146">
        <v>112</v>
      </c>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c r="CZ624" s="10"/>
      <c r="DA624" s="10"/>
      <c r="DB624" s="10"/>
      <c r="DC624" s="10"/>
      <c r="DD624" s="10"/>
      <c r="DE624" s="10"/>
      <c r="DF624" s="10"/>
      <c r="DG624" s="10"/>
      <c r="DH624" s="10"/>
      <c r="DI624" s="10"/>
      <c r="DJ624" s="10"/>
      <c r="DK624" s="10"/>
      <c r="DL624" s="10"/>
      <c r="DM624" s="10"/>
      <c r="DN624" s="10"/>
      <c r="DO624" s="10"/>
      <c r="DP624" s="10"/>
      <c r="DQ624" s="10"/>
      <c r="DR624" s="10"/>
      <c r="DS624" s="10"/>
      <c r="DT624" s="10"/>
      <c r="DU624" s="10"/>
      <c r="DV624" s="10"/>
      <c r="DW624" s="10"/>
      <c r="DX624" s="10"/>
      <c r="DY624" s="10"/>
      <c r="DZ624" s="10"/>
      <c r="EA624" s="10"/>
      <c r="EB624" s="10"/>
      <c r="EC624" s="10"/>
      <c r="ED624" s="10"/>
      <c r="EE624" s="10"/>
      <c r="EF624" s="10"/>
      <c r="EG624" s="10"/>
      <c r="EH624" s="10"/>
      <c r="EI624" s="10"/>
      <c r="EJ624" s="10"/>
      <c r="EK624" s="10"/>
      <c r="EL624" s="10"/>
    </row>
    <row r="625" spans="2:142" hidden="1" x14ac:dyDescent="0.2">
      <c r="B625" s="146">
        <v>113</v>
      </c>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c r="CZ625" s="10"/>
      <c r="DA625" s="10"/>
      <c r="DB625" s="10"/>
      <c r="DC625" s="10"/>
      <c r="DD625" s="10"/>
      <c r="DE625" s="10"/>
      <c r="DF625" s="10"/>
      <c r="DG625" s="10"/>
      <c r="DH625" s="10"/>
      <c r="DI625" s="10"/>
      <c r="DJ625" s="10"/>
      <c r="DK625" s="10"/>
      <c r="DL625" s="10"/>
      <c r="DM625" s="10"/>
      <c r="DN625" s="10"/>
      <c r="DO625" s="10"/>
      <c r="DP625" s="10"/>
      <c r="DQ625" s="10"/>
      <c r="DR625" s="10"/>
      <c r="DS625" s="10"/>
      <c r="DT625" s="10"/>
      <c r="DU625" s="10"/>
      <c r="DV625" s="10"/>
      <c r="DW625" s="10"/>
      <c r="DX625" s="10"/>
      <c r="DY625" s="10"/>
      <c r="DZ625" s="10"/>
      <c r="EA625" s="10"/>
      <c r="EB625" s="10"/>
      <c r="EC625" s="10"/>
      <c r="ED625" s="10"/>
      <c r="EE625" s="10"/>
      <c r="EF625" s="10"/>
      <c r="EG625" s="10"/>
      <c r="EH625" s="10"/>
      <c r="EI625" s="10"/>
      <c r="EJ625" s="10"/>
      <c r="EK625" s="10"/>
      <c r="EL625" s="10"/>
    </row>
    <row r="626" spans="2:142" hidden="1" x14ac:dyDescent="0.2">
      <c r="B626" s="146">
        <v>114</v>
      </c>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c r="CZ626" s="10"/>
      <c r="DA626" s="10"/>
      <c r="DB626" s="10"/>
      <c r="DC626" s="10"/>
      <c r="DD626" s="10"/>
      <c r="DE626" s="10"/>
      <c r="DF626" s="10"/>
      <c r="DG626" s="10"/>
      <c r="DH626" s="10"/>
      <c r="DI626" s="10"/>
      <c r="DJ626" s="10"/>
      <c r="DK626" s="10"/>
      <c r="DL626" s="10"/>
      <c r="DM626" s="10"/>
      <c r="DN626" s="10"/>
      <c r="DO626" s="10"/>
      <c r="DP626" s="10"/>
      <c r="DQ626" s="10"/>
      <c r="DR626" s="10"/>
      <c r="DS626" s="10"/>
      <c r="DT626" s="10"/>
      <c r="DU626" s="10"/>
      <c r="DV626" s="10"/>
      <c r="DW626" s="10"/>
      <c r="DX626" s="10"/>
      <c r="DY626" s="10"/>
      <c r="DZ626" s="10"/>
      <c r="EA626" s="10"/>
      <c r="EB626" s="10"/>
      <c r="EC626" s="10"/>
      <c r="ED626" s="10"/>
      <c r="EE626" s="10"/>
      <c r="EF626" s="10"/>
      <c r="EG626" s="10"/>
      <c r="EH626" s="10"/>
      <c r="EI626" s="10"/>
      <c r="EJ626" s="10"/>
      <c r="EK626" s="10"/>
      <c r="EL626" s="10"/>
    </row>
    <row r="627" spans="2:142" hidden="1" x14ac:dyDescent="0.2">
      <c r="B627" s="146">
        <v>115</v>
      </c>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c r="CZ627" s="10"/>
      <c r="DA627" s="10"/>
      <c r="DB627" s="10"/>
      <c r="DC627" s="10"/>
      <c r="DD627" s="10"/>
      <c r="DE627" s="10"/>
      <c r="DF627" s="10"/>
      <c r="DG627" s="10"/>
      <c r="DH627" s="10"/>
      <c r="DI627" s="10"/>
      <c r="DJ627" s="10"/>
      <c r="DK627" s="10"/>
      <c r="DL627" s="10"/>
      <c r="DM627" s="10"/>
      <c r="DN627" s="10"/>
      <c r="DO627" s="10"/>
      <c r="DP627" s="10"/>
      <c r="DQ627" s="10"/>
      <c r="DR627" s="10"/>
      <c r="DS627" s="10"/>
      <c r="DT627" s="10"/>
      <c r="DU627" s="10"/>
      <c r="DV627" s="10"/>
      <c r="DW627" s="10"/>
      <c r="DX627" s="10"/>
      <c r="DY627" s="10"/>
      <c r="DZ627" s="10"/>
      <c r="EA627" s="10"/>
      <c r="EB627" s="10"/>
      <c r="EC627" s="10"/>
      <c r="ED627" s="10"/>
      <c r="EE627" s="10"/>
      <c r="EF627" s="10"/>
      <c r="EG627" s="10"/>
      <c r="EH627" s="10"/>
      <c r="EI627" s="10"/>
      <c r="EJ627" s="10"/>
      <c r="EK627" s="10"/>
      <c r="EL627" s="10"/>
    </row>
    <row r="628" spans="2:142" hidden="1" x14ac:dyDescent="0.2">
      <c r="B628" s="146">
        <v>116</v>
      </c>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c r="CZ628" s="10"/>
      <c r="DA628" s="10"/>
      <c r="DB628" s="10"/>
      <c r="DC628" s="10"/>
      <c r="DD628" s="10"/>
      <c r="DE628" s="10"/>
      <c r="DF628" s="10"/>
      <c r="DG628" s="10"/>
      <c r="DH628" s="10"/>
      <c r="DI628" s="10"/>
      <c r="DJ628" s="10"/>
      <c r="DK628" s="10"/>
      <c r="DL628" s="10"/>
      <c r="DM628" s="10"/>
      <c r="DN628" s="10"/>
      <c r="DO628" s="10"/>
      <c r="DP628" s="10"/>
      <c r="DQ628" s="10"/>
      <c r="DR628" s="10"/>
      <c r="DS628" s="10"/>
      <c r="DT628" s="10"/>
      <c r="DU628" s="10"/>
      <c r="DV628" s="10"/>
      <c r="DW628" s="10"/>
      <c r="DX628" s="10"/>
      <c r="DY628" s="10"/>
      <c r="DZ628" s="10"/>
      <c r="EA628" s="10"/>
      <c r="EB628" s="10"/>
      <c r="EC628" s="10"/>
      <c r="ED628" s="10"/>
      <c r="EE628" s="10"/>
      <c r="EF628" s="10"/>
      <c r="EG628" s="10"/>
      <c r="EH628" s="10"/>
      <c r="EI628" s="10"/>
      <c r="EJ628" s="10"/>
      <c r="EK628" s="10"/>
      <c r="EL628" s="10"/>
    </row>
    <row r="629" spans="2:142" hidden="1" x14ac:dyDescent="0.2">
      <c r="B629" s="146">
        <v>117</v>
      </c>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c r="CZ629" s="10"/>
      <c r="DA629" s="10"/>
      <c r="DB629" s="10"/>
      <c r="DC629" s="10"/>
      <c r="DD629" s="10"/>
      <c r="DE629" s="10"/>
      <c r="DF629" s="10"/>
      <c r="DG629" s="10"/>
      <c r="DH629" s="10"/>
      <c r="DI629" s="10"/>
      <c r="DJ629" s="10"/>
      <c r="DK629" s="10"/>
      <c r="DL629" s="10"/>
      <c r="DM629" s="10"/>
      <c r="DN629" s="10"/>
      <c r="DO629" s="10"/>
      <c r="DP629" s="10"/>
      <c r="DQ629" s="10"/>
      <c r="DR629" s="10"/>
      <c r="DS629" s="10"/>
      <c r="DT629" s="10"/>
      <c r="DU629" s="10"/>
      <c r="DV629" s="10"/>
      <c r="DW629" s="10"/>
      <c r="DX629" s="10"/>
      <c r="DY629" s="10"/>
      <c r="DZ629" s="10"/>
      <c r="EA629" s="10"/>
      <c r="EB629" s="10"/>
      <c r="EC629" s="10"/>
      <c r="ED629" s="10"/>
      <c r="EE629" s="10"/>
      <c r="EF629" s="10"/>
      <c r="EG629" s="10"/>
      <c r="EH629" s="10"/>
      <c r="EI629" s="10"/>
      <c r="EJ629" s="10"/>
      <c r="EK629" s="10"/>
      <c r="EL629" s="10"/>
    </row>
    <row r="630" spans="2:142" hidden="1" x14ac:dyDescent="0.2">
      <c r="B630" s="146">
        <v>118</v>
      </c>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c r="CZ630" s="10"/>
      <c r="DA630" s="10"/>
      <c r="DB630" s="10"/>
      <c r="DC630" s="10"/>
      <c r="DD630" s="10"/>
      <c r="DE630" s="10"/>
      <c r="DF630" s="10"/>
      <c r="DG630" s="10"/>
      <c r="DH630" s="10"/>
      <c r="DI630" s="10"/>
      <c r="DJ630" s="10"/>
      <c r="DK630" s="10"/>
      <c r="DL630" s="10"/>
      <c r="DM630" s="10"/>
      <c r="DN630" s="10"/>
      <c r="DO630" s="10"/>
      <c r="DP630" s="10"/>
      <c r="DQ630" s="10"/>
      <c r="DR630" s="10"/>
      <c r="DS630" s="10"/>
      <c r="DT630" s="10"/>
      <c r="DU630" s="10"/>
      <c r="DV630" s="10"/>
      <c r="DW630" s="10"/>
      <c r="DX630" s="10"/>
      <c r="DY630" s="10"/>
      <c r="DZ630" s="10"/>
      <c r="EA630" s="10"/>
      <c r="EB630" s="10"/>
      <c r="EC630" s="10"/>
      <c r="ED630" s="10"/>
      <c r="EE630" s="10"/>
      <c r="EF630" s="10"/>
      <c r="EG630" s="10"/>
      <c r="EH630" s="10"/>
      <c r="EI630" s="10"/>
      <c r="EJ630" s="10"/>
      <c r="EK630" s="10"/>
      <c r="EL630" s="10"/>
    </row>
    <row r="631" spans="2:142" hidden="1" x14ac:dyDescent="0.2">
      <c r="B631" s="146">
        <v>119</v>
      </c>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c r="CG631" s="10"/>
      <c r="CH631" s="10"/>
      <c r="CI631" s="10"/>
      <c r="CJ631" s="10"/>
      <c r="CK631" s="10"/>
      <c r="CL631" s="10"/>
      <c r="CM631" s="10"/>
      <c r="CN631" s="10"/>
      <c r="CO631" s="10"/>
      <c r="CP631" s="10"/>
      <c r="CQ631" s="10"/>
      <c r="CR631" s="10"/>
      <c r="CS631" s="10"/>
      <c r="CT631" s="10"/>
      <c r="CU631" s="10"/>
      <c r="CV631" s="10"/>
      <c r="CW631" s="10"/>
      <c r="CX631" s="10"/>
      <c r="CY631" s="10"/>
      <c r="CZ631" s="10"/>
      <c r="DA631" s="10"/>
      <c r="DB631" s="10"/>
      <c r="DC631" s="10"/>
      <c r="DD631" s="10"/>
      <c r="DE631" s="10"/>
      <c r="DF631" s="10"/>
      <c r="DG631" s="10"/>
      <c r="DH631" s="10"/>
      <c r="DI631" s="10"/>
      <c r="DJ631" s="10"/>
      <c r="DK631" s="10"/>
      <c r="DL631" s="10"/>
      <c r="DM631" s="10"/>
      <c r="DN631" s="10"/>
      <c r="DO631" s="10"/>
      <c r="DP631" s="10"/>
      <c r="DQ631" s="10"/>
      <c r="DR631" s="10"/>
      <c r="DS631" s="10"/>
      <c r="DT631" s="10"/>
      <c r="DU631" s="10"/>
      <c r="DV631" s="10"/>
      <c r="DW631" s="10"/>
      <c r="DX631" s="10"/>
      <c r="DY631" s="10"/>
      <c r="DZ631" s="10"/>
      <c r="EA631" s="10"/>
      <c r="EB631" s="10"/>
      <c r="EC631" s="10"/>
      <c r="ED631" s="10"/>
      <c r="EE631" s="10"/>
      <c r="EF631" s="10"/>
      <c r="EG631" s="10"/>
      <c r="EH631" s="10"/>
      <c r="EI631" s="10"/>
      <c r="EJ631" s="10"/>
      <c r="EK631" s="10"/>
      <c r="EL631" s="10"/>
    </row>
    <row r="632" spans="2:142" hidden="1" x14ac:dyDescent="0.2">
      <c r="B632" s="146">
        <v>120</v>
      </c>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c r="CG632" s="10"/>
      <c r="CH632" s="10"/>
      <c r="CI632" s="10"/>
      <c r="CJ632" s="10"/>
      <c r="CK632" s="10"/>
      <c r="CL632" s="10"/>
      <c r="CM632" s="10"/>
      <c r="CN632" s="10"/>
      <c r="CO632" s="10"/>
      <c r="CP632" s="10"/>
      <c r="CQ632" s="10"/>
      <c r="CR632" s="10"/>
      <c r="CS632" s="10"/>
      <c r="CT632" s="10"/>
      <c r="CU632" s="10"/>
      <c r="CV632" s="10"/>
      <c r="CW632" s="10"/>
      <c r="CX632" s="10"/>
      <c r="CY632" s="10"/>
      <c r="CZ632" s="10"/>
      <c r="DA632" s="10"/>
      <c r="DB632" s="10"/>
      <c r="DC632" s="10"/>
      <c r="DD632" s="10"/>
      <c r="DE632" s="10"/>
      <c r="DF632" s="10"/>
      <c r="DG632" s="10"/>
      <c r="DH632" s="10"/>
      <c r="DI632" s="10"/>
      <c r="DJ632" s="10"/>
      <c r="DK632" s="10"/>
      <c r="DL632" s="10"/>
      <c r="DM632" s="10"/>
      <c r="DN632" s="10"/>
      <c r="DO632" s="10"/>
      <c r="DP632" s="10"/>
      <c r="DQ632" s="10"/>
      <c r="DR632" s="10"/>
      <c r="DS632" s="10"/>
      <c r="DT632" s="10"/>
      <c r="DU632" s="10"/>
      <c r="DV632" s="10"/>
      <c r="DW632" s="10"/>
      <c r="DX632" s="10"/>
      <c r="DY632" s="10"/>
      <c r="DZ632" s="10"/>
      <c r="EA632" s="10"/>
      <c r="EB632" s="10"/>
      <c r="EC632" s="10"/>
      <c r="ED632" s="10"/>
      <c r="EE632" s="10"/>
      <c r="EF632" s="10"/>
      <c r="EG632" s="10"/>
      <c r="EH632" s="10"/>
      <c r="EI632" s="10"/>
      <c r="EJ632" s="10"/>
      <c r="EK632" s="10"/>
      <c r="EL632" s="10"/>
    </row>
    <row r="633" spans="2:142" hidden="1" x14ac:dyDescent="0.2">
      <c r="B633" s="146">
        <v>121</v>
      </c>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c r="CG633" s="10"/>
      <c r="CH633" s="10"/>
      <c r="CI633" s="10"/>
      <c r="CJ633" s="10"/>
      <c r="CK633" s="10"/>
      <c r="CL633" s="10"/>
      <c r="CM633" s="10"/>
      <c r="CN633" s="10"/>
      <c r="CO633" s="10"/>
      <c r="CP633" s="10"/>
      <c r="CQ633" s="10"/>
      <c r="CR633" s="10"/>
      <c r="CS633" s="10"/>
      <c r="CT633" s="10"/>
      <c r="CU633" s="10"/>
      <c r="CV633" s="10"/>
      <c r="CW633" s="10"/>
      <c r="CX633" s="10"/>
      <c r="CY633" s="10"/>
      <c r="CZ633" s="10"/>
      <c r="DA633" s="10"/>
      <c r="DB633" s="10"/>
      <c r="DC633" s="10"/>
      <c r="DD633" s="10"/>
      <c r="DE633" s="10"/>
      <c r="DF633" s="10"/>
      <c r="DG633" s="10"/>
      <c r="DH633" s="10"/>
      <c r="DI633" s="10"/>
      <c r="DJ633" s="10"/>
      <c r="DK633" s="10"/>
      <c r="DL633" s="10"/>
      <c r="DM633" s="10"/>
      <c r="DN633" s="10"/>
      <c r="DO633" s="10"/>
      <c r="DP633" s="10"/>
      <c r="DQ633" s="10"/>
      <c r="DR633" s="10"/>
      <c r="DS633" s="10"/>
      <c r="DT633" s="10"/>
      <c r="DU633" s="10"/>
      <c r="DV633" s="10"/>
      <c r="DW633" s="10"/>
      <c r="DX633" s="10"/>
      <c r="DY633" s="10"/>
      <c r="DZ633" s="10"/>
      <c r="EA633" s="10"/>
      <c r="EB633" s="10"/>
      <c r="EC633" s="10"/>
      <c r="ED633" s="10"/>
      <c r="EE633" s="10"/>
      <c r="EF633" s="10"/>
      <c r="EG633" s="10"/>
      <c r="EH633" s="10"/>
      <c r="EI633" s="10"/>
      <c r="EJ633" s="10"/>
      <c r="EK633" s="10"/>
      <c r="EL633" s="10"/>
    </row>
    <row r="634" spans="2:142" hidden="1" x14ac:dyDescent="0.2">
      <c r="B634" s="146">
        <v>122</v>
      </c>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c r="CG634" s="10"/>
      <c r="CH634" s="10"/>
      <c r="CI634" s="10"/>
      <c r="CJ634" s="10"/>
      <c r="CK634" s="10"/>
      <c r="CL634" s="10"/>
      <c r="CM634" s="10"/>
      <c r="CN634" s="10"/>
      <c r="CO634" s="10"/>
      <c r="CP634" s="10"/>
      <c r="CQ634" s="10"/>
      <c r="CR634" s="10"/>
      <c r="CS634" s="10"/>
      <c r="CT634" s="10"/>
      <c r="CU634" s="10"/>
      <c r="CV634" s="10"/>
      <c r="CW634" s="10"/>
      <c r="CX634" s="10"/>
      <c r="CY634" s="10"/>
      <c r="CZ634" s="10"/>
      <c r="DA634" s="10"/>
      <c r="DB634" s="10"/>
      <c r="DC634" s="10"/>
      <c r="DD634" s="10"/>
      <c r="DE634" s="10"/>
      <c r="DF634" s="10"/>
      <c r="DG634" s="10"/>
      <c r="DH634" s="10"/>
      <c r="DI634" s="10"/>
      <c r="DJ634" s="10"/>
      <c r="DK634" s="10"/>
      <c r="DL634" s="10"/>
      <c r="DM634" s="10"/>
      <c r="DN634" s="10"/>
      <c r="DO634" s="10"/>
      <c r="DP634" s="10"/>
      <c r="DQ634" s="10"/>
      <c r="DR634" s="10"/>
      <c r="DS634" s="10"/>
      <c r="DT634" s="10"/>
      <c r="DU634" s="10"/>
      <c r="DV634" s="10"/>
      <c r="DW634" s="10"/>
      <c r="DX634" s="10"/>
      <c r="DY634" s="10"/>
      <c r="DZ634" s="10"/>
      <c r="EA634" s="10"/>
      <c r="EB634" s="10"/>
      <c r="EC634" s="10"/>
      <c r="ED634" s="10"/>
      <c r="EE634" s="10"/>
      <c r="EF634" s="10"/>
      <c r="EG634" s="10"/>
      <c r="EH634" s="10"/>
      <c r="EI634" s="10"/>
      <c r="EJ634" s="10"/>
      <c r="EK634" s="10"/>
      <c r="EL634" s="10"/>
    </row>
    <row r="635" spans="2:142" hidden="1" x14ac:dyDescent="0.2">
      <c r="B635" s="146">
        <v>123</v>
      </c>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c r="CG635" s="10"/>
      <c r="CH635" s="10"/>
      <c r="CI635" s="10"/>
      <c r="CJ635" s="10"/>
      <c r="CK635" s="10"/>
      <c r="CL635" s="10"/>
      <c r="CM635" s="10"/>
      <c r="CN635" s="10"/>
      <c r="CO635" s="10"/>
      <c r="CP635" s="10"/>
      <c r="CQ635" s="10"/>
      <c r="CR635" s="10"/>
      <c r="CS635" s="10"/>
      <c r="CT635" s="10"/>
      <c r="CU635" s="10"/>
      <c r="CV635" s="10"/>
      <c r="CW635" s="10"/>
      <c r="CX635" s="10"/>
      <c r="CY635" s="10"/>
      <c r="CZ635" s="10"/>
      <c r="DA635" s="10"/>
      <c r="DB635" s="10"/>
      <c r="DC635" s="10"/>
      <c r="DD635" s="10"/>
      <c r="DE635" s="10"/>
      <c r="DF635" s="10"/>
      <c r="DG635" s="10"/>
      <c r="DH635" s="10"/>
      <c r="DI635" s="10"/>
      <c r="DJ635" s="10"/>
      <c r="DK635" s="10"/>
      <c r="DL635" s="10"/>
      <c r="DM635" s="10"/>
      <c r="DN635" s="10"/>
      <c r="DO635" s="10"/>
      <c r="DP635" s="10"/>
      <c r="DQ635" s="10"/>
      <c r="DR635" s="10"/>
      <c r="DS635" s="10"/>
      <c r="DT635" s="10"/>
      <c r="DU635" s="10"/>
      <c r="DV635" s="10"/>
      <c r="DW635" s="10"/>
      <c r="DX635" s="10"/>
      <c r="DY635" s="10"/>
      <c r="DZ635" s="10"/>
      <c r="EA635" s="10"/>
      <c r="EB635" s="10"/>
      <c r="EC635" s="10"/>
      <c r="ED635" s="10"/>
      <c r="EE635" s="10"/>
      <c r="EF635" s="10"/>
      <c r="EG635" s="10"/>
      <c r="EH635" s="10"/>
      <c r="EI635" s="10"/>
      <c r="EJ635" s="10"/>
      <c r="EK635" s="10"/>
      <c r="EL635" s="10"/>
    </row>
    <row r="636" spans="2:142" hidden="1" x14ac:dyDescent="0.2">
      <c r="B636" s="146">
        <v>124</v>
      </c>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c r="CH636" s="10"/>
      <c r="CI636" s="10"/>
      <c r="CJ636" s="10"/>
      <c r="CK636" s="10"/>
      <c r="CL636" s="10"/>
      <c r="CM636" s="10"/>
      <c r="CN636" s="10"/>
      <c r="CO636" s="10"/>
      <c r="CP636" s="10"/>
      <c r="CQ636" s="10"/>
      <c r="CR636" s="10"/>
      <c r="CS636" s="10"/>
      <c r="CT636" s="10"/>
      <c r="CU636" s="10"/>
      <c r="CV636" s="10"/>
      <c r="CW636" s="10"/>
      <c r="CX636" s="10"/>
      <c r="CY636" s="10"/>
      <c r="CZ636" s="10"/>
      <c r="DA636" s="10"/>
      <c r="DB636" s="10"/>
      <c r="DC636" s="10"/>
      <c r="DD636" s="10"/>
      <c r="DE636" s="10"/>
      <c r="DF636" s="10"/>
      <c r="DG636" s="10"/>
      <c r="DH636" s="10"/>
      <c r="DI636" s="10"/>
      <c r="DJ636" s="10"/>
      <c r="DK636" s="10"/>
      <c r="DL636" s="10"/>
      <c r="DM636" s="10"/>
      <c r="DN636" s="10"/>
      <c r="DO636" s="10"/>
      <c r="DP636" s="10"/>
      <c r="DQ636" s="10"/>
      <c r="DR636" s="10"/>
      <c r="DS636" s="10"/>
      <c r="DT636" s="10"/>
      <c r="DU636" s="10"/>
      <c r="DV636" s="10"/>
      <c r="DW636" s="10"/>
      <c r="DX636" s="10"/>
      <c r="DY636" s="10"/>
      <c r="DZ636" s="10"/>
      <c r="EA636" s="10"/>
      <c r="EB636" s="10"/>
      <c r="EC636" s="10"/>
      <c r="ED636" s="10"/>
      <c r="EE636" s="10"/>
      <c r="EF636" s="10"/>
      <c r="EG636" s="10"/>
      <c r="EH636" s="10"/>
      <c r="EI636" s="10"/>
      <c r="EJ636" s="10"/>
      <c r="EK636" s="10"/>
      <c r="EL636" s="10"/>
    </row>
    <row r="637" spans="2:142" hidden="1" x14ac:dyDescent="0.2">
      <c r="B637" s="146">
        <v>125</v>
      </c>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c r="DF637" s="10"/>
      <c r="DG637" s="10"/>
      <c r="DH637" s="10"/>
      <c r="DI637" s="10"/>
      <c r="DJ637" s="10"/>
      <c r="DK637" s="10"/>
      <c r="DL637" s="10"/>
      <c r="DM637" s="10"/>
      <c r="DN637" s="10"/>
      <c r="DO637" s="10"/>
      <c r="DP637" s="10"/>
      <c r="DQ637" s="10"/>
      <c r="DR637" s="10"/>
      <c r="DS637" s="10"/>
      <c r="DT637" s="10"/>
      <c r="DU637" s="10"/>
      <c r="DV637" s="10"/>
      <c r="DW637" s="10"/>
      <c r="DX637" s="10"/>
      <c r="DY637" s="10"/>
      <c r="DZ637" s="10"/>
      <c r="EA637" s="10"/>
      <c r="EB637" s="10"/>
      <c r="EC637" s="10"/>
      <c r="ED637" s="10"/>
      <c r="EE637" s="10"/>
      <c r="EF637" s="10"/>
      <c r="EG637" s="10"/>
      <c r="EH637" s="10"/>
      <c r="EI637" s="10"/>
      <c r="EJ637" s="10"/>
      <c r="EK637" s="10"/>
      <c r="EL637" s="10"/>
    </row>
    <row r="638" spans="2:142" hidden="1" x14ac:dyDescent="0.2">
      <c r="B638" s="146">
        <v>126</v>
      </c>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c r="CZ638" s="10"/>
      <c r="DA638" s="10"/>
      <c r="DB638" s="10"/>
      <c r="DC638" s="10"/>
      <c r="DD638" s="10"/>
      <c r="DE638" s="10"/>
      <c r="DF638" s="10"/>
      <c r="DG638" s="10"/>
      <c r="DH638" s="10"/>
      <c r="DI638" s="10"/>
      <c r="DJ638" s="10"/>
      <c r="DK638" s="10"/>
      <c r="DL638" s="10"/>
      <c r="DM638" s="10"/>
      <c r="DN638" s="10"/>
      <c r="DO638" s="10"/>
      <c r="DP638" s="10"/>
      <c r="DQ638" s="10"/>
      <c r="DR638" s="10"/>
      <c r="DS638" s="10"/>
      <c r="DT638" s="10"/>
      <c r="DU638" s="10"/>
      <c r="DV638" s="10"/>
      <c r="DW638" s="10"/>
      <c r="DX638" s="10"/>
      <c r="DY638" s="10"/>
      <c r="DZ638" s="10"/>
      <c r="EA638" s="10"/>
      <c r="EB638" s="10"/>
      <c r="EC638" s="10"/>
      <c r="ED638" s="10"/>
      <c r="EE638" s="10"/>
      <c r="EF638" s="10"/>
      <c r="EG638" s="10"/>
      <c r="EH638" s="10"/>
      <c r="EI638" s="10"/>
      <c r="EJ638" s="10"/>
      <c r="EK638" s="10"/>
      <c r="EL638" s="10"/>
    </row>
    <row r="639" spans="2:142" hidden="1" x14ac:dyDescent="0.2">
      <c r="B639" s="146">
        <v>127</v>
      </c>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c r="CZ639" s="10"/>
      <c r="DA639" s="10"/>
      <c r="DB639" s="10"/>
      <c r="DC639" s="10"/>
      <c r="DD639" s="10"/>
      <c r="DE639" s="10"/>
      <c r="DF639" s="10"/>
      <c r="DG639" s="10"/>
      <c r="DH639" s="10"/>
      <c r="DI639" s="10"/>
      <c r="DJ639" s="10"/>
      <c r="DK639" s="10"/>
      <c r="DL639" s="10"/>
      <c r="DM639" s="10"/>
      <c r="DN639" s="10"/>
      <c r="DO639" s="10"/>
      <c r="DP639" s="10"/>
      <c r="DQ639" s="10"/>
      <c r="DR639" s="10"/>
      <c r="DS639" s="10"/>
      <c r="DT639" s="10"/>
      <c r="DU639" s="10"/>
      <c r="DV639" s="10"/>
      <c r="DW639" s="10"/>
      <c r="DX639" s="10"/>
      <c r="DY639" s="10"/>
      <c r="DZ639" s="10"/>
      <c r="EA639" s="10"/>
      <c r="EB639" s="10"/>
      <c r="EC639" s="10"/>
      <c r="ED639" s="10"/>
      <c r="EE639" s="10"/>
      <c r="EF639" s="10"/>
      <c r="EG639" s="10"/>
      <c r="EH639" s="10"/>
      <c r="EI639" s="10"/>
      <c r="EJ639" s="10"/>
      <c r="EK639" s="10"/>
      <c r="EL639" s="10"/>
    </row>
    <row r="640" spans="2:142" hidden="1" x14ac:dyDescent="0.2">
      <c r="B640" s="146">
        <v>128</v>
      </c>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c r="CF640" s="10"/>
      <c r="CG640" s="10"/>
      <c r="CH640" s="10"/>
      <c r="CI640" s="10"/>
      <c r="CJ640" s="10"/>
      <c r="CK640" s="10"/>
      <c r="CL640" s="10"/>
      <c r="CM640" s="10"/>
      <c r="CN640" s="10"/>
      <c r="CO640" s="10"/>
      <c r="CP640" s="10"/>
      <c r="CQ640" s="10"/>
      <c r="CR640" s="10"/>
      <c r="CS640" s="10"/>
      <c r="CT640" s="10"/>
      <c r="CU640" s="10"/>
      <c r="CV640" s="10"/>
      <c r="CW640" s="10"/>
      <c r="CX640" s="10"/>
      <c r="CY640" s="10"/>
      <c r="CZ640" s="10"/>
      <c r="DA640" s="10"/>
      <c r="DB640" s="10"/>
      <c r="DC640" s="10"/>
      <c r="DD640" s="10"/>
      <c r="DE640" s="10"/>
      <c r="DF640" s="10"/>
      <c r="DG640" s="10"/>
      <c r="DH640" s="10"/>
      <c r="DI640" s="10"/>
      <c r="DJ640" s="10"/>
      <c r="DK640" s="10"/>
      <c r="DL640" s="10"/>
      <c r="DM640" s="10"/>
      <c r="DN640" s="10"/>
      <c r="DO640" s="10"/>
      <c r="DP640" s="10"/>
      <c r="DQ640" s="10"/>
      <c r="DR640" s="10"/>
      <c r="DS640" s="10"/>
      <c r="DT640" s="10"/>
      <c r="DU640" s="10"/>
      <c r="DV640" s="10"/>
      <c r="DW640" s="10"/>
      <c r="DX640" s="10"/>
      <c r="DY640" s="10"/>
      <c r="DZ640" s="10"/>
      <c r="EA640" s="10"/>
      <c r="EB640" s="10"/>
      <c r="EC640" s="10"/>
      <c r="ED640" s="10"/>
      <c r="EE640" s="10"/>
      <c r="EF640" s="10"/>
      <c r="EG640" s="10"/>
      <c r="EH640" s="10"/>
      <c r="EI640" s="10"/>
      <c r="EJ640" s="10"/>
      <c r="EK640" s="10"/>
      <c r="EL640" s="10"/>
    </row>
    <row r="641" spans="2:142" hidden="1" x14ac:dyDescent="0.2">
      <c r="B641" s="146">
        <v>129</v>
      </c>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c r="CF641" s="10"/>
      <c r="CG641" s="10"/>
      <c r="CH641" s="10"/>
      <c r="CI641" s="10"/>
      <c r="CJ641" s="10"/>
      <c r="CK641" s="10"/>
      <c r="CL641" s="10"/>
      <c r="CM641" s="10"/>
      <c r="CN641" s="10"/>
      <c r="CO641" s="10"/>
      <c r="CP641" s="10"/>
      <c r="CQ641" s="10"/>
      <c r="CR641" s="10"/>
      <c r="CS641" s="10"/>
      <c r="CT641" s="10"/>
      <c r="CU641" s="10"/>
      <c r="CV641" s="10"/>
      <c r="CW641" s="10"/>
      <c r="CX641" s="10"/>
      <c r="CY641" s="10"/>
      <c r="CZ641" s="10"/>
      <c r="DA641" s="10"/>
      <c r="DB641" s="10"/>
      <c r="DC641" s="10"/>
      <c r="DD641" s="10"/>
      <c r="DE641" s="10"/>
      <c r="DF641" s="10"/>
      <c r="DG641" s="10"/>
      <c r="DH641" s="10"/>
      <c r="DI641" s="10"/>
      <c r="DJ641" s="10"/>
      <c r="DK641" s="10"/>
      <c r="DL641" s="10"/>
      <c r="DM641" s="10"/>
      <c r="DN641" s="10"/>
      <c r="DO641" s="10"/>
      <c r="DP641" s="10"/>
      <c r="DQ641" s="10"/>
      <c r="DR641" s="10"/>
      <c r="DS641" s="10"/>
      <c r="DT641" s="10"/>
      <c r="DU641" s="10"/>
      <c r="DV641" s="10"/>
      <c r="DW641" s="10"/>
      <c r="DX641" s="10"/>
      <c r="DY641" s="10"/>
      <c r="DZ641" s="10"/>
      <c r="EA641" s="10"/>
      <c r="EB641" s="10"/>
      <c r="EC641" s="10"/>
      <c r="ED641" s="10"/>
      <c r="EE641" s="10"/>
      <c r="EF641" s="10"/>
      <c r="EG641" s="10"/>
      <c r="EH641" s="10"/>
      <c r="EI641" s="10"/>
      <c r="EJ641" s="10"/>
      <c r="EK641" s="10"/>
      <c r="EL641" s="10"/>
    </row>
    <row r="642" spans="2:142" hidden="1" x14ac:dyDescent="0.2">
      <c r="B642" s="146">
        <v>130</v>
      </c>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c r="CA642" s="10"/>
      <c r="CB642" s="10"/>
      <c r="CC642" s="10"/>
      <c r="CD642" s="10"/>
      <c r="CE642" s="10"/>
      <c r="CF642" s="10"/>
      <c r="CG642" s="10"/>
      <c r="CH642" s="10"/>
      <c r="CI642" s="10"/>
      <c r="CJ642" s="10"/>
      <c r="CK642" s="10"/>
      <c r="CL642" s="10"/>
      <c r="CM642" s="10"/>
      <c r="CN642" s="10"/>
      <c r="CO642" s="10"/>
      <c r="CP642" s="10"/>
      <c r="CQ642" s="10"/>
      <c r="CR642" s="10"/>
      <c r="CS642" s="10"/>
      <c r="CT642" s="10"/>
      <c r="CU642" s="10"/>
      <c r="CV642" s="10"/>
      <c r="CW642" s="10"/>
      <c r="CX642" s="10"/>
      <c r="CY642" s="10"/>
      <c r="CZ642" s="10"/>
      <c r="DA642" s="10"/>
      <c r="DB642" s="10"/>
      <c r="DC642" s="10"/>
      <c r="DD642" s="10"/>
      <c r="DE642" s="10"/>
      <c r="DF642" s="10"/>
      <c r="DG642" s="10"/>
      <c r="DH642" s="10"/>
      <c r="DI642" s="10"/>
      <c r="DJ642" s="10"/>
      <c r="DK642" s="10"/>
      <c r="DL642" s="10"/>
      <c r="DM642" s="10"/>
      <c r="DN642" s="10"/>
      <c r="DO642" s="10"/>
      <c r="DP642" s="10"/>
      <c r="DQ642" s="10"/>
      <c r="DR642" s="10"/>
      <c r="DS642" s="10"/>
      <c r="DT642" s="10"/>
      <c r="DU642" s="10"/>
      <c r="DV642" s="10"/>
      <c r="DW642" s="10"/>
      <c r="DX642" s="10"/>
      <c r="DY642" s="10"/>
      <c r="DZ642" s="10"/>
      <c r="EA642" s="10"/>
      <c r="EB642" s="10"/>
      <c r="EC642" s="10"/>
      <c r="ED642" s="10"/>
      <c r="EE642" s="10"/>
      <c r="EF642" s="10"/>
      <c r="EG642" s="10"/>
      <c r="EH642" s="10"/>
      <c r="EI642" s="10"/>
      <c r="EJ642" s="10"/>
      <c r="EK642" s="10"/>
      <c r="EL642" s="10"/>
    </row>
    <row r="643" spans="2:142" hidden="1" x14ac:dyDescent="0.2">
      <c r="B643" s="146">
        <v>131</v>
      </c>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c r="CF643" s="10"/>
      <c r="CG643" s="10"/>
      <c r="CH643" s="10"/>
      <c r="CI643" s="10"/>
      <c r="CJ643" s="10"/>
      <c r="CK643" s="10"/>
      <c r="CL643" s="10"/>
      <c r="CM643" s="10"/>
      <c r="CN643" s="10"/>
      <c r="CO643" s="10"/>
      <c r="CP643" s="10"/>
      <c r="CQ643" s="10"/>
      <c r="CR643" s="10"/>
      <c r="CS643" s="10"/>
      <c r="CT643" s="10"/>
      <c r="CU643" s="10"/>
      <c r="CV643" s="10"/>
      <c r="CW643" s="10"/>
      <c r="CX643" s="10"/>
      <c r="CY643" s="10"/>
      <c r="CZ643" s="10"/>
      <c r="DA643" s="10"/>
      <c r="DB643" s="10"/>
      <c r="DC643" s="10"/>
      <c r="DD643" s="10"/>
      <c r="DE643" s="10"/>
      <c r="DF643" s="10"/>
      <c r="DG643" s="10"/>
      <c r="DH643" s="10"/>
      <c r="DI643" s="10"/>
      <c r="DJ643" s="10"/>
      <c r="DK643" s="10"/>
      <c r="DL643" s="10"/>
      <c r="DM643" s="10"/>
      <c r="DN643" s="10"/>
      <c r="DO643" s="10"/>
      <c r="DP643" s="10"/>
      <c r="DQ643" s="10"/>
      <c r="DR643" s="10"/>
      <c r="DS643" s="10"/>
      <c r="DT643" s="10"/>
      <c r="DU643" s="10"/>
      <c r="DV643" s="10"/>
      <c r="DW643" s="10"/>
      <c r="DX643" s="10"/>
      <c r="DY643" s="10"/>
      <c r="DZ643" s="10"/>
      <c r="EA643" s="10"/>
      <c r="EB643" s="10"/>
      <c r="EC643" s="10"/>
      <c r="ED643" s="10"/>
      <c r="EE643" s="10"/>
      <c r="EF643" s="10"/>
      <c r="EG643" s="10"/>
      <c r="EH643" s="10"/>
      <c r="EI643" s="10"/>
      <c r="EJ643" s="10"/>
      <c r="EK643" s="10"/>
      <c r="EL643" s="10"/>
    </row>
    <row r="644" spans="2:142" hidden="1" x14ac:dyDescent="0.2">
      <c r="B644" s="146">
        <v>132</v>
      </c>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c r="CF644" s="10"/>
      <c r="CG644" s="10"/>
      <c r="CH644" s="10"/>
      <c r="CI644" s="10"/>
      <c r="CJ644" s="10"/>
      <c r="CK644" s="10"/>
      <c r="CL644" s="10"/>
      <c r="CM644" s="10"/>
      <c r="CN644" s="10"/>
      <c r="CO644" s="10"/>
      <c r="CP644" s="10"/>
      <c r="CQ644" s="10"/>
      <c r="CR644" s="10"/>
      <c r="CS644" s="10"/>
      <c r="CT644" s="10"/>
      <c r="CU644" s="10"/>
      <c r="CV644" s="10"/>
      <c r="CW644" s="10"/>
      <c r="CX644" s="10"/>
      <c r="CY644" s="10"/>
      <c r="CZ644" s="10"/>
      <c r="DA644" s="10"/>
      <c r="DB644" s="10"/>
      <c r="DC644" s="10"/>
      <c r="DD644" s="10"/>
      <c r="DE644" s="10"/>
      <c r="DF644" s="10"/>
      <c r="DG644" s="10"/>
      <c r="DH644" s="10"/>
      <c r="DI644" s="10"/>
      <c r="DJ644" s="10"/>
      <c r="DK644" s="10"/>
      <c r="DL644" s="10"/>
      <c r="DM644" s="10"/>
      <c r="DN644" s="10"/>
      <c r="DO644" s="10"/>
      <c r="DP644" s="10"/>
      <c r="DQ644" s="10"/>
      <c r="DR644" s="10"/>
      <c r="DS644" s="10"/>
      <c r="DT644" s="10"/>
      <c r="DU644" s="10"/>
      <c r="DV644" s="10"/>
      <c r="DW644" s="10"/>
      <c r="DX644" s="10"/>
      <c r="DY644" s="10"/>
      <c r="DZ644" s="10"/>
      <c r="EA644" s="10"/>
      <c r="EB644" s="10"/>
      <c r="EC644" s="10"/>
      <c r="ED644" s="10"/>
      <c r="EE644" s="10"/>
      <c r="EF644" s="10"/>
      <c r="EG644" s="10"/>
      <c r="EH644" s="10"/>
      <c r="EI644" s="10"/>
      <c r="EJ644" s="10"/>
      <c r="EK644" s="10"/>
      <c r="EL644" s="10"/>
    </row>
    <row r="645" spans="2:142" hidden="1" x14ac:dyDescent="0.2">
      <c r="B645" s="146">
        <v>133</v>
      </c>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c r="DF645" s="10"/>
      <c r="DG645" s="10"/>
      <c r="DH645" s="10"/>
      <c r="DI645" s="10"/>
      <c r="DJ645" s="10"/>
      <c r="DK645" s="10"/>
      <c r="DL645" s="10"/>
      <c r="DM645" s="10"/>
      <c r="DN645" s="10"/>
      <c r="DO645" s="10"/>
      <c r="DP645" s="10"/>
      <c r="DQ645" s="10"/>
      <c r="DR645" s="10"/>
      <c r="DS645" s="10"/>
      <c r="DT645" s="10"/>
      <c r="DU645" s="10"/>
      <c r="DV645" s="10"/>
      <c r="DW645" s="10"/>
      <c r="DX645" s="10"/>
      <c r="DY645" s="10"/>
      <c r="DZ645" s="10"/>
      <c r="EA645" s="10"/>
      <c r="EB645" s="10"/>
      <c r="EC645" s="10"/>
      <c r="ED645" s="10"/>
      <c r="EE645" s="10"/>
      <c r="EF645" s="10"/>
      <c r="EG645" s="10"/>
      <c r="EH645" s="10"/>
      <c r="EI645" s="10"/>
      <c r="EJ645" s="10"/>
      <c r="EK645" s="10"/>
      <c r="EL645" s="10"/>
    </row>
    <row r="646" spans="2:142" hidden="1" x14ac:dyDescent="0.2">
      <c r="B646" s="146">
        <v>134</v>
      </c>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c r="DF646" s="10"/>
      <c r="DG646" s="10"/>
      <c r="DH646" s="10"/>
      <c r="DI646" s="10"/>
      <c r="DJ646" s="10"/>
      <c r="DK646" s="10"/>
      <c r="DL646" s="10"/>
      <c r="DM646" s="10"/>
      <c r="DN646" s="10"/>
      <c r="DO646" s="10"/>
      <c r="DP646" s="10"/>
      <c r="DQ646" s="10"/>
      <c r="DR646" s="10"/>
      <c r="DS646" s="10"/>
      <c r="DT646" s="10"/>
      <c r="DU646" s="10"/>
      <c r="DV646" s="10"/>
      <c r="DW646" s="10"/>
      <c r="DX646" s="10"/>
      <c r="DY646" s="10"/>
      <c r="DZ646" s="10"/>
      <c r="EA646" s="10"/>
      <c r="EB646" s="10"/>
      <c r="EC646" s="10"/>
      <c r="ED646" s="10"/>
      <c r="EE646" s="10"/>
      <c r="EF646" s="10"/>
      <c r="EG646" s="10"/>
      <c r="EH646" s="10"/>
      <c r="EI646" s="10"/>
      <c r="EJ646" s="10"/>
      <c r="EK646" s="10"/>
      <c r="EL646" s="10"/>
    </row>
    <row r="647" spans="2:142" hidden="1" x14ac:dyDescent="0.2">
      <c r="B647" s="146">
        <v>135</v>
      </c>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c r="CG647" s="10"/>
      <c r="CH647" s="10"/>
      <c r="CI647" s="10"/>
      <c r="CJ647" s="10"/>
      <c r="CK647" s="10"/>
      <c r="CL647" s="10"/>
      <c r="CM647" s="10"/>
      <c r="CN647" s="10"/>
      <c r="CO647" s="10"/>
      <c r="CP647" s="10"/>
      <c r="CQ647" s="10"/>
      <c r="CR647" s="10"/>
      <c r="CS647" s="10"/>
      <c r="CT647" s="10"/>
      <c r="CU647" s="10"/>
      <c r="CV647" s="10"/>
      <c r="CW647" s="10"/>
      <c r="CX647" s="10"/>
      <c r="CY647" s="10"/>
      <c r="CZ647" s="10"/>
      <c r="DA647" s="10"/>
      <c r="DB647" s="10"/>
      <c r="DC647" s="10"/>
      <c r="DD647" s="10"/>
      <c r="DE647" s="10"/>
      <c r="DF647" s="10"/>
      <c r="DG647" s="10"/>
      <c r="DH647" s="10"/>
      <c r="DI647" s="10"/>
      <c r="DJ647" s="10"/>
      <c r="DK647" s="10"/>
      <c r="DL647" s="10"/>
      <c r="DM647" s="10"/>
      <c r="DN647" s="10"/>
      <c r="DO647" s="10"/>
      <c r="DP647" s="10"/>
      <c r="DQ647" s="10"/>
      <c r="DR647" s="10"/>
      <c r="DS647" s="10"/>
      <c r="DT647" s="10"/>
      <c r="DU647" s="10"/>
      <c r="DV647" s="10"/>
      <c r="DW647" s="10"/>
      <c r="DX647" s="10"/>
      <c r="DY647" s="10"/>
      <c r="DZ647" s="10"/>
      <c r="EA647" s="10"/>
      <c r="EB647" s="10"/>
      <c r="EC647" s="10"/>
      <c r="ED647" s="10"/>
      <c r="EE647" s="10"/>
      <c r="EF647" s="10"/>
      <c r="EG647" s="10"/>
      <c r="EH647" s="10"/>
      <c r="EI647" s="10"/>
      <c r="EJ647" s="10"/>
      <c r="EK647" s="10"/>
      <c r="EL647" s="10"/>
    </row>
    <row r="648" spans="2:142" hidden="1" x14ac:dyDescent="0.2">
      <c r="B648" s="146">
        <v>136</v>
      </c>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c r="CG648" s="10"/>
      <c r="CH648" s="10"/>
      <c r="CI648" s="10"/>
      <c r="CJ648" s="10"/>
      <c r="CK648" s="10"/>
      <c r="CL648" s="10"/>
      <c r="CM648" s="10"/>
      <c r="CN648" s="10"/>
      <c r="CO648" s="10"/>
      <c r="CP648" s="10"/>
      <c r="CQ648" s="10"/>
      <c r="CR648" s="10"/>
      <c r="CS648" s="10"/>
      <c r="CT648" s="10"/>
      <c r="CU648" s="10"/>
      <c r="CV648" s="10"/>
      <c r="CW648" s="10"/>
      <c r="CX648" s="10"/>
      <c r="CY648" s="10"/>
      <c r="CZ648" s="10"/>
      <c r="DA648" s="10"/>
      <c r="DB648" s="10"/>
      <c r="DC648" s="10"/>
      <c r="DD648" s="10"/>
      <c r="DE648" s="10"/>
      <c r="DF648" s="10"/>
      <c r="DG648" s="10"/>
      <c r="DH648" s="10"/>
      <c r="DI648" s="10"/>
      <c r="DJ648" s="10"/>
      <c r="DK648" s="10"/>
      <c r="DL648" s="10"/>
      <c r="DM648" s="10"/>
      <c r="DN648" s="10"/>
      <c r="DO648" s="10"/>
      <c r="DP648" s="10"/>
      <c r="DQ648" s="10"/>
      <c r="DR648" s="10"/>
      <c r="DS648" s="10"/>
      <c r="DT648" s="10"/>
      <c r="DU648" s="10"/>
      <c r="DV648" s="10"/>
      <c r="DW648" s="10"/>
      <c r="DX648" s="10"/>
      <c r="DY648" s="10"/>
      <c r="DZ648" s="10"/>
      <c r="EA648" s="10"/>
      <c r="EB648" s="10"/>
      <c r="EC648" s="10"/>
      <c r="ED648" s="10"/>
      <c r="EE648" s="10"/>
      <c r="EF648" s="10"/>
      <c r="EG648" s="10"/>
      <c r="EH648" s="10"/>
      <c r="EI648" s="10"/>
      <c r="EJ648" s="10"/>
      <c r="EK648" s="10"/>
      <c r="EL648" s="10"/>
    </row>
    <row r="649" spans="2:142" hidden="1" x14ac:dyDescent="0.2">
      <c r="B649" s="146">
        <v>137</v>
      </c>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c r="CG649" s="10"/>
      <c r="CH649" s="10"/>
      <c r="CI649" s="10"/>
      <c r="CJ649" s="10"/>
      <c r="CK649" s="10"/>
      <c r="CL649" s="10"/>
      <c r="CM649" s="10"/>
      <c r="CN649" s="10"/>
      <c r="CO649" s="10"/>
      <c r="CP649" s="10"/>
      <c r="CQ649" s="10"/>
      <c r="CR649" s="10"/>
      <c r="CS649" s="10"/>
      <c r="CT649" s="10"/>
      <c r="CU649" s="10"/>
      <c r="CV649" s="10"/>
      <c r="CW649" s="10"/>
      <c r="CX649" s="10"/>
      <c r="CY649" s="10"/>
      <c r="CZ649" s="10"/>
      <c r="DA649" s="10"/>
      <c r="DB649" s="10"/>
      <c r="DC649" s="10"/>
      <c r="DD649" s="10"/>
      <c r="DE649" s="10"/>
      <c r="DF649" s="10"/>
      <c r="DG649" s="10"/>
      <c r="DH649" s="10"/>
      <c r="DI649" s="10"/>
      <c r="DJ649" s="10"/>
      <c r="DK649" s="10"/>
      <c r="DL649" s="10"/>
      <c r="DM649" s="10"/>
      <c r="DN649" s="10"/>
      <c r="DO649" s="10"/>
      <c r="DP649" s="10"/>
      <c r="DQ649" s="10"/>
      <c r="DR649" s="10"/>
      <c r="DS649" s="10"/>
      <c r="DT649" s="10"/>
      <c r="DU649" s="10"/>
      <c r="DV649" s="10"/>
      <c r="DW649" s="10"/>
      <c r="DX649" s="10"/>
      <c r="DY649" s="10"/>
      <c r="DZ649" s="10"/>
      <c r="EA649" s="10"/>
      <c r="EB649" s="10"/>
      <c r="EC649" s="10"/>
      <c r="ED649" s="10"/>
      <c r="EE649" s="10"/>
      <c r="EF649" s="10"/>
      <c r="EG649" s="10"/>
      <c r="EH649" s="10"/>
      <c r="EI649" s="10"/>
      <c r="EJ649" s="10"/>
      <c r="EK649" s="10"/>
      <c r="EL649" s="10"/>
    </row>
    <row r="650" spans="2:142" hidden="1" x14ac:dyDescent="0.2">
      <c r="B650" s="146">
        <v>138</v>
      </c>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c r="CF650" s="10"/>
      <c r="CG650" s="10"/>
      <c r="CH650" s="10"/>
      <c r="CI650" s="10"/>
      <c r="CJ650" s="10"/>
      <c r="CK650" s="10"/>
      <c r="CL650" s="10"/>
      <c r="CM650" s="10"/>
      <c r="CN650" s="10"/>
      <c r="CO650" s="10"/>
      <c r="CP650" s="10"/>
      <c r="CQ650" s="10"/>
      <c r="CR650" s="10"/>
      <c r="CS650" s="10"/>
      <c r="CT650" s="10"/>
      <c r="CU650" s="10"/>
      <c r="CV650" s="10"/>
      <c r="CW650" s="10"/>
      <c r="CX650" s="10"/>
      <c r="CY650" s="10"/>
      <c r="CZ650" s="10"/>
      <c r="DA650" s="10"/>
      <c r="DB650" s="10"/>
      <c r="DC650" s="10"/>
      <c r="DD650" s="10"/>
      <c r="DE650" s="10"/>
      <c r="DF650" s="10"/>
      <c r="DG650" s="10"/>
      <c r="DH650" s="10"/>
      <c r="DI650" s="10"/>
      <c r="DJ650" s="10"/>
      <c r="DK650" s="10"/>
      <c r="DL650" s="10"/>
      <c r="DM650" s="10"/>
      <c r="DN650" s="10"/>
      <c r="DO650" s="10"/>
      <c r="DP650" s="10"/>
      <c r="DQ650" s="10"/>
      <c r="DR650" s="10"/>
      <c r="DS650" s="10"/>
      <c r="DT650" s="10"/>
      <c r="DU650" s="10"/>
      <c r="DV650" s="10"/>
      <c r="DW650" s="10"/>
      <c r="DX650" s="10"/>
      <c r="DY650" s="10"/>
      <c r="DZ650" s="10"/>
      <c r="EA650" s="10"/>
      <c r="EB650" s="10"/>
      <c r="EC650" s="10"/>
      <c r="ED650" s="10"/>
      <c r="EE650" s="10"/>
      <c r="EF650" s="10"/>
      <c r="EG650" s="10"/>
      <c r="EH650" s="10"/>
      <c r="EI650" s="10"/>
      <c r="EJ650" s="10"/>
      <c r="EK650" s="10"/>
      <c r="EL650" s="10"/>
    </row>
    <row r="651" spans="2:142" hidden="1" x14ac:dyDescent="0.2">
      <c r="B651" s="146">
        <v>139</v>
      </c>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c r="CG651" s="10"/>
      <c r="CH651" s="10"/>
      <c r="CI651" s="10"/>
      <c r="CJ651" s="10"/>
      <c r="CK651" s="10"/>
      <c r="CL651" s="10"/>
      <c r="CM651" s="10"/>
      <c r="CN651" s="10"/>
      <c r="CO651" s="10"/>
      <c r="CP651" s="10"/>
      <c r="CQ651" s="10"/>
      <c r="CR651" s="10"/>
      <c r="CS651" s="10"/>
      <c r="CT651" s="10"/>
      <c r="CU651" s="10"/>
      <c r="CV651" s="10"/>
      <c r="CW651" s="10"/>
      <c r="CX651" s="10"/>
      <c r="CY651" s="10"/>
      <c r="CZ651" s="10"/>
      <c r="DA651" s="10"/>
      <c r="DB651" s="10"/>
      <c r="DC651" s="10"/>
      <c r="DD651" s="10"/>
      <c r="DE651" s="10"/>
      <c r="DF651" s="10"/>
      <c r="DG651" s="10"/>
      <c r="DH651" s="10"/>
      <c r="DI651" s="10"/>
      <c r="DJ651" s="10"/>
      <c r="DK651" s="10"/>
      <c r="DL651" s="10"/>
      <c r="DM651" s="10"/>
      <c r="DN651" s="10"/>
      <c r="DO651" s="10"/>
      <c r="DP651" s="10"/>
      <c r="DQ651" s="10"/>
      <c r="DR651" s="10"/>
      <c r="DS651" s="10"/>
      <c r="DT651" s="10"/>
      <c r="DU651" s="10"/>
      <c r="DV651" s="10"/>
      <c r="DW651" s="10"/>
      <c r="DX651" s="10"/>
      <c r="DY651" s="10"/>
      <c r="DZ651" s="10"/>
      <c r="EA651" s="10"/>
      <c r="EB651" s="10"/>
      <c r="EC651" s="10"/>
      <c r="ED651" s="10"/>
      <c r="EE651" s="10"/>
      <c r="EF651" s="10"/>
      <c r="EG651" s="10"/>
      <c r="EH651" s="10"/>
      <c r="EI651" s="10"/>
      <c r="EJ651" s="10"/>
      <c r="EK651" s="10"/>
      <c r="EL651" s="10"/>
    </row>
    <row r="652" spans="2:142" hidden="1" x14ac:dyDescent="0.2">
      <c r="B652" s="146">
        <v>140</v>
      </c>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c r="CG652" s="10"/>
      <c r="CH652" s="10"/>
      <c r="CI652" s="10"/>
      <c r="CJ652" s="10"/>
      <c r="CK652" s="10"/>
      <c r="CL652" s="10"/>
      <c r="CM652" s="10"/>
      <c r="CN652" s="10"/>
      <c r="CO652" s="10"/>
      <c r="CP652" s="10"/>
      <c r="CQ652" s="10"/>
      <c r="CR652" s="10"/>
      <c r="CS652" s="10"/>
      <c r="CT652" s="10"/>
      <c r="CU652" s="10"/>
      <c r="CV652" s="10"/>
      <c r="CW652" s="10"/>
      <c r="CX652" s="10"/>
      <c r="CY652" s="10"/>
      <c r="CZ652" s="10"/>
      <c r="DA652" s="10"/>
      <c r="DB652" s="10"/>
      <c r="DC652" s="10"/>
      <c r="DD652" s="10"/>
      <c r="DE652" s="10"/>
      <c r="DF652" s="10"/>
      <c r="DG652" s="10"/>
      <c r="DH652" s="10"/>
      <c r="DI652" s="10"/>
      <c r="DJ652" s="10"/>
      <c r="DK652" s="10"/>
      <c r="DL652" s="10"/>
      <c r="DM652" s="10"/>
      <c r="DN652" s="10"/>
      <c r="DO652" s="10"/>
      <c r="DP652" s="10"/>
      <c r="DQ652" s="10"/>
      <c r="DR652" s="10"/>
      <c r="DS652" s="10"/>
      <c r="DT652" s="10"/>
      <c r="DU652" s="10"/>
      <c r="DV652" s="10"/>
      <c r="DW652" s="10"/>
      <c r="DX652" s="10"/>
      <c r="DY652" s="10"/>
      <c r="DZ652" s="10"/>
      <c r="EA652" s="10"/>
      <c r="EB652" s="10"/>
      <c r="EC652" s="10"/>
      <c r="ED652" s="10"/>
      <c r="EE652" s="10"/>
      <c r="EF652" s="10"/>
      <c r="EG652" s="10"/>
      <c r="EH652" s="10"/>
      <c r="EI652" s="10"/>
      <c r="EJ652" s="10"/>
      <c r="EK652" s="10"/>
      <c r="EL652" s="10"/>
    </row>
    <row r="653" spans="2:142" hidden="1" x14ac:dyDescent="0.2">
      <c r="B653" s="146">
        <v>141</v>
      </c>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c r="CG653" s="10"/>
      <c r="CH653" s="10"/>
      <c r="CI653" s="10"/>
      <c r="CJ653" s="10"/>
      <c r="CK653" s="10"/>
      <c r="CL653" s="10"/>
      <c r="CM653" s="10"/>
      <c r="CN653" s="10"/>
      <c r="CO653" s="10"/>
      <c r="CP653" s="10"/>
      <c r="CQ653" s="10"/>
      <c r="CR653" s="10"/>
      <c r="CS653" s="10"/>
      <c r="CT653" s="10"/>
      <c r="CU653" s="10"/>
      <c r="CV653" s="10"/>
      <c r="CW653" s="10"/>
      <c r="CX653" s="10"/>
      <c r="CY653" s="10"/>
      <c r="CZ653" s="10"/>
      <c r="DA653" s="10"/>
      <c r="DB653" s="10"/>
      <c r="DC653" s="10"/>
      <c r="DD653" s="10"/>
      <c r="DE653" s="10"/>
      <c r="DF653" s="10"/>
      <c r="DG653" s="10"/>
      <c r="DH653" s="10"/>
      <c r="DI653" s="10"/>
      <c r="DJ653" s="10"/>
      <c r="DK653" s="10"/>
      <c r="DL653" s="10"/>
      <c r="DM653" s="10"/>
      <c r="DN653" s="10"/>
      <c r="DO653" s="10"/>
      <c r="DP653" s="10"/>
      <c r="DQ653" s="10"/>
      <c r="DR653" s="10"/>
      <c r="DS653" s="10"/>
      <c r="DT653" s="10"/>
      <c r="DU653" s="10"/>
      <c r="DV653" s="10"/>
      <c r="DW653" s="10"/>
      <c r="DX653" s="10"/>
      <c r="DY653" s="10"/>
      <c r="DZ653" s="10"/>
      <c r="EA653" s="10"/>
      <c r="EB653" s="10"/>
      <c r="EC653" s="10"/>
      <c r="ED653" s="10"/>
      <c r="EE653" s="10"/>
      <c r="EF653" s="10"/>
      <c r="EG653" s="10"/>
      <c r="EH653" s="10"/>
      <c r="EI653" s="10"/>
      <c r="EJ653" s="10"/>
      <c r="EK653" s="10"/>
      <c r="EL653" s="10"/>
    </row>
    <row r="654" spans="2:142" hidden="1" x14ac:dyDescent="0.2">
      <c r="B654" s="146">
        <v>142</v>
      </c>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c r="DF654" s="10"/>
      <c r="DG654" s="10"/>
      <c r="DH654" s="10"/>
      <c r="DI654" s="10"/>
      <c r="DJ654" s="10"/>
      <c r="DK654" s="10"/>
      <c r="DL654" s="10"/>
      <c r="DM654" s="10"/>
      <c r="DN654" s="10"/>
      <c r="DO654" s="10"/>
      <c r="DP654" s="10"/>
      <c r="DQ654" s="10"/>
      <c r="DR654" s="10"/>
      <c r="DS654" s="10"/>
      <c r="DT654" s="10"/>
      <c r="DU654" s="10"/>
      <c r="DV654" s="10"/>
      <c r="DW654" s="10"/>
      <c r="DX654" s="10"/>
      <c r="DY654" s="10"/>
      <c r="DZ654" s="10"/>
      <c r="EA654" s="10"/>
      <c r="EB654" s="10"/>
      <c r="EC654" s="10"/>
      <c r="ED654" s="10"/>
      <c r="EE654" s="10"/>
      <c r="EF654" s="10"/>
      <c r="EG654" s="10"/>
      <c r="EH654" s="10"/>
      <c r="EI654" s="10"/>
      <c r="EJ654" s="10"/>
      <c r="EK654" s="10"/>
      <c r="EL654" s="10"/>
    </row>
    <row r="655" spans="2:142" hidden="1" x14ac:dyDescent="0.2">
      <c r="B655" s="146">
        <v>143</v>
      </c>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c r="DF655" s="10"/>
      <c r="DG655" s="10"/>
      <c r="DH655" s="10"/>
      <c r="DI655" s="10"/>
      <c r="DJ655" s="10"/>
      <c r="DK655" s="10"/>
      <c r="DL655" s="10"/>
      <c r="DM655" s="10"/>
      <c r="DN655" s="10"/>
      <c r="DO655" s="10"/>
      <c r="DP655" s="10"/>
      <c r="DQ655" s="10"/>
      <c r="DR655" s="10"/>
      <c r="DS655" s="10"/>
      <c r="DT655" s="10"/>
      <c r="DU655" s="10"/>
      <c r="DV655" s="10"/>
      <c r="DW655" s="10"/>
      <c r="DX655" s="10"/>
      <c r="DY655" s="10"/>
      <c r="DZ655" s="10"/>
      <c r="EA655" s="10"/>
      <c r="EB655" s="10"/>
      <c r="EC655" s="10"/>
      <c r="ED655" s="10"/>
      <c r="EE655" s="10"/>
      <c r="EF655" s="10"/>
      <c r="EG655" s="10"/>
      <c r="EH655" s="10"/>
      <c r="EI655" s="10"/>
      <c r="EJ655" s="10"/>
      <c r="EK655" s="10"/>
      <c r="EL655" s="10"/>
    </row>
    <row r="656" spans="2:142" hidden="1" x14ac:dyDescent="0.2">
      <c r="B656" s="146">
        <v>144</v>
      </c>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c r="DF656" s="10"/>
      <c r="DG656" s="10"/>
      <c r="DH656" s="10"/>
      <c r="DI656" s="10"/>
      <c r="DJ656" s="10"/>
      <c r="DK656" s="10"/>
      <c r="DL656" s="10"/>
      <c r="DM656" s="10"/>
      <c r="DN656" s="10"/>
      <c r="DO656" s="10"/>
      <c r="DP656" s="10"/>
      <c r="DQ656" s="10"/>
      <c r="DR656" s="10"/>
      <c r="DS656" s="10"/>
      <c r="DT656" s="10"/>
      <c r="DU656" s="10"/>
      <c r="DV656" s="10"/>
      <c r="DW656" s="10"/>
      <c r="DX656" s="10"/>
      <c r="DY656" s="10"/>
      <c r="DZ656" s="10"/>
      <c r="EA656" s="10"/>
      <c r="EB656" s="10"/>
      <c r="EC656" s="10"/>
      <c r="ED656" s="10"/>
      <c r="EE656" s="10"/>
      <c r="EF656" s="10"/>
      <c r="EG656" s="10"/>
      <c r="EH656" s="10"/>
      <c r="EI656" s="10"/>
      <c r="EJ656" s="10"/>
      <c r="EK656" s="10"/>
      <c r="EL656" s="10"/>
    </row>
    <row r="657" spans="2:142" hidden="1" x14ac:dyDescent="0.2">
      <c r="B657" s="146">
        <v>145</v>
      </c>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c r="CH657" s="10"/>
      <c r="CI657" s="10"/>
      <c r="CJ657" s="10"/>
      <c r="CK657" s="10"/>
      <c r="CL657" s="10"/>
      <c r="CM657" s="10"/>
      <c r="CN657" s="10"/>
      <c r="CO657" s="10"/>
      <c r="CP657" s="10"/>
      <c r="CQ657" s="10"/>
      <c r="CR657" s="10"/>
      <c r="CS657" s="10"/>
      <c r="CT657" s="10"/>
      <c r="CU657" s="10"/>
      <c r="CV657" s="10"/>
      <c r="CW657" s="10"/>
      <c r="CX657" s="10"/>
      <c r="CY657" s="10"/>
      <c r="CZ657" s="10"/>
      <c r="DA657" s="10"/>
      <c r="DB657" s="10"/>
      <c r="DC657" s="10"/>
      <c r="DD657" s="10"/>
      <c r="DE657" s="10"/>
      <c r="DF657" s="10"/>
      <c r="DG657" s="10"/>
      <c r="DH657" s="10"/>
      <c r="DI657" s="10"/>
      <c r="DJ657" s="10"/>
      <c r="DK657" s="10"/>
      <c r="DL657" s="10"/>
      <c r="DM657" s="10"/>
      <c r="DN657" s="10"/>
      <c r="DO657" s="10"/>
      <c r="DP657" s="10"/>
      <c r="DQ657" s="10"/>
      <c r="DR657" s="10"/>
      <c r="DS657" s="10"/>
      <c r="DT657" s="10"/>
      <c r="DU657" s="10"/>
      <c r="DV657" s="10"/>
      <c r="DW657" s="10"/>
      <c r="DX657" s="10"/>
      <c r="DY657" s="10"/>
      <c r="DZ657" s="10"/>
      <c r="EA657" s="10"/>
      <c r="EB657" s="10"/>
      <c r="EC657" s="10"/>
      <c r="ED657" s="10"/>
      <c r="EE657" s="10"/>
      <c r="EF657" s="10"/>
      <c r="EG657" s="10"/>
      <c r="EH657" s="10"/>
      <c r="EI657" s="10"/>
      <c r="EJ657" s="10"/>
      <c r="EK657" s="10"/>
      <c r="EL657" s="10"/>
    </row>
    <row r="658" spans="2:142" hidden="1" x14ac:dyDescent="0.2">
      <c r="B658" s="146">
        <v>146</v>
      </c>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c r="CG658" s="10"/>
      <c r="CH658" s="10"/>
      <c r="CI658" s="10"/>
      <c r="CJ658" s="10"/>
      <c r="CK658" s="10"/>
      <c r="CL658" s="10"/>
      <c r="CM658" s="10"/>
      <c r="CN658" s="10"/>
      <c r="CO658" s="10"/>
      <c r="CP658" s="10"/>
      <c r="CQ658" s="10"/>
      <c r="CR658" s="10"/>
      <c r="CS658" s="10"/>
      <c r="CT658" s="10"/>
      <c r="CU658" s="10"/>
      <c r="CV658" s="10"/>
      <c r="CW658" s="10"/>
      <c r="CX658" s="10"/>
      <c r="CY658" s="10"/>
      <c r="CZ658" s="10"/>
      <c r="DA658" s="10"/>
      <c r="DB658" s="10"/>
      <c r="DC658" s="10"/>
      <c r="DD658" s="10"/>
      <c r="DE658" s="10"/>
      <c r="DF658" s="10"/>
      <c r="DG658" s="10"/>
      <c r="DH658" s="10"/>
      <c r="DI658" s="10"/>
      <c r="DJ658" s="10"/>
      <c r="DK658" s="10"/>
      <c r="DL658" s="10"/>
      <c r="DM658" s="10"/>
      <c r="DN658" s="10"/>
      <c r="DO658" s="10"/>
      <c r="DP658" s="10"/>
      <c r="DQ658" s="10"/>
      <c r="DR658" s="10"/>
      <c r="DS658" s="10"/>
      <c r="DT658" s="10"/>
      <c r="DU658" s="10"/>
      <c r="DV658" s="10"/>
      <c r="DW658" s="10"/>
      <c r="DX658" s="10"/>
      <c r="DY658" s="10"/>
      <c r="DZ658" s="10"/>
      <c r="EA658" s="10"/>
      <c r="EB658" s="10"/>
      <c r="EC658" s="10"/>
      <c r="ED658" s="10"/>
      <c r="EE658" s="10"/>
      <c r="EF658" s="10"/>
      <c r="EG658" s="10"/>
      <c r="EH658" s="10"/>
      <c r="EI658" s="10"/>
      <c r="EJ658" s="10"/>
      <c r="EK658" s="10"/>
      <c r="EL658" s="10"/>
    </row>
    <row r="659" spans="2:142" hidden="1" x14ac:dyDescent="0.2">
      <c r="B659" s="146">
        <v>147</v>
      </c>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c r="CF659" s="10"/>
      <c r="CG659" s="10"/>
      <c r="CH659" s="10"/>
      <c r="CI659" s="10"/>
      <c r="CJ659" s="10"/>
      <c r="CK659" s="10"/>
      <c r="CL659" s="10"/>
      <c r="CM659" s="10"/>
      <c r="CN659" s="10"/>
      <c r="CO659" s="10"/>
      <c r="CP659" s="10"/>
      <c r="CQ659" s="10"/>
      <c r="CR659" s="10"/>
      <c r="CS659" s="10"/>
      <c r="CT659" s="10"/>
      <c r="CU659" s="10"/>
      <c r="CV659" s="10"/>
      <c r="CW659" s="10"/>
      <c r="CX659" s="10"/>
      <c r="CY659" s="10"/>
      <c r="CZ659" s="10"/>
      <c r="DA659" s="10"/>
      <c r="DB659" s="10"/>
      <c r="DC659" s="10"/>
      <c r="DD659" s="10"/>
      <c r="DE659" s="10"/>
      <c r="DF659" s="10"/>
      <c r="DG659" s="10"/>
      <c r="DH659" s="10"/>
      <c r="DI659" s="10"/>
      <c r="DJ659" s="10"/>
      <c r="DK659" s="10"/>
      <c r="DL659" s="10"/>
      <c r="DM659" s="10"/>
      <c r="DN659" s="10"/>
      <c r="DO659" s="10"/>
      <c r="DP659" s="10"/>
      <c r="DQ659" s="10"/>
      <c r="DR659" s="10"/>
      <c r="DS659" s="10"/>
      <c r="DT659" s="10"/>
      <c r="DU659" s="10"/>
      <c r="DV659" s="10"/>
      <c r="DW659" s="10"/>
      <c r="DX659" s="10"/>
      <c r="DY659" s="10"/>
      <c r="DZ659" s="10"/>
      <c r="EA659" s="10"/>
      <c r="EB659" s="10"/>
      <c r="EC659" s="10"/>
      <c r="ED659" s="10"/>
      <c r="EE659" s="10"/>
      <c r="EF659" s="10"/>
      <c r="EG659" s="10"/>
      <c r="EH659" s="10"/>
      <c r="EI659" s="10"/>
      <c r="EJ659" s="10"/>
      <c r="EK659" s="10"/>
      <c r="EL659" s="10"/>
    </row>
    <row r="660" spans="2:142" hidden="1" x14ac:dyDescent="0.2">
      <c r="B660" s="146">
        <v>148</v>
      </c>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c r="CF660" s="10"/>
      <c r="CG660" s="10"/>
      <c r="CH660" s="10"/>
      <c r="CI660" s="10"/>
      <c r="CJ660" s="10"/>
      <c r="CK660" s="10"/>
      <c r="CL660" s="10"/>
      <c r="CM660" s="10"/>
      <c r="CN660" s="10"/>
      <c r="CO660" s="10"/>
      <c r="CP660" s="10"/>
      <c r="CQ660" s="10"/>
      <c r="CR660" s="10"/>
      <c r="CS660" s="10"/>
      <c r="CT660" s="10"/>
      <c r="CU660" s="10"/>
      <c r="CV660" s="10"/>
      <c r="CW660" s="10"/>
      <c r="CX660" s="10"/>
      <c r="CY660" s="10"/>
      <c r="CZ660" s="10"/>
      <c r="DA660" s="10"/>
      <c r="DB660" s="10"/>
      <c r="DC660" s="10"/>
      <c r="DD660" s="10"/>
      <c r="DE660" s="10"/>
      <c r="DF660" s="10"/>
      <c r="DG660" s="10"/>
      <c r="DH660" s="10"/>
      <c r="DI660" s="10"/>
      <c r="DJ660" s="10"/>
      <c r="DK660" s="10"/>
      <c r="DL660" s="10"/>
      <c r="DM660" s="10"/>
      <c r="DN660" s="10"/>
      <c r="DO660" s="10"/>
      <c r="DP660" s="10"/>
      <c r="DQ660" s="10"/>
      <c r="DR660" s="10"/>
      <c r="DS660" s="10"/>
      <c r="DT660" s="10"/>
      <c r="DU660" s="10"/>
      <c r="DV660" s="10"/>
      <c r="DW660" s="10"/>
      <c r="DX660" s="10"/>
      <c r="DY660" s="10"/>
      <c r="DZ660" s="10"/>
      <c r="EA660" s="10"/>
      <c r="EB660" s="10"/>
      <c r="EC660" s="10"/>
      <c r="ED660" s="10"/>
      <c r="EE660" s="10"/>
      <c r="EF660" s="10"/>
      <c r="EG660" s="10"/>
      <c r="EH660" s="10"/>
      <c r="EI660" s="10"/>
      <c r="EJ660" s="10"/>
      <c r="EK660" s="10"/>
      <c r="EL660" s="10"/>
    </row>
    <row r="661" spans="2:142" hidden="1" x14ac:dyDescent="0.2">
      <c r="B661" s="146">
        <v>149</v>
      </c>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c r="CF661" s="10"/>
      <c r="CG661" s="10"/>
      <c r="CH661" s="10"/>
      <c r="CI661" s="10"/>
      <c r="CJ661" s="10"/>
      <c r="CK661" s="10"/>
      <c r="CL661" s="10"/>
      <c r="CM661" s="10"/>
      <c r="CN661" s="10"/>
      <c r="CO661" s="10"/>
      <c r="CP661" s="10"/>
      <c r="CQ661" s="10"/>
      <c r="CR661" s="10"/>
      <c r="CS661" s="10"/>
      <c r="CT661" s="10"/>
      <c r="CU661" s="10"/>
      <c r="CV661" s="10"/>
      <c r="CW661" s="10"/>
      <c r="CX661" s="10"/>
      <c r="CY661" s="10"/>
      <c r="CZ661" s="10"/>
      <c r="DA661" s="10"/>
      <c r="DB661" s="10"/>
      <c r="DC661" s="10"/>
      <c r="DD661" s="10"/>
      <c r="DE661" s="10"/>
      <c r="DF661" s="10"/>
      <c r="DG661" s="10"/>
      <c r="DH661" s="10"/>
      <c r="DI661" s="10"/>
      <c r="DJ661" s="10"/>
      <c r="DK661" s="10"/>
      <c r="DL661" s="10"/>
      <c r="DM661" s="10"/>
      <c r="DN661" s="10"/>
      <c r="DO661" s="10"/>
      <c r="DP661" s="10"/>
      <c r="DQ661" s="10"/>
      <c r="DR661" s="10"/>
      <c r="DS661" s="10"/>
      <c r="DT661" s="10"/>
      <c r="DU661" s="10"/>
      <c r="DV661" s="10"/>
      <c r="DW661" s="10"/>
      <c r="DX661" s="10"/>
      <c r="DY661" s="10"/>
      <c r="DZ661" s="10"/>
      <c r="EA661" s="10"/>
      <c r="EB661" s="10"/>
      <c r="EC661" s="10"/>
      <c r="ED661" s="10"/>
      <c r="EE661" s="10"/>
      <c r="EF661" s="10"/>
      <c r="EG661" s="10"/>
      <c r="EH661" s="10"/>
      <c r="EI661" s="10"/>
      <c r="EJ661" s="10"/>
      <c r="EK661" s="10"/>
      <c r="EL661" s="10"/>
    </row>
    <row r="662" spans="2:142" hidden="1" x14ac:dyDescent="0.2">
      <c r="B662" s="146">
        <v>150</v>
      </c>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c r="CF662" s="10"/>
      <c r="CG662" s="10"/>
      <c r="CH662" s="10"/>
      <c r="CI662" s="10"/>
      <c r="CJ662" s="10"/>
      <c r="CK662" s="10"/>
      <c r="CL662" s="10"/>
      <c r="CM662" s="10"/>
      <c r="CN662" s="10"/>
      <c r="CO662" s="10"/>
      <c r="CP662" s="10"/>
      <c r="CQ662" s="10"/>
      <c r="CR662" s="10"/>
      <c r="CS662" s="10"/>
      <c r="CT662" s="10"/>
      <c r="CU662" s="10"/>
      <c r="CV662" s="10"/>
      <c r="CW662" s="10"/>
      <c r="CX662" s="10"/>
      <c r="CY662" s="10"/>
      <c r="CZ662" s="10"/>
      <c r="DA662" s="10"/>
      <c r="DB662" s="10"/>
      <c r="DC662" s="10"/>
      <c r="DD662" s="10"/>
      <c r="DE662" s="10"/>
      <c r="DF662" s="10"/>
      <c r="DG662" s="10"/>
      <c r="DH662" s="10"/>
      <c r="DI662" s="10"/>
      <c r="DJ662" s="10"/>
      <c r="DK662" s="10"/>
      <c r="DL662" s="10"/>
      <c r="DM662" s="10"/>
      <c r="DN662" s="10"/>
      <c r="DO662" s="10"/>
      <c r="DP662" s="10"/>
      <c r="DQ662" s="10"/>
      <c r="DR662" s="10"/>
      <c r="DS662" s="10"/>
      <c r="DT662" s="10"/>
      <c r="DU662" s="10"/>
      <c r="DV662" s="10"/>
      <c r="DW662" s="10"/>
      <c r="DX662" s="10"/>
      <c r="DY662" s="10"/>
      <c r="DZ662" s="10"/>
      <c r="EA662" s="10"/>
      <c r="EB662" s="10"/>
      <c r="EC662" s="10"/>
      <c r="ED662" s="10"/>
      <c r="EE662" s="10"/>
      <c r="EF662" s="10"/>
      <c r="EG662" s="10"/>
      <c r="EH662" s="10"/>
      <c r="EI662" s="10"/>
      <c r="EJ662" s="10"/>
      <c r="EK662" s="10"/>
      <c r="EL662" s="10"/>
    </row>
    <row r="663" spans="2:142" hidden="1" x14ac:dyDescent="0.2">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c r="CF663" s="10"/>
      <c r="CG663" s="10"/>
      <c r="CH663" s="10"/>
      <c r="CI663" s="10"/>
      <c r="CJ663" s="10"/>
      <c r="CK663" s="10"/>
      <c r="CL663" s="10"/>
      <c r="CM663" s="10"/>
      <c r="CN663" s="10"/>
      <c r="CO663" s="10"/>
      <c r="CP663" s="10"/>
      <c r="CQ663" s="10"/>
      <c r="CR663" s="10"/>
      <c r="CS663" s="10"/>
      <c r="CT663" s="10"/>
      <c r="CU663" s="10"/>
      <c r="CV663" s="10"/>
      <c r="CW663" s="10"/>
      <c r="CX663" s="10"/>
      <c r="CY663" s="10"/>
      <c r="CZ663" s="10"/>
      <c r="DA663" s="10"/>
      <c r="DB663" s="10"/>
      <c r="DC663" s="10"/>
      <c r="DD663" s="10"/>
      <c r="DE663" s="10"/>
      <c r="DF663" s="10"/>
      <c r="DG663" s="10"/>
      <c r="DH663" s="10"/>
      <c r="DI663" s="10"/>
      <c r="DJ663" s="10"/>
      <c r="DK663" s="10"/>
      <c r="DL663" s="10"/>
      <c r="DM663" s="10"/>
      <c r="DN663" s="10"/>
      <c r="DO663" s="10"/>
      <c r="DP663" s="10"/>
      <c r="DQ663" s="10"/>
      <c r="DR663" s="10"/>
      <c r="DS663" s="10"/>
      <c r="DT663" s="10"/>
      <c r="DU663" s="10"/>
      <c r="DV663" s="10"/>
      <c r="DW663" s="10"/>
      <c r="DX663" s="10"/>
      <c r="DY663" s="10"/>
      <c r="DZ663" s="10"/>
      <c r="EA663" s="10"/>
      <c r="EB663" s="10"/>
      <c r="EC663" s="10"/>
      <c r="ED663" s="10"/>
      <c r="EE663" s="10"/>
      <c r="EF663" s="10"/>
      <c r="EG663" s="10"/>
      <c r="EH663" s="10"/>
      <c r="EI663" s="10"/>
      <c r="EJ663" s="10"/>
      <c r="EK663" s="10"/>
      <c r="EL663" s="10"/>
    </row>
    <row r="664" spans="2:142" hidden="1" x14ac:dyDescent="0.2">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c r="CF664" s="10"/>
      <c r="CG664" s="10"/>
      <c r="CH664" s="10"/>
      <c r="CI664" s="10"/>
      <c r="CJ664" s="10"/>
      <c r="CK664" s="10"/>
      <c r="CL664" s="10"/>
      <c r="CM664" s="10"/>
      <c r="CN664" s="10"/>
      <c r="CO664" s="10"/>
      <c r="CP664" s="10"/>
      <c r="CQ664" s="10"/>
      <c r="CR664" s="10"/>
      <c r="CS664" s="10"/>
      <c r="CT664" s="10"/>
      <c r="CU664" s="10"/>
      <c r="CV664" s="10"/>
      <c r="CW664" s="10"/>
      <c r="CX664" s="10"/>
      <c r="CY664" s="10"/>
      <c r="CZ664" s="10"/>
      <c r="DA664" s="10"/>
      <c r="DB664" s="10"/>
      <c r="DC664" s="10"/>
      <c r="DD664" s="10"/>
      <c r="DE664" s="10"/>
      <c r="DF664" s="10"/>
      <c r="DG664" s="10"/>
      <c r="DH664" s="10"/>
      <c r="DI664" s="10"/>
      <c r="DJ664" s="10"/>
      <c r="DK664" s="10"/>
      <c r="DL664" s="10"/>
      <c r="DM664" s="10"/>
      <c r="DN664" s="10"/>
      <c r="DO664" s="10"/>
      <c r="DP664" s="10"/>
      <c r="DQ664" s="10"/>
      <c r="DR664" s="10"/>
      <c r="DS664" s="10"/>
      <c r="DT664" s="10"/>
      <c r="DU664" s="10"/>
      <c r="DV664" s="10"/>
      <c r="DW664" s="10"/>
      <c r="DX664" s="10"/>
      <c r="DY664" s="10"/>
      <c r="DZ664" s="10"/>
      <c r="EA664" s="10"/>
      <c r="EB664" s="10"/>
      <c r="EC664" s="10"/>
      <c r="ED664" s="10"/>
      <c r="EE664" s="10"/>
      <c r="EF664" s="10"/>
      <c r="EG664" s="10"/>
      <c r="EH664" s="10"/>
      <c r="EI664" s="10"/>
      <c r="EJ664" s="10"/>
      <c r="EK664" s="10"/>
      <c r="EL664" s="10"/>
    </row>
    <row r="665" spans="2:142" hidden="1" x14ac:dyDescent="0.2">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c r="CF665" s="10"/>
      <c r="CG665" s="10"/>
      <c r="CH665" s="10"/>
      <c r="CI665" s="10"/>
      <c r="CJ665" s="10"/>
      <c r="CK665" s="10"/>
      <c r="CL665" s="10"/>
      <c r="CM665" s="10"/>
      <c r="CN665" s="10"/>
      <c r="CO665" s="10"/>
      <c r="CP665" s="10"/>
      <c r="CQ665" s="10"/>
      <c r="CR665" s="10"/>
      <c r="CS665" s="10"/>
      <c r="CT665" s="10"/>
      <c r="CU665" s="10"/>
      <c r="CV665" s="10"/>
      <c r="CW665" s="10"/>
      <c r="CX665" s="10"/>
      <c r="CY665" s="10"/>
      <c r="CZ665" s="10"/>
      <c r="DA665" s="10"/>
      <c r="DB665" s="10"/>
      <c r="DC665" s="10"/>
      <c r="DD665" s="10"/>
      <c r="DE665" s="10"/>
      <c r="DF665" s="10"/>
      <c r="DG665" s="10"/>
      <c r="DH665" s="10"/>
      <c r="DI665" s="10"/>
      <c r="DJ665" s="10"/>
      <c r="DK665" s="10"/>
      <c r="DL665" s="10"/>
      <c r="DM665" s="10"/>
      <c r="DN665" s="10"/>
      <c r="DO665" s="10"/>
      <c r="DP665" s="10"/>
      <c r="DQ665" s="10"/>
      <c r="DR665" s="10"/>
      <c r="DS665" s="10"/>
      <c r="DT665" s="10"/>
      <c r="DU665" s="10"/>
      <c r="DV665" s="10"/>
      <c r="DW665" s="10"/>
      <c r="DX665" s="10"/>
      <c r="DY665" s="10"/>
      <c r="DZ665" s="10"/>
      <c r="EA665" s="10"/>
      <c r="EB665" s="10"/>
      <c r="EC665" s="10"/>
      <c r="ED665" s="10"/>
      <c r="EE665" s="10"/>
      <c r="EF665" s="10"/>
      <c r="EG665" s="10"/>
      <c r="EH665" s="10"/>
      <c r="EI665" s="10"/>
      <c r="EJ665" s="10"/>
      <c r="EK665" s="10"/>
      <c r="EL665" s="10"/>
    </row>
    <row r="666" spans="2:142" hidden="1" x14ac:dyDescent="0.2">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c r="CF666" s="10"/>
      <c r="CG666" s="10"/>
      <c r="CH666" s="10"/>
      <c r="CI666" s="10"/>
      <c r="CJ666" s="10"/>
      <c r="CK666" s="10"/>
      <c r="CL666" s="10"/>
      <c r="CM666" s="10"/>
      <c r="CN666" s="10"/>
      <c r="CO666" s="10"/>
      <c r="CP666" s="10"/>
      <c r="CQ666" s="10"/>
      <c r="CR666" s="10"/>
      <c r="CS666" s="10"/>
      <c r="CT666" s="10"/>
      <c r="CU666" s="10"/>
      <c r="CV666" s="10"/>
      <c r="CW666" s="10"/>
      <c r="CX666" s="10"/>
      <c r="CY666" s="10"/>
      <c r="CZ666" s="10"/>
      <c r="DA666" s="10"/>
      <c r="DB666" s="10"/>
      <c r="DC666" s="10"/>
      <c r="DD666" s="10"/>
      <c r="DE666" s="10"/>
      <c r="DF666" s="10"/>
      <c r="DG666" s="10"/>
      <c r="DH666" s="10"/>
      <c r="DI666" s="10"/>
      <c r="DJ666" s="10"/>
      <c r="DK666" s="10"/>
      <c r="DL666" s="10"/>
      <c r="DM666" s="10"/>
      <c r="DN666" s="10"/>
      <c r="DO666" s="10"/>
      <c r="DP666" s="10"/>
      <c r="DQ666" s="10"/>
      <c r="DR666" s="10"/>
      <c r="DS666" s="10"/>
      <c r="DT666" s="10"/>
      <c r="DU666" s="10"/>
      <c r="DV666" s="10"/>
      <c r="DW666" s="10"/>
      <c r="DX666" s="10"/>
      <c r="DY666" s="10"/>
      <c r="DZ666" s="10"/>
      <c r="EA666" s="10"/>
      <c r="EB666" s="10"/>
      <c r="EC666" s="10"/>
      <c r="ED666" s="10"/>
      <c r="EE666" s="10"/>
      <c r="EF666" s="10"/>
      <c r="EG666" s="10"/>
      <c r="EH666" s="10"/>
      <c r="EI666" s="10"/>
      <c r="EJ666" s="10"/>
      <c r="EK666" s="10"/>
      <c r="EL666" s="10"/>
    </row>
    <row r="667" spans="2:142" hidden="1" x14ac:dyDescent="0.2">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c r="CF667" s="10"/>
      <c r="CG667" s="10"/>
      <c r="CH667" s="10"/>
      <c r="CI667" s="10"/>
      <c r="CJ667" s="10"/>
      <c r="CK667" s="10"/>
      <c r="CL667" s="10"/>
      <c r="CM667" s="10"/>
      <c r="CN667" s="10"/>
      <c r="CO667" s="10"/>
      <c r="CP667" s="10"/>
      <c r="CQ667" s="10"/>
      <c r="CR667" s="10"/>
      <c r="CS667" s="10"/>
      <c r="CT667" s="10"/>
      <c r="CU667" s="10"/>
      <c r="CV667" s="10"/>
      <c r="CW667" s="10"/>
      <c r="CX667" s="10"/>
      <c r="CY667" s="10"/>
      <c r="CZ667" s="10"/>
      <c r="DA667" s="10"/>
      <c r="DB667" s="10"/>
      <c r="DC667" s="10"/>
      <c r="DD667" s="10"/>
      <c r="DE667" s="10"/>
      <c r="DF667" s="10"/>
      <c r="DG667" s="10"/>
      <c r="DH667" s="10"/>
      <c r="DI667" s="10"/>
      <c r="DJ667" s="10"/>
      <c r="DK667" s="10"/>
      <c r="DL667" s="10"/>
      <c r="DM667" s="10"/>
      <c r="DN667" s="10"/>
      <c r="DO667" s="10"/>
      <c r="DP667" s="10"/>
      <c r="DQ667" s="10"/>
      <c r="DR667" s="10"/>
      <c r="DS667" s="10"/>
      <c r="DT667" s="10"/>
      <c r="DU667" s="10"/>
      <c r="DV667" s="10"/>
      <c r="DW667" s="10"/>
      <c r="DX667" s="10"/>
      <c r="DY667" s="10"/>
      <c r="DZ667" s="10"/>
      <c r="EA667" s="10"/>
      <c r="EB667" s="10"/>
      <c r="EC667" s="10"/>
      <c r="ED667" s="10"/>
      <c r="EE667" s="10"/>
      <c r="EF667" s="10"/>
      <c r="EG667" s="10"/>
      <c r="EH667" s="10"/>
      <c r="EI667" s="10"/>
      <c r="EJ667" s="10"/>
      <c r="EK667" s="10"/>
      <c r="EL667" s="10"/>
    </row>
    <row r="668" spans="2:142" hidden="1" x14ac:dyDescent="0.2">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c r="CF668" s="10"/>
      <c r="CG668" s="10"/>
      <c r="CH668" s="10"/>
      <c r="CI668" s="10"/>
      <c r="CJ668" s="10"/>
      <c r="CK668" s="10"/>
      <c r="CL668" s="10"/>
      <c r="CM668" s="10"/>
      <c r="CN668" s="10"/>
      <c r="CO668" s="10"/>
      <c r="CP668" s="10"/>
      <c r="CQ668" s="10"/>
      <c r="CR668" s="10"/>
      <c r="CS668" s="10"/>
      <c r="CT668" s="10"/>
      <c r="CU668" s="10"/>
      <c r="CV668" s="10"/>
      <c r="CW668" s="10"/>
      <c r="CX668" s="10"/>
      <c r="CY668" s="10"/>
      <c r="CZ668" s="10"/>
      <c r="DA668" s="10"/>
      <c r="DB668" s="10"/>
      <c r="DC668" s="10"/>
      <c r="DD668" s="10"/>
      <c r="DE668" s="10"/>
      <c r="DF668" s="10"/>
      <c r="DG668" s="10"/>
      <c r="DH668" s="10"/>
      <c r="DI668" s="10"/>
      <c r="DJ668" s="10"/>
      <c r="DK668" s="10"/>
      <c r="DL668" s="10"/>
      <c r="DM668" s="10"/>
      <c r="DN668" s="10"/>
      <c r="DO668" s="10"/>
      <c r="DP668" s="10"/>
      <c r="DQ668" s="10"/>
      <c r="DR668" s="10"/>
      <c r="DS668" s="10"/>
      <c r="DT668" s="10"/>
      <c r="DU668" s="10"/>
      <c r="DV668" s="10"/>
      <c r="DW668" s="10"/>
      <c r="DX668" s="10"/>
      <c r="DY668" s="10"/>
      <c r="DZ668" s="10"/>
      <c r="EA668" s="10"/>
      <c r="EB668" s="10"/>
      <c r="EC668" s="10"/>
      <c r="ED668" s="10"/>
      <c r="EE668" s="10"/>
      <c r="EF668" s="10"/>
      <c r="EG668" s="10"/>
      <c r="EH668" s="10"/>
      <c r="EI668" s="10"/>
      <c r="EJ668" s="10"/>
      <c r="EK668" s="10"/>
      <c r="EL668" s="10"/>
    </row>
    <row r="669" spans="2:142" x14ac:dyDescent="0.2">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c r="CF669" s="10"/>
      <c r="CG669" s="10"/>
      <c r="CH669" s="10"/>
      <c r="CI669" s="10"/>
      <c r="CJ669" s="10"/>
      <c r="CK669" s="10"/>
      <c r="CL669" s="10"/>
      <c r="CM669" s="10"/>
      <c r="CN669" s="10"/>
      <c r="CO669" s="10"/>
      <c r="CP669" s="10"/>
      <c r="CQ669" s="10"/>
      <c r="CR669" s="10"/>
      <c r="CS669" s="10"/>
      <c r="CT669" s="10"/>
      <c r="CU669" s="10"/>
      <c r="CV669" s="10"/>
      <c r="CW669" s="10"/>
      <c r="CX669" s="10"/>
      <c r="CY669" s="10"/>
      <c r="CZ669" s="10"/>
      <c r="DA669" s="10"/>
      <c r="DB669" s="10"/>
      <c r="DC669" s="10"/>
      <c r="DD669" s="10"/>
      <c r="DE669" s="10"/>
      <c r="DF669" s="10"/>
      <c r="DG669" s="10"/>
      <c r="DH669" s="10"/>
      <c r="DI669" s="10"/>
      <c r="DJ669" s="10"/>
      <c r="DK669" s="10"/>
      <c r="DL669" s="10"/>
      <c r="DM669" s="10"/>
      <c r="DN669" s="10"/>
      <c r="DO669" s="10"/>
      <c r="DP669" s="10"/>
      <c r="DQ669" s="10"/>
      <c r="DR669" s="10"/>
      <c r="DS669" s="10"/>
      <c r="DT669" s="10"/>
      <c r="DU669" s="10"/>
      <c r="DV669" s="10"/>
      <c r="DW669" s="10"/>
      <c r="DX669" s="10"/>
      <c r="DY669" s="10"/>
      <c r="DZ669" s="10"/>
      <c r="EA669" s="10"/>
      <c r="EB669" s="10"/>
      <c r="EC669" s="10"/>
      <c r="ED669" s="10"/>
      <c r="EE669" s="10"/>
      <c r="EF669" s="10"/>
      <c r="EG669" s="10"/>
      <c r="EH669" s="10"/>
      <c r="EI669" s="10"/>
      <c r="EJ669" s="10"/>
      <c r="EK669" s="10"/>
      <c r="EL669" s="10"/>
    </row>
    <row r="670" spans="2:142" x14ac:dyDescent="0.2">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c r="CG670" s="10"/>
      <c r="CH670" s="10"/>
      <c r="CI670" s="10"/>
      <c r="CJ670" s="10"/>
      <c r="CK670" s="10"/>
      <c r="CL670" s="10"/>
      <c r="CM670" s="10"/>
      <c r="CN670" s="10"/>
      <c r="CO670" s="10"/>
      <c r="CP670" s="10"/>
      <c r="CQ670" s="10"/>
      <c r="CR670" s="10"/>
      <c r="CS670" s="10"/>
      <c r="CT670" s="10"/>
      <c r="CU670" s="10"/>
      <c r="CV670" s="10"/>
      <c r="CW670" s="10"/>
      <c r="CX670" s="10"/>
      <c r="CY670" s="10"/>
      <c r="CZ670" s="10"/>
      <c r="DA670" s="10"/>
      <c r="DB670" s="10"/>
      <c r="DC670" s="10"/>
      <c r="DD670" s="10"/>
      <c r="DE670" s="10"/>
      <c r="DF670" s="10"/>
      <c r="DG670" s="10"/>
      <c r="DH670" s="10"/>
      <c r="DI670" s="10"/>
      <c r="DJ670" s="10"/>
      <c r="DK670" s="10"/>
      <c r="DL670" s="10"/>
      <c r="DM670" s="10"/>
      <c r="DN670" s="10"/>
      <c r="DO670" s="10"/>
      <c r="DP670" s="10"/>
      <c r="DQ670" s="10"/>
      <c r="DR670" s="10"/>
      <c r="DS670" s="10"/>
      <c r="DT670" s="10"/>
      <c r="DU670" s="10"/>
      <c r="DV670" s="10"/>
      <c r="DW670" s="10"/>
      <c r="DX670" s="10"/>
      <c r="DY670" s="10"/>
      <c r="DZ670" s="10"/>
      <c r="EA670" s="10"/>
      <c r="EB670" s="10"/>
      <c r="EC670" s="10"/>
      <c r="ED670" s="10"/>
      <c r="EE670" s="10"/>
      <c r="EF670" s="10"/>
      <c r="EG670" s="10"/>
      <c r="EH670" s="10"/>
      <c r="EI670" s="10"/>
      <c r="EJ670" s="10"/>
      <c r="EK670" s="10"/>
      <c r="EL670" s="10"/>
    </row>
    <row r="671" spans="2:142" x14ac:dyDescent="0.2">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c r="CF671" s="10"/>
      <c r="CG671" s="10"/>
      <c r="CH671" s="10"/>
      <c r="CI671" s="10"/>
      <c r="CJ671" s="10"/>
      <c r="CK671" s="10"/>
      <c r="CL671" s="10"/>
      <c r="CM671" s="10"/>
      <c r="CN671" s="10"/>
      <c r="CO671" s="10"/>
      <c r="CP671" s="10"/>
      <c r="CQ671" s="10"/>
      <c r="CR671" s="10"/>
      <c r="CS671" s="10"/>
      <c r="CT671" s="10"/>
      <c r="CU671" s="10"/>
      <c r="CV671" s="10"/>
      <c r="CW671" s="10"/>
      <c r="CX671" s="10"/>
      <c r="CY671" s="10"/>
      <c r="CZ671" s="10"/>
      <c r="DA671" s="10"/>
      <c r="DB671" s="10"/>
      <c r="DC671" s="10"/>
      <c r="DD671" s="10"/>
      <c r="DE671" s="10"/>
      <c r="DF671" s="10"/>
      <c r="DG671" s="10"/>
      <c r="DH671" s="10"/>
      <c r="DI671" s="10"/>
      <c r="DJ671" s="10"/>
      <c r="DK671" s="10"/>
      <c r="DL671" s="10"/>
      <c r="DM671" s="10"/>
      <c r="DN671" s="10"/>
      <c r="DO671" s="10"/>
      <c r="DP671" s="10"/>
      <c r="DQ671" s="10"/>
      <c r="DR671" s="10"/>
      <c r="DS671" s="10"/>
      <c r="DT671" s="10"/>
      <c r="DU671" s="10"/>
      <c r="DV671" s="10"/>
      <c r="DW671" s="10"/>
      <c r="DX671" s="10"/>
      <c r="DY671" s="10"/>
      <c r="DZ671" s="10"/>
      <c r="EA671" s="10"/>
      <c r="EB671" s="10"/>
      <c r="EC671" s="10"/>
      <c r="ED671" s="10"/>
      <c r="EE671" s="10"/>
      <c r="EF671" s="10"/>
      <c r="EG671" s="10"/>
      <c r="EH671" s="10"/>
      <c r="EI671" s="10"/>
      <c r="EJ671" s="10"/>
      <c r="EK671" s="10"/>
      <c r="EL671" s="10"/>
    </row>
    <row r="672" spans="2:142" x14ac:dyDescent="0.2">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c r="CF672" s="10"/>
      <c r="CG672" s="10"/>
      <c r="CH672" s="10"/>
      <c r="CI672" s="10"/>
      <c r="CJ672" s="10"/>
      <c r="CK672" s="10"/>
      <c r="CL672" s="10"/>
      <c r="CM672" s="10"/>
      <c r="CN672" s="10"/>
      <c r="CO672" s="10"/>
      <c r="CP672" s="10"/>
      <c r="CQ672" s="10"/>
      <c r="CR672" s="10"/>
      <c r="CS672" s="10"/>
      <c r="CT672" s="10"/>
      <c r="CU672" s="10"/>
      <c r="CV672" s="10"/>
      <c r="CW672" s="10"/>
      <c r="CX672" s="10"/>
      <c r="CY672" s="10"/>
      <c r="CZ672" s="10"/>
      <c r="DA672" s="10"/>
      <c r="DB672" s="10"/>
      <c r="DC672" s="10"/>
      <c r="DD672" s="10"/>
      <c r="DE672" s="10"/>
      <c r="DF672" s="10"/>
      <c r="DG672" s="10"/>
      <c r="DH672" s="10"/>
      <c r="DI672" s="10"/>
      <c r="DJ672" s="10"/>
      <c r="DK672" s="10"/>
      <c r="DL672" s="10"/>
      <c r="DM672" s="10"/>
      <c r="DN672" s="10"/>
      <c r="DO672" s="10"/>
      <c r="DP672" s="10"/>
      <c r="DQ672" s="10"/>
      <c r="DR672" s="10"/>
      <c r="DS672" s="10"/>
      <c r="DT672" s="10"/>
      <c r="DU672" s="10"/>
      <c r="DV672" s="10"/>
      <c r="DW672" s="10"/>
      <c r="DX672" s="10"/>
      <c r="DY672" s="10"/>
      <c r="DZ672" s="10"/>
      <c r="EA672" s="10"/>
      <c r="EB672" s="10"/>
      <c r="EC672" s="10"/>
      <c r="ED672" s="10"/>
      <c r="EE672" s="10"/>
      <c r="EF672" s="10"/>
      <c r="EG672" s="10"/>
      <c r="EH672" s="10"/>
      <c r="EI672" s="10"/>
      <c r="EJ672" s="10"/>
      <c r="EK672" s="10"/>
      <c r="EL672" s="10"/>
    </row>
    <row r="673" spans="18:142" x14ac:dyDescent="0.2">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c r="CG673" s="10"/>
      <c r="CH673" s="10"/>
      <c r="CI673" s="10"/>
      <c r="CJ673" s="10"/>
      <c r="CK673" s="10"/>
      <c r="CL673" s="10"/>
      <c r="CM673" s="10"/>
      <c r="CN673" s="10"/>
      <c r="CO673" s="10"/>
      <c r="CP673" s="10"/>
      <c r="CQ673" s="10"/>
      <c r="CR673" s="10"/>
      <c r="CS673" s="10"/>
      <c r="CT673" s="10"/>
      <c r="CU673" s="10"/>
      <c r="CV673" s="10"/>
      <c r="CW673" s="10"/>
      <c r="CX673" s="10"/>
      <c r="CY673" s="10"/>
      <c r="CZ673" s="10"/>
      <c r="DA673" s="10"/>
      <c r="DB673" s="10"/>
      <c r="DC673" s="10"/>
      <c r="DD673" s="10"/>
      <c r="DE673" s="10"/>
      <c r="DF673" s="10"/>
      <c r="DG673" s="10"/>
      <c r="DH673" s="10"/>
      <c r="DI673" s="10"/>
      <c r="DJ673" s="10"/>
      <c r="DK673" s="10"/>
      <c r="DL673" s="10"/>
      <c r="DM673" s="10"/>
      <c r="DN673" s="10"/>
      <c r="DO673" s="10"/>
      <c r="DP673" s="10"/>
      <c r="DQ673" s="10"/>
      <c r="DR673" s="10"/>
      <c r="DS673" s="10"/>
      <c r="DT673" s="10"/>
      <c r="DU673" s="10"/>
      <c r="DV673" s="10"/>
      <c r="DW673" s="10"/>
      <c r="DX673" s="10"/>
      <c r="DY673" s="10"/>
      <c r="DZ673" s="10"/>
      <c r="EA673" s="10"/>
      <c r="EB673" s="10"/>
      <c r="EC673" s="10"/>
      <c r="ED673" s="10"/>
      <c r="EE673" s="10"/>
      <c r="EF673" s="10"/>
      <c r="EG673" s="10"/>
      <c r="EH673" s="10"/>
      <c r="EI673" s="10"/>
      <c r="EJ673" s="10"/>
      <c r="EK673" s="10"/>
      <c r="EL673" s="10"/>
    </row>
    <row r="674" spans="18:142" x14ac:dyDescent="0.2">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c r="CF674" s="10"/>
      <c r="CG674" s="10"/>
      <c r="CH674" s="10"/>
      <c r="CI674" s="10"/>
      <c r="CJ674" s="10"/>
      <c r="CK674" s="10"/>
      <c r="CL674" s="10"/>
      <c r="CM674" s="10"/>
      <c r="CN674" s="10"/>
      <c r="CO674" s="10"/>
      <c r="CP674" s="10"/>
      <c r="CQ674" s="10"/>
      <c r="CR674" s="10"/>
      <c r="CS674" s="10"/>
      <c r="CT674" s="10"/>
      <c r="CU674" s="10"/>
      <c r="CV674" s="10"/>
      <c r="CW674" s="10"/>
      <c r="CX674" s="10"/>
      <c r="CY674" s="10"/>
      <c r="CZ674" s="10"/>
      <c r="DA674" s="10"/>
      <c r="DB674" s="10"/>
      <c r="DC674" s="10"/>
      <c r="DD674" s="10"/>
      <c r="DE674" s="10"/>
      <c r="DF674" s="10"/>
      <c r="DG674" s="10"/>
      <c r="DH674" s="10"/>
      <c r="DI674" s="10"/>
      <c r="DJ674" s="10"/>
      <c r="DK674" s="10"/>
      <c r="DL674" s="10"/>
      <c r="DM674" s="10"/>
      <c r="DN674" s="10"/>
      <c r="DO674" s="10"/>
      <c r="DP674" s="10"/>
      <c r="DQ674" s="10"/>
      <c r="DR674" s="10"/>
      <c r="DS674" s="10"/>
      <c r="DT674" s="10"/>
      <c r="DU674" s="10"/>
      <c r="DV674" s="10"/>
      <c r="DW674" s="10"/>
      <c r="DX674" s="10"/>
      <c r="DY674" s="10"/>
      <c r="DZ674" s="10"/>
      <c r="EA674" s="10"/>
      <c r="EB674" s="10"/>
      <c r="EC674" s="10"/>
      <c r="ED674" s="10"/>
      <c r="EE674" s="10"/>
      <c r="EF674" s="10"/>
      <c r="EG674" s="10"/>
      <c r="EH674" s="10"/>
      <c r="EI674" s="10"/>
      <c r="EJ674" s="10"/>
      <c r="EK674" s="10"/>
      <c r="EL674" s="10"/>
    </row>
    <row r="675" spans="18:142" x14ac:dyDescent="0.2">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c r="CF675" s="10"/>
      <c r="CG675" s="10"/>
      <c r="CH675" s="10"/>
      <c r="CI675" s="10"/>
      <c r="CJ675" s="10"/>
      <c r="CK675" s="10"/>
      <c r="CL675" s="10"/>
      <c r="CM675" s="10"/>
      <c r="CN675" s="10"/>
      <c r="CO675" s="10"/>
      <c r="CP675" s="10"/>
      <c r="CQ675" s="10"/>
      <c r="CR675" s="10"/>
      <c r="CS675" s="10"/>
      <c r="CT675" s="10"/>
      <c r="CU675" s="10"/>
      <c r="CV675" s="10"/>
      <c r="CW675" s="10"/>
      <c r="CX675" s="10"/>
      <c r="CY675" s="10"/>
      <c r="CZ675" s="10"/>
      <c r="DA675" s="10"/>
      <c r="DB675" s="10"/>
      <c r="DC675" s="10"/>
      <c r="DD675" s="10"/>
      <c r="DE675" s="10"/>
      <c r="DF675" s="10"/>
      <c r="DG675" s="10"/>
      <c r="DH675" s="10"/>
      <c r="DI675" s="10"/>
      <c r="DJ675" s="10"/>
      <c r="DK675" s="10"/>
      <c r="DL675" s="10"/>
      <c r="DM675" s="10"/>
      <c r="DN675" s="10"/>
      <c r="DO675" s="10"/>
      <c r="DP675" s="10"/>
      <c r="DQ675" s="10"/>
      <c r="DR675" s="10"/>
      <c r="DS675" s="10"/>
      <c r="DT675" s="10"/>
      <c r="DU675" s="10"/>
      <c r="DV675" s="10"/>
      <c r="DW675" s="10"/>
      <c r="DX675" s="10"/>
      <c r="DY675" s="10"/>
      <c r="DZ675" s="10"/>
      <c r="EA675" s="10"/>
      <c r="EB675" s="10"/>
      <c r="EC675" s="10"/>
      <c r="ED675" s="10"/>
      <c r="EE675" s="10"/>
      <c r="EF675" s="10"/>
      <c r="EG675" s="10"/>
      <c r="EH675" s="10"/>
      <c r="EI675" s="10"/>
      <c r="EJ675" s="10"/>
      <c r="EK675" s="10"/>
      <c r="EL675" s="10"/>
    </row>
    <row r="676" spans="18:142" x14ac:dyDescent="0.2">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c r="CF676" s="10"/>
      <c r="CG676" s="10"/>
      <c r="CH676" s="10"/>
      <c r="CI676" s="10"/>
      <c r="CJ676" s="10"/>
      <c r="CK676" s="10"/>
      <c r="CL676" s="10"/>
      <c r="CM676" s="10"/>
      <c r="CN676" s="10"/>
      <c r="CO676" s="10"/>
      <c r="CP676" s="10"/>
      <c r="CQ676" s="10"/>
      <c r="CR676" s="10"/>
      <c r="CS676" s="10"/>
      <c r="CT676" s="10"/>
      <c r="CU676" s="10"/>
      <c r="CV676" s="10"/>
      <c r="CW676" s="10"/>
      <c r="CX676" s="10"/>
      <c r="CY676" s="10"/>
      <c r="CZ676" s="10"/>
      <c r="DA676" s="10"/>
      <c r="DB676" s="10"/>
      <c r="DC676" s="10"/>
      <c r="DD676" s="10"/>
      <c r="DE676" s="10"/>
      <c r="DF676" s="10"/>
      <c r="DG676" s="10"/>
      <c r="DH676" s="10"/>
      <c r="DI676" s="10"/>
      <c r="DJ676" s="10"/>
      <c r="DK676" s="10"/>
      <c r="DL676" s="10"/>
      <c r="DM676" s="10"/>
      <c r="DN676" s="10"/>
      <c r="DO676" s="10"/>
      <c r="DP676" s="10"/>
      <c r="DQ676" s="10"/>
      <c r="DR676" s="10"/>
      <c r="DS676" s="10"/>
      <c r="DT676" s="10"/>
      <c r="DU676" s="10"/>
      <c r="DV676" s="10"/>
      <c r="DW676" s="10"/>
      <c r="DX676" s="10"/>
      <c r="DY676" s="10"/>
      <c r="DZ676" s="10"/>
      <c r="EA676" s="10"/>
      <c r="EB676" s="10"/>
      <c r="EC676" s="10"/>
      <c r="ED676" s="10"/>
      <c r="EE676" s="10"/>
      <c r="EF676" s="10"/>
      <c r="EG676" s="10"/>
      <c r="EH676" s="10"/>
      <c r="EI676" s="10"/>
      <c r="EJ676" s="10"/>
      <c r="EK676" s="10"/>
      <c r="EL676" s="10"/>
    </row>
    <row r="677" spans="18:142" x14ac:dyDescent="0.2">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c r="CF677" s="10"/>
      <c r="CG677" s="10"/>
      <c r="CH677" s="10"/>
      <c r="CI677" s="10"/>
      <c r="CJ677" s="10"/>
      <c r="CK677" s="10"/>
      <c r="CL677" s="10"/>
      <c r="CM677" s="10"/>
      <c r="CN677" s="10"/>
      <c r="CO677" s="10"/>
      <c r="CP677" s="10"/>
      <c r="CQ677" s="10"/>
      <c r="CR677" s="10"/>
      <c r="CS677" s="10"/>
      <c r="CT677" s="10"/>
      <c r="CU677" s="10"/>
      <c r="CV677" s="10"/>
      <c r="CW677" s="10"/>
      <c r="CX677" s="10"/>
      <c r="CY677" s="10"/>
      <c r="CZ677" s="10"/>
      <c r="DA677" s="10"/>
      <c r="DB677" s="10"/>
      <c r="DC677" s="10"/>
      <c r="DD677" s="10"/>
      <c r="DE677" s="10"/>
      <c r="DF677" s="10"/>
      <c r="DG677" s="10"/>
      <c r="DH677" s="10"/>
      <c r="DI677" s="10"/>
      <c r="DJ677" s="10"/>
      <c r="DK677" s="10"/>
      <c r="DL677" s="10"/>
      <c r="DM677" s="10"/>
      <c r="DN677" s="10"/>
      <c r="DO677" s="10"/>
      <c r="DP677" s="10"/>
      <c r="DQ677" s="10"/>
      <c r="DR677" s="10"/>
      <c r="DS677" s="10"/>
      <c r="DT677" s="10"/>
      <c r="DU677" s="10"/>
      <c r="DV677" s="10"/>
      <c r="DW677" s="10"/>
      <c r="DX677" s="10"/>
      <c r="DY677" s="10"/>
      <c r="DZ677" s="10"/>
      <c r="EA677" s="10"/>
      <c r="EB677" s="10"/>
      <c r="EC677" s="10"/>
      <c r="ED677" s="10"/>
      <c r="EE677" s="10"/>
      <c r="EF677" s="10"/>
      <c r="EG677" s="10"/>
      <c r="EH677" s="10"/>
      <c r="EI677" s="10"/>
      <c r="EJ677" s="10"/>
      <c r="EK677" s="10"/>
      <c r="EL677" s="10"/>
    </row>
    <row r="678" spans="18:142" x14ac:dyDescent="0.2">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c r="CF678" s="10"/>
      <c r="CG678" s="10"/>
      <c r="CH678" s="10"/>
      <c r="CI678" s="10"/>
      <c r="CJ678" s="10"/>
      <c r="CK678" s="10"/>
      <c r="CL678" s="10"/>
      <c r="CM678" s="10"/>
      <c r="CN678" s="10"/>
      <c r="CO678" s="10"/>
      <c r="CP678" s="10"/>
      <c r="CQ678" s="10"/>
      <c r="CR678" s="10"/>
      <c r="CS678" s="10"/>
      <c r="CT678" s="10"/>
      <c r="CU678" s="10"/>
      <c r="CV678" s="10"/>
      <c r="CW678" s="10"/>
      <c r="CX678" s="10"/>
      <c r="CY678" s="10"/>
      <c r="CZ678" s="10"/>
      <c r="DA678" s="10"/>
      <c r="DB678" s="10"/>
      <c r="DC678" s="10"/>
      <c r="DD678" s="10"/>
      <c r="DE678" s="10"/>
      <c r="DF678" s="10"/>
      <c r="DG678" s="10"/>
      <c r="DH678" s="10"/>
      <c r="DI678" s="10"/>
      <c r="DJ678" s="10"/>
      <c r="DK678" s="10"/>
      <c r="DL678" s="10"/>
      <c r="DM678" s="10"/>
      <c r="DN678" s="10"/>
      <c r="DO678" s="10"/>
      <c r="DP678" s="10"/>
      <c r="DQ678" s="10"/>
      <c r="DR678" s="10"/>
      <c r="DS678" s="10"/>
      <c r="DT678" s="10"/>
      <c r="DU678" s="10"/>
      <c r="DV678" s="10"/>
      <c r="DW678" s="10"/>
      <c r="DX678" s="10"/>
      <c r="DY678" s="10"/>
      <c r="DZ678" s="10"/>
      <c r="EA678" s="10"/>
      <c r="EB678" s="10"/>
      <c r="EC678" s="10"/>
      <c r="ED678" s="10"/>
      <c r="EE678" s="10"/>
      <c r="EF678" s="10"/>
      <c r="EG678" s="10"/>
      <c r="EH678" s="10"/>
      <c r="EI678" s="10"/>
      <c r="EJ678" s="10"/>
      <c r="EK678" s="10"/>
      <c r="EL678" s="10"/>
    </row>
    <row r="679" spans="18:142" x14ac:dyDescent="0.2">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c r="CF679" s="10"/>
      <c r="CG679" s="10"/>
      <c r="CH679" s="10"/>
      <c r="CI679" s="10"/>
      <c r="CJ679" s="10"/>
      <c r="CK679" s="10"/>
      <c r="CL679" s="10"/>
      <c r="CM679" s="10"/>
      <c r="CN679" s="10"/>
      <c r="CO679" s="10"/>
      <c r="CP679" s="10"/>
      <c r="CQ679" s="10"/>
      <c r="CR679" s="10"/>
      <c r="CS679" s="10"/>
      <c r="CT679" s="10"/>
      <c r="CU679" s="10"/>
      <c r="CV679" s="10"/>
      <c r="CW679" s="10"/>
      <c r="CX679" s="10"/>
      <c r="CY679" s="10"/>
      <c r="CZ679" s="10"/>
      <c r="DA679" s="10"/>
      <c r="DB679" s="10"/>
      <c r="DC679" s="10"/>
      <c r="DD679" s="10"/>
      <c r="DE679" s="10"/>
      <c r="DF679" s="10"/>
      <c r="DG679" s="10"/>
      <c r="DH679" s="10"/>
      <c r="DI679" s="10"/>
      <c r="DJ679" s="10"/>
      <c r="DK679" s="10"/>
      <c r="DL679" s="10"/>
      <c r="DM679" s="10"/>
      <c r="DN679" s="10"/>
      <c r="DO679" s="10"/>
      <c r="DP679" s="10"/>
      <c r="DQ679" s="10"/>
      <c r="DR679" s="10"/>
      <c r="DS679" s="10"/>
      <c r="DT679" s="10"/>
      <c r="DU679" s="10"/>
      <c r="DV679" s="10"/>
      <c r="DW679" s="10"/>
      <c r="DX679" s="10"/>
      <c r="DY679" s="10"/>
      <c r="DZ679" s="10"/>
      <c r="EA679" s="10"/>
      <c r="EB679" s="10"/>
      <c r="EC679" s="10"/>
      <c r="ED679" s="10"/>
      <c r="EE679" s="10"/>
      <c r="EF679" s="10"/>
      <c r="EG679" s="10"/>
      <c r="EH679" s="10"/>
      <c r="EI679" s="10"/>
      <c r="EJ679" s="10"/>
      <c r="EK679" s="10"/>
      <c r="EL679" s="10"/>
    </row>
    <row r="680" spans="18:142" x14ac:dyDescent="0.2">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c r="CG680" s="10"/>
      <c r="CH680" s="10"/>
      <c r="CI680" s="10"/>
      <c r="CJ680" s="10"/>
      <c r="CK680" s="10"/>
      <c r="CL680" s="10"/>
      <c r="CM680" s="10"/>
      <c r="CN680" s="10"/>
      <c r="CO680" s="10"/>
      <c r="CP680" s="10"/>
      <c r="CQ680" s="10"/>
      <c r="CR680" s="10"/>
      <c r="CS680" s="10"/>
      <c r="CT680" s="10"/>
      <c r="CU680" s="10"/>
      <c r="CV680" s="10"/>
      <c r="CW680" s="10"/>
      <c r="CX680" s="10"/>
      <c r="CY680" s="10"/>
      <c r="CZ680" s="10"/>
      <c r="DA680" s="10"/>
      <c r="DB680" s="10"/>
      <c r="DC680" s="10"/>
      <c r="DD680" s="10"/>
      <c r="DE680" s="10"/>
      <c r="DF680" s="10"/>
      <c r="DG680" s="10"/>
      <c r="DH680" s="10"/>
      <c r="DI680" s="10"/>
      <c r="DJ680" s="10"/>
      <c r="DK680" s="10"/>
      <c r="DL680" s="10"/>
      <c r="DM680" s="10"/>
      <c r="DN680" s="10"/>
      <c r="DO680" s="10"/>
      <c r="DP680" s="10"/>
      <c r="DQ680" s="10"/>
      <c r="DR680" s="10"/>
      <c r="DS680" s="10"/>
      <c r="DT680" s="10"/>
      <c r="DU680" s="10"/>
      <c r="DV680" s="10"/>
      <c r="DW680" s="10"/>
      <c r="DX680" s="10"/>
      <c r="DY680" s="10"/>
      <c r="DZ680" s="10"/>
      <c r="EA680" s="10"/>
      <c r="EB680" s="10"/>
      <c r="EC680" s="10"/>
      <c r="ED680" s="10"/>
      <c r="EE680" s="10"/>
      <c r="EF680" s="10"/>
      <c r="EG680" s="10"/>
      <c r="EH680" s="10"/>
      <c r="EI680" s="10"/>
      <c r="EJ680" s="10"/>
      <c r="EK680" s="10"/>
      <c r="EL680" s="10"/>
    </row>
    <row r="681" spans="18:142" x14ac:dyDescent="0.2">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c r="CG681" s="10"/>
      <c r="CH681" s="10"/>
      <c r="CI681" s="10"/>
      <c r="CJ681" s="10"/>
      <c r="CK681" s="10"/>
      <c r="CL681" s="10"/>
      <c r="CM681" s="10"/>
      <c r="CN681" s="10"/>
      <c r="CO681" s="10"/>
      <c r="CP681" s="10"/>
      <c r="CQ681" s="10"/>
      <c r="CR681" s="10"/>
      <c r="CS681" s="10"/>
      <c r="CT681" s="10"/>
      <c r="CU681" s="10"/>
      <c r="CV681" s="10"/>
      <c r="CW681" s="10"/>
      <c r="CX681" s="10"/>
      <c r="CY681" s="10"/>
      <c r="CZ681" s="10"/>
      <c r="DA681" s="10"/>
      <c r="DB681" s="10"/>
      <c r="DC681" s="10"/>
      <c r="DD681" s="10"/>
      <c r="DE681" s="10"/>
      <c r="DF681" s="10"/>
      <c r="DG681" s="10"/>
      <c r="DH681" s="10"/>
      <c r="DI681" s="10"/>
      <c r="DJ681" s="10"/>
      <c r="DK681" s="10"/>
      <c r="DL681" s="10"/>
      <c r="DM681" s="10"/>
      <c r="DN681" s="10"/>
      <c r="DO681" s="10"/>
      <c r="DP681" s="10"/>
      <c r="DQ681" s="10"/>
      <c r="DR681" s="10"/>
      <c r="DS681" s="10"/>
      <c r="DT681" s="10"/>
      <c r="DU681" s="10"/>
      <c r="DV681" s="10"/>
      <c r="DW681" s="10"/>
      <c r="DX681" s="10"/>
      <c r="DY681" s="10"/>
      <c r="DZ681" s="10"/>
      <c r="EA681" s="10"/>
      <c r="EB681" s="10"/>
      <c r="EC681" s="10"/>
      <c r="ED681" s="10"/>
      <c r="EE681" s="10"/>
      <c r="EF681" s="10"/>
      <c r="EG681" s="10"/>
      <c r="EH681" s="10"/>
      <c r="EI681" s="10"/>
      <c r="EJ681" s="10"/>
      <c r="EK681" s="10"/>
      <c r="EL681" s="10"/>
    </row>
    <row r="682" spans="18:142" x14ac:dyDescent="0.2">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c r="CF682" s="10"/>
      <c r="CG682" s="10"/>
      <c r="CH682" s="10"/>
      <c r="CI682" s="10"/>
      <c r="CJ682" s="10"/>
      <c r="CK682" s="10"/>
      <c r="CL682" s="10"/>
      <c r="CM682" s="10"/>
      <c r="CN682" s="10"/>
      <c r="CO682" s="10"/>
      <c r="CP682" s="10"/>
      <c r="CQ682" s="10"/>
      <c r="CR682" s="10"/>
      <c r="CS682" s="10"/>
      <c r="CT682" s="10"/>
      <c r="CU682" s="10"/>
      <c r="CV682" s="10"/>
      <c r="CW682" s="10"/>
      <c r="CX682" s="10"/>
      <c r="CY682" s="10"/>
      <c r="CZ682" s="10"/>
      <c r="DA682" s="10"/>
      <c r="DB682" s="10"/>
      <c r="DC682" s="10"/>
      <c r="DD682" s="10"/>
      <c r="DE682" s="10"/>
      <c r="DF682" s="10"/>
      <c r="DG682" s="10"/>
      <c r="DH682" s="10"/>
      <c r="DI682" s="10"/>
      <c r="DJ682" s="10"/>
      <c r="DK682" s="10"/>
      <c r="DL682" s="10"/>
      <c r="DM682" s="10"/>
      <c r="DN682" s="10"/>
      <c r="DO682" s="10"/>
      <c r="DP682" s="10"/>
      <c r="DQ682" s="10"/>
      <c r="DR682" s="10"/>
      <c r="DS682" s="10"/>
      <c r="DT682" s="10"/>
      <c r="DU682" s="10"/>
      <c r="DV682" s="10"/>
      <c r="DW682" s="10"/>
      <c r="DX682" s="10"/>
      <c r="DY682" s="10"/>
      <c r="DZ682" s="10"/>
      <c r="EA682" s="10"/>
      <c r="EB682" s="10"/>
      <c r="EC682" s="10"/>
      <c r="ED682" s="10"/>
      <c r="EE682" s="10"/>
      <c r="EF682" s="10"/>
      <c r="EG682" s="10"/>
      <c r="EH682" s="10"/>
      <c r="EI682" s="10"/>
      <c r="EJ682" s="10"/>
      <c r="EK682" s="10"/>
      <c r="EL682" s="10"/>
    </row>
    <row r="683" spans="18:142" x14ac:dyDescent="0.2">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c r="CG683" s="10"/>
      <c r="CH683" s="10"/>
      <c r="CI683" s="10"/>
      <c r="CJ683" s="10"/>
      <c r="CK683" s="10"/>
      <c r="CL683" s="10"/>
      <c r="CM683" s="10"/>
      <c r="CN683" s="10"/>
      <c r="CO683" s="10"/>
      <c r="CP683" s="10"/>
      <c r="CQ683" s="10"/>
      <c r="CR683" s="10"/>
      <c r="CS683" s="10"/>
      <c r="CT683" s="10"/>
      <c r="CU683" s="10"/>
      <c r="CV683" s="10"/>
      <c r="CW683" s="10"/>
      <c r="CX683" s="10"/>
      <c r="CY683" s="10"/>
      <c r="CZ683" s="10"/>
      <c r="DA683" s="10"/>
      <c r="DB683" s="10"/>
      <c r="DC683" s="10"/>
      <c r="DD683" s="10"/>
      <c r="DE683" s="10"/>
      <c r="DF683" s="10"/>
      <c r="DG683" s="10"/>
      <c r="DH683" s="10"/>
      <c r="DI683" s="10"/>
      <c r="DJ683" s="10"/>
      <c r="DK683" s="10"/>
      <c r="DL683" s="10"/>
      <c r="DM683" s="10"/>
      <c r="DN683" s="10"/>
      <c r="DO683" s="10"/>
      <c r="DP683" s="10"/>
      <c r="DQ683" s="10"/>
      <c r="DR683" s="10"/>
      <c r="DS683" s="10"/>
      <c r="DT683" s="10"/>
      <c r="DU683" s="10"/>
      <c r="DV683" s="10"/>
      <c r="DW683" s="10"/>
      <c r="DX683" s="10"/>
      <c r="DY683" s="10"/>
      <c r="DZ683" s="10"/>
      <c r="EA683" s="10"/>
      <c r="EB683" s="10"/>
      <c r="EC683" s="10"/>
      <c r="ED683" s="10"/>
      <c r="EE683" s="10"/>
      <c r="EF683" s="10"/>
      <c r="EG683" s="10"/>
      <c r="EH683" s="10"/>
      <c r="EI683" s="10"/>
      <c r="EJ683" s="10"/>
      <c r="EK683" s="10"/>
      <c r="EL683" s="10"/>
    </row>
    <row r="684" spans="18:142" x14ac:dyDescent="0.2">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c r="CF684" s="10"/>
      <c r="CG684" s="10"/>
      <c r="CH684" s="10"/>
      <c r="CI684" s="10"/>
      <c r="CJ684" s="10"/>
      <c r="CK684" s="10"/>
      <c r="CL684" s="10"/>
      <c r="CM684" s="10"/>
      <c r="CN684" s="10"/>
      <c r="CO684" s="10"/>
      <c r="CP684" s="10"/>
      <c r="CQ684" s="10"/>
      <c r="CR684" s="10"/>
      <c r="CS684" s="10"/>
      <c r="CT684" s="10"/>
      <c r="CU684" s="10"/>
      <c r="CV684" s="10"/>
      <c r="CW684" s="10"/>
      <c r="CX684" s="10"/>
      <c r="CY684" s="10"/>
      <c r="CZ684" s="10"/>
      <c r="DA684" s="10"/>
      <c r="DB684" s="10"/>
      <c r="DC684" s="10"/>
      <c r="DD684" s="10"/>
      <c r="DE684" s="10"/>
      <c r="DF684" s="10"/>
      <c r="DG684" s="10"/>
      <c r="DH684" s="10"/>
      <c r="DI684" s="10"/>
      <c r="DJ684" s="10"/>
      <c r="DK684" s="10"/>
      <c r="DL684" s="10"/>
      <c r="DM684" s="10"/>
      <c r="DN684" s="10"/>
      <c r="DO684" s="10"/>
      <c r="DP684" s="10"/>
      <c r="DQ684" s="10"/>
      <c r="DR684" s="10"/>
      <c r="DS684" s="10"/>
      <c r="DT684" s="10"/>
      <c r="DU684" s="10"/>
      <c r="DV684" s="10"/>
      <c r="DW684" s="10"/>
      <c r="DX684" s="10"/>
      <c r="DY684" s="10"/>
      <c r="DZ684" s="10"/>
      <c r="EA684" s="10"/>
      <c r="EB684" s="10"/>
      <c r="EC684" s="10"/>
      <c r="ED684" s="10"/>
      <c r="EE684" s="10"/>
      <c r="EF684" s="10"/>
      <c r="EG684" s="10"/>
      <c r="EH684" s="10"/>
      <c r="EI684" s="10"/>
      <c r="EJ684" s="10"/>
      <c r="EK684" s="10"/>
      <c r="EL684" s="10"/>
    </row>
    <row r="685" spans="18:142" x14ac:dyDescent="0.2">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c r="CF685" s="10"/>
      <c r="CG685" s="10"/>
      <c r="CH685" s="10"/>
      <c r="CI685" s="10"/>
      <c r="CJ685" s="10"/>
      <c r="CK685" s="10"/>
      <c r="CL685" s="10"/>
      <c r="CM685" s="10"/>
      <c r="CN685" s="10"/>
      <c r="CO685" s="10"/>
      <c r="CP685" s="10"/>
      <c r="CQ685" s="10"/>
      <c r="CR685" s="10"/>
      <c r="CS685" s="10"/>
      <c r="CT685" s="10"/>
      <c r="CU685" s="10"/>
      <c r="CV685" s="10"/>
      <c r="CW685" s="10"/>
      <c r="CX685" s="10"/>
      <c r="CY685" s="10"/>
      <c r="CZ685" s="10"/>
      <c r="DA685" s="10"/>
      <c r="DB685" s="10"/>
      <c r="DC685" s="10"/>
      <c r="DD685" s="10"/>
      <c r="DE685" s="10"/>
      <c r="DF685" s="10"/>
      <c r="DG685" s="10"/>
      <c r="DH685" s="10"/>
      <c r="DI685" s="10"/>
      <c r="DJ685" s="10"/>
      <c r="DK685" s="10"/>
      <c r="DL685" s="10"/>
      <c r="DM685" s="10"/>
      <c r="DN685" s="10"/>
      <c r="DO685" s="10"/>
      <c r="DP685" s="10"/>
      <c r="DQ685" s="10"/>
      <c r="DR685" s="10"/>
      <c r="DS685" s="10"/>
      <c r="DT685" s="10"/>
      <c r="DU685" s="10"/>
      <c r="DV685" s="10"/>
      <c r="DW685" s="10"/>
      <c r="DX685" s="10"/>
      <c r="DY685" s="10"/>
      <c r="DZ685" s="10"/>
      <c r="EA685" s="10"/>
      <c r="EB685" s="10"/>
      <c r="EC685" s="10"/>
      <c r="ED685" s="10"/>
      <c r="EE685" s="10"/>
      <c r="EF685" s="10"/>
      <c r="EG685" s="10"/>
      <c r="EH685" s="10"/>
      <c r="EI685" s="10"/>
      <c r="EJ685" s="10"/>
      <c r="EK685" s="10"/>
      <c r="EL685" s="10"/>
    </row>
    <row r="686" spans="18:142" x14ac:dyDescent="0.2">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c r="CG686" s="10"/>
      <c r="CH686" s="10"/>
      <c r="CI686" s="10"/>
      <c r="CJ686" s="10"/>
      <c r="CK686" s="10"/>
      <c r="CL686" s="10"/>
      <c r="CM686" s="10"/>
      <c r="CN686" s="10"/>
      <c r="CO686" s="10"/>
      <c r="CP686" s="10"/>
      <c r="CQ686" s="10"/>
      <c r="CR686" s="10"/>
      <c r="CS686" s="10"/>
      <c r="CT686" s="10"/>
      <c r="CU686" s="10"/>
      <c r="CV686" s="10"/>
      <c r="CW686" s="10"/>
      <c r="CX686" s="10"/>
      <c r="CY686" s="10"/>
      <c r="CZ686" s="10"/>
      <c r="DA686" s="10"/>
      <c r="DB686" s="10"/>
      <c r="DC686" s="10"/>
      <c r="DD686" s="10"/>
      <c r="DE686" s="10"/>
      <c r="DF686" s="10"/>
      <c r="DG686" s="10"/>
      <c r="DH686" s="10"/>
      <c r="DI686" s="10"/>
      <c r="DJ686" s="10"/>
      <c r="DK686" s="10"/>
      <c r="DL686" s="10"/>
      <c r="DM686" s="10"/>
      <c r="DN686" s="10"/>
      <c r="DO686" s="10"/>
      <c r="DP686" s="10"/>
      <c r="DQ686" s="10"/>
      <c r="DR686" s="10"/>
      <c r="DS686" s="10"/>
      <c r="DT686" s="10"/>
      <c r="DU686" s="10"/>
      <c r="DV686" s="10"/>
      <c r="DW686" s="10"/>
      <c r="DX686" s="10"/>
      <c r="DY686" s="10"/>
      <c r="DZ686" s="10"/>
      <c r="EA686" s="10"/>
      <c r="EB686" s="10"/>
      <c r="EC686" s="10"/>
      <c r="ED686" s="10"/>
      <c r="EE686" s="10"/>
      <c r="EF686" s="10"/>
      <c r="EG686" s="10"/>
      <c r="EH686" s="10"/>
      <c r="EI686" s="10"/>
      <c r="EJ686" s="10"/>
      <c r="EK686" s="10"/>
      <c r="EL686" s="10"/>
    </row>
    <row r="687" spans="18:142" x14ac:dyDescent="0.2">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c r="CF687" s="10"/>
      <c r="CG687" s="10"/>
      <c r="CH687" s="10"/>
      <c r="CI687" s="10"/>
      <c r="CJ687" s="10"/>
      <c r="CK687" s="10"/>
      <c r="CL687" s="10"/>
      <c r="CM687" s="10"/>
      <c r="CN687" s="10"/>
      <c r="CO687" s="10"/>
      <c r="CP687" s="10"/>
      <c r="CQ687" s="10"/>
      <c r="CR687" s="10"/>
      <c r="CS687" s="10"/>
      <c r="CT687" s="10"/>
      <c r="CU687" s="10"/>
      <c r="CV687" s="10"/>
      <c r="CW687" s="10"/>
      <c r="CX687" s="10"/>
      <c r="CY687" s="10"/>
      <c r="CZ687" s="10"/>
      <c r="DA687" s="10"/>
      <c r="DB687" s="10"/>
      <c r="DC687" s="10"/>
      <c r="DD687" s="10"/>
      <c r="DE687" s="10"/>
      <c r="DF687" s="10"/>
      <c r="DG687" s="10"/>
      <c r="DH687" s="10"/>
      <c r="DI687" s="10"/>
      <c r="DJ687" s="10"/>
      <c r="DK687" s="10"/>
      <c r="DL687" s="10"/>
      <c r="DM687" s="10"/>
      <c r="DN687" s="10"/>
      <c r="DO687" s="10"/>
      <c r="DP687" s="10"/>
      <c r="DQ687" s="10"/>
      <c r="DR687" s="10"/>
      <c r="DS687" s="10"/>
      <c r="DT687" s="10"/>
      <c r="DU687" s="10"/>
      <c r="DV687" s="10"/>
      <c r="DW687" s="10"/>
      <c r="DX687" s="10"/>
      <c r="DY687" s="10"/>
      <c r="DZ687" s="10"/>
      <c r="EA687" s="10"/>
      <c r="EB687" s="10"/>
      <c r="EC687" s="10"/>
      <c r="ED687" s="10"/>
      <c r="EE687" s="10"/>
      <c r="EF687" s="10"/>
      <c r="EG687" s="10"/>
      <c r="EH687" s="10"/>
      <c r="EI687" s="10"/>
      <c r="EJ687" s="10"/>
      <c r="EK687" s="10"/>
      <c r="EL687" s="10"/>
    </row>
    <row r="688" spans="18:142" x14ac:dyDescent="0.2">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c r="CF688" s="10"/>
      <c r="CG688" s="10"/>
      <c r="CH688" s="10"/>
      <c r="CI688" s="10"/>
      <c r="CJ688" s="10"/>
      <c r="CK688" s="10"/>
      <c r="CL688" s="10"/>
      <c r="CM688" s="10"/>
      <c r="CN688" s="10"/>
      <c r="CO688" s="10"/>
      <c r="CP688" s="10"/>
      <c r="CQ688" s="10"/>
      <c r="CR688" s="10"/>
      <c r="CS688" s="10"/>
      <c r="CT688" s="10"/>
      <c r="CU688" s="10"/>
      <c r="CV688" s="10"/>
      <c r="CW688" s="10"/>
      <c r="CX688" s="10"/>
      <c r="CY688" s="10"/>
      <c r="CZ688" s="10"/>
      <c r="DA688" s="10"/>
      <c r="DB688" s="10"/>
      <c r="DC688" s="10"/>
      <c r="DD688" s="10"/>
      <c r="DE688" s="10"/>
      <c r="DF688" s="10"/>
      <c r="DG688" s="10"/>
      <c r="DH688" s="10"/>
      <c r="DI688" s="10"/>
      <c r="DJ688" s="10"/>
      <c r="DK688" s="10"/>
      <c r="DL688" s="10"/>
      <c r="DM688" s="10"/>
      <c r="DN688" s="10"/>
      <c r="DO688" s="10"/>
      <c r="DP688" s="10"/>
      <c r="DQ688" s="10"/>
      <c r="DR688" s="10"/>
      <c r="DS688" s="10"/>
      <c r="DT688" s="10"/>
      <c r="DU688" s="10"/>
      <c r="DV688" s="10"/>
      <c r="DW688" s="10"/>
      <c r="DX688" s="10"/>
      <c r="DY688" s="10"/>
      <c r="DZ688" s="10"/>
      <c r="EA688" s="10"/>
      <c r="EB688" s="10"/>
      <c r="EC688" s="10"/>
      <c r="ED688" s="10"/>
      <c r="EE688" s="10"/>
      <c r="EF688" s="10"/>
      <c r="EG688" s="10"/>
      <c r="EH688" s="10"/>
      <c r="EI688" s="10"/>
      <c r="EJ688" s="10"/>
      <c r="EK688" s="10"/>
      <c r="EL688" s="10"/>
    </row>
    <row r="689" spans="18:142" x14ac:dyDescent="0.2">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c r="CF689" s="10"/>
      <c r="CG689" s="10"/>
      <c r="CH689" s="10"/>
      <c r="CI689" s="10"/>
      <c r="CJ689" s="10"/>
      <c r="CK689" s="10"/>
      <c r="CL689" s="10"/>
      <c r="CM689" s="10"/>
      <c r="CN689" s="10"/>
      <c r="CO689" s="10"/>
      <c r="CP689" s="10"/>
      <c r="CQ689" s="10"/>
      <c r="CR689" s="10"/>
      <c r="CS689" s="10"/>
      <c r="CT689" s="10"/>
      <c r="CU689" s="10"/>
      <c r="CV689" s="10"/>
      <c r="CW689" s="10"/>
      <c r="CX689" s="10"/>
      <c r="CY689" s="10"/>
      <c r="CZ689" s="10"/>
      <c r="DA689" s="10"/>
      <c r="DB689" s="10"/>
      <c r="DC689" s="10"/>
      <c r="DD689" s="10"/>
      <c r="DE689" s="10"/>
      <c r="DF689" s="10"/>
      <c r="DG689" s="10"/>
      <c r="DH689" s="10"/>
      <c r="DI689" s="10"/>
      <c r="DJ689" s="10"/>
      <c r="DK689" s="10"/>
      <c r="DL689" s="10"/>
      <c r="DM689" s="10"/>
      <c r="DN689" s="10"/>
      <c r="DO689" s="10"/>
      <c r="DP689" s="10"/>
      <c r="DQ689" s="10"/>
      <c r="DR689" s="10"/>
      <c r="DS689" s="10"/>
      <c r="DT689" s="10"/>
      <c r="DU689" s="10"/>
      <c r="DV689" s="10"/>
      <c r="DW689" s="10"/>
      <c r="DX689" s="10"/>
      <c r="DY689" s="10"/>
      <c r="DZ689" s="10"/>
      <c r="EA689" s="10"/>
      <c r="EB689" s="10"/>
      <c r="EC689" s="10"/>
      <c r="ED689" s="10"/>
      <c r="EE689" s="10"/>
      <c r="EF689" s="10"/>
      <c r="EG689" s="10"/>
      <c r="EH689" s="10"/>
      <c r="EI689" s="10"/>
      <c r="EJ689" s="10"/>
      <c r="EK689" s="10"/>
      <c r="EL689" s="10"/>
    </row>
    <row r="690" spans="18:142" x14ac:dyDescent="0.2">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c r="CF690" s="10"/>
      <c r="CG690" s="10"/>
      <c r="CH690" s="10"/>
      <c r="CI690" s="10"/>
      <c r="CJ690" s="10"/>
      <c r="CK690" s="10"/>
      <c r="CL690" s="10"/>
      <c r="CM690" s="10"/>
      <c r="CN690" s="10"/>
      <c r="CO690" s="10"/>
      <c r="CP690" s="10"/>
      <c r="CQ690" s="10"/>
      <c r="CR690" s="10"/>
      <c r="CS690" s="10"/>
      <c r="CT690" s="10"/>
      <c r="CU690" s="10"/>
      <c r="CV690" s="10"/>
      <c r="CW690" s="10"/>
      <c r="CX690" s="10"/>
      <c r="CY690" s="10"/>
      <c r="CZ690" s="10"/>
      <c r="DA690" s="10"/>
      <c r="DB690" s="10"/>
      <c r="DC690" s="10"/>
      <c r="DD690" s="10"/>
      <c r="DE690" s="10"/>
      <c r="DF690" s="10"/>
      <c r="DG690" s="10"/>
      <c r="DH690" s="10"/>
      <c r="DI690" s="10"/>
      <c r="DJ690" s="10"/>
      <c r="DK690" s="10"/>
      <c r="DL690" s="10"/>
      <c r="DM690" s="10"/>
      <c r="DN690" s="10"/>
      <c r="DO690" s="10"/>
      <c r="DP690" s="10"/>
      <c r="DQ690" s="10"/>
      <c r="DR690" s="10"/>
      <c r="DS690" s="10"/>
      <c r="DT690" s="10"/>
      <c r="DU690" s="10"/>
      <c r="DV690" s="10"/>
      <c r="DW690" s="10"/>
      <c r="DX690" s="10"/>
      <c r="DY690" s="10"/>
      <c r="DZ690" s="10"/>
      <c r="EA690" s="10"/>
      <c r="EB690" s="10"/>
      <c r="EC690" s="10"/>
      <c r="ED690" s="10"/>
      <c r="EE690" s="10"/>
      <c r="EF690" s="10"/>
      <c r="EG690" s="10"/>
      <c r="EH690" s="10"/>
      <c r="EI690" s="10"/>
      <c r="EJ690" s="10"/>
      <c r="EK690" s="10"/>
      <c r="EL690" s="10"/>
    </row>
    <row r="691" spans="18:142" x14ac:dyDescent="0.2">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c r="CF691" s="10"/>
      <c r="CG691" s="10"/>
      <c r="CH691" s="10"/>
      <c r="CI691" s="10"/>
      <c r="CJ691" s="10"/>
      <c r="CK691" s="10"/>
      <c r="CL691" s="10"/>
      <c r="CM691" s="10"/>
      <c r="CN691" s="10"/>
      <c r="CO691" s="10"/>
      <c r="CP691" s="10"/>
      <c r="CQ691" s="10"/>
      <c r="CR691" s="10"/>
      <c r="CS691" s="10"/>
      <c r="CT691" s="10"/>
      <c r="CU691" s="10"/>
      <c r="CV691" s="10"/>
      <c r="CW691" s="10"/>
      <c r="CX691" s="10"/>
      <c r="CY691" s="10"/>
      <c r="CZ691" s="10"/>
      <c r="DA691" s="10"/>
      <c r="DB691" s="10"/>
      <c r="DC691" s="10"/>
      <c r="DD691" s="10"/>
      <c r="DE691" s="10"/>
      <c r="DF691" s="10"/>
      <c r="DG691" s="10"/>
      <c r="DH691" s="10"/>
      <c r="DI691" s="10"/>
      <c r="DJ691" s="10"/>
      <c r="DK691" s="10"/>
      <c r="DL691" s="10"/>
      <c r="DM691" s="10"/>
      <c r="DN691" s="10"/>
      <c r="DO691" s="10"/>
      <c r="DP691" s="10"/>
      <c r="DQ691" s="10"/>
      <c r="DR691" s="10"/>
      <c r="DS691" s="10"/>
      <c r="DT691" s="10"/>
      <c r="DU691" s="10"/>
      <c r="DV691" s="10"/>
      <c r="DW691" s="10"/>
      <c r="DX691" s="10"/>
      <c r="DY691" s="10"/>
      <c r="DZ691" s="10"/>
      <c r="EA691" s="10"/>
      <c r="EB691" s="10"/>
      <c r="EC691" s="10"/>
      <c r="ED691" s="10"/>
      <c r="EE691" s="10"/>
      <c r="EF691" s="10"/>
      <c r="EG691" s="10"/>
      <c r="EH691" s="10"/>
      <c r="EI691" s="10"/>
      <c r="EJ691" s="10"/>
      <c r="EK691" s="10"/>
      <c r="EL691" s="10"/>
    </row>
    <row r="692" spans="18:142" x14ac:dyDescent="0.2">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c r="CF692" s="10"/>
      <c r="CG692" s="10"/>
      <c r="CH692" s="10"/>
      <c r="CI692" s="10"/>
      <c r="CJ692" s="10"/>
      <c r="CK692" s="10"/>
      <c r="CL692" s="10"/>
      <c r="CM692" s="10"/>
      <c r="CN692" s="10"/>
      <c r="CO692" s="10"/>
      <c r="CP692" s="10"/>
      <c r="CQ692" s="10"/>
      <c r="CR692" s="10"/>
      <c r="CS692" s="10"/>
      <c r="CT692" s="10"/>
      <c r="CU692" s="10"/>
      <c r="CV692" s="10"/>
      <c r="CW692" s="10"/>
      <c r="CX692" s="10"/>
      <c r="CY692" s="10"/>
      <c r="CZ692" s="10"/>
      <c r="DA692" s="10"/>
      <c r="DB692" s="10"/>
      <c r="DC692" s="10"/>
      <c r="DD692" s="10"/>
      <c r="DE692" s="10"/>
      <c r="DF692" s="10"/>
      <c r="DG692" s="10"/>
      <c r="DH692" s="10"/>
      <c r="DI692" s="10"/>
      <c r="DJ692" s="10"/>
      <c r="DK692" s="10"/>
      <c r="DL692" s="10"/>
      <c r="DM692" s="10"/>
      <c r="DN692" s="10"/>
      <c r="DO692" s="10"/>
      <c r="DP692" s="10"/>
      <c r="DQ692" s="10"/>
      <c r="DR692" s="10"/>
      <c r="DS692" s="10"/>
      <c r="DT692" s="10"/>
      <c r="DU692" s="10"/>
      <c r="DV692" s="10"/>
      <c r="DW692" s="10"/>
      <c r="DX692" s="10"/>
      <c r="DY692" s="10"/>
      <c r="DZ692" s="10"/>
      <c r="EA692" s="10"/>
      <c r="EB692" s="10"/>
      <c r="EC692" s="10"/>
      <c r="ED692" s="10"/>
      <c r="EE692" s="10"/>
      <c r="EF692" s="10"/>
      <c r="EG692" s="10"/>
      <c r="EH692" s="10"/>
      <c r="EI692" s="10"/>
      <c r="EJ692" s="10"/>
      <c r="EK692" s="10"/>
      <c r="EL692" s="10"/>
    </row>
    <row r="693" spans="18:142" x14ac:dyDescent="0.2">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c r="CF693" s="10"/>
      <c r="CG693" s="10"/>
      <c r="CH693" s="10"/>
      <c r="CI693" s="10"/>
      <c r="CJ693" s="10"/>
      <c r="CK693" s="10"/>
      <c r="CL693" s="10"/>
      <c r="CM693" s="10"/>
      <c r="CN693" s="10"/>
      <c r="CO693" s="10"/>
      <c r="CP693" s="10"/>
      <c r="CQ693" s="10"/>
      <c r="CR693" s="10"/>
      <c r="CS693" s="10"/>
      <c r="CT693" s="10"/>
      <c r="CU693" s="10"/>
      <c r="CV693" s="10"/>
      <c r="CW693" s="10"/>
      <c r="CX693" s="10"/>
      <c r="CY693" s="10"/>
      <c r="CZ693" s="10"/>
      <c r="DA693" s="10"/>
      <c r="DB693" s="10"/>
      <c r="DC693" s="10"/>
      <c r="DD693" s="10"/>
      <c r="DE693" s="10"/>
      <c r="DF693" s="10"/>
      <c r="DG693" s="10"/>
      <c r="DH693" s="10"/>
      <c r="DI693" s="10"/>
      <c r="DJ693" s="10"/>
      <c r="DK693" s="10"/>
      <c r="DL693" s="10"/>
      <c r="DM693" s="10"/>
      <c r="DN693" s="10"/>
      <c r="DO693" s="10"/>
      <c r="DP693" s="10"/>
      <c r="DQ693" s="10"/>
      <c r="DR693" s="10"/>
      <c r="DS693" s="10"/>
      <c r="DT693" s="10"/>
      <c r="DU693" s="10"/>
      <c r="DV693" s="10"/>
      <c r="DW693" s="10"/>
      <c r="DX693" s="10"/>
      <c r="DY693" s="10"/>
      <c r="DZ693" s="10"/>
      <c r="EA693" s="10"/>
      <c r="EB693" s="10"/>
      <c r="EC693" s="10"/>
      <c r="ED693" s="10"/>
      <c r="EE693" s="10"/>
      <c r="EF693" s="10"/>
      <c r="EG693" s="10"/>
      <c r="EH693" s="10"/>
      <c r="EI693" s="10"/>
      <c r="EJ693" s="10"/>
      <c r="EK693" s="10"/>
      <c r="EL693" s="10"/>
    </row>
    <row r="694" spans="18:142" x14ac:dyDescent="0.2">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c r="CF694" s="10"/>
      <c r="CG694" s="10"/>
      <c r="CH694" s="10"/>
      <c r="CI694" s="10"/>
      <c r="CJ694" s="10"/>
      <c r="CK694" s="10"/>
      <c r="CL694" s="10"/>
      <c r="CM694" s="10"/>
      <c r="CN694" s="10"/>
      <c r="CO694" s="10"/>
      <c r="CP694" s="10"/>
      <c r="CQ694" s="10"/>
      <c r="CR694" s="10"/>
      <c r="CS694" s="10"/>
      <c r="CT694" s="10"/>
      <c r="CU694" s="10"/>
      <c r="CV694" s="10"/>
      <c r="CW694" s="10"/>
      <c r="CX694" s="10"/>
      <c r="CY694" s="10"/>
      <c r="CZ694" s="10"/>
      <c r="DA694" s="10"/>
      <c r="DB694" s="10"/>
      <c r="DC694" s="10"/>
      <c r="DD694" s="10"/>
      <c r="DE694" s="10"/>
      <c r="DF694" s="10"/>
      <c r="DG694" s="10"/>
      <c r="DH694" s="10"/>
      <c r="DI694" s="10"/>
      <c r="DJ694" s="10"/>
      <c r="DK694" s="10"/>
      <c r="DL694" s="10"/>
      <c r="DM694" s="10"/>
      <c r="DN694" s="10"/>
      <c r="DO694" s="10"/>
      <c r="DP694" s="10"/>
      <c r="DQ694" s="10"/>
      <c r="DR694" s="10"/>
      <c r="DS694" s="10"/>
      <c r="DT694" s="10"/>
      <c r="DU694" s="10"/>
      <c r="DV694" s="10"/>
      <c r="DW694" s="10"/>
      <c r="DX694" s="10"/>
      <c r="DY694" s="10"/>
      <c r="DZ694" s="10"/>
      <c r="EA694" s="10"/>
      <c r="EB694" s="10"/>
      <c r="EC694" s="10"/>
      <c r="ED694" s="10"/>
      <c r="EE694" s="10"/>
      <c r="EF694" s="10"/>
      <c r="EG694" s="10"/>
      <c r="EH694" s="10"/>
      <c r="EI694" s="10"/>
      <c r="EJ694" s="10"/>
      <c r="EK694" s="10"/>
      <c r="EL694" s="10"/>
    </row>
    <row r="695" spans="18:142" x14ac:dyDescent="0.2">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c r="CE695" s="10"/>
      <c r="CF695" s="10"/>
      <c r="CG695" s="10"/>
      <c r="CH695" s="10"/>
      <c r="CI695" s="10"/>
      <c r="CJ695" s="10"/>
      <c r="CK695" s="10"/>
      <c r="CL695" s="10"/>
      <c r="CM695" s="10"/>
      <c r="CN695" s="10"/>
      <c r="CO695" s="10"/>
      <c r="CP695" s="10"/>
      <c r="CQ695" s="10"/>
      <c r="CR695" s="10"/>
      <c r="CS695" s="10"/>
      <c r="CT695" s="10"/>
      <c r="CU695" s="10"/>
      <c r="CV695" s="10"/>
      <c r="CW695" s="10"/>
      <c r="CX695" s="10"/>
      <c r="CY695" s="10"/>
      <c r="CZ695" s="10"/>
      <c r="DA695" s="10"/>
      <c r="DB695" s="10"/>
      <c r="DC695" s="10"/>
      <c r="DD695" s="10"/>
      <c r="DE695" s="10"/>
      <c r="DF695" s="10"/>
      <c r="DG695" s="10"/>
      <c r="DH695" s="10"/>
      <c r="DI695" s="10"/>
      <c r="DJ695" s="10"/>
      <c r="DK695" s="10"/>
      <c r="DL695" s="10"/>
      <c r="DM695" s="10"/>
      <c r="DN695" s="10"/>
      <c r="DO695" s="10"/>
      <c r="DP695" s="10"/>
      <c r="DQ695" s="10"/>
      <c r="DR695" s="10"/>
      <c r="DS695" s="10"/>
      <c r="DT695" s="10"/>
      <c r="DU695" s="10"/>
      <c r="DV695" s="10"/>
      <c r="DW695" s="10"/>
      <c r="DX695" s="10"/>
      <c r="DY695" s="10"/>
      <c r="DZ695" s="10"/>
      <c r="EA695" s="10"/>
      <c r="EB695" s="10"/>
      <c r="EC695" s="10"/>
      <c r="ED695" s="10"/>
      <c r="EE695" s="10"/>
      <c r="EF695" s="10"/>
      <c r="EG695" s="10"/>
      <c r="EH695" s="10"/>
      <c r="EI695" s="10"/>
      <c r="EJ695" s="10"/>
      <c r="EK695" s="10"/>
      <c r="EL695" s="10"/>
    </row>
  </sheetData>
  <sheetProtection sheet="1" objects="1" scenarios="1"/>
  <mergeCells count="1220">
    <mergeCell ref="F269:K269"/>
    <mergeCell ref="C227:F227"/>
    <mergeCell ref="G227:K227"/>
    <mergeCell ref="L227:O227"/>
    <mergeCell ref="P221:P232"/>
    <mergeCell ref="L232:N232"/>
    <mergeCell ref="L233:O233"/>
    <mergeCell ref="B243:O243"/>
    <mergeCell ref="B244:O244"/>
    <mergeCell ref="E256:F256"/>
    <mergeCell ref="G256:O256"/>
    <mergeCell ref="E452:F452"/>
    <mergeCell ref="R405:R406"/>
    <mergeCell ref="R409:R410"/>
    <mergeCell ref="G448:I448"/>
    <mergeCell ref="J448:K448"/>
    <mergeCell ref="J228:K228"/>
    <mergeCell ref="G225:O225"/>
    <mergeCell ref="B236:O236"/>
    <mergeCell ref="B371:O371"/>
    <mergeCell ref="G366:I366"/>
    <mergeCell ref="E344:F344"/>
    <mergeCell ref="J342:K342"/>
    <mergeCell ref="P269:P274"/>
    <mergeCell ref="F311:L311"/>
    <mergeCell ref="G347:I347"/>
    <mergeCell ref="E348:F348"/>
    <mergeCell ref="B347:D347"/>
    <mergeCell ref="E347:F347"/>
    <mergeCell ref="F315:L315"/>
    <mergeCell ref="F298:O298"/>
    <mergeCell ref="L269:M269"/>
    <mergeCell ref="E190:O190"/>
    <mergeCell ref="B198:D198"/>
    <mergeCell ref="E198:F198"/>
    <mergeCell ref="N186:O186"/>
    <mergeCell ref="B58:J59"/>
    <mergeCell ref="B98:J99"/>
    <mergeCell ref="B138:J139"/>
    <mergeCell ref="B178:J179"/>
    <mergeCell ref="B232:K233"/>
    <mergeCell ref="R241:R242"/>
    <mergeCell ref="B241:F241"/>
    <mergeCell ref="V133:W133"/>
    <mergeCell ref="T132:U132"/>
    <mergeCell ref="R146:S146"/>
    <mergeCell ref="T172:U172"/>
    <mergeCell ref="V173:W173"/>
    <mergeCell ref="R186:S186"/>
    <mergeCell ref="L197:O200"/>
    <mergeCell ref="B201:O201"/>
    <mergeCell ref="B203:O203"/>
    <mergeCell ref="B204:P204"/>
    <mergeCell ref="E194:F194"/>
    <mergeCell ref="B146:M146"/>
    <mergeCell ref="B140:O140"/>
    <mergeCell ref="B128:O128"/>
    <mergeCell ref="C136:D136"/>
    <mergeCell ref="B119:D119"/>
    <mergeCell ref="B120:D120"/>
    <mergeCell ref="E120:F120"/>
    <mergeCell ref="H210:O210"/>
    <mergeCell ref="B213:O213"/>
    <mergeCell ref="H211:O211"/>
    <mergeCell ref="Y142:Y143"/>
    <mergeCell ref="C177:D177"/>
    <mergeCell ref="B162:O162"/>
    <mergeCell ref="M1:P1"/>
    <mergeCell ref="B180:O180"/>
    <mergeCell ref="E148:O148"/>
    <mergeCell ref="Z105:AB105"/>
    <mergeCell ref="C229:D229"/>
    <mergeCell ref="C225:D225"/>
    <mergeCell ref="T220:U220"/>
    <mergeCell ref="B220:O220"/>
    <mergeCell ref="Y182:Y183"/>
    <mergeCell ref="P72:P81"/>
    <mergeCell ref="J78:K78"/>
    <mergeCell ref="Z185:AB185"/>
    <mergeCell ref="F219:G219"/>
    <mergeCell ref="C221:F221"/>
    <mergeCell ref="Y102:Y103"/>
    <mergeCell ref="L193:O194"/>
    <mergeCell ref="B194:D194"/>
    <mergeCell ref="B192:F192"/>
    <mergeCell ref="E150:O150"/>
    <mergeCell ref="G160:I160"/>
    <mergeCell ref="L169:N169"/>
    <mergeCell ref="C169:K169"/>
    <mergeCell ref="S181:U181"/>
    <mergeCell ref="B195:D195"/>
    <mergeCell ref="E195:F195"/>
    <mergeCell ref="B184:O184"/>
    <mergeCell ref="B191:O191"/>
    <mergeCell ref="B202:O202"/>
    <mergeCell ref="B185:O185"/>
    <mergeCell ref="S2:T2"/>
    <mergeCell ref="S1:T1"/>
    <mergeCell ref="R237:R238"/>
    <mergeCell ref="Z27:AB27"/>
    <mergeCell ref="Z28:AB28"/>
    <mergeCell ref="Z65:AB65"/>
    <mergeCell ref="Z66:AB66"/>
    <mergeCell ref="L192:O192"/>
    <mergeCell ref="B141:O141"/>
    <mergeCell ref="T92:U92"/>
    <mergeCell ref="V93:W93"/>
    <mergeCell ref="R106:S106"/>
    <mergeCell ref="R129:R130"/>
    <mergeCell ref="R169:R170"/>
    <mergeCell ref="K138:N138"/>
    <mergeCell ref="K139:O139"/>
    <mergeCell ref="L230:O230"/>
    <mergeCell ref="L228:O228"/>
    <mergeCell ref="C222:D222"/>
    <mergeCell ref="B2:P2"/>
    <mergeCell ref="L18:O18"/>
    <mergeCell ref="B1:C1"/>
    <mergeCell ref="D1:K1"/>
    <mergeCell ref="E149:O149"/>
    <mergeCell ref="K58:N58"/>
    <mergeCell ref="K59:O59"/>
    <mergeCell ref="Z146:AB146"/>
    <mergeCell ref="B28:M28"/>
    <mergeCell ref="N28:O28"/>
    <mergeCell ref="B66:M66"/>
    <mergeCell ref="N66:O66"/>
    <mergeCell ref="J56:K56"/>
    <mergeCell ref="J38:K38"/>
    <mergeCell ref="E189:O189"/>
    <mergeCell ref="C189:D189"/>
    <mergeCell ref="E79:F79"/>
    <mergeCell ref="E56:F56"/>
    <mergeCell ref="E57:F57"/>
    <mergeCell ref="B186:M186"/>
    <mergeCell ref="L75:O76"/>
    <mergeCell ref="B163:P163"/>
    <mergeCell ref="J173:K173"/>
    <mergeCell ref="G173:I173"/>
    <mergeCell ref="N146:O146"/>
    <mergeCell ref="B3:P3"/>
    <mergeCell ref="C16:D16"/>
    <mergeCell ref="C54:D54"/>
    <mergeCell ref="H498:J498"/>
    <mergeCell ref="L498:M498"/>
    <mergeCell ref="L497:M497"/>
    <mergeCell ref="B255:O255"/>
    <mergeCell ref="H494:J494"/>
    <mergeCell ref="L493:M493"/>
    <mergeCell ref="O495:P495"/>
    <mergeCell ref="H495:J495"/>
    <mergeCell ref="L494:M494"/>
    <mergeCell ref="L495:M495"/>
    <mergeCell ref="N484:P484"/>
    <mergeCell ref="H493:J493"/>
    <mergeCell ref="C495:D495"/>
    <mergeCell ref="C493:D493"/>
    <mergeCell ref="O492:P492"/>
    <mergeCell ref="B489:P489"/>
    <mergeCell ref="C488:E488"/>
    <mergeCell ref="R49:R50"/>
    <mergeCell ref="T52:U52"/>
    <mergeCell ref="V53:W53"/>
    <mergeCell ref="B76:D76"/>
    <mergeCell ref="E76:F76"/>
    <mergeCell ref="G76:I76"/>
    <mergeCell ref="J76:K76"/>
    <mergeCell ref="B157:D157"/>
    <mergeCell ref="E157:F157"/>
    <mergeCell ref="R279:S279"/>
    <mergeCell ref="H491:J491"/>
    <mergeCell ref="N482:P482"/>
    <mergeCell ref="J482:M482"/>
    <mergeCell ref="B453:D453"/>
    <mergeCell ref="B452:D452"/>
    <mergeCell ref="G449:I449"/>
    <mergeCell ref="H492:J492"/>
    <mergeCell ref="C492:D492"/>
    <mergeCell ref="C478:D478"/>
    <mergeCell ref="B437:O437"/>
    <mergeCell ref="B475:P475"/>
    <mergeCell ref="F477:G477"/>
    <mergeCell ref="N481:P481"/>
    <mergeCell ref="H477:I477"/>
    <mergeCell ref="J480:M480"/>
    <mergeCell ref="J477:M477"/>
    <mergeCell ref="H484:I484"/>
    <mergeCell ref="J483:M483"/>
    <mergeCell ref="H483:I483"/>
    <mergeCell ref="F483:G483"/>
    <mergeCell ref="F484:G484"/>
    <mergeCell ref="N483:P483"/>
    <mergeCell ref="Z251:AB251"/>
    <mergeCell ref="S269:T269"/>
    <mergeCell ref="S270:T270"/>
    <mergeCell ref="S101:U101"/>
    <mergeCell ref="S141:U141"/>
    <mergeCell ref="AD229:AG229"/>
    <mergeCell ref="Z186:AB186"/>
    <mergeCell ref="T125:T126"/>
    <mergeCell ref="Z106:AB106"/>
    <mergeCell ref="Z145:AB145"/>
    <mergeCell ref="E118:F118"/>
    <mergeCell ref="B247:F247"/>
    <mergeCell ref="K178:N178"/>
    <mergeCell ref="K179:O179"/>
    <mergeCell ref="C231:D231"/>
    <mergeCell ref="B234:O234"/>
    <mergeCell ref="E231:F231"/>
    <mergeCell ref="B240:O240"/>
    <mergeCell ref="B181:O181"/>
    <mergeCell ref="C148:D148"/>
    <mergeCell ref="F217:G217"/>
    <mergeCell ref="E176:F176"/>
    <mergeCell ref="G261:O261"/>
    <mergeCell ref="F249:G249"/>
    <mergeCell ref="N252:O252"/>
    <mergeCell ref="B248:O248"/>
    <mergeCell ref="G258:O258"/>
    <mergeCell ref="B256:D262"/>
    <mergeCell ref="E260:F260"/>
    <mergeCell ref="E261:F261"/>
    <mergeCell ref="B196:D196"/>
    <mergeCell ref="G197:I197"/>
    <mergeCell ref="C500:G500"/>
    <mergeCell ref="H500:M500"/>
    <mergeCell ref="H482:I482"/>
    <mergeCell ref="J484:M484"/>
    <mergeCell ref="C376:D376"/>
    <mergeCell ref="F482:G482"/>
    <mergeCell ref="F281:L281"/>
    <mergeCell ref="N420:O420"/>
    <mergeCell ref="C412:O415"/>
    <mergeCell ref="N419:O419"/>
    <mergeCell ref="B420:M420"/>
    <mergeCell ref="C482:D482"/>
    <mergeCell ref="B436:O436"/>
    <mergeCell ref="B499:P499"/>
    <mergeCell ref="O498:P498"/>
    <mergeCell ref="C497:D497"/>
    <mergeCell ref="B291:L291"/>
    <mergeCell ref="C491:D491"/>
    <mergeCell ref="F491:G491"/>
    <mergeCell ref="B490:P490"/>
    <mergeCell ref="O491:P491"/>
    <mergeCell ref="L491:M491"/>
    <mergeCell ref="J479:M479"/>
    <mergeCell ref="C498:D498"/>
    <mergeCell ref="O497:P497"/>
    <mergeCell ref="H497:J497"/>
    <mergeCell ref="J478:M478"/>
    <mergeCell ref="B471:O471"/>
    <mergeCell ref="F445:K445"/>
    <mergeCell ref="C423:O423"/>
    <mergeCell ref="G432:O432"/>
    <mergeCell ref="J400:O400"/>
    <mergeCell ref="F488:P488"/>
    <mergeCell ref="B467:D467"/>
    <mergeCell ref="B466:D466"/>
    <mergeCell ref="B462:D462"/>
    <mergeCell ref="B463:D463"/>
    <mergeCell ref="B464:D464"/>
    <mergeCell ref="G434:O434"/>
    <mergeCell ref="L458:O461"/>
    <mergeCell ref="B486:P486"/>
    <mergeCell ref="B441:O441"/>
    <mergeCell ref="E433:F433"/>
    <mergeCell ref="N479:P479"/>
    <mergeCell ref="H380:O380"/>
    <mergeCell ref="B472:P472"/>
    <mergeCell ref="G459:I459"/>
    <mergeCell ref="E469:F469"/>
    <mergeCell ref="B469:D469"/>
    <mergeCell ref="C395:O395"/>
    <mergeCell ref="E459:F459"/>
    <mergeCell ref="G452:I452"/>
    <mergeCell ref="L465:O470"/>
    <mergeCell ref="E450:F450"/>
    <mergeCell ref="B447:F447"/>
    <mergeCell ref="B450:D450"/>
    <mergeCell ref="E448:F448"/>
    <mergeCell ref="B429:D435"/>
    <mergeCell ref="J469:K469"/>
    <mergeCell ref="J470:K470"/>
    <mergeCell ref="N478:P478"/>
    <mergeCell ref="N477:P477"/>
    <mergeCell ref="N438:O438"/>
    <mergeCell ref="E454:F454"/>
    <mergeCell ref="G462:I462"/>
    <mergeCell ref="E455:F455"/>
    <mergeCell ref="B455:D455"/>
    <mergeCell ref="B449:D449"/>
    <mergeCell ref="G431:O431"/>
    <mergeCell ref="G435:O435"/>
    <mergeCell ref="L452:O457"/>
    <mergeCell ref="B438:M438"/>
    <mergeCell ref="B448:D448"/>
    <mergeCell ref="L449:O449"/>
    <mergeCell ref="B451:D451"/>
    <mergeCell ref="E451:F451"/>
    <mergeCell ref="C496:D496"/>
    <mergeCell ref="C494:D494"/>
    <mergeCell ref="H496:J496"/>
    <mergeCell ref="O496:P496"/>
    <mergeCell ref="L492:M492"/>
    <mergeCell ref="L496:M496"/>
    <mergeCell ref="O493:P493"/>
    <mergeCell ref="C484:D484"/>
    <mergeCell ref="B470:D470"/>
    <mergeCell ref="E468:F468"/>
    <mergeCell ref="B442:M442"/>
    <mergeCell ref="N442:O442"/>
    <mergeCell ref="B440:O440"/>
    <mergeCell ref="B457:D457"/>
    <mergeCell ref="G469:I469"/>
    <mergeCell ref="J463:K463"/>
    <mergeCell ref="J462:K462"/>
    <mergeCell ref="G453:I453"/>
    <mergeCell ref="G450:I450"/>
    <mergeCell ref="E449:F449"/>
    <mergeCell ref="C483:D483"/>
    <mergeCell ref="O494:P494"/>
    <mergeCell ref="B474:P474"/>
    <mergeCell ref="G464:I464"/>
    <mergeCell ref="J464:K464"/>
    <mergeCell ref="G465:I465"/>
    <mergeCell ref="J465:K465"/>
    <mergeCell ref="B476:P476"/>
    <mergeCell ref="B487:P487"/>
    <mergeCell ref="J466:K466"/>
    <mergeCell ref="B468:D468"/>
    <mergeCell ref="E460:F460"/>
    <mergeCell ref="J453:K453"/>
    <mergeCell ref="G466:I466"/>
    <mergeCell ref="B439:P439"/>
    <mergeCell ref="P440:P441"/>
    <mergeCell ref="E457:F457"/>
    <mergeCell ref="B460:D460"/>
    <mergeCell ref="B459:D459"/>
    <mergeCell ref="E463:F463"/>
    <mergeCell ref="J449:K449"/>
    <mergeCell ref="C445:E445"/>
    <mergeCell ref="G451:I451"/>
    <mergeCell ref="G458:I458"/>
    <mergeCell ref="B461:D461"/>
    <mergeCell ref="J457:K457"/>
    <mergeCell ref="J455:K455"/>
    <mergeCell ref="G455:I455"/>
    <mergeCell ref="J481:M481"/>
    <mergeCell ref="C480:D480"/>
    <mergeCell ref="C479:D479"/>
    <mergeCell ref="F479:G479"/>
    <mergeCell ref="G470:I470"/>
    <mergeCell ref="G454:I454"/>
    <mergeCell ref="J456:K456"/>
    <mergeCell ref="G457:I457"/>
    <mergeCell ref="N480:P480"/>
    <mergeCell ref="E434:F434"/>
    <mergeCell ref="E470:F470"/>
    <mergeCell ref="F481:G481"/>
    <mergeCell ref="C406:O406"/>
    <mergeCell ref="C426:O426"/>
    <mergeCell ref="C481:D481"/>
    <mergeCell ref="H481:I481"/>
    <mergeCell ref="B454:D454"/>
    <mergeCell ref="H480:I480"/>
    <mergeCell ref="G429:O429"/>
    <mergeCell ref="E461:F461"/>
    <mergeCell ref="F480:G480"/>
    <mergeCell ref="B446:O446"/>
    <mergeCell ref="B444:O444"/>
    <mergeCell ref="G467:I467"/>
    <mergeCell ref="L447:O447"/>
    <mergeCell ref="B458:D458"/>
    <mergeCell ref="B456:D456"/>
    <mergeCell ref="G430:O430"/>
    <mergeCell ref="C424:O424"/>
    <mergeCell ref="J454:K454"/>
    <mergeCell ref="B473:P473"/>
    <mergeCell ref="F478:G478"/>
    <mergeCell ref="H478:I478"/>
    <mergeCell ref="C477:D477"/>
    <mergeCell ref="B412:B415"/>
    <mergeCell ref="B419:M419"/>
    <mergeCell ref="H479:I479"/>
    <mergeCell ref="C425:O425"/>
    <mergeCell ref="E432:F432"/>
    <mergeCell ref="E453:F453"/>
    <mergeCell ref="E431:F431"/>
    <mergeCell ref="B421:O421"/>
    <mergeCell ref="B51:O51"/>
    <mergeCell ref="C50:K50"/>
    <mergeCell ref="C49:K49"/>
    <mergeCell ref="L52:O52"/>
    <mergeCell ref="E19:F19"/>
    <mergeCell ref="G38:I38"/>
    <mergeCell ref="G13:I13"/>
    <mergeCell ref="E14:F14"/>
    <mergeCell ref="E18:F18"/>
    <mergeCell ref="J36:K36"/>
    <mergeCell ref="B39:D39"/>
    <mergeCell ref="B40:D40"/>
    <mergeCell ref="E37:F37"/>
    <mergeCell ref="G37:I37"/>
    <mergeCell ref="J37:K37"/>
    <mergeCell ref="B37:D37"/>
    <mergeCell ref="E16:F16"/>
    <mergeCell ref="E17:F17"/>
    <mergeCell ref="E31:O31"/>
    <mergeCell ref="J18:K18"/>
    <mergeCell ref="C19:D19"/>
    <mergeCell ref="J34:K34"/>
    <mergeCell ref="B20:J21"/>
    <mergeCell ref="C399:N399"/>
    <mergeCell ref="C403:O403"/>
    <mergeCell ref="F212:G212"/>
    <mergeCell ref="E197:F197"/>
    <mergeCell ref="C237:N237"/>
    <mergeCell ref="B5:P5"/>
    <mergeCell ref="B42:P42"/>
    <mergeCell ref="B38:D38"/>
    <mergeCell ref="B6:P6"/>
    <mergeCell ref="E38:F38"/>
    <mergeCell ref="G52:K52"/>
    <mergeCell ref="G17:O17"/>
    <mergeCell ref="C15:K15"/>
    <mergeCell ref="P235:P236"/>
    <mergeCell ref="C89:K89"/>
    <mergeCell ref="B91:O91"/>
    <mergeCell ref="C94:D94"/>
    <mergeCell ref="J197:K197"/>
    <mergeCell ref="G55:O55"/>
    <mergeCell ref="C56:D56"/>
    <mergeCell ref="L56:O56"/>
    <mergeCell ref="C190:D190"/>
    <mergeCell ref="G56:I56"/>
    <mergeCell ref="G57:O57"/>
    <mergeCell ref="C55:D55"/>
    <mergeCell ref="B60:O60"/>
    <mergeCell ref="B61:O61"/>
    <mergeCell ref="B82:P82"/>
    <mergeCell ref="B73:D73"/>
    <mergeCell ref="B72:F72"/>
    <mergeCell ref="G73:I73"/>
    <mergeCell ref="L72:O72"/>
    <mergeCell ref="E69:O69"/>
    <mergeCell ref="J54:K54"/>
    <mergeCell ref="E54:F54"/>
    <mergeCell ref="B209:E212"/>
    <mergeCell ref="E4:F4"/>
    <mergeCell ref="G4:I4"/>
    <mergeCell ref="B242:F242"/>
    <mergeCell ref="G259:O259"/>
    <mergeCell ref="E259:F259"/>
    <mergeCell ref="B249:E249"/>
    <mergeCell ref="C246:O246"/>
    <mergeCell ref="E257:F257"/>
    <mergeCell ref="G242:O242"/>
    <mergeCell ref="B245:O245"/>
    <mergeCell ref="B250:O250"/>
    <mergeCell ref="B254:O254"/>
    <mergeCell ref="E225:F225"/>
    <mergeCell ref="L222:O222"/>
    <mergeCell ref="G221:K221"/>
    <mergeCell ref="L15:N15"/>
    <mergeCell ref="C223:D223"/>
    <mergeCell ref="C183:N183"/>
    <mergeCell ref="E177:F177"/>
    <mergeCell ref="G177:O177"/>
    <mergeCell ref="L152:O152"/>
    <mergeCell ref="G257:O257"/>
    <mergeCell ref="G157:I157"/>
    <mergeCell ref="J157:K157"/>
    <mergeCell ref="B113:D113"/>
    <mergeCell ref="E55:F55"/>
    <mergeCell ref="E222:F222"/>
    <mergeCell ref="H217:O217"/>
    <mergeCell ref="J12:K12"/>
    <mergeCell ref="C57:D57"/>
    <mergeCell ref="L4:M4"/>
    <mergeCell ref="C4:D4"/>
    <mergeCell ref="B235:O235"/>
    <mergeCell ref="J224:K224"/>
    <mergeCell ref="G223:O223"/>
    <mergeCell ref="C224:D224"/>
    <mergeCell ref="G231:O231"/>
    <mergeCell ref="B239:O239"/>
    <mergeCell ref="G241:O241"/>
    <mergeCell ref="C238:N238"/>
    <mergeCell ref="L224:O224"/>
    <mergeCell ref="C228:D228"/>
    <mergeCell ref="G228:I228"/>
    <mergeCell ref="F210:G210"/>
    <mergeCell ref="H212:O212"/>
    <mergeCell ref="F215:G215"/>
    <mergeCell ref="B207:O207"/>
    <mergeCell ref="J230:K230"/>
    <mergeCell ref="E230:F230"/>
    <mergeCell ref="E229:F229"/>
    <mergeCell ref="F218:G218"/>
    <mergeCell ref="G229:O229"/>
    <mergeCell ref="G230:I230"/>
    <mergeCell ref="C230:D230"/>
    <mergeCell ref="B206:O206"/>
    <mergeCell ref="G198:I198"/>
    <mergeCell ref="B193:D193"/>
    <mergeCell ref="G193:I193"/>
    <mergeCell ref="J193:K193"/>
    <mergeCell ref="C182:N182"/>
    <mergeCell ref="E188:O188"/>
    <mergeCell ref="C188:D188"/>
    <mergeCell ref="F211:G211"/>
    <mergeCell ref="P192:P201"/>
    <mergeCell ref="G192:K192"/>
    <mergeCell ref="G247:O247"/>
    <mergeCell ref="B226:N226"/>
    <mergeCell ref="E223:F223"/>
    <mergeCell ref="AJ208:AN208"/>
    <mergeCell ref="E224:F224"/>
    <mergeCell ref="Z208:AB208"/>
    <mergeCell ref="F209:G209"/>
    <mergeCell ref="H209:O209"/>
    <mergeCell ref="E196:F196"/>
    <mergeCell ref="G196:I196"/>
    <mergeCell ref="J196:K196"/>
    <mergeCell ref="E193:F193"/>
    <mergeCell ref="L221:O221"/>
    <mergeCell ref="B214:O214"/>
    <mergeCell ref="V221:W221"/>
    <mergeCell ref="J195:K195"/>
    <mergeCell ref="B205:O205"/>
    <mergeCell ref="J198:K198"/>
    <mergeCell ref="G199:I199"/>
    <mergeCell ref="B197:D197"/>
    <mergeCell ref="B199:D199"/>
    <mergeCell ref="B200:D200"/>
    <mergeCell ref="J200:K200"/>
    <mergeCell ref="G224:I224"/>
    <mergeCell ref="G222:I222"/>
    <mergeCell ref="J199:K199"/>
    <mergeCell ref="J194:K194"/>
    <mergeCell ref="E200:F200"/>
    <mergeCell ref="G200:I200"/>
    <mergeCell ref="G195:I195"/>
    <mergeCell ref="E115:F115"/>
    <mergeCell ref="B123:P123"/>
    <mergeCell ref="B124:P124"/>
    <mergeCell ref="J133:K133"/>
    <mergeCell ref="G176:I176"/>
    <mergeCell ref="C176:D176"/>
    <mergeCell ref="L176:O176"/>
    <mergeCell ref="C175:D175"/>
    <mergeCell ref="J176:K176"/>
    <mergeCell ref="E175:F175"/>
    <mergeCell ref="G175:O175"/>
    <mergeCell ref="E133:F133"/>
    <mergeCell ref="G133:I133"/>
    <mergeCell ref="E134:F134"/>
    <mergeCell ref="L133:O133"/>
    <mergeCell ref="E136:F136"/>
    <mergeCell ref="G135:O135"/>
    <mergeCell ref="B168:O168"/>
    <mergeCell ref="P168:P178"/>
    <mergeCell ref="L170:N170"/>
    <mergeCell ref="B171:O171"/>
    <mergeCell ref="C170:K170"/>
    <mergeCell ref="B145:O145"/>
    <mergeCell ref="L174:O174"/>
    <mergeCell ref="C174:D174"/>
    <mergeCell ref="J174:K174"/>
    <mergeCell ref="B167:P167"/>
    <mergeCell ref="G158:I158"/>
    <mergeCell ref="C172:F172"/>
    <mergeCell ref="G172:K172"/>
    <mergeCell ref="B158:D158"/>
    <mergeCell ref="L173:O173"/>
    <mergeCell ref="E173:F173"/>
    <mergeCell ref="E174:F174"/>
    <mergeCell ref="L172:O172"/>
    <mergeCell ref="B164:P164"/>
    <mergeCell ref="G174:I174"/>
    <mergeCell ref="B155:D155"/>
    <mergeCell ref="J160:K160"/>
    <mergeCell ref="G155:I155"/>
    <mergeCell ref="T165:T166"/>
    <mergeCell ref="B166:O166"/>
    <mergeCell ref="C173:D173"/>
    <mergeCell ref="L153:O154"/>
    <mergeCell ref="G153:I153"/>
    <mergeCell ref="J153:K153"/>
    <mergeCell ref="J155:K155"/>
    <mergeCell ref="J154:K154"/>
    <mergeCell ref="G154:I154"/>
    <mergeCell ref="B165:P165"/>
    <mergeCell ref="B159:D159"/>
    <mergeCell ref="E158:F158"/>
    <mergeCell ref="G159:I159"/>
    <mergeCell ref="E153:F153"/>
    <mergeCell ref="J118:K118"/>
    <mergeCell ref="G116:I116"/>
    <mergeCell ref="B125:P125"/>
    <mergeCell ref="J116:K116"/>
    <mergeCell ref="L136:O136"/>
    <mergeCell ref="C129:K129"/>
    <mergeCell ref="C133:D133"/>
    <mergeCell ref="J136:K136"/>
    <mergeCell ref="C143:N143"/>
    <mergeCell ref="B144:O144"/>
    <mergeCell ref="C142:N142"/>
    <mergeCell ref="C149:D149"/>
    <mergeCell ref="B156:D156"/>
    <mergeCell ref="B151:O151"/>
    <mergeCell ref="P152:P161"/>
    <mergeCell ref="B152:F152"/>
    <mergeCell ref="L157:O160"/>
    <mergeCell ref="B161:O161"/>
    <mergeCell ref="E155:F155"/>
    <mergeCell ref="E159:F159"/>
    <mergeCell ref="E160:F160"/>
    <mergeCell ref="B160:D160"/>
    <mergeCell ref="J156:K156"/>
    <mergeCell ref="C135:D135"/>
    <mergeCell ref="B154:D154"/>
    <mergeCell ref="E154:F154"/>
    <mergeCell ref="C150:D150"/>
    <mergeCell ref="G97:O97"/>
    <mergeCell ref="G93:I93"/>
    <mergeCell ref="E75:F75"/>
    <mergeCell ref="B77:D77"/>
    <mergeCell ref="G80:I80"/>
    <mergeCell ref="J75:K75"/>
    <mergeCell ref="L73:O74"/>
    <mergeCell ref="E80:F80"/>
    <mergeCell ref="G72:K72"/>
    <mergeCell ref="B116:D116"/>
    <mergeCell ref="B118:D118"/>
    <mergeCell ref="J119:K119"/>
    <mergeCell ref="B126:O126"/>
    <mergeCell ref="B127:P127"/>
    <mergeCell ref="L130:N130"/>
    <mergeCell ref="L129:N129"/>
    <mergeCell ref="L134:O134"/>
    <mergeCell ref="G134:I134"/>
    <mergeCell ref="G119:I119"/>
    <mergeCell ref="L117:O120"/>
    <mergeCell ref="B121:O121"/>
    <mergeCell ref="B122:P122"/>
    <mergeCell ref="C132:F132"/>
    <mergeCell ref="P128:P138"/>
    <mergeCell ref="J134:K134"/>
    <mergeCell ref="C134:D134"/>
    <mergeCell ref="E135:F135"/>
    <mergeCell ref="C137:D137"/>
    <mergeCell ref="C130:K130"/>
    <mergeCell ref="G132:K132"/>
    <mergeCell ref="G136:I136"/>
    <mergeCell ref="B131:O131"/>
    <mergeCell ref="B46:O46"/>
    <mergeCell ref="B43:P43"/>
    <mergeCell ref="B45:P45"/>
    <mergeCell ref="B44:P44"/>
    <mergeCell ref="B48:O48"/>
    <mergeCell ref="L49:N49"/>
    <mergeCell ref="L50:N50"/>
    <mergeCell ref="N106:O106"/>
    <mergeCell ref="J93:K93"/>
    <mergeCell ref="G94:I94"/>
    <mergeCell ref="L92:O92"/>
    <mergeCell ref="C90:K90"/>
    <mergeCell ref="C92:F92"/>
    <mergeCell ref="G92:K92"/>
    <mergeCell ref="C96:D96"/>
    <mergeCell ref="B106:M106"/>
    <mergeCell ref="L94:O94"/>
    <mergeCell ref="C93:D93"/>
    <mergeCell ref="E94:F94"/>
    <mergeCell ref="L96:O96"/>
    <mergeCell ref="E96:F96"/>
    <mergeCell ref="J96:K96"/>
    <mergeCell ref="E93:F93"/>
    <mergeCell ref="E77:F77"/>
    <mergeCell ref="E78:F78"/>
    <mergeCell ref="G78:I78"/>
    <mergeCell ref="C70:D70"/>
    <mergeCell ref="E70:O70"/>
    <mergeCell ref="J77:K77"/>
    <mergeCell ref="B78:D78"/>
    <mergeCell ref="B80:D80"/>
    <mergeCell ref="G77:I77"/>
    <mergeCell ref="B41:O41"/>
    <mergeCell ref="C25:N25"/>
    <mergeCell ref="B26:O26"/>
    <mergeCell ref="C24:N24"/>
    <mergeCell ref="G39:I39"/>
    <mergeCell ref="P33:P41"/>
    <mergeCell ref="J35:K35"/>
    <mergeCell ref="C13:D13"/>
    <mergeCell ref="Y62:Y63"/>
    <mergeCell ref="V12:W12"/>
    <mergeCell ref="T7:T8"/>
    <mergeCell ref="B8:O8"/>
    <mergeCell ref="B9:P9"/>
    <mergeCell ref="B10:O10"/>
    <mergeCell ref="G11:K11"/>
    <mergeCell ref="B7:P7"/>
    <mergeCell ref="G35:I35"/>
    <mergeCell ref="G36:I36"/>
    <mergeCell ref="L33:O34"/>
    <mergeCell ref="J13:K13"/>
    <mergeCell ref="L12:O12"/>
    <mergeCell ref="B22:O22"/>
    <mergeCell ref="B23:O23"/>
    <mergeCell ref="G34:I34"/>
    <mergeCell ref="E12:F12"/>
    <mergeCell ref="E13:F13"/>
    <mergeCell ref="C14:D14"/>
    <mergeCell ref="S23:U23"/>
    <mergeCell ref="R28:S28"/>
    <mergeCell ref="C17:D17"/>
    <mergeCell ref="P10:P20"/>
    <mergeCell ref="B47:P47"/>
    <mergeCell ref="B64:O64"/>
    <mergeCell ref="C62:N62"/>
    <mergeCell ref="B83:P83"/>
    <mergeCell ref="B79:D79"/>
    <mergeCell ref="L89:N89"/>
    <mergeCell ref="L90:N90"/>
    <mergeCell ref="C69:D69"/>
    <mergeCell ref="C11:F11"/>
    <mergeCell ref="C18:D18"/>
    <mergeCell ref="J16:K16"/>
    <mergeCell ref="T11:U11"/>
    <mergeCell ref="B36:D36"/>
    <mergeCell ref="E36:F36"/>
    <mergeCell ref="J39:K39"/>
    <mergeCell ref="L16:O16"/>
    <mergeCell ref="G19:O19"/>
    <mergeCell ref="C31:D31"/>
    <mergeCell ref="E34:F34"/>
    <mergeCell ref="B35:D35"/>
    <mergeCell ref="E35:F35"/>
    <mergeCell ref="B32:O32"/>
    <mergeCell ref="T45:T46"/>
    <mergeCell ref="L53:O53"/>
    <mergeCell ref="C53:D53"/>
    <mergeCell ref="J53:K53"/>
    <mergeCell ref="E53:F53"/>
    <mergeCell ref="G53:I53"/>
    <mergeCell ref="P48:P58"/>
    <mergeCell ref="G54:I54"/>
    <mergeCell ref="L54:O54"/>
    <mergeCell ref="B33:F33"/>
    <mergeCell ref="L37:O40"/>
    <mergeCell ref="R89:R90"/>
    <mergeCell ref="T85:T86"/>
    <mergeCell ref="B86:O86"/>
    <mergeCell ref="B87:P87"/>
    <mergeCell ref="B85:P85"/>
    <mergeCell ref="B81:O81"/>
    <mergeCell ref="C110:D110"/>
    <mergeCell ref="B111:O111"/>
    <mergeCell ref="E119:F119"/>
    <mergeCell ref="E108:O108"/>
    <mergeCell ref="J120:K120"/>
    <mergeCell ref="C108:D108"/>
    <mergeCell ref="L77:O80"/>
    <mergeCell ref="B65:O65"/>
    <mergeCell ref="G112:K112"/>
    <mergeCell ref="E68:O68"/>
    <mergeCell ref="B71:O71"/>
    <mergeCell ref="C68:D68"/>
    <mergeCell ref="P112:P121"/>
    <mergeCell ref="E116:F116"/>
    <mergeCell ref="B84:P84"/>
    <mergeCell ref="E73:F73"/>
    <mergeCell ref="B74:D74"/>
    <mergeCell ref="E74:F74"/>
    <mergeCell ref="B75:D75"/>
    <mergeCell ref="J73:K73"/>
    <mergeCell ref="P88:P98"/>
    <mergeCell ref="L93:O93"/>
    <mergeCell ref="C97:D97"/>
    <mergeCell ref="C95:D95"/>
    <mergeCell ref="G96:I96"/>
    <mergeCell ref="E97:F97"/>
    <mergeCell ref="AJ215:AN215"/>
    <mergeCell ref="T216:U216"/>
    <mergeCell ref="E228:F228"/>
    <mergeCell ref="T217:U217"/>
    <mergeCell ref="T218:U218"/>
    <mergeCell ref="H219:O219"/>
    <mergeCell ref="J222:K222"/>
    <mergeCell ref="B215:E219"/>
    <mergeCell ref="H215:O215"/>
    <mergeCell ref="F216:G216"/>
    <mergeCell ref="H216:O216"/>
    <mergeCell ref="H218:O218"/>
    <mergeCell ref="AD223:AG223"/>
    <mergeCell ref="Z215:AB215"/>
    <mergeCell ref="L113:O114"/>
    <mergeCell ref="G95:O95"/>
    <mergeCell ref="B114:D114"/>
    <mergeCell ref="E95:F95"/>
    <mergeCell ref="G113:I113"/>
    <mergeCell ref="E109:O109"/>
    <mergeCell ref="C102:N102"/>
    <mergeCell ref="L112:O112"/>
    <mergeCell ref="G114:I114"/>
    <mergeCell ref="C103:N103"/>
    <mergeCell ref="B104:O104"/>
    <mergeCell ref="E110:O110"/>
    <mergeCell ref="G115:I115"/>
    <mergeCell ref="G118:I118"/>
    <mergeCell ref="G120:I120"/>
    <mergeCell ref="B105:O105"/>
    <mergeCell ref="E156:F156"/>
    <mergeCell ref="E113:F113"/>
    <mergeCell ref="L346:O351"/>
    <mergeCell ref="J363:K363"/>
    <mergeCell ref="B358:D358"/>
    <mergeCell ref="L340:O340"/>
    <mergeCell ref="J345:K345"/>
    <mergeCell ref="J341:K341"/>
    <mergeCell ref="G340:K340"/>
    <mergeCell ref="N305:P305"/>
    <mergeCell ref="B341:D341"/>
    <mergeCell ref="B328:D328"/>
    <mergeCell ref="E341:F341"/>
    <mergeCell ref="B335:D335"/>
    <mergeCell ref="F309:L309"/>
    <mergeCell ref="F314:L314"/>
    <mergeCell ref="B336:O336"/>
    <mergeCell ref="B302:O302"/>
    <mergeCell ref="F323:L323"/>
    <mergeCell ref="J358:K358"/>
    <mergeCell ref="G359:I359"/>
    <mergeCell ref="B278:L278"/>
    <mergeCell ref="C274:O274"/>
    <mergeCell ref="P381:P386"/>
    <mergeCell ref="C384:D384"/>
    <mergeCell ref="L361:O366"/>
    <mergeCell ref="E345:F345"/>
    <mergeCell ref="G377:O377"/>
    <mergeCell ref="E355:F355"/>
    <mergeCell ref="E362:F362"/>
    <mergeCell ref="J360:K360"/>
    <mergeCell ref="J352:K352"/>
    <mergeCell ref="B360:D360"/>
    <mergeCell ref="G357:I357"/>
    <mergeCell ref="G355:I355"/>
    <mergeCell ref="E356:F356"/>
    <mergeCell ref="E359:F359"/>
    <mergeCell ref="J366:K366"/>
    <mergeCell ref="C378:D378"/>
    <mergeCell ref="J378:K378"/>
    <mergeCell ref="J382:K382"/>
    <mergeCell ref="E376:F376"/>
    <mergeCell ref="E377:F377"/>
    <mergeCell ref="B374:O374"/>
    <mergeCell ref="B372:O372"/>
    <mergeCell ref="P374:P379"/>
    <mergeCell ref="J376:K376"/>
    <mergeCell ref="L376:O376"/>
    <mergeCell ref="G379:O379"/>
    <mergeCell ref="G375:K375"/>
    <mergeCell ref="L378:O378"/>
    <mergeCell ref="J357:K357"/>
    <mergeCell ref="B361:D361"/>
    <mergeCell ref="Z252:AB252"/>
    <mergeCell ref="B292:D301"/>
    <mergeCell ref="B280:D284"/>
    <mergeCell ref="F329:L329"/>
    <mergeCell ref="F325:L325"/>
    <mergeCell ref="F326:L326"/>
    <mergeCell ref="F322:L322"/>
    <mergeCell ref="B327:O327"/>
    <mergeCell ref="C271:E271"/>
    <mergeCell ref="B285:L285"/>
    <mergeCell ref="L271:M271"/>
    <mergeCell ref="F271:K271"/>
    <mergeCell ref="C270:E270"/>
    <mergeCell ref="E357:F357"/>
    <mergeCell ref="B306:M306"/>
    <mergeCell ref="B305:M305"/>
    <mergeCell ref="F312:L312"/>
    <mergeCell ref="G356:I356"/>
    <mergeCell ref="J346:K346"/>
    <mergeCell ref="B350:D350"/>
    <mergeCell ref="E354:F354"/>
    <mergeCell ref="E353:F353"/>
    <mergeCell ref="E351:F351"/>
    <mergeCell ref="J351:K351"/>
    <mergeCell ref="E352:F352"/>
    <mergeCell ref="AA294:AB294"/>
    <mergeCell ref="G262:O262"/>
    <mergeCell ref="F331:L331"/>
    <mergeCell ref="L341:O345"/>
    <mergeCell ref="F330:L330"/>
    <mergeCell ref="G341:I341"/>
    <mergeCell ref="F335:L335"/>
    <mergeCell ref="AJ410:AN410"/>
    <mergeCell ref="B405:O405"/>
    <mergeCell ref="J385:K385"/>
    <mergeCell ref="G384:I384"/>
    <mergeCell ref="C396:N396"/>
    <mergeCell ref="C391:O391"/>
    <mergeCell ref="F318:L318"/>
    <mergeCell ref="B407:P407"/>
    <mergeCell ref="P393:P394"/>
    <mergeCell ref="B387:O387"/>
    <mergeCell ref="B389:O389"/>
    <mergeCell ref="P389:P390"/>
    <mergeCell ref="C386:D386"/>
    <mergeCell ref="G386:I386"/>
    <mergeCell ref="E386:F386"/>
    <mergeCell ref="G378:I378"/>
    <mergeCell ref="G365:I365"/>
    <mergeCell ref="E385:F385"/>
    <mergeCell ref="L385:O385"/>
    <mergeCell ref="L352:O357"/>
    <mergeCell ref="G348:I348"/>
    <mergeCell ref="J354:K354"/>
    <mergeCell ref="B373:O373"/>
    <mergeCell ref="B357:D357"/>
    <mergeCell ref="B355:D355"/>
    <mergeCell ref="B340:F340"/>
    <mergeCell ref="C381:D381"/>
    <mergeCell ref="B368:P368"/>
    <mergeCell ref="C379:D379"/>
    <mergeCell ref="J384:K384"/>
    <mergeCell ref="J381:K381"/>
    <mergeCell ref="J343:K343"/>
    <mergeCell ref="C375:F375"/>
    <mergeCell ref="L375:O375"/>
    <mergeCell ref="B380:G380"/>
    <mergeCell ref="E381:F381"/>
    <mergeCell ref="L381:O381"/>
    <mergeCell ref="L382:O382"/>
    <mergeCell ref="B354:D354"/>
    <mergeCell ref="G376:I376"/>
    <mergeCell ref="B252:M252"/>
    <mergeCell ref="F297:L297"/>
    <mergeCell ref="N273:O273"/>
    <mergeCell ref="B267:O267"/>
    <mergeCell ref="B265:O265"/>
    <mergeCell ref="B264:O264"/>
    <mergeCell ref="F308:L308"/>
    <mergeCell ref="G344:I344"/>
    <mergeCell ref="J344:K344"/>
    <mergeCell ref="E379:F379"/>
    <mergeCell ref="E350:F350"/>
    <mergeCell ref="B365:D365"/>
    <mergeCell ref="E363:F363"/>
    <mergeCell ref="F328:L328"/>
    <mergeCell ref="B334:O334"/>
    <mergeCell ref="F299:L299"/>
    <mergeCell ref="F300:L300"/>
    <mergeCell ref="L272:M272"/>
    <mergeCell ref="F310:L310"/>
    <mergeCell ref="F333:L333"/>
    <mergeCell ref="E365:F365"/>
    <mergeCell ref="J359:K359"/>
    <mergeCell ref="G353:I353"/>
    <mergeCell ref="B369:P369"/>
    <mergeCell ref="P396:P399"/>
    <mergeCell ref="F293:L293"/>
    <mergeCell ref="E364:F364"/>
    <mergeCell ref="B362:D362"/>
    <mergeCell ref="B422:O422"/>
    <mergeCell ref="J364:K364"/>
    <mergeCell ref="B366:D366"/>
    <mergeCell ref="J362:K362"/>
    <mergeCell ref="G363:I363"/>
    <mergeCell ref="B364:D364"/>
    <mergeCell ref="F316:L316"/>
    <mergeCell ref="F317:O317"/>
    <mergeCell ref="E343:F343"/>
    <mergeCell ref="G364:I364"/>
    <mergeCell ref="D417:O417"/>
    <mergeCell ref="B388:O388"/>
    <mergeCell ref="F301:L301"/>
    <mergeCell ref="B337:O337"/>
    <mergeCell ref="E346:F346"/>
    <mergeCell ref="B331:D333"/>
    <mergeCell ref="F332:L332"/>
    <mergeCell ref="G349:I349"/>
    <mergeCell ref="J350:K350"/>
    <mergeCell ref="B351:D351"/>
    <mergeCell ref="E349:F349"/>
    <mergeCell ref="B349:D349"/>
    <mergeCell ref="F321:L321"/>
    <mergeCell ref="E360:F360"/>
    <mergeCell ref="E358:F358"/>
    <mergeCell ref="B356:D356"/>
    <mergeCell ref="B322:D326"/>
    <mergeCell ref="F295:L295"/>
    <mergeCell ref="F289:L289"/>
    <mergeCell ref="E262:F262"/>
    <mergeCell ref="N253:O253"/>
    <mergeCell ref="B253:M253"/>
    <mergeCell ref="E258:F258"/>
    <mergeCell ref="G260:O260"/>
    <mergeCell ref="F287:L287"/>
    <mergeCell ref="J4:K4"/>
    <mergeCell ref="J114:K114"/>
    <mergeCell ref="J94:K94"/>
    <mergeCell ref="J79:K79"/>
    <mergeCell ref="G74:I74"/>
    <mergeCell ref="J80:K80"/>
    <mergeCell ref="G79:I79"/>
    <mergeCell ref="B27:O27"/>
    <mergeCell ref="C30:D30"/>
    <mergeCell ref="E30:O30"/>
    <mergeCell ref="G12:I12"/>
    <mergeCell ref="L11:O11"/>
    <mergeCell ref="C12:D12"/>
    <mergeCell ref="G14:O14"/>
    <mergeCell ref="L13:O13"/>
    <mergeCell ref="B88:O88"/>
    <mergeCell ref="B100:O100"/>
    <mergeCell ref="L35:O36"/>
    <mergeCell ref="B34:D34"/>
    <mergeCell ref="G16:I16"/>
    <mergeCell ref="E40:F40"/>
    <mergeCell ref="G40:I40"/>
    <mergeCell ref="J40:K40"/>
    <mergeCell ref="E39:F39"/>
    <mergeCell ref="C63:N63"/>
    <mergeCell ref="G18:I18"/>
    <mergeCell ref="G75:I75"/>
    <mergeCell ref="B101:O101"/>
    <mergeCell ref="C109:D109"/>
    <mergeCell ref="B112:F112"/>
    <mergeCell ref="G33:K33"/>
    <mergeCell ref="C52:F52"/>
    <mergeCell ref="J74:K74"/>
    <mergeCell ref="J113:K113"/>
    <mergeCell ref="S61:U61"/>
    <mergeCell ref="R66:S66"/>
    <mergeCell ref="J459:K459"/>
    <mergeCell ref="G460:I460"/>
    <mergeCell ref="J467:K467"/>
    <mergeCell ref="G468:I468"/>
    <mergeCell ref="J468:K468"/>
    <mergeCell ref="L445:M445"/>
    <mergeCell ref="N445:O445"/>
    <mergeCell ref="J361:K361"/>
    <mergeCell ref="G358:I358"/>
    <mergeCell ref="J365:K365"/>
    <mergeCell ref="J353:K353"/>
    <mergeCell ref="J355:K355"/>
    <mergeCell ref="B393:O393"/>
    <mergeCell ref="B400:I400"/>
    <mergeCell ref="B402:O402"/>
    <mergeCell ref="B394:O394"/>
    <mergeCell ref="G447:K447"/>
    <mergeCell ref="L383:O383"/>
    <mergeCell ref="B404:O404"/>
    <mergeCell ref="E430:F430"/>
    <mergeCell ref="J461:K461"/>
    <mergeCell ref="E458:F458"/>
    <mergeCell ref="B428:O428"/>
    <mergeCell ref="E435:F435"/>
    <mergeCell ref="B408:P408"/>
    <mergeCell ref="J158:K158"/>
    <mergeCell ref="E137:F137"/>
    <mergeCell ref="G137:O137"/>
    <mergeCell ref="J452:K452"/>
    <mergeCell ref="J451:K451"/>
    <mergeCell ref="E429:F429"/>
    <mergeCell ref="E114:F114"/>
    <mergeCell ref="B263:O263"/>
    <mergeCell ref="E342:F342"/>
    <mergeCell ref="G342:I342"/>
    <mergeCell ref="G354:I354"/>
    <mergeCell ref="F324:L324"/>
    <mergeCell ref="B339:P339"/>
    <mergeCell ref="B117:D117"/>
    <mergeCell ref="E117:F117"/>
    <mergeCell ref="B353:D353"/>
    <mergeCell ref="B352:D352"/>
    <mergeCell ref="G383:I383"/>
    <mergeCell ref="G362:I362"/>
    <mergeCell ref="G345:I345"/>
    <mergeCell ref="G346:I346"/>
    <mergeCell ref="B348:D348"/>
    <mergeCell ref="J115:K115"/>
    <mergeCell ref="G343:I343"/>
    <mergeCell ref="L132:O132"/>
    <mergeCell ref="G350:I350"/>
    <mergeCell ref="B268:O268"/>
    <mergeCell ref="F313:L313"/>
    <mergeCell ref="G194:I194"/>
    <mergeCell ref="H249:O249"/>
    <mergeCell ref="B251:O251"/>
    <mergeCell ref="P340:P367"/>
    <mergeCell ref="G351:I351"/>
    <mergeCell ref="B338:P338"/>
    <mergeCell ref="B370:O370"/>
    <mergeCell ref="E199:F199"/>
    <mergeCell ref="J348:K348"/>
    <mergeCell ref="J159:K159"/>
    <mergeCell ref="F272:K272"/>
    <mergeCell ref="B275:O275"/>
    <mergeCell ref="F282:L282"/>
    <mergeCell ref="B304:P304"/>
    <mergeCell ref="F290:L290"/>
    <mergeCell ref="N291:O291"/>
    <mergeCell ref="F283:L283"/>
    <mergeCell ref="F280:L280"/>
    <mergeCell ref="C272:E272"/>
    <mergeCell ref="F292:L292"/>
    <mergeCell ref="F294:L294"/>
    <mergeCell ref="C273:E273"/>
    <mergeCell ref="B320:D321"/>
    <mergeCell ref="B319:O319"/>
    <mergeCell ref="N266:O266"/>
    <mergeCell ref="B303:P303"/>
    <mergeCell ref="B208:E208"/>
    <mergeCell ref="J356:K356"/>
    <mergeCell ref="N269:O269"/>
    <mergeCell ref="F288:L288"/>
    <mergeCell ref="B279:L279"/>
    <mergeCell ref="B266:M266"/>
    <mergeCell ref="B390:O390"/>
    <mergeCell ref="B115:D115"/>
    <mergeCell ref="W376:X376"/>
    <mergeCell ref="E366:F366"/>
    <mergeCell ref="P447:P471"/>
    <mergeCell ref="G117:I117"/>
    <mergeCell ref="J117:K117"/>
    <mergeCell ref="B330:D330"/>
    <mergeCell ref="B329:D329"/>
    <mergeCell ref="F307:L307"/>
    <mergeCell ref="N270:O270"/>
    <mergeCell ref="L270:M270"/>
    <mergeCell ref="C269:E269"/>
    <mergeCell ref="N278:P278"/>
    <mergeCell ref="B277:P277"/>
    <mergeCell ref="F270:K270"/>
    <mergeCell ref="F273:K273"/>
    <mergeCell ref="F296:L296"/>
    <mergeCell ref="J349:K349"/>
    <mergeCell ref="G360:I360"/>
    <mergeCell ref="F208:G208"/>
    <mergeCell ref="G463:I463"/>
    <mergeCell ref="B153:D153"/>
    <mergeCell ref="G152:K152"/>
    <mergeCell ref="J460:K460"/>
    <mergeCell ref="J450:K450"/>
    <mergeCell ref="J458:K458"/>
    <mergeCell ref="E462:F462"/>
    <mergeCell ref="N272:O272"/>
    <mergeCell ref="N271:O271"/>
    <mergeCell ref="B276:P276"/>
    <mergeCell ref="M278:M279"/>
    <mergeCell ref="B503:D505"/>
    <mergeCell ref="C506:D506"/>
    <mergeCell ref="R419:R420"/>
    <mergeCell ref="AA295:AB295"/>
    <mergeCell ref="AA296:AB296"/>
    <mergeCell ref="V375:Y375"/>
    <mergeCell ref="E467:F467"/>
    <mergeCell ref="E466:F466"/>
    <mergeCell ref="E464:F464"/>
    <mergeCell ref="E465:F465"/>
    <mergeCell ref="B465:D465"/>
    <mergeCell ref="G352:I352"/>
    <mergeCell ref="G461:I461"/>
    <mergeCell ref="P256:P262"/>
    <mergeCell ref="H208:O208"/>
    <mergeCell ref="W457:W459"/>
    <mergeCell ref="F286:L286"/>
    <mergeCell ref="F284:L284"/>
    <mergeCell ref="J347:K347"/>
    <mergeCell ref="B443:O443"/>
    <mergeCell ref="B410:B411"/>
    <mergeCell ref="G456:I456"/>
    <mergeCell ref="G361:I361"/>
    <mergeCell ref="C411:O411"/>
    <mergeCell ref="B363:D363"/>
    <mergeCell ref="E382:F382"/>
    <mergeCell ref="G381:I381"/>
    <mergeCell ref="C398:N398"/>
    <mergeCell ref="C383:D383"/>
    <mergeCell ref="G382:I382"/>
    <mergeCell ref="C382:D382"/>
    <mergeCell ref="B427:O427"/>
    <mergeCell ref="AC225:AG225"/>
    <mergeCell ref="AC227:AG227"/>
    <mergeCell ref="AA381:AB381"/>
    <mergeCell ref="B392:O392"/>
    <mergeCell ref="B401:O401"/>
    <mergeCell ref="G433:O433"/>
    <mergeCell ref="E456:F456"/>
    <mergeCell ref="K98:N98"/>
    <mergeCell ref="K99:O99"/>
    <mergeCell ref="K20:N20"/>
    <mergeCell ref="K21:O21"/>
    <mergeCell ref="G156:I156"/>
    <mergeCell ref="E383:F383"/>
    <mergeCell ref="E378:F378"/>
    <mergeCell ref="J386:K386"/>
    <mergeCell ref="C385:D385"/>
    <mergeCell ref="C397:N397"/>
    <mergeCell ref="G385:I385"/>
    <mergeCell ref="L386:O386"/>
    <mergeCell ref="L384:O384"/>
    <mergeCell ref="E384:F384"/>
    <mergeCell ref="J383:K383"/>
    <mergeCell ref="B418:O418"/>
    <mergeCell ref="D416:O416"/>
    <mergeCell ref="B409:O409"/>
    <mergeCell ref="C410:O410"/>
    <mergeCell ref="F320:L320"/>
    <mergeCell ref="L273:M273"/>
    <mergeCell ref="C377:D377"/>
    <mergeCell ref="B367:O367"/>
    <mergeCell ref="E361:F361"/>
    <mergeCell ref="P429:P435"/>
  </mergeCells>
  <phoneticPr fontId="0" type="noConversion"/>
  <conditionalFormatting sqref="G223:O223">
    <cfRule type="cellIs" dxfId="37" priority="6" operator="equal">
      <formula>$AC$225</formula>
    </cfRule>
  </conditionalFormatting>
  <conditionalFormatting sqref="G225:O225">
    <cfRule type="cellIs" dxfId="36" priority="5" operator="equal">
      <formula>$AC$225</formula>
    </cfRule>
  </conditionalFormatting>
  <conditionalFormatting sqref="G229:O229">
    <cfRule type="cellIs" dxfId="35" priority="4" operator="equal">
      <formula>$AC$227</formula>
    </cfRule>
  </conditionalFormatting>
  <conditionalFormatting sqref="G231:O231">
    <cfRule type="cellIs" dxfId="34" priority="3" operator="equal">
      <formula>$AC$227</formula>
    </cfRule>
  </conditionalFormatting>
  <conditionalFormatting sqref="G377:O377">
    <cfRule type="cellIs" dxfId="33" priority="2" operator="equal">
      <formula>$AA$381</formula>
    </cfRule>
  </conditionalFormatting>
  <conditionalFormatting sqref="G379:O379">
    <cfRule type="cellIs" dxfId="32" priority="1" operator="equal">
      <formula>$AA$381</formula>
    </cfRule>
  </conditionalFormatting>
  <dataValidations xWindow="832" yWindow="354" count="111">
    <dataValidation type="list" allowBlank="1" showInputMessage="1" showErrorMessage="1" promptTitle="Great toe amputation" prompt="Select extent of loss." sqref="B8:O8" xr:uid="{00000000-0002-0000-0600-000000000000}">
      <formula1>$U$7:$AO$7</formula1>
    </dataValidation>
    <dataValidation type="list" allowBlank="1" showInputMessage="1" showErrorMessage="1" promptTitle="Sensation loss" prompt="Select partial or total. Partial is part of the toe. Total means the entire toe." sqref="C24:N24" xr:uid="{00000000-0002-0000-0600-000001000000}">
      <formula1>$S$24:$U$24</formula1>
    </dataValidation>
    <dataValidation type="list" allowBlank="1" showInputMessage="1" showErrorMessage="1" promptTitle="Hypersensitivity" prompt="Select partial or total. Partial is part of the toe. Total means the entire toe." sqref="C25:N25" xr:uid="{00000000-0002-0000-0600-000002000000}">
      <formula1>$S$25:$U$25</formula1>
    </dataValidation>
    <dataValidation type="list" allowBlank="1" showInputMessage="1" showErrorMessage="1" promptTitle="Second toe amputation" prompt="Select extent of loss." sqref="B46:O46" xr:uid="{00000000-0002-0000-0600-000003000000}">
      <formula1>$U$45:$AO$45</formula1>
    </dataValidation>
    <dataValidation type="list" showInputMessage="1" showErrorMessage="1" promptTitle="Second toe ROM" prompt="Enter retained degrees of motion, metatarsophalangeal joint, dorsiflexion (extension). If joint was not affected by the injury, select &quot;NA&quot; or leave blank." sqref="C54:D54" xr:uid="{00000000-0002-0000-0600-000004000000}">
      <formula1>$B$511:$B$552</formula1>
    </dataValidation>
    <dataValidation type="list" showInputMessage="1" showErrorMessage="1" promptTitle="Second toe ankylosis" prompt="Enter degrees of dorsiflexion ankylosis,metatarsophalangeal joint. If joint was not affected by the injury, select &quot;NA&quot; or leave blank." sqref="C55:D55" xr:uid="{00000000-0002-0000-0600-000005000000}">
      <formula1>$B$511:$B$552</formula1>
    </dataValidation>
    <dataValidation type="list" showInputMessage="1" showErrorMessage="1" promptTitle="Second toe ROM" prompt="Enter retained degrees of motion,metatarsophalangeal joint, plantar flexion. If joint was not affected by the injury, select &quot;NA&quot; or leave blank." sqref="C56:D56" xr:uid="{00000000-0002-0000-0600-000006000000}">
      <formula1>$B$511:$B$542</formula1>
    </dataValidation>
    <dataValidation type="list" showInputMessage="1" showErrorMessage="1" promptTitle="Second toe ankylosis" prompt="Enter degrees of plantarflexion ankylosis, metatarsophalangeal joint. If joint was not affected by the injury, select &quot;NA&quot; or leave blank." sqref="C57:D57" xr:uid="{00000000-0002-0000-0600-000007000000}">
      <formula1>$B$511:$B$542</formula1>
    </dataValidation>
    <dataValidation type="list" allowBlank="1" showInputMessage="1" showErrorMessage="1" promptTitle="DIP joint" prompt="No rating is given for loss of motion in the distal interphalangeal joint, except in the case of ankylosis. " sqref="C169:G169" xr:uid="{00000000-0002-0000-0600-000008000000}">
      <formula1>$S$169:$V$169</formula1>
    </dataValidation>
    <dataValidation type="list" allowBlank="1" showInputMessage="1" showErrorMessage="1" promptTitle="PIP joint" prompt="No rating is given for loss of motion in the proximal interphalangeal joint, except in the case of ankylosis. " sqref="C170:G170" xr:uid="{00000000-0002-0000-0600-000009000000}">
      <formula1>$S$170:$V$170</formula1>
    </dataValidation>
    <dataValidation type="list" allowBlank="1" showInputMessage="1" showErrorMessage="1" promptTitle="Third toe amputation" prompt="Select extent of loss." sqref="B86:O86" xr:uid="{00000000-0002-0000-0600-00000A000000}">
      <formula1>$U$85:$AO$85</formula1>
    </dataValidation>
    <dataValidation type="list" showInputMessage="1" showErrorMessage="1" promptTitle="Third toe ROM" prompt="Enter retained degrees of motion, metatarsophalangeal joint, dorsiflexion (extension). If joint was not affected by the injury, select &quot;NA&quot; or leave blank." sqref="C94:D94" xr:uid="{00000000-0002-0000-0600-00000B000000}">
      <formula1>$B$511:$B$552</formula1>
    </dataValidation>
    <dataValidation type="list" showInputMessage="1" showErrorMessage="1" promptTitle="Third toe ankylosis" prompt="Enter degrees of dorsiflexion ankylosis,metatarsophalangeal joint. If joint was not affected by the injury, select &quot;NA&quot; or leave blank." sqref="C95:D95" xr:uid="{00000000-0002-0000-0600-00000C000000}">
      <formula1>$B$511:$B$552</formula1>
    </dataValidation>
    <dataValidation type="list" showInputMessage="1" showErrorMessage="1" promptTitle="Third toe ROM" prompt="Enter retained degrees of motion,metatarsophalangeal joint, plantar flexion. If joint was not affected by the injury, select &quot;NA&quot; or leave blank." sqref="C96:D96" xr:uid="{00000000-0002-0000-0600-00000D000000}">
      <formula1>$B$511:$B$542</formula1>
    </dataValidation>
    <dataValidation type="list" allowBlank="1" showInputMessage="1" showErrorMessage="1" promptTitle="Fourth toe amputation" prompt="Select extent of loss." sqref="B126:O126" xr:uid="{00000000-0002-0000-0600-00000E000000}">
      <formula1>$U$125:$AO$125</formula1>
    </dataValidation>
    <dataValidation type="list" showInputMessage="1" showErrorMessage="1" promptTitle="Fourth toe ROM" prompt="Enter retained degrees of motion, metatarsophalangeal joint, dorsiflexion (extension). If joint was not affected by the injury, select &quot;NA&quot; or leave blank." sqref="C134:D134" xr:uid="{00000000-0002-0000-0600-00000F000000}">
      <formula1>$B$511:$B$552</formula1>
    </dataValidation>
    <dataValidation type="list" allowBlank="1" showInputMessage="1" showErrorMessage="1" promptTitle="Fifth toe amputation" prompt="Select extent of loss." sqref="B166:O166" xr:uid="{00000000-0002-0000-0600-000010000000}">
      <formula1>$U$165:$AO$165</formula1>
    </dataValidation>
    <dataValidation type="list" showInputMessage="1" showErrorMessage="1" promptTitle="Great toe ROM" prompt="Enter retained degrees of motion, interphalangeal joint, plantar flexion. If joint was not affected by the injury, select &quot;NA&quot; or leave blank." sqref="C13:D13" xr:uid="{00000000-0002-0000-0600-000011000000}">
      <formula1>$B$511:$B$542</formula1>
    </dataValidation>
    <dataValidation type="list" showInputMessage="1" showErrorMessage="1" promptTitle="Great toe ROM" prompt="Enter retained degrees of motion, metatarsophalangeal joint, dorsiflexion (extension). If joint was not affected by the injury, select &quot;NA&quot; or leave blank." sqref="C16:D16" xr:uid="{00000000-0002-0000-0600-000012000000}">
      <formula1>$B$511:$B$562</formula1>
    </dataValidation>
    <dataValidation type="list" showInputMessage="1" showErrorMessage="1" promptTitle="Great toe ankylosis" prompt="Enter degrees of dorsiflexion ankylosis, metatarsophalangeal joint. If joint was not affected by the injury, select &quot;NA&quot; or leave blank." sqref="C17:D17" xr:uid="{00000000-0002-0000-0600-000013000000}">
      <formula1>$B$511:$B$562</formula1>
    </dataValidation>
    <dataValidation type="list" showInputMessage="1" showErrorMessage="1" promptTitle="Great toe ROM" prompt="Enter retained degrees of motion,metatarsophalangeal joint, plantar flexion. If joint was not affected by the injury, select &quot;NA&quot; or leave blank." sqref="C18:D18" xr:uid="{00000000-0002-0000-0600-000014000000}">
      <formula1>$B$511:$B$542</formula1>
    </dataValidation>
    <dataValidation type="list" showInputMessage="1" showErrorMessage="1" promptTitle="Great toe ankylosis" prompt="Enter degrees of plantarflexion ankylosis, metatarsophalangeal joint. If joint was not affected by the injury, select &quot;NA&quot; or leave blank." sqref="C19:D19" xr:uid="{00000000-0002-0000-0600-000015000000}">
      <formula1>$B$511:$B$542</formula1>
    </dataValidation>
    <dataValidation type="list" allowBlank="1" showInputMessage="1" showErrorMessage="1" promptTitle="DIP joint" prompt="No rating is given for loss of motion in the distal interphalangeal joint, except in the case of ankylosis. " sqref="C49:K49" xr:uid="{00000000-0002-0000-0600-000016000000}">
      <formula1>$S$49:$V$49</formula1>
    </dataValidation>
    <dataValidation type="list" allowBlank="1" showInputMessage="1" showErrorMessage="1" promptTitle="PIP joint" prompt="No rating is given for loss of motion in the proximal interphalangeal joint, except in the case of ankylosis. " sqref="C50:K50" xr:uid="{00000000-0002-0000-0600-000017000000}">
      <formula1>$S$50:$V$50</formula1>
    </dataValidation>
    <dataValidation type="list" allowBlank="1" showInputMessage="1" showErrorMessage="1" promptTitle="Sensation loss" prompt="Select partial or total. Partial is part of the toe. Total means the entire toe." sqref="C62:N62" xr:uid="{00000000-0002-0000-0600-000018000000}">
      <formula1>$S$62:$U$62</formula1>
    </dataValidation>
    <dataValidation type="list" allowBlank="1" showInputMessage="1" showErrorMessage="1" promptTitle="Hypersensitivity" prompt="Select partial or total. Partial is part of the toe. Total means the entire toe." sqref="C63:N63" xr:uid="{00000000-0002-0000-0600-000019000000}">
      <formula1>$S$63:$U$63</formula1>
    </dataValidation>
    <dataValidation type="list" allowBlank="1" showInputMessage="1" showErrorMessage="1" promptTitle="DIP joint" prompt="No rating is given for loss of motion in the distal interphalangeal joint, except in the case of ankylosis. " sqref="C89:G89" xr:uid="{00000000-0002-0000-0600-00001A000000}">
      <formula1>$S$89:$V$89</formula1>
    </dataValidation>
    <dataValidation type="list" allowBlank="1" showInputMessage="1" showErrorMessage="1" promptTitle="PIP joint" prompt="No rating is given for loss of motion in the proximal interphalangeal joint, except in the case of ankylosis. " sqref="C90:G90" xr:uid="{00000000-0002-0000-0600-00001B000000}">
      <formula1>$S$90:$V$90</formula1>
    </dataValidation>
    <dataValidation type="list" allowBlank="1" showInputMessage="1" showErrorMessage="1" promptTitle="Sensation loss" prompt="Select partial or total. Partial is part of the toe. Total means the entire toe." sqref="C102:N102" xr:uid="{00000000-0002-0000-0600-00001C000000}">
      <formula1>$S$102:$U$102</formula1>
    </dataValidation>
    <dataValidation type="list" allowBlank="1" showInputMessage="1" showErrorMessage="1" promptTitle="Hypersensitivity" prompt="Select partial or total. Partial is part of the toe. Total means the entire toe." sqref="C103:N103" xr:uid="{00000000-0002-0000-0600-00001D000000}">
      <formula1>$S$103:$U$103</formula1>
    </dataValidation>
    <dataValidation type="list" allowBlank="1" showInputMessage="1" showErrorMessage="1" promptTitle="DIP joint" prompt="No rating is given for loss of motion in the distal interphalangeal joint, except in the case of ankylosis. " sqref="C129:G129" xr:uid="{00000000-0002-0000-0600-00001E000000}">
      <formula1>$S$129:$V$129</formula1>
    </dataValidation>
    <dataValidation type="list" allowBlank="1" showInputMessage="1" showErrorMessage="1" promptTitle="PIP joint" prompt="No rating is given for loss of motion in the proximal interphalangeal joint, except in the case of ankylosis. " sqref="C130:G130" xr:uid="{00000000-0002-0000-0600-00001F000000}">
      <formula1>$S$130:$V$130</formula1>
    </dataValidation>
    <dataValidation type="list" showInputMessage="1" showErrorMessage="1" promptTitle="Fourth toe ankylosis" prompt="Enter degrees of dorsiflexion ankylosis,metatarsophalangeal joint. If joint was not affected by the injury, select &quot;NA&quot; or leave blank." sqref="C135:D135" xr:uid="{00000000-0002-0000-0600-000020000000}">
      <formula1>$B$511:$B$552</formula1>
    </dataValidation>
    <dataValidation type="list" showInputMessage="1" showErrorMessage="1" promptTitle="Fourth toe ROM" prompt="Enter retained degrees of motion,metatarsophalangeal joint, plantar flexion. If joint was not affected by the injury, select &quot;NA&quot; or leave blank." sqref="C136:D136" xr:uid="{00000000-0002-0000-0600-000021000000}">
      <formula1>$B$511:$B$542</formula1>
    </dataValidation>
    <dataValidation type="list" allowBlank="1" showInputMessage="1" showErrorMessage="1" promptTitle="Sensation loss" prompt="Select partial or total. Partial is part of the toe. Total means the entire toe." sqref="C142:N142" xr:uid="{00000000-0002-0000-0600-000022000000}">
      <formula1>$S$142:$U$142</formula1>
    </dataValidation>
    <dataValidation type="list" allowBlank="1" showInputMessage="1" showErrorMessage="1" promptTitle="Hypersensitivity" prompt="Select partial or total. Partial is part of the toe. Total means the entire toe." sqref="C143:N143" xr:uid="{00000000-0002-0000-0600-000023000000}">
      <formula1>$S$143:$U$143</formula1>
    </dataValidation>
    <dataValidation type="list" showInputMessage="1" showErrorMessage="1" promptTitle="Fifth toe ROM" prompt="Enter retained degrees of motion, metatarsophalangeal joint, dorsiflexion (extension). If joint was not affected by the injury, select &quot;NA&quot; or leave blank." sqref="C174:D174" xr:uid="{00000000-0002-0000-0600-000024000000}">
      <formula1>$B$511:$B$552</formula1>
    </dataValidation>
    <dataValidation type="list" showInputMessage="1" showErrorMessage="1" promptTitle="Fifth toe ankylosis" prompt="Enter degrees of dorsiflexion ankylosis,metatarsophalangeal joint. If joint was not affected by the injury, select &quot;NA&quot; or leave blank." sqref="C175:D175" xr:uid="{00000000-0002-0000-0600-000025000000}">
      <formula1>$B$511:$B$552</formula1>
    </dataValidation>
    <dataValidation type="list" showInputMessage="1" showErrorMessage="1" promptTitle="Fifth toe ROM" prompt="Enter retained degrees of motion,metatarsophalangeal joint, plantar flexion. If joint was not affected by the injury, select &quot;NA&quot; or leave blank." sqref="C176:D176" xr:uid="{00000000-0002-0000-0600-000026000000}">
      <formula1>$B$511:$B$542</formula1>
    </dataValidation>
    <dataValidation type="list" showInputMessage="1" showErrorMessage="1" promptTitle="Fifth toe ankylosis" prompt="Enter degrees of plantarflexion ankylosis, metatarsophalangeal joint. If joint was not affected by the injury, select &quot;NA&quot; or leave blank." sqref="C177:D177" xr:uid="{00000000-0002-0000-0600-000027000000}">
      <formula1>$B$511:$B$542</formula1>
    </dataValidation>
    <dataValidation type="list" allowBlank="1" showInputMessage="1" showErrorMessage="1" promptTitle="Sensation loss" prompt="Select partial or total. Partial is part of the toe. Total means the entire toe." sqref="C182:N182" xr:uid="{00000000-0002-0000-0600-000028000000}">
      <formula1>$S$182:$U$182</formula1>
    </dataValidation>
    <dataValidation type="list" allowBlank="1" showInputMessage="1" showErrorMessage="1" promptTitle="Hypersensitivity" prompt="Select partial or total. Partial is part of the toe. Total means the entire toe." sqref="C183:N183" xr:uid="{00000000-0002-0000-0600-000029000000}">
      <formula1>$S$183:$U$183</formula1>
    </dataValidation>
    <dataValidation type="list" showInputMessage="1" showErrorMessage="1" promptTitle="ROM, Foot" prompt="Enter retained degrees of motion, subtalar inversion. If joint was not affected by the injury, select &quot;NA&quot; or leave blank." sqref="C222:D222" xr:uid="{00000000-0002-0000-0600-00002A000000}">
      <formula1>$B$511:$B$542</formula1>
    </dataValidation>
    <dataValidation type="list" showInputMessage="1" showErrorMessage="1" promptTitle="Ankylosis (varus)" prompt="Enter degrees subtalar inversion ankylosis of the foot.  If joint was not affected by the injury, select &quot;NA&quot; or leave blank." sqref="C223:D223" xr:uid="{00000000-0002-0000-0600-00002B000000}">
      <formula1>$B$511:$B$542</formula1>
    </dataValidation>
    <dataValidation type="list" showInputMessage="1" showErrorMessage="1" promptTitle="ROM, Foot" prompt="Enter retained degrees of motion, subtalar eversion. If joint was not affected by the injury, select &quot;NA&quot; or leave blank." sqref="C224:D224" xr:uid="{00000000-0002-0000-0600-00002C000000}">
      <formula1>$B$511:$B$532</formula1>
    </dataValidation>
    <dataValidation type="list" showInputMessage="1" showErrorMessage="1" promptTitle="Ankylosis (valgus)" prompt="Enter degrees subtalar eversion ankylosis of the foot.  If joint was not affected by the injury, select &quot;NA&quot; or leave blank." sqref="C225:D225" xr:uid="{00000000-0002-0000-0600-00002D000000}">
      <formula1>$B$511:$B$532</formula1>
    </dataValidation>
    <dataValidation type="list" showInputMessage="1" showErrorMessage="1" promptTitle="ROM, Ankle" prompt="Enter retained degrees of motion, dorsiflexion (extension). If joint was not affected by the injury, select &quot;NA&quot; or leave blank." sqref="C228:D228" xr:uid="{00000000-0002-0000-0600-00002E000000}">
      <formula1>$B$511:$B$532</formula1>
    </dataValidation>
    <dataValidation type="list" showInputMessage="1" showErrorMessage="1" promptTitle="Ankylosis" prompt="Enter degrees dorsiflexion (extension) ankylosis of the ankle.  If joint was not affected by the injury, select &quot;NA&quot; or leave blank." sqref="C229:D229" xr:uid="{00000000-0002-0000-0600-00002F000000}">
      <formula1>$B$511:$B$532</formula1>
    </dataValidation>
    <dataValidation type="list" showInputMessage="1" showErrorMessage="1" promptTitle="ROM, Ankle" prompt="Enter retained degrees of motion, plantar flexion. If joint was not affected by the injury, select &quot;NA&quot; or leave blank." sqref="C230:D230" xr:uid="{00000000-0002-0000-0600-000030000000}">
      <formula1>$B$511:$B$552</formula1>
    </dataValidation>
    <dataValidation type="list" showInputMessage="1" showErrorMessage="1" promptTitle="Ankylosis" prompt="Enter degrees plantarflexion ankylosis of the ankle.  If joint was not affected by the injury, select &quot;NA&quot; or leave blank." sqref="C231:D231" xr:uid="{00000000-0002-0000-0600-000031000000}">
      <formula1>$B$511:$B$552</formula1>
    </dataValidation>
    <dataValidation type="list" allowBlank="1" showInputMessage="1" showErrorMessage="1" promptTitle="Sensation loss" prompt="Select partial or total. Partial is part of the foot. Total means the entire foot." sqref="C237:N237" xr:uid="{00000000-0002-0000-0600-000033000000}">
      <formula1>$S$237:$U$237</formula1>
    </dataValidation>
    <dataValidation type="list" allowBlank="1" showInputMessage="1" showErrorMessage="1" promptTitle="Hypersensitivity" prompt="Select partial or total. Partial is part of the foot. Total means the entire foot." sqref="C238:N238" xr:uid="{00000000-0002-0000-0600-000034000000}">
      <formula1>$S$238:$U$238</formula1>
    </dataValidation>
    <dataValidation type="list" allowBlank="1" showInputMessage="1" showErrorMessage="1" promptTitle="Ankle instability" prompt="Select severity of damage to the lateral collateral ligaments. Examples of ligaments that may contribute to joint instability: anterior talofibular, calcaneofibular, talocalcaneal, posterior talocalcaneal, and the posterior talofibular." sqref="G241:O241" xr:uid="{00000000-0002-0000-0600-000035000000}">
      <formula1>$S$241:$V$241</formula1>
    </dataValidation>
    <dataValidation type="list" showInputMessage="1" showErrorMessage="1" promptTitle="Knee flexion" prompt="Enter retained degrees of motion, flexion. If joint was not affected by the injury, select &quot;NA&quot; or leave blank." sqref="C376:D376" xr:uid="{00000000-0002-0000-0600-000036000000}">
      <formula1>$B$511:$B$662</formula1>
    </dataValidation>
    <dataValidation type="list" showInputMessage="1" showErrorMessage="1" promptTitle="Knee" prompt="Enter degrees of flexion ankylosis. If joint was not affected by the injury, select &quot;NA&quot; or leave blank." sqref="C377:D377" xr:uid="{00000000-0002-0000-0600-000037000000}">
      <formula1>$B$511:$B$662</formula1>
    </dataValidation>
    <dataValidation type="list" showInputMessage="1" showErrorMessage="1" promptTitle="Knee extension" prompt="Enter retained degrees of motion, extension. If joint was not affected by the injury, select &quot;NA&quot; or leave blank." sqref="C378:D378" xr:uid="{00000000-0002-0000-0600-000038000000}">
      <formula1>$B$511:$B$662</formula1>
    </dataValidation>
    <dataValidation type="list" showInputMessage="1" showErrorMessage="1" promptTitle="Knee" prompt="Enter degrees of extension ankylosis. If joint was not affected by the injury, select &quot;NA&quot; or leave blank. " sqref="C379:D379" xr:uid="{00000000-0002-0000-0600-000039000000}">
      <formula1>$B$511:$B$662</formula1>
    </dataValidation>
    <dataValidation type="list" showInputMessage="1" showErrorMessage="1" promptTitle="Hip forward flexion" prompt="Enter retained degrees of motion, forward flexion. If joint was not affected by the injury, select &quot;NA&quot; or leave blank." sqref="C381:D381" xr:uid="{00000000-0002-0000-0600-00003A000000}">
      <formula1>$B$511:$B$612</formula1>
    </dataValidation>
    <dataValidation type="list" showInputMessage="1" showErrorMessage="1" promptTitle="Hip backward extension" prompt="Enter retained degrees of motion, backward extension. If joint was not affected by the injury, select &quot;NA&quot; or leave blank." sqref="C382:D382" xr:uid="{00000000-0002-0000-0600-00003B000000}">
      <formula1>$B$511:$B$542</formula1>
    </dataValidation>
    <dataValidation type="list" showInputMessage="1" showErrorMessage="1" promptTitle="Hip abduction" prompt="Enter retained degrees of motion, abduction. If joint was not affected by the injury, select &quot;NA&quot; or leave blank." sqref="C383:D383" xr:uid="{00000000-0002-0000-0600-00003C000000}">
      <formula1>$B$511:$B$552</formula1>
    </dataValidation>
    <dataValidation type="list" showInputMessage="1" showErrorMessage="1" promptTitle="Hip adduction" prompt="Enter retained degrees of motion, adduction. If joint was not affected by the injury, select &quot;NA&quot; or leave blank." sqref="C384:D384" xr:uid="{00000000-0002-0000-0600-00003D000000}">
      <formula1>$B$511:$B$532</formula1>
    </dataValidation>
    <dataValidation type="list" showInputMessage="1" showErrorMessage="1" promptTitle="Hip, internal rotation" prompt="Enter retained degrees of motion, internal rotation. If joint was not affected by the injury, select &quot;NA&quot; or leave blank." sqref="C385:D385" xr:uid="{00000000-0002-0000-0600-00003E000000}">
      <formula1>$B$511:$B$552</formula1>
    </dataValidation>
    <dataValidation type="list" showInputMessage="1" showErrorMessage="1" promptTitle="Hip, external rotation" prompt="Enter retained degrees of motion, external rotation. If joint was not affected by the injury, select &quot;NA&quot; or leave blank." sqref="C386:D386" xr:uid="{00000000-0002-0000-0600-00003F000000}">
      <formula1>$B$511:$B$562</formula1>
    </dataValidation>
    <dataValidation type="list" allowBlank="1" showInputMessage="1" showErrorMessage="1" promptTitle="Knee joint instability" prompt="Select severity of the joint opening." sqref="C396:N399" xr:uid="{00000000-0002-0000-0600-000041000000}">
      <formula1>$S$394:$V$394</formula1>
    </dataValidation>
    <dataValidation type="list" allowBlank="1" showInputMessage="1" showErrorMessage="1" promptTitle="Tibial shaft fracture" prompt="Select severity of malalignment (rotational deformity) resulting from the tibial shaft fracture." sqref="C406:O406" xr:uid="{00000000-0002-0000-0600-000042000000}">
      <formula1>$S$405:$AM$405</formula1>
    </dataValidation>
    <dataValidation type="list" allowBlank="1" showInputMessage="1" showErrorMessage="1" promptTitle="Surgery" prompt="Menisci: Select extent of loss. No additional value is allowed for multiple partial resections of a single meniscus. A meniscectomy is rated as a complete loss unless the record indicates that more than the rim of the meniscus remains." sqref="C410:O410" xr:uid="{00000000-0002-0000-0600-000044000000}">
      <formula1>$R$409:$W$409</formula1>
    </dataValidation>
    <dataValidation type="decimal" operator="equal" allowBlank="1" showInputMessage="1" showErrorMessage="1" promptTitle="Surgery" prompt="Check (click) the box or boxes if surgery has occurred to the IP or MP joints." sqref="A30" xr:uid="{00000000-0002-0000-0600-000047000000}">
      <formula1>W30</formula1>
    </dataValidation>
    <dataValidation type="decimal" operator="equal" allowBlank="1" showInputMessage="1" showErrorMessage="1" promptTitle="Amputation - metatarsals" prompt="Check (click) the box next to amputated metatarsals, if any." sqref="A208" xr:uid="{00000000-0002-0000-0600-000048000000}">
      <formula1>W208</formula1>
    </dataValidation>
    <dataValidation type="decimal" operator="equal" allowBlank="1" showInputMessage="1" showErrorMessage="1" promptTitle="Ankylosis - metatarsals" prompt="Check (click) the box next to ankylosed  metatarsals, if any." sqref="A215" xr:uid="{00000000-0002-0000-0600-000049000000}">
      <formula1>W215</formula1>
    </dataValidation>
    <dataValidation type="decimal" operator="equal" allowBlank="1" showInputMessage="1" showErrorMessage="1" promptTitle="Ankle angulation" prompt="Check (click) varus or valgus, if applicable." sqref="A246" xr:uid="{00000000-0002-0000-0600-00004A000000}">
      <formula1>W246</formula1>
    </dataValidation>
    <dataValidation type="decimal" operator="equal" allowBlank="1" showInputMessage="1" showErrorMessage="1" promptTitle="Rocker bottom deformity" prompt="Check (click) the box if the worker has rocker bottom deformity of the foot." sqref="A247" xr:uid="{00000000-0002-0000-0600-00004B000000}">
      <formula1>W247</formula1>
    </dataValidation>
    <dataValidation type="decimal" operator="equal" allowBlank="1" showInputMessage="1" showErrorMessage="1" promptTitle="Skin loss - heel" prompt="Check (click) &quot;Yes&quot; if the worker suffered full thickness skin loss of the heel." sqref="A253" xr:uid="{00000000-0002-0000-0600-00004C000000}">
      <formula1>W253</formula1>
    </dataValidation>
    <dataValidation type="decimal" operator="equal" allowBlank="1" showInputMessage="1" showErrorMessage="1" promptTitle="Additional foot loss" prompt="Check (click) the boxes that describe the worker's condition, if any." sqref="A256" xr:uid="{00000000-0002-0000-0600-00004D000000}">
      <formula1>W256</formula1>
    </dataValidation>
    <dataValidation type="decimal" operator="equal" allowBlank="1" showInputMessage="1" showErrorMessage="1" promptTitle="Chronic condition" prompt="Select &quot;Yes&quot; if the worker has a chronic condition as described in OAR 436-035-0019." sqref="A442 A266" xr:uid="{00000000-0002-0000-0600-00004E000000}">
      <formula1>W266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280" xr:uid="{00000000-0002-0000-0600-00004F000000}">
      <formula1>AK282</formula1>
    </dataValidation>
    <dataValidation type="decimal" operator="equal" allowBlank="1" showInputMessage="1" showErrorMessage="1" promptTitle="Amputation - Leg" prompt="Select the level of loss, if any." sqref="A372" xr:uid="{00000000-0002-0000-0600-000050000000}">
      <formula1>W372</formula1>
    </dataValidation>
    <dataValidation type="decimal" operator="equal" allowBlank="1" showInputMessage="1" showErrorMessage="1" promptTitle="Knee angulation or malalignment" prompt="Select varus or valgus deformity, if applicable." sqref="A403" xr:uid="{00000000-0002-0000-0600-000051000000}">
      <formula1>W403</formula1>
    </dataValidation>
    <dataValidation type="decimal" operator="equal" allowBlank="1" showInputMessage="1" showErrorMessage="1" promptTitle="Motor loss" prompt="Show severity of motor loss, if any, due to brain or spinal cord damage." sqref="A423" xr:uid="{00000000-0002-0000-0600-000052000000}">
      <formula1>W423</formula1>
    </dataValidation>
    <dataValidation type="decimal" operator="equal" allowBlank="1" showInputMessage="1" showErrorMessage="1" promptTitle="Additional leg impairment" prompt="Select the conditions, if any, affecting the leg." sqref="A430" xr:uid="{00000000-0002-0000-0600-000053000000}">
      <formula1>W430</formula1>
    </dataValidation>
    <dataValidation type="decimal" operator="equal" allowBlank="1" showInputMessage="1" showErrorMessage="1" promptTitle="Standing or walking limitation" prompt="Select &quot;Yes&quot; if the worker has the limitation described." sqref="A438" xr:uid="{00000000-0002-0000-0600-000054000000}">
      <formula1>W438</formula1>
    </dataValidation>
    <dataValidation type="decimal" operator="equal" allowBlank="1" showInputMessage="1" showErrorMessage="1" promptTitle="Surgery" prompt="Check (click) the box or boxes if surgery has occurred to the DIP, PIP, or MP joints." sqref="A188 A68 A108 A148" xr:uid="{00000000-0002-0000-0600-000055000000}">
      <formula1>W68</formula1>
    </dataValidation>
    <dataValidation type="decimal" operator="equal" allowBlank="1" showInputMessage="1" showErrorMessage="1" promptTitle="Amputation - Foot" prompt="Select the level of loss, if any." sqref="A207" xr:uid="{00000000-0002-0000-0600-000056000000}">
      <formula1>W207</formula1>
    </dataValidation>
    <dataValidation type="textLength" operator="equal" allowBlank="1" showInputMessage="1" showErrorMessage="1" sqref="A406:A407" xr:uid="{00000000-0002-0000-0600-000057000000}">
      <formula1>W403</formula1>
    </dataValidation>
    <dataValidation type="decimal" operator="equal" allowBlank="1" showInputMessage="1" showErrorMessage="1" promptTitle="Leg surgery" prompt="Select the type and extent of surgery, if any." sqref="A410:A411" xr:uid="{00000000-0002-0000-0600-000058000000}">
      <formula1>W412</formula1>
    </dataValidation>
    <dataValidation type="decimal" operator="equal" allowBlank="1" showInputMessage="1" showErrorMessage="1" promptTitle="Ankle joint instability" prompt="Show extent of disability." sqref="A240" xr:uid="{00000000-0002-0000-0600-000059000000}">
      <formula1>W240</formula1>
    </dataValidation>
    <dataValidation type="decimal" operator="equal" allowBlank="1" showInputMessage="1" showErrorMessage="1" promptTitle="Ankle replacement" prompt="Check the box if the worker has had a prosthetic ankle replacement." sqref="A249" xr:uid="{00000000-0002-0000-0600-00005A000000}">
      <formula1>W249</formula1>
    </dataValidation>
    <dataValidation type="list" allowBlank="1" showInputMessage="1" showErrorMessage="1" promptTitle="Ankle instability" prompt="Select severity of damage to the medial collateral ligaments._x000a_Examples of ligaments that may contribute to joint instability: tibionavicular, calcaneotibial, anterior talotibial, and the posterior talotibial." sqref="G242:O242" xr:uid="{00000000-0002-0000-0600-00005B000000}">
      <formula1>$S$241:$V$241</formula1>
    </dataValidation>
    <dataValidation allowBlank="1" showInputMessage="1" showErrorMessage="1" promptTitle="Date of injury" prompt="The dollar value of each degree of disability depends on the date of injury, and the program cannot calculate the disability award without the date." sqref="C488:E488" xr:uid="{00000000-0002-0000-0600-00005E000000}"/>
    <dataValidation allowBlank="1" showInputMessage="1" showErrorMessage="1" promptTitle="End of worksheet" prompt="Press TAB to return to top of sheet." sqref="P500" xr:uid="{00000000-0002-0000-0600-00005F000000}"/>
    <dataValidation type="list" showInputMessage="1" showErrorMessage="1" promptTitle="Great toe ankylosis" prompt="Enter degrees of plantarflexion ankylosis, interphalangeal joint. If joint was not affected by the injury, select &quot;NA&quot; or leave blank." sqref="C14:D14" xr:uid="{00000000-0002-0000-0600-000060000000}">
      <formula1>$B$511:$B$542</formula1>
    </dataValidation>
    <dataValidation type="list" showInputMessage="1" showErrorMessage="1" promptTitle="Contralateral comparison" prompt="Enter retained degrees of motion or &quot;NA&quot; if contralateral joint has a history of injury or disease." sqref="G386:I386 G16:I16" xr:uid="{00000000-0002-0000-0600-000061000000}">
      <formula1>$B$511:$B$562</formula1>
    </dataValidation>
    <dataValidation type="list" showInputMessage="1" showErrorMessage="1" promptTitle="Third toe ankylosis" prompt="Enter degrees of plantarflexion ankylosis, metatarsophalangeal joint. If joint was not affected by the injury, select &quot;NA&quot; or leave blank." sqref="C97:D97" xr:uid="{00000000-0002-0000-0600-000062000000}">
      <formula1>$B$511:$B$542</formula1>
    </dataValidation>
    <dataValidation type="list" showInputMessage="1" showErrorMessage="1" promptTitle="Fourth toe ankylosis" prompt="Enter degrees of plantarflexion ankylosis, metatarsophalangeal joint. If joint was not affected by the injury, select &quot;NA&quot; or leave blank." sqref="C137:D137" xr:uid="{00000000-0002-0000-0600-000063000000}">
      <formula1>$B$511:$B$542</formula1>
    </dataValidation>
    <dataValidation type="decimal" allowBlank="1" showInputMessage="1" showErrorMessage="1" promptTitle="Apportionment (if any)" prompt="Enter percentage of impairment caused by the injury or illness. See OAR 436-035-0013." sqref="G361:I365 G194:G200 G154:G160 G352:G360 G35:G40 H355:I360 H194:I195 H154:I155 H114:I115 H352:I353 G114:G120 H35:I36 H75:I75 H198:I200 G193:I193 G341:I351 G34:I34 H39:I40 G73:G80 G113:I113 G153:I153 G448:I469" xr:uid="{00000000-0002-0000-0600-000064000000}">
      <formula1>$B$506</formula1>
      <formula2>$C$506</formula2>
    </dataValidation>
    <dataValidation type="list" allowBlank="1" showInputMessage="1" showErrorMessage="1" promptTitle="Dermatological condition" prompt="Affecting toe -- select from classes 1-5. See OAR 436-035-0230." sqref="N28:O28" xr:uid="{00000000-0002-0000-0600-000066000000}">
      <formula1>$T$28:$X$28</formula1>
    </dataValidation>
    <dataValidation type="list" allowBlank="1" showInputMessage="1" showErrorMessage="1" promptTitle="Dermatological condition" prompt="Affecting toe -- select from classes 1-5. See OAR 436-035-0230." sqref="N66:O66" xr:uid="{00000000-0002-0000-0600-000067000000}">
      <formula1>$T$66:$X$66</formula1>
    </dataValidation>
    <dataValidation type="list" allowBlank="1" showInputMessage="1" showErrorMessage="1" promptTitle="Dermatological condition" prompt="Affecting toe -- select from classes 1-5. See OAR 436-035-0230." sqref="N106:O106" xr:uid="{00000000-0002-0000-0600-000068000000}">
      <formula1>$T$106:$X$106</formula1>
    </dataValidation>
    <dataValidation type="list" allowBlank="1" showInputMessage="1" showErrorMessage="1" promptTitle="Dermatological condition" prompt="Affecting toe -- select from classes 1-5. See OAR 436-035-0230." sqref="N146:O146" xr:uid="{00000000-0002-0000-0600-000069000000}">
      <formula1>$T$146:$X$146</formula1>
    </dataValidation>
    <dataValidation type="list" allowBlank="1" showInputMessage="1" showErrorMessage="1" promptTitle="Dermatological condition" prompt="Affecting toe -- select from classes 1-5. See OAR 436-035-0230." sqref="N186:O186" xr:uid="{00000000-0002-0000-0600-000065000000}">
      <formula1>$T$186:$X$186</formula1>
    </dataValidation>
    <dataValidation type="list" allowBlank="1" showInputMessage="1" showErrorMessage="1" promptTitle="Amputation" prompt="Select extent of amputation below the knee." sqref="B207:O207" xr:uid="{00000000-0002-0000-0600-000032000000}">
      <formula1>$S$207:$U$207</formula1>
    </dataValidation>
    <dataValidation type="list" allowBlank="1" showInputMessage="1" showErrorMessage="1" promptTitle="Dermatological condition" prompt="Affecting foot -- select from classes 1-5. See OAR 436-035-0230." sqref="N252:O252" xr:uid="{00000000-0002-0000-0600-000043000000}">
      <formula1>$T$252:$X$252</formula1>
    </dataValidation>
    <dataValidation type="list" allowBlank="1" showInputMessage="1" showErrorMessage="1" promptTitle="Strength grade" prompt="Record strength using the 0 to 5  grading system as described in OAR 436-035-0011." sqref="N280:N284 N335 N328:N333 N320:N326 N318 N307:N316 N299:N301 N292:N297 N286:N290" xr:uid="{00000000-0002-0000-0600-00005C000000}">
      <formula1>$T$277:$AH$277</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280:O284 O335 O328:O333 O320:O326 O318 O307:O316 O299:O301 O292:O297 O286:O290" xr:uid="{00000000-0002-0000-0600-00005D000000}">
      <formula1>$S$277:$AH$277</formula1>
    </dataValidation>
    <dataValidation type="list" allowBlank="1" showInputMessage="1" showErrorMessage="1" promptTitle="Leg length discrepancy" prompt="Select extent of length change." sqref="C391" xr:uid="{00000000-0002-0000-0600-000040000000}">
      <formula1>$S$391:$W$391</formula1>
    </dataValidation>
    <dataValidation type="list" allowBlank="1" showInputMessage="1" showErrorMessage="1" promptTitle="Dermatological condition" prompt="Affecting leg -- select from classes 1-5. See OAR 436-035-0230." sqref="N419:O419" xr:uid="{00000000-0002-0000-0600-000045000000}">
      <formula1>$S$419:$W$419</formula1>
    </dataValidation>
    <dataValidation type="list" allowBlank="1" showInputMessage="1" showErrorMessage="1" promptTitle="Vascular dysfunction" prompt="Affecting leg -- select from classes 1-5. See OAR 436-035-0230." sqref="N420:O420" xr:uid="{00000000-0002-0000-0600-000046000000}">
      <formula1>$S$419:$W$419</formula1>
    </dataValidation>
    <dataValidation type="list" showInputMessage="1" showErrorMessage="1" promptTitle="Contralateral comparison" prompt="Enter retained degrees of motion or &quot;NA&quot; if contralateral joint has a history of injury or disease." sqref="G13:I13 G18:I18 G56:I56 G96:I96 G136:I136 G176:I176 G222:I222 G382:I382" xr:uid="{DB5EDFFA-35A2-437A-B115-8EEB7FBC3371}">
      <formula1>$B$511:$B$542</formula1>
    </dataValidation>
    <dataValidation type="list" showInputMessage="1" showErrorMessage="1" promptTitle="Contralateral comparison" prompt="Enter retained degrees of motion or &quot;NA&quot; if contralateral joint has a history of injury or disease." sqref="G54:I54 G94:I94 G134:I134 G174:I174 G230:I230 G383:I383 G385:I385" xr:uid="{4149F587-8E2E-49FA-A2DD-26200FAF1ED7}">
      <formula1>$B$511:$B$552</formula1>
    </dataValidation>
    <dataValidation type="list" showInputMessage="1" showErrorMessage="1" promptTitle="Contralateral comparison" prompt="Enter retained degrees of motion or &quot;NA&quot; if contralateral joint has a history of injury or disease." sqref="G224:I224 G228:I228 G384:I384" xr:uid="{B0D55EF7-A766-4931-82FD-43543AC3FA32}">
      <formula1>$B$511:$B$532</formula1>
    </dataValidation>
    <dataValidation type="list" showInputMessage="1" showErrorMessage="1" promptTitle="Contralateral comparison" prompt="Enter retained degrees of motion or &quot;NA&quot; if contralateral joint has a history of injury or disease." sqref="G376:I376 G378:I378" xr:uid="{F7DE39E7-09AE-4B85-9C60-FC8613184569}">
      <formula1>$B$511:$B$662</formula1>
    </dataValidation>
    <dataValidation type="list" showInputMessage="1" showErrorMessage="1" promptTitle="Contralateral comparison" prompt="Enter retained degrees of motion or &quot;NA&quot; if contralateral joint has a history of injury or disease." sqref="G381:I381" xr:uid="{8F27ED82-8452-4730-898A-B713028DD972}">
      <formula1>$B$511:$B$612</formula1>
    </dataValidation>
  </dataValidations>
  <hyperlinks>
    <hyperlink ref="N278:P278" location="Rules!A3" display="Strength grade &amp; loss " xr:uid="{00000000-0004-0000-0600-000000000000}"/>
    <hyperlink ref="C4:D4" location="'Lower Extremity-Right'!B6" display="'Lower Extremity-Right'!B6" xr:uid="{00000000-0004-0000-0600-000001000000}"/>
    <hyperlink ref="E4:F4" location="'Lower Extremity-Right'!B44" display="'Lower Extremity-Right'!B44" xr:uid="{00000000-0004-0000-0600-000002000000}"/>
    <hyperlink ref="G4:I4" location="'Lower Extremity-Right'!B84" display="'Lower Extremity-Right'!B84" xr:uid="{00000000-0004-0000-0600-000003000000}"/>
    <hyperlink ref="J4:K4" location="'Lower Extremity-Right'!B124" display="'Lower Extremity-Right'!B124" xr:uid="{00000000-0004-0000-0600-000004000000}"/>
    <hyperlink ref="L4:M4" location="'Lower Extremity-Right'!B164" display="'Lower Extremity-Right'!B164" xr:uid="{00000000-0004-0000-0600-000005000000}"/>
    <hyperlink ref="N4" location="'Lower Extremity-Right'!B204" display="Foot/ankle" xr:uid="{00000000-0004-0000-0600-000006000000}"/>
    <hyperlink ref="O4" location="'Lower Extremity-Right'!B367" display="Leg" xr:uid="{00000000-0004-0000-0600-000007000000}"/>
    <hyperlink ref="P4" location="'Lower Extremity-Right'!B273" display="Strength" xr:uid="{00000000-0004-0000-0600-000008000000}"/>
    <hyperlink ref="P370" location="'Lower Extremity-Right'!A260" display="Leg strength" xr:uid="{00000000-0004-0000-0600-000009000000}"/>
    <hyperlink ref="B500" location="'Lower Extremity-Right'!A1" display="Return to top of sheet" xr:uid="{00000000-0004-0000-0600-00000A000000}"/>
    <hyperlink ref="H500:M500" location="'PPD DOI on or after 2005'!A1" display="'PPD DOI on or after 2005'!A1" xr:uid="{00000000-0004-0000-0600-00000B000000}"/>
    <hyperlink ref="C500:G500" location="'PPD DOI before 2005'!A1" display="'PPD DOI before 2005'!A1" xr:uid="{00000000-0004-0000-0600-00000C000000}"/>
  </hyperlinks>
  <pageMargins left="0.69" right="0.72" top="0.52" bottom="0.92" header="0.38" footer="0.5"/>
  <pageSetup orientation="portrait" r:id="rId1"/>
  <headerFooter alignWithMargins="0">
    <oddFooter>&amp;LLower Extremity, Right&amp;CPage &amp;P</oddFooter>
  </headerFooter>
  <rowBreaks count="12" manualBreakCount="12">
    <brk id="82" max="16383" man="1"/>
    <brk id="122" max="16383" man="1"/>
    <brk id="162" max="16383" man="1"/>
    <brk id="202" max="16383" man="1"/>
    <brk id="238" max="16383" man="1"/>
    <brk id="275" max="16383" man="1"/>
    <brk id="303" max="16383" man="1"/>
    <brk id="338" max="16383" man="1"/>
    <brk id="368" max="16383" man="1"/>
    <brk id="407" max="16383" man="1"/>
    <brk id="438" max="16383" man="1"/>
    <brk id="47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6086" r:id="rId4" name="Check Box 6">
              <controlPr locked="0" defaultSize="0" autoFill="0" autoLine="0" autoPict="0">
                <anchor moveWithCells="1">
                  <from>
                    <xdr:col>4</xdr:col>
                    <xdr:colOff>9525</xdr:colOff>
                    <xdr:row>279</xdr:row>
                    <xdr:rowOff>0</xdr:rowOff>
                  </from>
                  <to>
                    <xdr:col>5</xdr:col>
                    <xdr:colOff>85725</xdr:colOff>
                    <xdr:row>280</xdr:row>
                    <xdr:rowOff>28575</xdr:rowOff>
                  </to>
                </anchor>
              </controlPr>
            </control>
          </mc:Choice>
        </mc:AlternateContent>
        <mc:AlternateContent xmlns:mc="http://schemas.openxmlformats.org/markup-compatibility/2006">
          <mc:Choice Requires="x14">
            <control shapeId="46087" r:id="rId5" name="Check Box 7">
              <controlPr locked="0" defaultSize="0" autoFill="0" autoLine="0" autoPict="0">
                <anchor moveWithCells="1">
                  <from>
                    <xdr:col>4</xdr:col>
                    <xdr:colOff>9525</xdr:colOff>
                    <xdr:row>279</xdr:row>
                    <xdr:rowOff>180975</xdr:rowOff>
                  </from>
                  <to>
                    <xdr:col>5</xdr:col>
                    <xdr:colOff>85725</xdr:colOff>
                    <xdr:row>281</xdr:row>
                    <xdr:rowOff>19050</xdr:rowOff>
                  </to>
                </anchor>
              </controlPr>
            </control>
          </mc:Choice>
        </mc:AlternateContent>
        <mc:AlternateContent xmlns:mc="http://schemas.openxmlformats.org/markup-compatibility/2006">
          <mc:Choice Requires="x14">
            <control shapeId="46088" r:id="rId6" name="Check Box 8">
              <controlPr locked="0" defaultSize="0" autoFill="0" autoLine="0" autoPict="0">
                <anchor moveWithCells="1">
                  <from>
                    <xdr:col>4</xdr:col>
                    <xdr:colOff>9525</xdr:colOff>
                    <xdr:row>280</xdr:row>
                    <xdr:rowOff>171450</xdr:rowOff>
                  </from>
                  <to>
                    <xdr:col>5</xdr:col>
                    <xdr:colOff>85725</xdr:colOff>
                    <xdr:row>282</xdr:row>
                    <xdr:rowOff>9525</xdr:rowOff>
                  </to>
                </anchor>
              </controlPr>
            </control>
          </mc:Choice>
        </mc:AlternateContent>
        <mc:AlternateContent xmlns:mc="http://schemas.openxmlformats.org/markup-compatibility/2006">
          <mc:Choice Requires="x14">
            <control shapeId="46089" r:id="rId7" name="Check Box 9">
              <controlPr locked="0" defaultSize="0" autoFill="0" autoLine="0" autoPict="0">
                <anchor moveWithCells="1">
                  <from>
                    <xdr:col>4</xdr:col>
                    <xdr:colOff>9525</xdr:colOff>
                    <xdr:row>281</xdr:row>
                    <xdr:rowOff>161925</xdr:rowOff>
                  </from>
                  <to>
                    <xdr:col>5</xdr:col>
                    <xdr:colOff>85725</xdr:colOff>
                    <xdr:row>283</xdr:row>
                    <xdr:rowOff>0</xdr:rowOff>
                  </to>
                </anchor>
              </controlPr>
            </control>
          </mc:Choice>
        </mc:AlternateContent>
        <mc:AlternateContent xmlns:mc="http://schemas.openxmlformats.org/markup-compatibility/2006">
          <mc:Choice Requires="x14">
            <control shapeId="46090" r:id="rId8" name="Check Box 10">
              <controlPr locked="0" defaultSize="0" autoFill="0" autoLine="0" autoPict="0">
                <anchor moveWithCells="1">
                  <from>
                    <xdr:col>4</xdr:col>
                    <xdr:colOff>9525</xdr:colOff>
                    <xdr:row>282</xdr:row>
                    <xdr:rowOff>171450</xdr:rowOff>
                  </from>
                  <to>
                    <xdr:col>5</xdr:col>
                    <xdr:colOff>85725</xdr:colOff>
                    <xdr:row>284</xdr:row>
                    <xdr:rowOff>9525</xdr:rowOff>
                  </to>
                </anchor>
              </controlPr>
            </control>
          </mc:Choice>
        </mc:AlternateContent>
        <mc:AlternateContent xmlns:mc="http://schemas.openxmlformats.org/markup-compatibility/2006">
          <mc:Choice Requires="x14">
            <control shapeId="46091" r:id="rId9" name="Check Box 11">
              <controlPr locked="0" defaultSize="0" autoFill="0" autoLine="0" autoPict="0">
                <anchor moveWithCells="1">
                  <from>
                    <xdr:col>4</xdr:col>
                    <xdr:colOff>9525</xdr:colOff>
                    <xdr:row>285</xdr:row>
                    <xdr:rowOff>0</xdr:rowOff>
                  </from>
                  <to>
                    <xdr:col>5</xdr:col>
                    <xdr:colOff>85725</xdr:colOff>
                    <xdr:row>285</xdr:row>
                    <xdr:rowOff>219075</xdr:rowOff>
                  </to>
                </anchor>
              </controlPr>
            </control>
          </mc:Choice>
        </mc:AlternateContent>
        <mc:AlternateContent xmlns:mc="http://schemas.openxmlformats.org/markup-compatibility/2006">
          <mc:Choice Requires="x14">
            <control shapeId="46092" r:id="rId10" name="Check Box 12">
              <controlPr locked="0" defaultSize="0" autoFill="0" autoLine="0" autoPict="0">
                <anchor moveWithCells="1">
                  <from>
                    <xdr:col>4</xdr:col>
                    <xdr:colOff>9525</xdr:colOff>
                    <xdr:row>285</xdr:row>
                    <xdr:rowOff>333375</xdr:rowOff>
                  </from>
                  <to>
                    <xdr:col>5</xdr:col>
                    <xdr:colOff>85725</xdr:colOff>
                    <xdr:row>287</xdr:row>
                    <xdr:rowOff>19050</xdr:rowOff>
                  </to>
                </anchor>
              </controlPr>
            </control>
          </mc:Choice>
        </mc:AlternateContent>
        <mc:AlternateContent xmlns:mc="http://schemas.openxmlformats.org/markup-compatibility/2006">
          <mc:Choice Requires="x14">
            <control shapeId="46093" r:id="rId11" name="Check Box 13">
              <controlPr locked="0" defaultSize="0" autoFill="0" autoLine="0" autoPict="0">
                <anchor moveWithCells="1">
                  <from>
                    <xdr:col>4</xdr:col>
                    <xdr:colOff>9525</xdr:colOff>
                    <xdr:row>286</xdr:row>
                    <xdr:rowOff>171450</xdr:rowOff>
                  </from>
                  <to>
                    <xdr:col>5</xdr:col>
                    <xdr:colOff>85725</xdr:colOff>
                    <xdr:row>288</xdr:row>
                    <xdr:rowOff>9525</xdr:rowOff>
                  </to>
                </anchor>
              </controlPr>
            </control>
          </mc:Choice>
        </mc:AlternateContent>
        <mc:AlternateContent xmlns:mc="http://schemas.openxmlformats.org/markup-compatibility/2006">
          <mc:Choice Requires="x14">
            <control shapeId="46094" r:id="rId12" name="Check Box 14">
              <controlPr locked="0" defaultSize="0" autoFill="0" autoLine="0" autoPict="0">
                <anchor moveWithCells="1">
                  <from>
                    <xdr:col>4</xdr:col>
                    <xdr:colOff>9525</xdr:colOff>
                    <xdr:row>287</xdr:row>
                    <xdr:rowOff>161925</xdr:rowOff>
                  </from>
                  <to>
                    <xdr:col>5</xdr:col>
                    <xdr:colOff>85725</xdr:colOff>
                    <xdr:row>289</xdr:row>
                    <xdr:rowOff>0</xdr:rowOff>
                  </to>
                </anchor>
              </controlPr>
            </control>
          </mc:Choice>
        </mc:AlternateContent>
        <mc:AlternateContent xmlns:mc="http://schemas.openxmlformats.org/markup-compatibility/2006">
          <mc:Choice Requires="x14">
            <control shapeId="46095" r:id="rId13" name="Check Box 15">
              <controlPr locked="0" defaultSize="0" autoFill="0" autoLine="0" autoPict="0">
                <anchor moveWithCells="1">
                  <from>
                    <xdr:col>4</xdr:col>
                    <xdr:colOff>9525</xdr:colOff>
                    <xdr:row>288</xdr:row>
                    <xdr:rowOff>171450</xdr:rowOff>
                  </from>
                  <to>
                    <xdr:col>5</xdr:col>
                    <xdr:colOff>85725</xdr:colOff>
                    <xdr:row>290</xdr:row>
                    <xdr:rowOff>9525</xdr:rowOff>
                  </to>
                </anchor>
              </controlPr>
            </control>
          </mc:Choice>
        </mc:AlternateContent>
        <mc:AlternateContent xmlns:mc="http://schemas.openxmlformats.org/markup-compatibility/2006">
          <mc:Choice Requires="x14">
            <control shapeId="46096" r:id="rId14" name="Check Box 16">
              <controlPr locked="0" defaultSize="0" autoFill="0" autoLine="0" autoPict="0">
                <anchor moveWithCells="1">
                  <from>
                    <xdr:col>4</xdr:col>
                    <xdr:colOff>9525</xdr:colOff>
                    <xdr:row>291</xdr:row>
                    <xdr:rowOff>9525</xdr:rowOff>
                  </from>
                  <to>
                    <xdr:col>5</xdr:col>
                    <xdr:colOff>85725</xdr:colOff>
                    <xdr:row>292</xdr:row>
                    <xdr:rowOff>0</xdr:rowOff>
                  </to>
                </anchor>
              </controlPr>
            </control>
          </mc:Choice>
        </mc:AlternateContent>
        <mc:AlternateContent xmlns:mc="http://schemas.openxmlformats.org/markup-compatibility/2006">
          <mc:Choice Requires="x14">
            <control shapeId="46097" r:id="rId15" name="Check Box 17">
              <controlPr locked="0" defaultSize="0" autoFill="0" autoLine="0" autoPict="0">
                <anchor moveWithCells="1">
                  <from>
                    <xdr:col>4</xdr:col>
                    <xdr:colOff>9525</xdr:colOff>
                    <xdr:row>291</xdr:row>
                    <xdr:rowOff>333375</xdr:rowOff>
                  </from>
                  <to>
                    <xdr:col>5</xdr:col>
                    <xdr:colOff>85725</xdr:colOff>
                    <xdr:row>293</xdr:row>
                    <xdr:rowOff>19050</xdr:rowOff>
                  </to>
                </anchor>
              </controlPr>
            </control>
          </mc:Choice>
        </mc:AlternateContent>
        <mc:AlternateContent xmlns:mc="http://schemas.openxmlformats.org/markup-compatibility/2006">
          <mc:Choice Requires="x14">
            <control shapeId="46098" r:id="rId16" name="Check Box 18">
              <controlPr locked="0" defaultSize="0" autoFill="0" autoLine="0" autoPict="0">
                <anchor moveWithCells="1">
                  <from>
                    <xdr:col>4</xdr:col>
                    <xdr:colOff>9525</xdr:colOff>
                    <xdr:row>292</xdr:row>
                    <xdr:rowOff>171450</xdr:rowOff>
                  </from>
                  <to>
                    <xdr:col>5</xdr:col>
                    <xdr:colOff>85725</xdr:colOff>
                    <xdr:row>294</xdr:row>
                    <xdr:rowOff>9525</xdr:rowOff>
                  </to>
                </anchor>
              </controlPr>
            </control>
          </mc:Choice>
        </mc:AlternateContent>
        <mc:AlternateContent xmlns:mc="http://schemas.openxmlformats.org/markup-compatibility/2006">
          <mc:Choice Requires="x14">
            <control shapeId="46099" r:id="rId17" name="Check Box 19">
              <controlPr locked="0" defaultSize="0" autoFill="0" autoLine="0" autoPict="0">
                <anchor moveWithCells="1">
                  <from>
                    <xdr:col>4</xdr:col>
                    <xdr:colOff>9525</xdr:colOff>
                    <xdr:row>293</xdr:row>
                    <xdr:rowOff>161925</xdr:rowOff>
                  </from>
                  <to>
                    <xdr:col>5</xdr:col>
                    <xdr:colOff>85725</xdr:colOff>
                    <xdr:row>295</xdr:row>
                    <xdr:rowOff>0</xdr:rowOff>
                  </to>
                </anchor>
              </controlPr>
            </control>
          </mc:Choice>
        </mc:AlternateContent>
        <mc:AlternateContent xmlns:mc="http://schemas.openxmlformats.org/markup-compatibility/2006">
          <mc:Choice Requires="x14">
            <control shapeId="46100" r:id="rId18" name="Check Box 20">
              <controlPr locked="0" defaultSize="0" autoFill="0" autoLine="0" autoPict="0">
                <anchor moveWithCells="1">
                  <from>
                    <xdr:col>4</xdr:col>
                    <xdr:colOff>9525</xdr:colOff>
                    <xdr:row>294</xdr:row>
                    <xdr:rowOff>171450</xdr:rowOff>
                  </from>
                  <to>
                    <xdr:col>5</xdr:col>
                    <xdr:colOff>85725</xdr:colOff>
                    <xdr:row>296</xdr:row>
                    <xdr:rowOff>9525</xdr:rowOff>
                  </to>
                </anchor>
              </controlPr>
            </control>
          </mc:Choice>
        </mc:AlternateContent>
        <mc:AlternateContent xmlns:mc="http://schemas.openxmlformats.org/markup-compatibility/2006">
          <mc:Choice Requires="x14">
            <control shapeId="46101" r:id="rId19" name="Check Box 21">
              <controlPr locked="0" defaultSize="0" autoFill="0" autoLine="0" autoPict="0">
                <anchor moveWithCells="1">
                  <from>
                    <xdr:col>4</xdr:col>
                    <xdr:colOff>9525</xdr:colOff>
                    <xdr:row>298</xdr:row>
                    <xdr:rowOff>304800</xdr:rowOff>
                  </from>
                  <to>
                    <xdr:col>5</xdr:col>
                    <xdr:colOff>85725</xdr:colOff>
                    <xdr:row>300</xdr:row>
                    <xdr:rowOff>9525</xdr:rowOff>
                  </to>
                </anchor>
              </controlPr>
            </control>
          </mc:Choice>
        </mc:AlternateContent>
        <mc:AlternateContent xmlns:mc="http://schemas.openxmlformats.org/markup-compatibility/2006">
          <mc:Choice Requires="x14">
            <control shapeId="46102" r:id="rId20" name="Check Box 22">
              <controlPr locked="0" defaultSize="0" autoFill="0" autoLine="0" autoPict="0">
                <anchor moveWithCells="1">
                  <from>
                    <xdr:col>4</xdr:col>
                    <xdr:colOff>9525</xdr:colOff>
                    <xdr:row>299</xdr:row>
                    <xdr:rowOff>171450</xdr:rowOff>
                  </from>
                  <to>
                    <xdr:col>5</xdr:col>
                    <xdr:colOff>85725</xdr:colOff>
                    <xdr:row>301</xdr:row>
                    <xdr:rowOff>9525</xdr:rowOff>
                  </to>
                </anchor>
              </controlPr>
            </control>
          </mc:Choice>
        </mc:AlternateContent>
        <mc:AlternateContent xmlns:mc="http://schemas.openxmlformats.org/markup-compatibility/2006">
          <mc:Choice Requires="x14">
            <control shapeId="46103" r:id="rId21" name="Check Box 23">
              <controlPr locked="0" defaultSize="0" autoFill="0" autoLine="0" autoPict="0">
                <anchor moveWithCells="1">
                  <from>
                    <xdr:col>4</xdr:col>
                    <xdr:colOff>9525</xdr:colOff>
                    <xdr:row>306</xdr:row>
                    <xdr:rowOff>333375</xdr:rowOff>
                  </from>
                  <to>
                    <xdr:col>5</xdr:col>
                    <xdr:colOff>85725</xdr:colOff>
                    <xdr:row>308</xdr:row>
                    <xdr:rowOff>19050</xdr:rowOff>
                  </to>
                </anchor>
              </controlPr>
            </control>
          </mc:Choice>
        </mc:AlternateContent>
        <mc:AlternateContent xmlns:mc="http://schemas.openxmlformats.org/markup-compatibility/2006">
          <mc:Choice Requires="x14">
            <control shapeId="46104" r:id="rId22" name="Check Box 24">
              <controlPr locked="0" defaultSize="0" autoFill="0" autoLine="0" autoPict="0">
                <anchor moveWithCells="1">
                  <from>
                    <xdr:col>4</xdr:col>
                    <xdr:colOff>9525</xdr:colOff>
                    <xdr:row>307</xdr:row>
                    <xdr:rowOff>180975</xdr:rowOff>
                  </from>
                  <to>
                    <xdr:col>5</xdr:col>
                    <xdr:colOff>85725</xdr:colOff>
                    <xdr:row>309</xdr:row>
                    <xdr:rowOff>19050</xdr:rowOff>
                  </to>
                </anchor>
              </controlPr>
            </control>
          </mc:Choice>
        </mc:AlternateContent>
        <mc:AlternateContent xmlns:mc="http://schemas.openxmlformats.org/markup-compatibility/2006">
          <mc:Choice Requires="x14">
            <control shapeId="46105" r:id="rId23" name="Check Box 25">
              <controlPr locked="0" defaultSize="0" autoFill="0" autoLine="0" autoPict="0">
                <anchor moveWithCells="1">
                  <from>
                    <xdr:col>4</xdr:col>
                    <xdr:colOff>9525</xdr:colOff>
                    <xdr:row>308</xdr:row>
                    <xdr:rowOff>171450</xdr:rowOff>
                  </from>
                  <to>
                    <xdr:col>5</xdr:col>
                    <xdr:colOff>85725</xdr:colOff>
                    <xdr:row>310</xdr:row>
                    <xdr:rowOff>9525</xdr:rowOff>
                  </to>
                </anchor>
              </controlPr>
            </control>
          </mc:Choice>
        </mc:AlternateContent>
        <mc:AlternateContent xmlns:mc="http://schemas.openxmlformats.org/markup-compatibility/2006">
          <mc:Choice Requires="x14">
            <control shapeId="46106" r:id="rId24" name="Check Box 26">
              <controlPr locked="0" defaultSize="0" autoFill="0" autoLine="0" autoPict="0">
                <anchor moveWithCells="1">
                  <from>
                    <xdr:col>4</xdr:col>
                    <xdr:colOff>9525</xdr:colOff>
                    <xdr:row>309</xdr:row>
                    <xdr:rowOff>161925</xdr:rowOff>
                  </from>
                  <to>
                    <xdr:col>5</xdr:col>
                    <xdr:colOff>85725</xdr:colOff>
                    <xdr:row>311</xdr:row>
                    <xdr:rowOff>0</xdr:rowOff>
                  </to>
                </anchor>
              </controlPr>
            </control>
          </mc:Choice>
        </mc:AlternateContent>
        <mc:AlternateContent xmlns:mc="http://schemas.openxmlformats.org/markup-compatibility/2006">
          <mc:Choice Requires="x14">
            <control shapeId="46107" r:id="rId25" name="Check Box 27">
              <controlPr locked="0" defaultSize="0" autoFill="0" autoLine="0" autoPict="0">
                <anchor moveWithCells="1">
                  <from>
                    <xdr:col>4</xdr:col>
                    <xdr:colOff>9525</xdr:colOff>
                    <xdr:row>310</xdr:row>
                    <xdr:rowOff>171450</xdr:rowOff>
                  </from>
                  <to>
                    <xdr:col>5</xdr:col>
                    <xdr:colOff>85725</xdr:colOff>
                    <xdr:row>312</xdr:row>
                    <xdr:rowOff>9525</xdr:rowOff>
                  </to>
                </anchor>
              </controlPr>
            </control>
          </mc:Choice>
        </mc:AlternateContent>
        <mc:AlternateContent xmlns:mc="http://schemas.openxmlformats.org/markup-compatibility/2006">
          <mc:Choice Requires="x14">
            <control shapeId="46108" r:id="rId26" name="Check Box 28">
              <controlPr locked="0" defaultSize="0" autoFill="0" autoLine="0" autoPict="0">
                <anchor moveWithCells="1">
                  <from>
                    <xdr:col>4</xdr:col>
                    <xdr:colOff>9525</xdr:colOff>
                    <xdr:row>311</xdr:row>
                    <xdr:rowOff>180975</xdr:rowOff>
                  </from>
                  <to>
                    <xdr:col>5</xdr:col>
                    <xdr:colOff>85725</xdr:colOff>
                    <xdr:row>313</xdr:row>
                    <xdr:rowOff>19050</xdr:rowOff>
                  </to>
                </anchor>
              </controlPr>
            </control>
          </mc:Choice>
        </mc:AlternateContent>
        <mc:AlternateContent xmlns:mc="http://schemas.openxmlformats.org/markup-compatibility/2006">
          <mc:Choice Requires="x14">
            <control shapeId="46109" r:id="rId27" name="Check Box 29">
              <controlPr locked="0" defaultSize="0" autoFill="0" autoLine="0" autoPict="0">
                <anchor moveWithCells="1">
                  <from>
                    <xdr:col>4</xdr:col>
                    <xdr:colOff>9525</xdr:colOff>
                    <xdr:row>312</xdr:row>
                    <xdr:rowOff>180975</xdr:rowOff>
                  </from>
                  <to>
                    <xdr:col>5</xdr:col>
                    <xdr:colOff>85725</xdr:colOff>
                    <xdr:row>314</xdr:row>
                    <xdr:rowOff>19050</xdr:rowOff>
                  </to>
                </anchor>
              </controlPr>
            </control>
          </mc:Choice>
        </mc:AlternateContent>
        <mc:AlternateContent xmlns:mc="http://schemas.openxmlformats.org/markup-compatibility/2006">
          <mc:Choice Requires="x14">
            <control shapeId="46110" r:id="rId28" name="Check Box 30">
              <controlPr locked="0" defaultSize="0" autoFill="0" autoLine="0" autoPict="0">
                <anchor moveWithCells="1">
                  <from>
                    <xdr:col>4</xdr:col>
                    <xdr:colOff>9525</xdr:colOff>
                    <xdr:row>313</xdr:row>
                    <xdr:rowOff>171450</xdr:rowOff>
                  </from>
                  <to>
                    <xdr:col>5</xdr:col>
                    <xdr:colOff>85725</xdr:colOff>
                    <xdr:row>315</xdr:row>
                    <xdr:rowOff>9525</xdr:rowOff>
                  </to>
                </anchor>
              </controlPr>
            </control>
          </mc:Choice>
        </mc:AlternateContent>
        <mc:AlternateContent xmlns:mc="http://schemas.openxmlformats.org/markup-compatibility/2006">
          <mc:Choice Requires="x14">
            <control shapeId="46111" r:id="rId29" name="Check Box 31">
              <controlPr locked="0" defaultSize="0" autoFill="0" autoLine="0" autoPict="0">
                <anchor moveWithCells="1">
                  <from>
                    <xdr:col>4</xdr:col>
                    <xdr:colOff>9525</xdr:colOff>
                    <xdr:row>314</xdr:row>
                    <xdr:rowOff>171450</xdr:rowOff>
                  </from>
                  <to>
                    <xdr:col>5</xdr:col>
                    <xdr:colOff>85725</xdr:colOff>
                    <xdr:row>316</xdr:row>
                    <xdr:rowOff>9525</xdr:rowOff>
                  </to>
                </anchor>
              </controlPr>
            </control>
          </mc:Choice>
        </mc:AlternateContent>
        <mc:AlternateContent xmlns:mc="http://schemas.openxmlformats.org/markup-compatibility/2006">
          <mc:Choice Requires="x14">
            <control shapeId="46112" r:id="rId30" name="Check Box 32">
              <controlPr locked="0" defaultSize="0" autoFill="0" autoLine="0" autoPict="0">
                <anchor moveWithCells="1">
                  <from>
                    <xdr:col>4</xdr:col>
                    <xdr:colOff>9525</xdr:colOff>
                    <xdr:row>316</xdr:row>
                    <xdr:rowOff>171450</xdr:rowOff>
                  </from>
                  <to>
                    <xdr:col>5</xdr:col>
                    <xdr:colOff>85725</xdr:colOff>
                    <xdr:row>318</xdr:row>
                    <xdr:rowOff>9525</xdr:rowOff>
                  </to>
                </anchor>
              </controlPr>
            </control>
          </mc:Choice>
        </mc:AlternateContent>
        <mc:AlternateContent xmlns:mc="http://schemas.openxmlformats.org/markup-compatibility/2006">
          <mc:Choice Requires="x14">
            <control shapeId="46113" r:id="rId31" name="Check Box 33">
              <controlPr locked="0" defaultSize="0" autoFill="0" autoLine="0" autoPict="0">
                <anchor moveWithCells="1">
                  <from>
                    <xdr:col>4</xdr:col>
                    <xdr:colOff>9525</xdr:colOff>
                    <xdr:row>319</xdr:row>
                    <xdr:rowOff>0</xdr:rowOff>
                  </from>
                  <to>
                    <xdr:col>5</xdr:col>
                    <xdr:colOff>85725</xdr:colOff>
                    <xdr:row>320</xdr:row>
                    <xdr:rowOff>28575</xdr:rowOff>
                  </to>
                </anchor>
              </controlPr>
            </control>
          </mc:Choice>
        </mc:AlternateContent>
        <mc:AlternateContent xmlns:mc="http://schemas.openxmlformats.org/markup-compatibility/2006">
          <mc:Choice Requires="x14">
            <control shapeId="46114" r:id="rId32" name="Check Box 34">
              <controlPr locked="0" defaultSize="0" autoFill="0" autoLine="0" autoPict="0">
                <anchor moveWithCells="1">
                  <from>
                    <xdr:col>4</xdr:col>
                    <xdr:colOff>9525</xdr:colOff>
                    <xdr:row>320</xdr:row>
                    <xdr:rowOff>0</xdr:rowOff>
                  </from>
                  <to>
                    <xdr:col>5</xdr:col>
                    <xdr:colOff>85725</xdr:colOff>
                    <xdr:row>321</xdr:row>
                    <xdr:rowOff>28575</xdr:rowOff>
                  </to>
                </anchor>
              </controlPr>
            </control>
          </mc:Choice>
        </mc:AlternateContent>
        <mc:AlternateContent xmlns:mc="http://schemas.openxmlformats.org/markup-compatibility/2006">
          <mc:Choice Requires="x14">
            <control shapeId="46115" r:id="rId33" name="Check Box 35">
              <controlPr locked="0" defaultSize="0" autoFill="0" autoLine="0" autoPict="0">
                <anchor moveWithCells="1">
                  <from>
                    <xdr:col>4</xdr:col>
                    <xdr:colOff>9525</xdr:colOff>
                    <xdr:row>320</xdr:row>
                    <xdr:rowOff>171450</xdr:rowOff>
                  </from>
                  <to>
                    <xdr:col>5</xdr:col>
                    <xdr:colOff>85725</xdr:colOff>
                    <xdr:row>322</xdr:row>
                    <xdr:rowOff>9525</xdr:rowOff>
                  </to>
                </anchor>
              </controlPr>
            </control>
          </mc:Choice>
        </mc:AlternateContent>
        <mc:AlternateContent xmlns:mc="http://schemas.openxmlformats.org/markup-compatibility/2006">
          <mc:Choice Requires="x14">
            <control shapeId="46116" r:id="rId34" name="Check Box 36">
              <controlPr locked="0" defaultSize="0" autoFill="0" autoLine="0" autoPict="0">
                <anchor moveWithCells="1">
                  <from>
                    <xdr:col>4</xdr:col>
                    <xdr:colOff>9525</xdr:colOff>
                    <xdr:row>321</xdr:row>
                    <xdr:rowOff>171450</xdr:rowOff>
                  </from>
                  <to>
                    <xdr:col>5</xdr:col>
                    <xdr:colOff>85725</xdr:colOff>
                    <xdr:row>323</xdr:row>
                    <xdr:rowOff>9525</xdr:rowOff>
                  </to>
                </anchor>
              </controlPr>
            </control>
          </mc:Choice>
        </mc:AlternateContent>
        <mc:AlternateContent xmlns:mc="http://schemas.openxmlformats.org/markup-compatibility/2006">
          <mc:Choice Requires="x14">
            <control shapeId="46117" r:id="rId35" name="Check Box 37">
              <controlPr locked="0" defaultSize="0" autoFill="0" autoLine="0" autoPict="0">
                <anchor moveWithCells="1">
                  <from>
                    <xdr:col>4</xdr:col>
                    <xdr:colOff>9525</xdr:colOff>
                    <xdr:row>323</xdr:row>
                    <xdr:rowOff>9525</xdr:rowOff>
                  </from>
                  <to>
                    <xdr:col>5</xdr:col>
                    <xdr:colOff>85725</xdr:colOff>
                    <xdr:row>324</xdr:row>
                    <xdr:rowOff>38100</xdr:rowOff>
                  </to>
                </anchor>
              </controlPr>
            </control>
          </mc:Choice>
        </mc:AlternateContent>
        <mc:AlternateContent xmlns:mc="http://schemas.openxmlformats.org/markup-compatibility/2006">
          <mc:Choice Requires="x14">
            <control shapeId="46118" r:id="rId36" name="Check Box 38">
              <controlPr locked="0" defaultSize="0" autoFill="0" autoLine="0" autoPict="0">
                <anchor moveWithCells="1">
                  <from>
                    <xdr:col>4</xdr:col>
                    <xdr:colOff>9525</xdr:colOff>
                    <xdr:row>323</xdr:row>
                    <xdr:rowOff>180975</xdr:rowOff>
                  </from>
                  <to>
                    <xdr:col>5</xdr:col>
                    <xdr:colOff>85725</xdr:colOff>
                    <xdr:row>325</xdr:row>
                    <xdr:rowOff>19050</xdr:rowOff>
                  </to>
                </anchor>
              </controlPr>
            </control>
          </mc:Choice>
        </mc:AlternateContent>
        <mc:AlternateContent xmlns:mc="http://schemas.openxmlformats.org/markup-compatibility/2006">
          <mc:Choice Requires="x14">
            <control shapeId="46119" r:id="rId37" name="Check Box 39">
              <controlPr locked="0" defaultSize="0" autoFill="0" autoLine="0" autoPict="0">
                <anchor moveWithCells="1">
                  <from>
                    <xdr:col>4</xdr:col>
                    <xdr:colOff>9525</xdr:colOff>
                    <xdr:row>324</xdr:row>
                    <xdr:rowOff>180975</xdr:rowOff>
                  </from>
                  <to>
                    <xdr:col>5</xdr:col>
                    <xdr:colOff>85725</xdr:colOff>
                    <xdr:row>326</xdr:row>
                    <xdr:rowOff>19050</xdr:rowOff>
                  </to>
                </anchor>
              </controlPr>
            </control>
          </mc:Choice>
        </mc:AlternateContent>
        <mc:AlternateContent xmlns:mc="http://schemas.openxmlformats.org/markup-compatibility/2006">
          <mc:Choice Requires="x14">
            <control shapeId="46120" r:id="rId38" name="Check Box 40">
              <controlPr locked="0" defaultSize="0" autoFill="0" autoLine="0" autoPict="0">
                <anchor moveWithCells="1">
                  <from>
                    <xdr:col>4</xdr:col>
                    <xdr:colOff>9525</xdr:colOff>
                    <xdr:row>327</xdr:row>
                    <xdr:rowOff>323850</xdr:rowOff>
                  </from>
                  <to>
                    <xdr:col>5</xdr:col>
                    <xdr:colOff>85725</xdr:colOff>
                    <xdr:row>328</xdr:row>
                    <xdr:rowOff>200025</xdr:rowOff>
                  </to>
                </anchor>
              </controlPr>
            </control>
          </mc:Choice>
        </mc:AlternateContent>
        <mc:AlternateContent xmlns:mc="http://schemas.openxmlformats.org/markup-compatibility/2006">
          <mc:Choice Requires="x14">
            <control shapeId="46121" r:id="rId39" name="Check Box 41">
              <controlPr locked="0" defaultSize="0" autoFill="0" autoLine="0" autoPict="0">
                <anchor moveWithCells="1">
                  <from>
                    <xdr:col>4</xdr:col>
                    <xdr:colOff>9525</xdr:colOff>
                    <xdr:row>328</xdr:row>
                    <xdr:rowOff>485775</xdr:rowOff>
                  </from>
                  <to>
                    <xdr:col>5</xdr:col>
                    <xdr:colOff>85725</xdr:colOff>
                    <xdr:row>330</xdr:row>
                    <xdr:rowOff>19050</xdr:rowOff>
                  </to>
                </anchor>
              </controlPr>
            </control>
          </mc:Choice>
        </mc:AlternateContent>
        <mc:AlternateContent xmlns:mc="http://schemas.openxmlformats.org/markup-compatibility/2006">
          <mc:Choice Requires="x14">
            <control shapeId="46122" r:id="rId40" name="Check Box 42">
              <controlPr locked="0" defaultSize="0" autoFill="0" autoLine="0" autoPict="0">
                <anchor moveWithCells="1">
                  <from>
                    <xdr:col>4</xdr:col>
                    <xdr:colOff>9525</xdr:colOff>
                    <xdr:row>329</xdr:row>
                    <xdr:rowOff>171450</xdr:rowOff>
                  </from>
                  <to>
                    <xdr:col>5</xdr:col>
                    <xdr:colOff>85725</xdr:colOff>
                    <xdr:row>331</xdr:row>
                    <xdr:rowOff>9525</xdr:rowOff>
                  </to>
                </anchor>
              </controlPr>
            </control>
          </mc:Choice>
        </mc:AlternateContent>
        <mc:AlternateContent xmlns:mc="http://schemas.openxmlformats.org/markup-compatibility/2006">
          <mc:Choice Requires="x14">
            <control shapeId="46123" r:id="rId41" name="Check Box 43">
              <controlPr locked="0" defaultSize="0" autoFill="0" autoLine="0" autoPict="0">
                <anchor moveWithCells="1">
                  <from>
                    <xdr:col>4</xdr:col>
                    <xdr:colOff>9525</xdr:colOff>
                    <xdr:row>330</xdr:row>
                    <xdr:rowOff>180975</xdr:rowOff>
                  </from>
                  <to>
                    <xdr:col>5</xdr:col>
                    <xdr:colOff>85725</xdr:colOff>
                    <xdr:row>332</xdr:row>
                    <xdr:rowOff>19050</xdr:rowOff>
                  </to>
                </anchor>
              </controlPr>
            </control>
          </mc:Choice>
        </mc:AlternateContent>
        <mc:AlternateContent xmlns:mc="http://schemas.openxmlformats.org/markup-compatibility/2006">
          <mc:Choice Requires="x14">
            <control shapeId="46124" r:id="rId42" name="Check Box 44">
              <controlPr locked="0" defaultSize="0" autoFill="0" autoLine="0" autoPict="0">
                <anchor moveWithCells="1">
                  <from>
                    <xdr:col>4</xdr:col>
                    <xdr:colOff>9525</xdr:colOff>
                    <xdr:row>331</xdr:row>
                    <xdr:rowOff>161925</xdr:rowOff>
                  </from>
                  <to>
                    <xdr:col>5</xdr:col>
                    <xdr:colOff>85725</xdr:colOff>
                    <xdr:row>333</xdr:row>
                    <xdr:rowOff>0</xdr:rowOff>
                  </to>
                </anchor>
              </controlPr>
            </control>
          </mc:Choice>
        </mc:AlternateContent>
        <mc:AlternateContent xmlns:mc="http://schemas.openxmlformats.org/markup-compatibility/2006">
          <mc:Choice Requires="x14">
            <control shapeId="46125" r:id="rId43" name="Check Box 45">
              <controlPr locked="0" defaultSize="0" autoFill="0" autoLine="0" autoPict="0">
                <anchor moveWithCells="1">
                  <from>
                    <xdr:col>4</xdr:col>
                    <xdr:colOff>9525</xdr:colOff>
                    <xdr:row>333</xdr:row>
                    <xdr:rowOff>219075</xdr:rowOff>
                  </from>
                  <to>
                    <xdr:col>5</xdr:col>
                    <xdr:colOff>85725</xdr:colOff>
                    <xdr:row>335</xdr:row>
                    <xdr:rowOff>19050</xdr:rowOff>
                  </to>
                </anchor>
              </controlPr>
            </control>
          </mc:Choice>
        </mc:AlternateContent>
        <mc:AlternateContent xmlns:mc="http://schemas.openxmlformats.org/markup-compatibility/2006">
          <mc:Choice Requires="x14">
            <control shapeId="46126" r:id="rId44" name="Check Box 46">
              <controlPr locked="0" defaultSize="0" autoFill="0" autoLine="0" autoPict="0">
                <anchor moveWithCells="1">
                  <from>
                    <xdr:col>4</xdr:col>
                    <xdr:colOff>9525</xdr:colOff>
                    <xdr:row>295</xdr:row>
                    <xdr:rowOff>171450</xdr:rowOff>
                  </from>
                  <to>
                    <xdr:col>5</xdr:col>
                    <xdr:colOff>85725</xdr:colOff>
                    <xdr:row>297</xdr:row>
                    <xdr:rowOff>9525</xdr:rowOff>
                  </to>
                </anchor>
              </controlPr>
            </control>
          </mc:Choice>
        </mc:AlternateContent>
        <mc:AlternateContent xmlns:mc="http://schemas.openxmlformats.org/markup-compatibility/2006">
          <mc:Choice Requires="x14">
            <control shapeId="46127" r:id="rId45" name="Check Box 47">
              <controlPr locked="0" defaultSize="0" autoFill="0" autoLine="0" autoPict="0">
                <anchor moveWithCells="1">
                  <from>
                    <xdr:col>4</xdr:col>
                    <xdr:colOff>9525</xdr:colOff>
                    <xdr:row>305</xdr:row>
                    <xdr:rowOff>171450</xdr:rowOff>
                  </from>
                  <to>
                    <xdr:col>5</xdr:col>
                    <xdr:colOff>85725</xdr:colOff>
                    <xdr:row>306</xdr:row>
                    <xdr:rowOff>266700</xdr:rowOff>
                  </to>
                </anchor>
              </controlPr>
            </control>
          </mc:Choice>
        </mc:AlternateContent>
        <mc:AlternateContent xmlns:mc="http://schemas.openxmlformats.org/markup-compatibility/2006">
          <mc:Choice Requires="x14">
            <control shapeId="46128" r:id="rId46" name="Check Box 48">
              <controlPr locked="0" defaultSize="0" autoFill="0" autoLine="0" autoPict="0">
                <anchor moveWithCells="1">
                  <from>
                    <xdr:col>4</xdr:col>
                    <xdr:colOff>9525</xdr:colOff>
                    <xdr:row>297</xdr:row>
                    <xdr:rowOff>180975</xdr:rowOff>
                  </from>
                  <to>
                    <xdr:col>5</xdr:col>
                    <xdr:colOff>85725</xdr:colOff>
                    <xdr:row>299</xdr:row>
                    <xdr:rowOff>0</xdr:rowOff>
                  </to>
                </anchor>
              </controlPr>
            </control>
          </mc:Choice>
        </mc:AlternateContent>
        <mc:AlternateContent xmlns:mc="http://schemas.openxmlformats.org/markup-compatibility/2006">
          <mc:Choice Requires="x14">
            <control shapeId="46129" r:id="rId47" name="Check Box 49">
              <controlPr locked="0" defaultSize="0" autoFill="0" autoLine="0" autoPict="0">
                <anchor moveWithCells="1">
                  <from>
                    <xdr:col>4</xdr:col>
                    <xdr:colOff>9525</xdr:colOff>
                    <xdr:row>327</xdr:row>
                    <xdr:rowOff>0</xdr:rowOff>
                  </from>
                  <to>
                    <xdr:col>5</xdr:col>
                    <xdr:colOff>85725</xdr:colOff>
                    <xdr:row>327</xdr:row>
                    <xdr:rowOff>219075</xdr:rowOff>
                  </to>
                </anchor>
              </controlPr>
            </control>
          </mc:Choice>
        </mc:AlternateContent>
        <mc:AlternateContent xmlns:mc="http://schemas.openxmlformats.org/markup-compatibility/2006">
          <mc:Choice Requires="x14">
            <control shapeId="46152" r:id="rId48" name="Check Box 72">
              <controlPr defaultSize="0" autoFill="0" autoLine="0" autoPict="0">
                <anchor moveWithCells="1">
                  <from>
                    <xdr:col>2</xdr:col>
                    <xdr:colOff>190500</xdr:colOff>
                    <xdr:row>67</xdr:row>
                    <xdr:rowOff>9525</xdr:rowOff>
                  </from>
                  <to>
                    <xdr:col>3</xdr:col>
                    <xdr:colOff>276225</xdr:colOff>
                    <xdr:row>68</xdr:row>
                    <xdr:rowOff>0</xdr:rowOff>
                  </to>
                </anchor>
              </controlPr>
            </control>
          </mc:Choice>
        </mc:AlternateContent>
        <mc:AlternateContent xmlns:mc="http://schemas.openxmlformats.org/markup-compatibility/2006">
          <mc:Choice Requires="x14">
            <control shapeId="46153" r:id="rId49" name="Check Box 73">
              <controlPr defaultSize="0" autoFill="0" autoLine="0" autoPict="0">
                <anchor moveWithCells="1">
                  <from>
                    <xdr:col>2</xdr:col>
                    <xdr:colOff>190500</xdr:colOff>
                    <xdr:row>68</xdr:row>
                    <xdr:rowOff>19050</xdr:rowOff>
                  </from>
                  <to>
                    <xdr:col>3</xdr:col>
                    <xdr:colOff>276225</xdr:colOff>
                    <xdr:row>69</xdr:row>
                    <xdr:rowOff>9525</xdr:rowOff>
                  </to>
                </anchor>
              </controlPr>
            </control>
          </mc:Choice>
        </mc:AlternateContent>
        <mc:AlternateContent xmlns:mc="http://schemas.openxmlformats.org/markup-compatibility/2006">
          <mc:Choice Requires="x14">
            <control shapeId="46154" r:id="rId50" name="Check Box 74">
              <controlPr locked="0" defaultSize="0" autoFill="0" autoLine="0" autoPict="0">
                <anchor moveWithCells="1">
                  <from>
                    <xdr:col>2</xdr:col>
                    <xdr:colOff>190500</xdr:colOff>
                    <xdr:row>69</xdr:row>
                    <xdr:rowOff>9525</xdr:rowOff>
                  </from>
                  <to>
                    <xdr:col>3</xdr:col>
                    <xdr:colOff>276225</xdr:colOff>
                    <xdr:row>70</xdr:row>
                    <xdr:rowOff>0</xdr:rowOff>
                  </to>
                </anchor>
              </controlPr>
            </control>
          </mc:Choice>
        </mc:AlternateContent>
        <mc:AlternateContent xmlns:mc="http://schemas.openxmlformats.org/markup-compatibility/2006">
          <mc:Choice Requires="x14">
            <control shapeId="46155" r:id="rId51" name="Check Box 75">
              <controlPr defaultSize="0" autoFill="0" autoLine="0" autoPict="0">
                <anchor moveWithCells="1">
                  <from>
                    <xdr:col>2</xdr:col>
                    <xdr:colOff>190500</xdr:colOff>
                    <xdr:row>107</xdr:row>
                    <xdr:rowOff>9525</xdr:rowOff>
                  </from>
                  <to>
                    <xdr:col>3</xdr:col>
                    <xdr:colOff>276225</xdr:colOff>
                    <xdr:row>108</xdr:row>
                    <xdr:rowOff>0</xdr:rowOff>
                  </to>
                </anchor>
              </controlPr>
            </control>
          </mc:Choice>
        </mc:AlternateContent>
        <mc:AlternateContent xmlns:mc="http://schemas.openxmlformats.org/markup-compatibility/2006">
          <mc:Choice Requires="x14">
            <control shapeId="46156" r:id="rId52" name="Check Box 76">
              <controlPr defaultSize="0" autoFill="0" autoLine="0" autoPict="0">
                <anchor moveWithCells="1">
                  <from>
                    <xdr:col>2</xdr:col>
                    <xdr:colOff>190500</xdr:colOff>
                    <xdr:row>108</xdr:row>
                    <xdr:rowOff>19050</xdr:rowOff>
                  </from>
                  <to>
                    <xdr:col>3</xdr:col>
                    <xdr:colOff>276225</xdr:colOff>
                    <xdr:row>109</xdr:row>
                    <xdr:rowOff>9525</xdr:rowOff>
                  </to>
                </anchor>
              </controlPr>
            </control>
          </mc:Choice>
        </mc:AlternateContent>
        <mc:AlternateContent xmlns:mc="http://schemas.openxmlformats.org/markup-compatibility/2006">
          <mc:Choice Requires="x14">
            <control shapeId="46157" r:id="rId53" name="Check Box 77">
              <controlPr locked="0" defaultSize="0" autoFill="0" autoLine="0" autoPict="0">
                <anchor moveWithCells="1">
                  <from>
                    <xdr:col>2</xdr:col>
                    <xdr:colOff>190500</xdr:colOff>
                    <xdr:row>109</xdr:row>
                    <xdr:rowOff>9525</xdr:rowOff>
                  </from>
                  <to>
                    <xdr:col>3</xdr:col>
                    <xdr:colOff>276225</xdr:colOff>
                    <xdr:row>110</xdr:row>
                    <xdr:rowOff>0</xdr:rowOff>
                  </to>
                </anchor>
              </controlPr>
            </control>
          </mc:Choice>
        </mc:AlternateContent>
        <mc:AlternateContent xmlns:mc="http://schemas.openxmlformats.org/markup-compatibility/2006">
          <mc:Choice Requires="x14">
            <control shapeId="46158" r:id="rId54" name="Check Box 78">
              <controlPr defaultSize="0" autoFill="0" autoLine="0" autoPict="0">
                <anchor moveWithCells="1">
                  <from>
                    <xdr:col>2</xdr:col>
                    <xdr:colOff>190500</xdr:colOff>
                    <xdr:row>147</xdr:row>
                    <xdr:rowOff>9525</xdr:rowOff>
                  </from>
                  <to>
                    <xdr:col>3</xdr:col>
                    <xdr:colOff>276225</xdr:colOff>
                    <xdr:row>148</xdr:row>
                    <xdr:rowOff>0</xdr:rowOff>
                  </to>
                </anchor>
              </controlPr>
            </control>
          </mc:Choice>
        </mc:AlternateContent>
        <mc:AlternateContent xmlns:mc="http://schemas.openxmlformats.org/markup-compatibility/2006">
          <mc:Choice Requires="x14">
            <control shapeId="46159" r:id="rId55" name="Check Box 79">
              <controlPr defaultSize="0" autoFill="0" autoLine="0" autoPict="0">
                <anchor moveWithCells="1">
                  <from>
                    <xdr:col>2</xdr:col>
                    <xdr:colOff>190500</xdr:colOff>
                    <xdr:row>148</xdr:row>
                    <xdr:rowOff>19050</xdr:rowOff>
                  </from>
                  <to>
                    <xdr:col>3</xdr:col>
                    <xdr:colOff>276225</xdr:colOff>
                    <xdr:row>149</xdr:row>
                    <xdr:rowOff>9525</xdr:rowOff>
                  </to>
                </anchor>
              </controlPr>
            </control>
          </mc:Choice>
        </mc:AlternateContent>
        <mc:AlternateContent xmlns:mc="http://schemas.openxmlformats.org/markup-compatibility/2006">
          <mc:Choice Requires="x14">
            <control shapeId="46160" r:id="rId56" name="Check Box 80">
              <controlPr locked="0" defaultSize="0" autoFill="0" autoLine="0" autoPict="0">
                <anchor moveWithCells="1">
                  <from>
                    <xdr:col>2</xdr:col>
                    <xdr:colOff>190500</xdr:colOff>
                    <xdr:row>149</xdr:row>
                    <xdr:rowOff>9525</xdr:rowOff>
                  </from>
                  <to>
                    <xdr:col>3</xdr:col>
                    <xdr:colOff>276225</xdr:colOff>
                    <xdr:row>150</xdr:row>
                    <xdr:rowOff>0</xdr:rowOff>
                  </to>
                </anchor>
              </controlPr>
            </control>
          </mc:Choice>
        </mc:AlternateContent>
        <mc:AlternateContent xmlns:mc="http://schemas.openxmlformats.org/markup-compatibility/2006">
          <mc:Choice Requires="x14">
            <control shapeId="46161" r:id="rId57" name="Check Box 81">
              <controlPr defaultSize="0" autoFill="0" autoLine="0" autoPict="0">
                <anchor moveWithCells="1">
                  <from>
                    <xdr:col>2</xdr:col>
                    <xdr:colOff>190500</xdr:colOff>
                    <xdr:row>187</xdr:row>
                    <xdr:rowOff>9525</xdr:rowOff>
                  </from>
                  <to>
                    <xdr:col>3</xdr:col>
                    <xdr:colOff>276225</xdr:colOff>
                    <xdr:row>188</xdr:row>
                    <xdr:rowOff>0</xdr:rowOff>
                  </to>
                </anchor>
              </controlPr>
            </control>
          </mc:Choice>
        </mc:AlternateContent>
        <mc:AlternateContent xmlns:mc="http://schemas.openxmlformats.org/markup-compatibility/2006">
          <mc:Choice Requires="x14">
            <control shapeId="46162" r:id="rId58" name="Check Box 82">
              <controlPr defaultSize="0" autoFill="0" autoLine="0" autoPict="0">
                <anchor moveWithCells="1">
                  <from>
                    <xdr:col>2</xdr:col>
                    <xdr:colOff>190500</xdr:colOff>
                    <xdr:row>188</xdr:row>
                    <xdr:rowOff>19050</xdr:rowOff>
                  </from>
                  <to>
                    <xdr:col>3</xdr:col>
                    <xdr:colOff>276225</xdr:colOff>
                    <xdr:row>189</xdr:row>
                    <xdr:rowOff>9525</xdr:rowOff>
                  </to>
                </anchor>
              </controlPr>
            </control>
          </mc:Choice>
        </mc:AlternateContent>
        <mc:AlternateContent xmlns:mc="http://schemas.openxmlformats.org/markup-compatibility/2006">
          <mc:Choice Requires="x14">
            <control shapeId="46163" r:id="rId59" name="Check Box 83">
              <controlPr locked="0" defaultSize="0" autoFill="0" autoLine="0" autoPict="0">
                <anchor moveWithCells="1">
                  <from>
                    <xdr:col>2</xdr:col>
                    <xdr:colOff>190500</xdr:colOff>
                    <xdr:row>189</xdr:row>
                    <xdr:rowOff>9525</xdr:rowOff>
                  </from>
                  <to>
                    <xdr:col>3</xdr:col>
                    <xdr:colOff>276225</xdr:colOff>
                    <xdr:row>190</xdr:row>
                    <xdr:rowOff>0</xdr:rowOff>
                  </to>
                </anchor>
              </controlPr>
            </control>
          </mc:Choice>
        </mc:AlternateContent>
        <mc:AlternateContent xmlns:mc="http://schemas.openxmlformats.org/markup-compatibility/2006">
          <mc:Choice Requires="x14">
            <control shapeId="46164" r:id="rId60" name="Check Box 84">
              <controlPr defaultSize="0" autoFill="0" autoLine="0" autoPict="0">
                <anchor moveWithCells="1">
                  <from>
                    <xdr:col>2</xdr:col>
                    <xdr:colOff>190500</xdr:colOff>
                    <xdr:row>29</xdr:row>
                    <xdr:rowOff>19050</xdr:rowOff>
                  </from>
                  <to>
                    <xdr:col>3</xdr:col>
                    <xdr:colOff>276225</xdr:colOff>
                    <xdr:row>30</xdr:row>
                    <xdr:rowOff>9525</xdr:rowOff>
                  </to>
                </anchor>
              </controlPr>
            </control>
          </mc:Choice>
        </mc:AlternateContent>
        <mc:AlternateContent xmlns:mc="http://schemas.openxmlformats.org/markup-compatibility/2006">
          <mc:Choice Requires="x14">
            <control shapeId="46165" r:id="rId61" name="Check Box 85">
              <controlPr locked="0" defaultSize="0" autoFill="0" autoLine="0" autoPict="0">
                <anchor moveWithCells="1">
                  <from>
                    <xdr:col>2</xdr:col>
                    <xdr:colOff>190500</xdr:colOff>
                    <xdr:row>30</xdr:row>
                    <xdr:rowOff>9525</xdr:rowOff>
                  </from>
                  <to>
                    <xdr:col>3</xdr:col>
                    <xdr:colOff>276225</xdr:colOff>
                    <xdr:row>31</xdr:row>
                    <xdr:rowOff>0</xdr:rowOff>
                  </to>
                </anchor>
              </controlPr>
            </control>
          </mc:Choice>
        </mc:AlternateContent>
        <mc:AlternateContent xmlns:mc="http://schemas.openxmlformats.org/markup-compatibility/2006">
          <mc:Choice Requires="x14">
            <control shapeId="46166" r:id="rId62" name="Check Box 86">
              <controlPr defaultSize="0" autoFill="0" autoLine="0" autoPict="0">
                <anchor moveWithCells="1">
                  <from>
                    <xdr:col>2</xdr:col>
                    <xdr:colOff>190500</xdr:colOff>
                    <xdr:row>29</xdr:row>
                    <xdr:rowOff>19050</xdr:rowOff>
                  </from>
                  <to>
                    <xdr:col>3</xdr:col>
                    <xdr:colOff>276225</xdr:colOff>
                    <xdr:row>30</xdr:row>
                    <xdr:rowOff>9525</xdr:rowOff>
                  </to>
                </anchor>
              </controlPr>
            </control>
          </mc:Choice>
        </mc:AlternateContent>
        <mc:AlternateContent xmlns:mc="http://schemas.openxmlformats.org/markup-compatibility/2006">
          <mc:Choice Requires="x14">
            <control shapeId="46167" r:id="rId63" name="Check Box 87">
              <controlPr locked="0" defaultSize="0" autoFill="0" autoLine="0" autoPict="0">
                <anchor moveWithCells="1">
                  <from>
                    <xdr:col>2</xdr:col>
                    <xdr:colOff>190500</xdr:colOff>
                    <xdr:row>30</xdr:row>
                    <xdr:rowOff>9525</xdr:rowOff>
                  </from>
                  <to>
                    <xdr:col>3</xdr:col>
                    <xdr:colOff>276225</xdr:colOff>
                    <xdr:row>31</xdr:row>
                    <xdr:rowOff>0</xdr:rowOff>
                  </to>
                </anchor>
              </controlPr>
            </control>
          </mc:Choice>
        </mc:AlternateContent>
        <mc:AlternateContent xmlns:mc="http://schemas.openxmlformats.org/markup-compatibility/2006">
          <mc:Choice Requires="x14">
            <control shapeId="46168" r:id="rId64" name="Check Box 88">
              <controlPr defaultSize="0" autoFill="0" autoLine="0" autoPict="0">
                <anchor moveWithCells="1">
                  <from>
                    <xdr:col>5</xdr:col>
                    <xdr:colOff>238125</xdr:colOff>
                    <xdr:row>207</xdr:row>
                    <xdr:rowOff>28575</xdr:rowOff>
                  </from>
                  <to>
                    <xdr:col>8</xdr:col>
                    <xdr:colOff>114300</xdr:colOff>
                    <xdr:row>208</xdr:row>
                    <xdr:rowOff>19050</xdr:rowOff>
                  </to>
                </anchor>
              </controlPr>
            </control>
          </mc:Choice>
        </mc:AlternateContent>
        <mc:AlternateContent xmlns:mc="http://schemas.openxmlformats.org/markup-compatibility/2006">
          <mc:Choice Requires="x14">
            <control shapeId="46169" r:id="rId65" name="Check Box 89">
              <controlPr defaultSize="0" autoFill="0" autoLine="0" autoPict="0">
                <anchor moveWithCells="1">
                  <from>
                    <xdr:col>5</xdr:col>
                    <xdr:colOff>238125</xdr:colOff>
                    <xdr:row>208</xdr:row>
                    <xdr:rowOff>28575</xdr:rowOff>
                  </from>
                  <to>
                    <xdr:col>8</xdr:col>
                    <xdr:colOff>114300</xdr:colOff>
                    <xdr:row>209</xdr:row>
                    <xdr:rowOff>19050</xdr:rowOff>
                  </to>
                </anchor>
              </controlPr>
            </control>
          </mc:Choice>
        </mc:AlternateContent>
        <mc:AlternateContent xmlns:mc="http://schemas.openxmlformats.org/markup-compatibility/2006">
          <mc:Choice Requires="x14">
            <control shapeId="46170" r:id="rId66" name="Check Box 90">
              <controlPr defaultSize="0" autoFill="0" autoLine="0" autoPict="0">
                <anchor moveWithCells="1">
                  <from>
                    <xdr:col>5</xdr:col>
                    <xdr:colOff>238125</xdr:colOff>
                    <xdr:row>209</xdr:row>
                    <xdr:rowOff>28575</xdr:rowOff>
                  </from>
                  <to>
                    <xdr:col>8</xdr:col>
                    <xdr:colOff>114300</xdr:colOff>
                    <xdr:row>210</xdr:row>
                    <xdr:rowOff>19050</xdr:rowOff>
                  </to>
                </anchor>
              </controlPr>
            </control>
          </mc:Choice>
        </mc:AlternateContent>
        <mc:AlternateContent xmlns:mc="http://schemas.openxmlformats.org/markup-compatibility/2006">
          <mc:Choice Requires="x14">
            <control shapeId="46171" r:id="rId67" name="Check Box 91">
              <controlPr defaultSize="0" autoFill="0" autoLine="0" autoPict="0">
                <anchor moveWithCells="1">
                  <from>
                    <xdr:col>5</xdr:col>
                    <xdr:colOff>238125</xdr:colOff>
                    <xdr:row>210</xdr:row>
                    <xdr:rowOff>28575</xdr:rowOff>
                  </from>
                  <to>
                    <xdr:col>8</xdr:col>
                    <xdr:colOff>114300</xdr:colOff>
                    <xdr:row>211</xdr:row>
                    <xdr:rowOff>19050</xdr:rowOff>
                  </to>
                </anchor>
              </controlPr>
            </control>
          </mc:Choice>
        </mc:AlternateContent>
        <mc:AlternateContent xmlns:mc="http://schemas.openxmlformats.org/markup-compatibility/2006">
          <mc:Choice Requires="x14">
            <control shapeId="46172" r:id="rId68" name="Check Box 92">
              <controlPr defaultSize="0" autoFill="0" autoLine="0" autoPict="0">
                <anchor moveWithCells="1">
                  <from>
                    <xdr:col>5</xdr:col>
                    <xdr:colOff>238125</xdr:colOff>
                    <xdr:row>211</xdr:row>
                    <xdr:rowOff>28575</xdr:rowOff>
                  </from>
                  <to>
                    <xdr:col>8</xdr:col>
                    <xdr:colOff>114300</xdr:colOff>
                    <xdr:row>212</xdr:row>
                    <xdr:rowOff>19050</xdr:rowOff>
                  </to>
                </anchor>
              </controlPr>
            </control>
          </mc:Choice>
        </mc:AlternateContent>
        <mc:AlternateContent xmlns:mc="http://schemas.openxmlformats.org/markup-compatibility/2006">
          <mc:Choice Requires="x14">
            <control shapeId="46173" r:id="rId69" name="Check Box 93">
              <controlPr defaultSize="0" autoFill="0" autoLine="0" autoPict="0">
                <anchor moveWithCells="1">
                  <from>
                    <xdr:col>5</xdr:col>
                    <xdr:colOff>238125</xdr:colOff>
                    <xdr:row>214</xdr:row>
                    <xdr:rowOff>38100</xdr:rowOff>
                  </from>
                  <to>
                    <xdr:col>7</xdr:col>
                    <xdr:colOff>19050</xdr:colOff>
                    <xdr:row>215</xdr:row>
                    <xdr:rowOff>28575</xdr:rowOff>
                  </to>
                </anchor>
              </controlPr>
            </control>
          </mc:Choice>
        </mc:AlternateContent>
        <mc:AlternateContent xmlns:mc="http://schemas.openxmlformats.org/markup-compatibility/2006">
          <mc:Choice Requires="x14">
            <control shapeId="46174" r:id="rId70" name="Check Box 94">
              <controlPr defaultSize="0" autoFill="0" autoLine="0" autoPict="0">
                <anchor moveWithCells="1">
                  <from>
                    <xdr:col>5</xdr:col>
                    <xdr:colOff>238125</xdr:colOff>
                    <xdr:row>215</xdr:row>
                    <xdr:rowOff>38100</xdr:rowOff>
                  </from>
                  <to>
                    <xdr:col>7</xdr:col>
                    <xdr:colOff>19050</xdr:colOff>
                    <xdr:row>216</xdr:row>
                    <xdr:rowOff>28575</xdr:rowOff>
                  </to>
                </anchor>
              </controlPr>
            </control>
          </mc:Choice>
        </mc:AlternateContent>
        <mc:AlternateContent xmlns:mc="http://schemas.openxmlformats.org/markup-compatibility/2006">
          <mc:Choice Requires="x14">
            <control shapeId="46175" r:id="rId71" name="Check Box 95">
              <controlPr defaultSize="0" autoFill="0" autoLine="0" autoPict="0">
                <anchor moveWithCells="1">
                  <from>
                    <xdr:col>5</xdr:col>
                    <xdr:colOff>238125</xdr:colOff>
                    <xdr:row>216</xdr:row>
                    <xdr:rowOff>38100</xdr:rowOff>
                  </from>
                  <to>
                    <xdr:col>7</xdr:col>
                    <xdr:colOff>19050</xdr:colOff>
                    <xdr:row>217</xdr:row>
                    <xdr:rowOff>28575</xdr:rowOff>
                  </to>
                </anchor>
              </controlPr>
            </control>
          </mc:Choice>
        </mc:AlternateContent>
        <mc:AlternateContent xmlns:mc="http://schemas.openxmlformats.org/markup-compatibility/2006">
          <mc:Choice Requires="x14">
            <control shapeId="46176" r:id="rId72" name="Check Box 96">
              <controlPr defaultSize="0" autoFill="0" autoLine="0" autoPict="0">
                <anchor moveWithCells="1">
                  <from>
                    <xdr:col>5</xdr:col>
                    <xdr:colOff>238125</xdr:colOff>
                    <xdr:row>217</xdr:row>
                    <xdr:rowOff>28575</xdr:rowOff>
                  </from>
                  <to>
                    <xdr:col>7</xdr:col>
                    <xdr:colOff>19050</xdr:colOff>
                    <xdr:row>218</xdr:row>
                    <xdr:rowOff>19050</xdr:rowOff>
                  </to>
                </anchor>
              </controlPr>
            </control>
          </mc:Choice>
        </mc:AlternateContent>
        <mc:AlternateContent xmlns:mc="http://schemas.openxmlformats.org/markup-compatibility/2006">
          <mc:Choice Requires="x14">
            <control shapeId="46177" r:id="rId73" name="Check Box 97">
              <controlPr defaultSize="0" autoFill="0" autoLine="0" autoPict="0">
                <anchor moveWithCells="1">
                  <from>
                    <xdr:col>5</xdr:col>
                    <xdr:colOff>238125</xdr:colOff>
                    <xdr:row>218</xdr:row>
                    <xdr:rowOff>19050</xdr:rowOff>
                  </from>
                  <to>
                    <xdr:col>7</xdr:col>
                    <xdr:colOff>19050</xdr:colOff>
                    <xdr:row>219</xdr:row>
                    <xdr:rowOff>9525</xdr:rowOff>
                  </to>
                </anchor>
              </controlPr>
            </control>
          </mc:Choice>
        </mc:AlternateContent>
        <mc:AlternateContent xmlns:mc="http://schemas.openxmlformats.org/markup-compatibility/2006">
          <mc:Choice Requires="x14">
            <control shapeId="46183" r:id="rId74" name="Check Box 103">
              <controlPr defaultSize="0" autoFill="0" autoLine="0" autoPict="0">
                <anchor moveWithCells="1">
                  <from>
                    <xdr:col>1</xdr:col>
                    <xdr:colOff>85725</xdr:colOff>
                    <xdr:row>246</xdr:row>
                    <xdr:rowOff>19050</xdr:rowOff>
                  </from>
                  <to>
                    <xdr:col>1</xdr:col>
                    <xdr:colOff>390525</xdr:colOff>
                    <xdr:row>247</xdr:row>
                    <xdr:rowOff>9525</xdr:rowOff>
                  </to>
                </anchor>
              </controlPr>
            </control>
          </mc:Choice>
        </mc:AlternateContent>
        <mc:AlternateContent xmlns:mc="http://schemas.openxmlformats.org/markup-compatibility/2006">
          <mc:Choice Requires="x14">
            <control shapeId="46184" r:id="rId75" name="Check Box 104">
              <controlPr defaultSize="0" autoFill="0" autoLine="0" autoPict="0">
                <anchor moveWithCells="1">
                  <from>
                    <xdr:col>5</xdr:col>
                    <xdr:colOff>142875</xdr:colOff>
                    <xdr:row>248</xdr:row>
                    <xdr:rowOff>19050</xdr:rowOff>
                  </from>
                  <to>
                    <xdr:col>6</xdr:col>
                    <xdr:colOff>190500</xdr:colOff>
                    <xdr:row>249</xdr:row>
                    <xdr:rowOff>9525</xdr:rowOff>
                  </to>
                </anchor>
              </controlPr>
            </control>
          </mc:Choice>
        </mc:AlternateContent>
        <mc:AlternateContent xmlns:mc="http://schemas.openxmlformats.org/markup-compatibility/2006">
          <mc:Choice Requires="x14">
            <control shapeId="46189" r:id="rId76" name="Check Box 109">
              <controlPr defaultSize="0" autoFill="0" autoLine="0" autoPict="0">
                <anchor moveWithCells="1">
                  <from>
                    <xdr:col>4</xdr:col>
                    <xdr:colOff>142875</xdr:colOff>
                    <xdr:row>255</xdr:row>
                    <xdr:rowOff>28575</xdr:rowOff>
                  </from>
                  <to>
                    <xdr:col>5</xdr:col>
                    <xdr:colOff>219075</xdr:colOff>
                    <xdr:row>256</xdr:row>
                    <xdr:rowOff>19050</xdr:rowOff>
                  </to>
                </anchor>
              </controlPr>
            </control>
          </mc:Choice>
        </mc:AlternateContent>
        <mc:AlternateContent xmlns:mc="http://schemas.openxmlformats.org/markup-compatibility/2006">
          <mc:Choice Requires="x14">
            <control shapeId="46190" r:id="rId77" name="Check Box 110">
              <controlPr defaultSize="0" autoFill="0" autoLine="0" autoPict="0">
                <anchor moveWithCells="1">
                  <from>
                    <xdr:col>4</xdr:col>
                    <xdr:colOff>142875</xdr:colOff>
                    <xdr:row>256</xdr:row>
                    <xdr:rowOff>38100</xdr:rowOff>
                  </from>
                  <to>
                    <xdr:col>5</xdr:col>
                    <xdr:colOff>219075</xdr:colOff>
                    <xdr:row>257</xdr:row>
                    <xdr:rowOff>28575</xdr:rowOff>
                  </to>
                </anchor>
              </controlPr>
            </control>
          </mc:Choice>
        </mc:AlternateContent>
        <mc:AlternateContent xmlns:mc="http://schemas.openxmlformats.org/markup-compatibility/2006">
          <mc:Choice Requires="x14">
            <control shapeId="46191" r:id="rId78" name="Check Box 111">
              <controlPr defaultSize="0" autoFill="0" autoLine="0" autoPict="0">
                <anchor moveWithCells="1">
                  <from>
                    <xdr:col>4</xdr:col>
                    <xdr:colOff>142875</xdr:colOff>
                    <xdr:row>257</xdr:row>
                    <xdr:rowOff>38100</xdr:rowOff>
                  </from>
                  <to>
                    <xdr:col>5</xdr:col>
                    <xdr:colOff>219075</xdr:colOff>
                    <xdr:row>258</xdr:row>
                    <xdr:rowOff>28575</xdr:rowOff>
                  </to>
                </anchor>
              </controlPr>
            </control>
          </mc:Choice>
        </mc:AlternateContent>
        <mc:AlternateContent xmlns:mc="http://schemas.openxmlformats.org/markup-compatibility/2006">
          <mc:Choice Requires="x14">
            <control shapeId="46192" r:id="rId79" name="Check Box 112">
              <controlPr defaultSize="0" autoFill="0" autoLine="0" autoPict="0">
                <anchor moveWithCells="1">
                  <from>
                    <xdr:col>4</xdr:col>
                    <xdr:colOff>142875</xdr:colOff>
                    <xdr:row>258</xdr:row>
                    <xdr:rowOff>38100</xdr:rowOff>
                  </from>
                  <to>
                    <xdr:col>5</xdr:col>
                    <xdr:colOff>219075</xdr:colOff>
                    <xdr:row>259</xdr:row>
                    <xdr:rowOff>28575</xdr:rowOff>
                  </to>
                </anchor>
              </controlPr>
            </control>
          </mc:Choice>
        </mc:AlternateContent>
        <mc:AlternateContent xmlns:mc="http://schemas.openxmlformats.org/markup-compatibility/2006">
          <mc:Choice Requires="x14">
            <control shapeId="46193" r:id="rId80" name="Check Box 113">
              <controlPr defaultSize="0" autoFill="0" autoLine="0" autoPict="0">
                <anchor moveWithCells="1">
                  <from>
                    <xdr:col>4</xdr:col>
                    <xdr:colOff>142875</xdr:colOff>
                    <xdr:row>259</xdr:row>
                    <xdr:rowOff>38100</xdr:rowOff>
                  </from>
                  <to>
                    <xdr:col>5</xdr:col>
                    <xdr:colOff>219075</xdr:colOff>
                    <xdr:row>260</xdr:row>
                    <xdr:rowOff>28575</xdr:rowOff>
                  </to>
                </anchor>
              </controlPr>
            </control>
          </mc:Choice>
        </mc:AlternateContent>
        <mc:AlternateContent xmlns:mc="http://schemas.openxmlformats.org/markup-compatibility/2006">
          <mc:Choice Requires="x14">
            <control shapeId="46194" r:id="rId81" name="Check Box 114">
              <controlPr defaultSize="0" autoFill="0" autoLine="0" autoPict="0">
                <anchor moveWithCells="1">
                  <from>
                    <xdr:col>4</xdr:col>
                    <xdr:colOff>142875</xdr:colOff>
                    <xdr:row>260</xdr:row>
                    <xdr:rowOff>38100</xdr:rowOff>
                  </from>
                  <to>
                    <xdr:col>5</xdr:col>
                    <xdr:colOff>219075</xdr:colOff>
                    <xdr:row>261</xdr:row>
                    <xdr:rowOff>28575</xdr:rowOff>
                  </to>
                </anchor>
              </controlPr>
            </control>
          </mc:Choice>
        </mc:AlternateContent>
        <mc:AlternateContent xmlns:mc="http://schemas.openxmlformats.org/markup-compatibility/2006">
          <mc:Choice Requires="x14">
            <control shapeId="46195" r:id="rId82" name="Check Box 115">
              <controlPr defaultSize="0" autoFill="0" autoLine="0" autoPict="0">
                <anchor moveWithCells="1">
                  <from>
                    <xdr:col>4</xdr:col>
                    <xdr:colOff>142875</xdr:colOff>
                    <xdr:row>261</xdr:row>
                    <xdr:rowOff>19050</xdr:rowOff>
                  </from>
                  <to>
                    <xdr:col>5</xdr:col>
                    <xdr:colOff>219075</xdr:colOff>
                    <xdr:row>262</xdr:row>
                    <xdr:rowOff>9525</xdr:rowOff>
                  </to>
                </anchor>
              </controlPr>
            </control>
          </mc:Choice>
        </mc:AlternateContent>
        <mc:AlternateContent xmlns:mc="http://schemas.openxmlformats.org/markup-compatibility/2006">
          <mc:Choice Requires="x14">
            <control shapeId="46210" r:id="rId83" name="Option Button 130">
              <controlPr defaultSize="0" autoFill="0" autoLine="0" autoPict="0">
                <anchor moveWithCells="1" sizeWithCells="1">
                  <from>
                    <xdr:col>2</xdr:col>
                    <xdr:colOff>142875</xdr:colOff>
                    <xdr:row>412</xdr:row>
                    <xdr:rowOff>95250</xdr:rowOff>
                  </from>
                  <to>
                    <xdr:col>3</xdr:col>
                    <xdr:colOff>371475</xdr:colOff>
                    <xdr:row>413</xdr:row>
                    <xdr:rowOff>85725</xdr:rowOff>
                  </to>
                </anchor>
              </controlPr>
            </control>
          </mc:Choice>
        </mc:AlternateContent>
        <mc:AlternateContent xmlns:mc="http://schemas.openxmlformats.org/markup-compatibility/2006">
          <mc:Choice Requires="x14">
            <control shapeId="46211" r:id="rId84" name="Option Button 131">
              <controlPr defaultSize="0" autoFill="0" autoLine="0" autoPict="0">
                <anchor moveWithCells="1" sizeWithCells="1">
                  <from>
                    <xdr:col>4</xdr:col>
                    <xdr:colOff>152400</xdr:colOff>
                    <xdr:row>411</xdr:row>
                    <xdr:rowOff>9525</xdr:rowOff>
                  </from>
                  <to>
                    <xdr:col>11</xdr:col>
                    <xdr:colOff>161925</xdr:colOff>
                    <xdr:row>412</xdr:row>
                    <xdr:rowOff>0</xdr:rowOff>
                  </to>
                </anchor>
              </controlPr>
            </control>
          </mc:Choice>
        </mc:AlternateContent>
        <mc:AlternateContent xmlns:mc="http://schemas.openxmlformats.org/markup-compatibility/2006">
          <mc:Choice Requires="x14">
            <control shapeId="46212" r:id="rId85" name="Option Button 132">
              <controlPr defaultSize="0" autoFill="0" autoLine="0" autoPict="0">
                <anchor moveWithCells="1" sizeWithCells="1">
                  <from>
                    <xdr:col>4</xdr:col>
                    <xdr:colOff>152400</xdr:colOff>
                    <xdr:row>411</xdr:row>
                    <xdr:rowOff>219075</xdr:rowOff>
                  </from>
                  <to>
                    <xdr:col>12</xdr:col>
                    <xdr:colOff>342900</xdr:colOff>
                    <xdr:row>412</xdr:row>
                    <xdr:rowOff>209550</xdr:rowOff>
                  </to>
                </anchor>
              </controlPr>
            </control>
          </mc:Choice>
        </mc:AlternateContent>
        <mc:AlternateContent xmlns:mc="http://schemas.openxmlformats.org/markup-compatibility/2006">
          <mc:Choice Requires="x14">
            <control shapeId="46213" r:id="rId86" name="Option Button 133">
              <controlPr defaultSize="0" autoFill="0" autoLine="0" autoPict="0">
                <anchor moveWithCells="1" sizeWithCells="1">
                  <from>
                    <xdr:col>4</xdr:col>
                    <xdr:colOff>152400</xdr:colOff>
                    <xdr:row>412</xdr:row>
                    <xdr:rowOff>200025</xdr:rowOff>
                  </from>
                  <to>
                    <xdr:col>12</xdr:col>
                    <xdr:colOff>342900</xdr:colOff>
                    <xdr:row>413</xdr:row>
                    <xdr:rowOff>190500</xdr:rowOff>
                  </to>
                </anchor>
              </controlPr>
            </control>
          </mc:Choice>
        </mc:AlternateContent>
        <mc:AlternateContent xmlns:mc="http://schemas.openxmlformats.org/markup-compatibility/2006">
          <mc:Choice Requires="x14">
            <control shapeId="46214" r:id="rId87" name="Option Button 134">
              <controlPr defaultSize="0" autoFill="0" autoLine="0" autoPict="0">
                <anchor moveWithCells="1" sizeWithCells="1">
                  <from>
                    <xdr:col>4</xdr:col>
                    <xdr:colOff>152400</xdr:colOff>
                    <xdr:row>413</xdr:row>
                    <xdr:rowOff>180975</xdr:rowOff>
                  </from>
                  <to>
                    <xdr:col>12</xdr:col>
                    <xdr:colOff>342900</xdr:colOff>
                    <xdr:row>414</xdr:row>
                    <xdr:rowOff>171450</xdr:rowOff>
                  </to>
                </anchor>
              </controlPr>
            </control>
          </mc:Choice>
        </mc:AlternateContent>
        <mc:AlternateContent xmlns:mc="http://schemas.openxmlformats.org/markup-compatibility/2006">
          <mc:Choice Requires="x14">
            <control shapeId="46215" r:id="rId88" name="Group Box 135">
              <controlPr defaultSize="0" autoFill="0" autoPict="0">
                <anchor moveWithCells="1" sizeWithCells="1">
                  <from>
                    <xdr:col>2</xdr:col>
                    <xdr:colOff>0</xdr:colOff>
                    <xdr:row>411</xdr:row>
                    <xdr:rowOff>0</xdr:rowOff>
                  </from>
                  <to>
                    <xdr:col>15</xdr:col>
                    <xdr:colOff>0</xdr:colOff>
                    <xdr:row>415</xdr:row>
                    <xdr:rowOff>0</xdr:rowOff>
                  </to>
                </anchor>
              </controlPr>
            </control>
          </mc:Choice>
        </mc:AlternateContent>
        <mc:AlternateContent xmlns:mc="http://schemas.openxmlformats.org/markup-compatibility/2006">
          <mc:Choice Requires="x14">
            <control shapeId="46216" r:id="rId89" name="Check Box 136">
              <controlPr defaultSize="0" autoFill="0" autoLine="0" autoPict="0">
                <anchor moveWithCells="1">
                  <from>
                    <xdr:col>2</xdr:col>
                    <xdr:colOff>0</xdr:colOff>
                    <xdr:row>415</xdr:row>
                    <xdr:rowOff>19050</xdr:rowOff>
                  </from>
                  <to>
                    <xdr:col>3</xdr:col>
                    <xdr:colOff>85725</xdr:colOff>
                    <xdr:row>416</xdr:row>
                    <xdr:rowOff>9525</xdr:rowOff>
                  </to>
                </anchor>
              </controlPr>
            </control>
          </mc:Choice>
        </mc:AlternateContent>
        <mc:AlternateContent xmlns:mc="http://schemas.openxmlformats.org/markup-compatibility/2006">
          <mc:Choice Requires="x14">
            <control shapeId="46217" r:id="rId90" name="Check Box 137">
              <controlPr defaultSize="0" autoFill="0" autoLine="0" autoPict="0">
                <anchor moveWithCells="1">
                  <from>
                    <xdr:col>2</xdr:col>
                    <xdr:colOff>0</xdr:colOff>
                    <xdr:row>416</xdr:row>
                    <xdr:rowOff>19050</xdr:rowOff>
                  </from>
                  <to>
                    <xdr:col>3</xdr:col>
                    <xdr:colOff>85725</xdr:colOff>
                    <xdr:row>417</xdr:row>
                    <xdr:rowOff>9525</xdr:rowOff>
                  </to>
                </anchor>
              </controlPr>
            </control>
          </mc:Choice>
        </mc:AlternateContent>
        <mc:AlternateContent xmlns:mc="http://schemas.openxmlformats.org/markup-compatibility/2006">
          <mc:Choice Requires="x14">
            <control shapeId="46225" r:id="rId91" name="Check Box 145">
              <controlPr defaultSize="0" autoFill="0" autoLine="0" autoPict="0">
                <anchor moveWithCells="1">
                  <from>
                    <xdr:col>4</xdr:col>
                    <xdr:colOff>142875</xdr:colOff>
                    <xdr:row>428</xdr:row>
                    <xdr:rowOff>19050</xdr:rowOff>
                  </from>
                  <to>
                    <xdr:col>5</xdr:col>
                    <xdr:colOff>219075</xdr:colOff>
                    <xdr:row>429</xdr:row>
                    <xdr:rowOff>9525</xdr:rowOff>
                  </to>
                </anchor>
              </controlPr>
            </control>
          </mc:Choice>
        </mc:AlternateContent>
        <mc:AlternateContent xmlns:mc="http://schemas.openxmlformats.org/markup-compatibility/2006">
          <mc:Choice Requires="x14">
            <control shapeId="46226" r:id="rId92" name="Check Box 146">
              <controlPr defaultSize="0" autoFill="0" autoLine="0" autoPict="0">
                <anchor moveWithCells="1">
                  <from>
                    <xdr:col>4</xdr:col>
                    <xdr:colOff>142875</xdr:colOff>
                    <xdr:row>429</xdr:row>
                    <xdr:rowOff>28575</xdr:rowOff>
                  </from>
                  <to>
                    <xdr:col>5</xdr:col>
                    <xdr:colOff>219075</xdr:colOff>
                    <xdr:row>430</xdr:row>
                    <xdr:rowOff>19050</xdr:rowOff>
                  </to>
                </anchor>
              </controlPr>
            </control>
          </mc:Choice>
        </mc:AlternateContent>
        <mc:AlternateContent xmlns:mc="http://schemas.openxmlformats.org/markup-compatibility/2006">
          <mc:Choice Requires="x14">
            <control shapeId="46227" r:id="rId93" name="Check Box 147">
              <controlPr defaultSize="0" autoFill="0" autoLine="0" autoPict="0">
                <anchor moveWithCells="1">
                  <from>
                    <xdr:col>4</xdr:col>
                    <xdr:colOff>142875</xdr:colOff>
                    <xdr:row>430</xdr:row>
                    <xdr:rowOff>9525</xdr:rowOff>
                  </from>
                  <to>
                    <xdr:col>5</xdr:col>
                    <xdr:colOff>219075</xdr:colOff>
                    <xdr:row>431</xdr:row>
                    <xdr:rowOff>0</xdr:rowOff>
                  </to>
                </anchor>
              </controlPr>
            </control>
          </mc:Choice>
        </mc:AlternateContent>
        <mc:AlternateContent xmlns:mc="http://schemas.openxmlformats.org/markup-compatibility/2006">
          <mc:Choice Requires="x14">
            <control shapeId="46228" r:id="rId94" name="Check Box 148">
              <controlPr defaultSize="0" autoFill="0" autoLine="0" autoPict="0">
                <anchor moveWithCells="1">
                  <from>
                    <xdr:col>4</xdr:col>
                    <xdr:colOff>142875</xdr:colOff>
                    <xdr:row>431</xdr:row>
                    <xdr:rowOff>19050</xdr:rowOff>
                  </from>
                  <to>
                    <xdr:col>5</xdr:col>
                    <xdr:colOff>219075</xdr:colOff>
                    <xdr:row>432</xdr:row>
                    <xdr:rowOff>9525</xdr:rowOff>
                  </to>
                </anchor>
              </controlPr>
            </control>
          </mc:Choice>
        </mc:AlternateContent>
        <mc:AlternateContent xmlns:mc="http://schemas.openxmlformats.org/markup-compatibility/2006">
          <mc:Choice Requires="x14">
            <control shapeId="46229" r:id="rId95" name="Check Box 149">
              <controlPr defaultSize="0" autoFill="0" autoLine="0" autoPict="0">
                <anchor moveWithCells="1">
                  <from>
                    <xdr:col>4</xdr:col>
                    <xdr:colOff>142875</xdr:colOff>
                    <xdr:row>432</xdr:row>
                    <xdr:rowOff>19050</xdr:rowOff>
                  </from>
                  <to>
                    <xdr:col>5</xdr:col>
                    <xdr:colOff>219075</xdr:colOff>
                    <xdr:row>433</xdr:row>
                    <xdr:rowOff>9525</xdr:rowOff>
                  </to>
                </anchor>
              </controlPr>
            </control>
          </mc:Choice>
        </mc:AlternateContent>
        <mc:AlternateContent xmlns:mc="http://schemas.openxmlformats.org/markup-compatibility/2006">
          <mc:Choice Requires="x14">
            <control shapeId="46230" r:id="rId96" name="Check Box 150">
              <controlPr defaultSize="0" autoFill="0" autoLine="0" autoPict="0">
                <anchor moveWithCells="1">
                  <from>
                    <xdr:col>4</xdr:col>
                    <xdr:colOff>142875</xdr:colOff>
                    <xdr:row>433</xdr:row>
                    <xdr:rowOff>19050</xdr:rowOff>
                  </from>
                  <to>
                    <xdr:col>5</xdr:col>
                    <xdr:colOff>219075</xdr:colOff>
                    <xdr:row>434</xdr:row>
                    <xdr:rowOff>9525</xdr:rowOff>
                  </to>
                </anchor>
              </controlPr>
            </control>
          </mc:Choice>
        </mc:AlternateContent>
        <mc:AlternateContent xmlns:mc="http://schemas.openxmlformats.org/markup-compatibility/2006">
          <mc:Choice Requires="x14">
            <control shapeId="46231" r:id="rId97" name="Check Box 151">
              <controlPr defaultSize="0" autoFill="0" autoLine="0" autoPict="0">
                <anchor moveWithCells="1">
                  <from>
                    <xdr:col>4</xdr:col>
                    <xdr:colOff>142875</xdr:colOff>
                    <xdr:row>434</xdr:row>
                    <xdr:rowOff>9525</xdr:rowOff>
                  </from>
                  <to>
                    <xdr:col>5</xdr:col>
                    <xdr:colOff>219075</xdr:colOff>
                    <xdr:row>435</xdr:row>
                    <xdr:rowOff>0</xdr:rowOff>
                  </to>
                </anchor>
              </controlPr>
            </control>
          </mc:Choice>
        </mc:AlternateContent>
        <mc:AlternateContent xmlns:mc="http://schemas.openxmlformats.org/markup-compatibility/2006">
          <mc:Choice Requires="x14">
            <control shapeId="46244" r:id="rId98" name="Check Box 164">
              <controlPr defaultSize="0" autoFill="0" autoLine="0" autoPict="0">
                <anchor moveWithCells="1">
                  <from>
                    <xdr:col>1</xdr:col>
                    <xdr:colOff>85725</xdr:colOff>
                    <xdr:row>242</xdr:row>
                    <xdr:rowOff>38100</xdr:rowOff>
                  </from>
                  <to>
                    <xdr:col>1</xdr:col>
                    <xdr:colOff>390525</xdr:colOff>
                    <xdr:row>243</xdr:row>
                    <xdr:rowOff>9525</xdr:rowOff>
                  </to>
                </anchor>
              </controlPr>
            </control>
          </mc:Choice>
        </mc:AlternateContent>
        <mc:AlternateContent xmlns:mc="http://schemas.openxmlformats.org/markup-compatibility/2006">
          <mc:Choice Requires="x14">
            <control shapeId="46142" r:id="rId99" name="Group Box 62">
              <controlPr defaultSize="0" autoFill="0" autoPict="0">
                <anchor moveWithCells="1" sizeWithCells="1">
                  <from>
                    <xdr:col>1</xdr:col>
                    <xdr:colOff>9525</xdr:colOff>
                    <xdr:row>292</xdr:row>
                    <xdr:rowOff>0</xdr:rowOff>
                  </from>
                  <to>
                    <xdr:col>3</xdr:col>
                    <xdr:colOff>276225</xdr:colOff>
                    <xdr:row>301</xdr:row>
                    <xdr:rowOff>0</xdr:rowOff>
                  </to>
                </anchor>
              </controlPr>
            </control>
          </mc:Choice>
        </mc:AlternateContent>
        <mc:AlternateContent xmlns:mc="http://schemas.openxmlformats.org/markup-compatibility/2006">
          <mc:Choice Requires="x14">
            <control shapeId="46143" r:id="rId100" name="Option Button 63">
              <controlPr defaultSize="0" autoFill="0" autoLine="0" autoPict="0">
                <anchor moveWithCells="1" sizeWithCells="1">
                  <from>
                    <xdr:col>1</xdr:col>
                    <xdr:colOff>19050</xdr:colOff>
                    <xdr:row>292</xdr:row>
                    <xdr:rowOff>19050</xdr:rowOff>
                  </from>
                  <to>
                    <xdr:col>3</xdr:col>
                    <xdr:colOff>247650</xdr:colOff>
                    <xdr:row>293</xdr:row>
                    <xdr:rowOff>85725</xdr:rowOff>
                  </to>
                </anchor>
              </controlPr>
            </control>
          </mc:Choice>
        </mc:AlternateContent>
        <mc:AlternateContent xmlns:mc="http://schemas.openxmlformats.org/markup-compatibility/2006">
          <mc:Choice Requires="x14">
            <control shapeId="46144" r:id="rId101" name="Option Button 64">
              <controlPr defaultSize="0" autoFill="0" autoLine="0" autoPict="0">
                <anchor moveWithCells="1" sizeWithCells="1">
                  <from>
                    <xdr:col>1</xdr:col>
                    <xdr:colOff>19050</xdr:colOff>
                    <xdr:row>293</xdr:row>
                    <xdr:rowOff>85725</xdr:rowOff>
                  </from>
                  <to>
                    <xdr:col>3</xdr:col>
                    <xdr:colOff>247650</xdr:colOff>
                    <xdr:row>294</xdr:row>
                    <xdr:rowOff>161925</xdr:rowOff>
                  </to>
                </anchor>
              </controlPr>
            </control>
          </mc:Choice>
        </mc:AlternateContent>
        <mc:AlternateContent xmlns:mc="http://schemas.openxmlformats.org/markup-compatibility/2006">
          <mc:Choice Requires="x14">
            <control shapeId="46145" r:id="rId102" name="Option Button 65">
              <controlPr defaultSize="0" autoFill="0" autoLine="0" autoPict="0">
                <anchor moveWithCells="1" sizeWithCells="1">
                  <from>
                    <xdr:col>1</xdr:col>
                    <xdr:colOff>400050</xdr:colOff>
                    <xdr:row>294</xdr:row>
                    <xdr:rowOff>161925</xdr:rowOff>
                  </from>
                  <to>
                    <xdr:col>3</xdr:col>
                    <xdr:colOff>238125</xdr:colOff>
                    <xdr:row>296</xdr:row>
                    <xdr:rowOff>38100</xdr:rowOff>
                  </to>
                </anchor>
              </controlPr>
            </control>
          </mc:Choice>
        </mc:AlternateContent>
        <mc:AlternateContent xmlns:mc="http://schemas.openxmlformats.org/markup-compatibility/2006">
          <mc:Choice Requires="x14">
            <control shapeId="46146" r:id="rId103" name="Option Button 66">
              <controlPr defaultSize="0" autoFill="0" autoLine="0" autoPict="0">
                <anchor moveWithCells="1" sizeWithCells="1">
                  <from>
                    <xdr:col>1</xdr:col>
                    <xdr:colOff>400050</xdr:colOff>
                    <xdr:row>296</xdr:row>
                    <xdr:rowOff>38100</xdr:rowOff>
                  </from>
                  <to>
                    <xdr:col>3</xdr:col>
                    <xdr:colOff>247650</xdr:colOff>
                    <xdr:row>297</xdr:row>
                    <xdr:rowOff>95250</xdr:rowOff>
                  </to>
                </anchor>
              </controlPr>
            </control>
          </mc:Choice>
        </mc:AlternateContent>
        <mc:AlternateContent xmlns:mc="http://schemas.openxmlformats.org/markup-compatibility/2006">
          <mc:Choice Requires="x14">
            <control shapeId="46147" r:id="rId104" name="Option Button 67">
              <controlPr defaultSize="0" autoFill="0" autoLine="0" autoPict="0">
                <anchor moveWithCells="1" sizeWithCells="1">
                  <from>
                    <xdr:col>1</xdr:col>
                    <xdr:colOff>390525</xdr:colOff>
                    <xdr:row>297</xdr:row>
                    <xdr:rowOff>95250</xdr:rowOff>
                  </from>
                  <to>
                    <xdr:col>3</xdr:col>
                    <xdr:colOff>247650</xdr:colOff>
                    <xdr:row>298</xdr:row>
                    <xdr:rowOff>161925</xdr:rowOff>
                  </to>
                </anchor>
              </controlPr>
            </control>
          </mc:Choice>
        </mc:AlternateContent>
        <mc:AlternateContent xmlns:mc="http://schemas.openxmlformats.org/markup-compatibility/2006">
          <mc:Choice Requires="x14">
            <control shapeId="46148" r:id="rId105" name="Option Button 68">
              <controlPr defaultSize="0" autoFill="0" autoLine="0" autoPict="0">
                <anchor moveWithCells="1" sizeWithCells="1">
                  <from>
                    <xdr:col>1</xdr:col>
                    <xdr:colOff>390525</xdr:colOff>
                    <xdr:row>298</xdr:row>
                    <xdr:rowOff>161925</xdr:rowOff>
                  </from>
                  <to>
                    <xdr:col>3</xdr:col>
                    <xdr:colOff>247650</xdr:colOff>
                    <xdr:row>299</xdr:row>
                    <xdr:rowOff>104775</xdr:rowOff>
                  </to>
                </anchor>
              </controlPr>
            </control>
          </mc:Choice>
        </mc:AlternateContent>
        <mc:AlternateContent xmlns:mc="http://schemas.openxmlformats.org/markup-compatibility/2006">
          <mc:Choice Requires="x14">
            <control shapeId="46151" r:id="rId106" name="Option Button 71">
              <controlPr defaultSize="0" autoFill="0" autoLine="0" autoPict="0">
                <anchor moveWithCells="1" sizeWithCells="1">
                  <from>
                    <xdr:col>1</xdr:col>
                    <xdr:colOff>28575</xdr:colOff>
                    <xdr:row>299</xdr:row>
                    <xdr:rowOff>104775</xdr:rowOff>
                  </from>
                  <to>
                    <xdr:col>3</xdr:col>
                    <xdr:colOff>257175</xdr:colOff>
                    <xdr:row>300</xdr:row>
                    <xdr:rowOff>171450</xdr:rowOff>
                  </to>
                </anchor>
              </controlPr>
            </control>
          </mc:Choice>
        </mc:AlternateContent>
        <mc:AlternateContent xmlns:mc="http://schemas.openxmlformats.org/markup-compatibility/2006">
          <mc:Choice Requires="x14">
            <control shapeId="46082" r:id="rId107" name="Group Box 2">
              <controlPr defaultSize="0" autoFill="0" autoPict="0">
                <anchor moveWithCells="1" sizeWithCells="1">
                  <from>
                    <xdr:col>1</xdr:col>
                    <xdr:colOff>0</xdr:colOff>
                    <xdr:row>286</xdr:row>
                    <xdr:rowOff>0</xdr:rowOff>
                  </from>
                  <to>
                    <xdr:col>3</xdr:col>
                    <xdr:colOff>276225</xdr:colOff>
                    <xdr:row>290</xdr:row>
                    <xdr:rowOff>0</xdr:rowOff>
                  </to>
                </anchor>
              </controlPr>
            </control>
          </mc:Choice>
        </mc:AlternateContent>
        <mc:AlternateContent xmlns:mc="http://schemas.openxmlformats.org/markup-compatibility/2006">
          <mc:Choice Requires="x14">
            <control shapeId="46083" r:id="rId108" name="Option Button 3">
              <controlPr defaultSize="0" autoFill="0" autoLine="0" autoPict="0">
                <anchor moveWithCells="1" sizeWithCells="1">
                  <from>
                    <xdr:col>1</xdr:col>
                    <xdr:colOff>19050</xdr:colOff>
                    <xdr:row>286</xdr:row>
                    <xdr:rowOff>19050</xdr:rowOff>
                  </from>
                  <to>
                    <xdr:col>3</xdr:col>
                    <xdr:colOff>257175</xdr:colOff>
                    <xdr:row>287</xdr:row>
                    <xdr:rowOff>66675</xdr:rowOff>
                  </to>
                </anchor>
              </controlPr>
            </control>
          </mc:Choice>
        </mc:AlternateContent>
        <mc:AlternateContent xmlns:mc="http://schemas.openxmlformats.org/markup-compatibility/2006">
          <mc:Choice Requires="x14">
            <control shapeId="46084" r:id="rId109" name="Option Button 4">
              <controlPr defaultSize="0" autoFill="0" autoLine="0" autoPict="0">
                <anchor moveWithCells="1" sizeWithCells="1">
                  <from>
                    <xdr:col>1</xdr:col>
                    <xdr:colOff>9525</xdr:colOff>
                    <xdr:row>287</xdr:row>
                    <xdr:rowOff>66675</xdr:rowOff>
                  </from>
                  <to>
                    <xdr:col>3</xdr:col>
                    <xdr:colOff>247650</xdr:colOff>
                    <xdr:row>288</xdr:row>
                    <xdr:rowOff>123825</xdr:rowOff>
                  </to>
                </anchor>
              </controlPr>
            </control>
          </mc:Choice>
        </mc:AlternateContent>
        <mc:AlternateContent xmlns:mc="http://schemas.openxmlformats.org/markup-compatibility/2006">
          <mc:Choice Requires="x14">
            <control shapeId="46085" r:id="rId110" name="Option Button 5">
              <controlPr defaultSize="0" autoFill="0" autoLine="0" autoPict="0">
                <anchor moveWithCells="1" sizeWithCells="1">
                  <from>
                    <xdr:col>1</xdr:col>
                    <xdr:colOff>9525</xdr:colOff>
                    <xdr:row>288</xdr:row>
                    <xdr:rowOff>114300</xdr:rowOff>
                  </from>
                  <to>
                    <xdr:col>3</xdr:col>
                    <xdr:colOff>247650</xdr:colOff>
                    <xdr:row>289</xdr:row>
                    <xdr:rowOff>161925</xdr:rowOff>
                  </to>
                </anchor>
              </controlPr>
            </control>
          </mc:Choice>
        </mc:AlternateContent>
        <mc:AlternateContent xmlns:mc="http://schemas.openxmlformats.org/markup-compatibility/2006">
          <mc:Choice Requires="x14">
            <control shapeId="46132" r:id="rId111" name="Group Box 52">
              <controlPr defaultSize="0" autoFill="0" autoPict="0">
                <anchor moveWithCells="1" sizeWithCells="1">
                  <from>
                    <xdr:col>1</xdr:col>
                    <xdr:colOff>0</xdr:colOff>
                    <xdr:row>307</xdr:row>
                    <xdr:rowOff>0</xdr:rowOff>
                  </from>
                  <to>
                    <xdr:col>3</xdr:col>
                    <xdr:colOff>371475</xdr:colOff>
                    <xdr:row>317</xdr:row>
                    <xdr:rowOff>180975</xdr:rowOff>
                  </to>
                </anchor>
              </controlPr>
            </control>
          </mc:Choice>
        </mc:AlternateContent>
        <mc:AlternateContent xmlns:mc="http://schemas.openxmlformats.org/markup-compatibility/2006">
          <mc:Choice Requires="x14">
            <control shapeId="46133" r:id="rId112" name="Option Button 53">
              <controlPr defaultSize="0" autoFill="0" autoLine="0" autoPict="0">
                <anchor moveWithCells="1" sizeWithCells="1">
                  <from>
                    <xdr:col>1</xdr:col>
                    <xdr:colOff>19050</xdr:colOff>
                    <xdr:row>307</xdr:row>
                    <xdr:rowOff>9525</xdr:rowOff>
                  </from>
                  <to>
                    <xdr:col>3</xdr:col>
                    <xdr:colOff>352425</xdr:colOff>
                    <xdr:row>308</xdr:row>
                    <xdr:rowOff>114300</xdr:rowOff>
                  </to>
                </anchor>
              </controlPr>
            </control>
          </mc:Choice>
        </mc:AlternateContent>
        <mc:AlternateContent xmlns:mc="http://schemas.openxmlformats.org/markup-compatibility/2006">
          <mc:Choice Requires="x14">
            <control shapeId="46134" r:id="rId113" name="Option Button 54">
              <controlPr defaultSize="0" autoFill="0" autoLine="0" autoPict="0">
                <anchor moveWithCells="1" sizeWithCells="1">
                  <from>
                    <xdr:col>1</xdr:col>
                    <xdr:colOff>19050</xdr:colOff>
                    <xdr:row>308</xdr:row>
                    <xdr:rowOff>104775</xdr:rowOff>
                  </from>
                  <to>
                    <xdr:col>3</xdr:col>
                    <xdr:colOff>352425</xdr:colOff>
                    <xdr:row>310</xdr:row>
                    <xdr:rowOff>19050</xdr:rowOff>
                  </to>
                </anchor>
              </controlPr>
            </control>
          </mc:Choice>
        </mc:AlternateContent>
        <mc:AlternateContent xmlns:mc="http://schemas.openxmlformats.org/markup-compatibility/2006">
          <mc:Choice Requires="x14">
            <control shapeId="46135" r:id="rId114" name="Option Button 55">
              <controlPr defaultSize="0" autoFill="0" autoLine="0" autoPict="0">
                <anchor moveWithCells="1" sizeWithCells="1">
                  <from>
                    <xdr:col>1</xdr:col>
                    <xdr:colOff>19050</xdr:colOff>
                    <xdr:row>310</xdr:row>
                    <xdr:rowOff>19050</xdr:rowOff>
                  </from>
                  <to>
                    <xdr:col>3</xdr:col>
                    <xdr:colOff>352425</xdr:colOff>
                    <xdr:row>311</xdr:row>
                    <xdr:rowOff>123825</xdr:rowOff>
                  </to>
                </anchor>
              </controlPr>
            </control>
          </mc:Choice>
        </mc:AlternateContent>
        <mc:AlternateContent xmlns:mc="http://schemas.openxmlformats.org/markup-compatibility/2006">
          <mc:Choice Requires="x14">
            <control shapeId="46136" r:id="rId115" name="Option Button 56">
              <controlPr defaultSize="0" autoFill="0" autoLine="0" autoPict="0">
                <anchor moveWithCells="1" sizeWithCells="1">
                  <from>
                    <xdr:col>1</xdr:col>
                    <xdr:colOff>19050</xdr:colOff>
                    <xdr:row>311</xdr:row>
                    <xdr:rowOff>123825</xdr:rowOff>
                  </from>
                  <to>
                    <xdr:col>3</xdr:col>
                    <xdr:colOff>352425</xdr:colOff>
                    <xdr:row>313</xdr:row>
                    <xdr:rowOff>38100</xdr:rowOff>
                  </to>
                </anchor>
              </controlPr>
            </control>
          </mc:Choice>
        </mc:AlternateContent>
        <mc:AlternateContent xmlns:mc="http://schemas.openxmlformats.org/markup-compatibility/2006">
          <mc:Choice Requires="x14">
            <control shapeId="46137" r:id="rId116" name="Option Button 57">
              <controlPr defaultSize="0" autoFill="0" autoLine="0" autoPict="0">
                <anchor moveWithCells="1" sizeWithCells="1">
                  <from>
                    <xdr:col>1</xdr:col>
                    <xdr:colOff>19050</xdr:colOff>
                    <xdr:row>313</xdr:row>
                    <xdr:rowOff>19050</xdr:rowOff>
                  </from>
                  <to>
                    <xdr:col>3</xdr:col>
                    <xdr:colOff>352425</xdr:colOff>
                    <xdr:row>314</xdr:row>
                    <xdr:rowOff>123825</xdr:rowOff>
                  </to>
                </anchor>
              </controlPr>
            </control>
          </mc:Choice>
        </mc:AlternateContent>
        <mc:AlternateContent xmlns:mc="http://schemas.openxmlformats.org/markup-compatibility/2006">
          <mc:Choice Requires="x14">
            <control shapeId="46138" r:id="rId117" name="Option Button 58">
              <controlPr defaultSize="0" autoFill="0" autoLine="0" autoPict="0">
                <anchor moveWithCells="1" sizeWithCells="1">
                  <from>
                    <xdr:col>1</xdr:col>
                    <xdr:colOff>19050</xdr:colOff>
                    <xdr:row>314</xdr:row>
                    <xdr:rowOff>123825</xdr:rowOff>
                  </from>
                  <to>
                    <xdr:col>3</xdr:col>
                    <xdr:colOff>352425</xdr:colOff>
                    <xdr:row>316</xdr:row>
                    <xdr:rowOff>38100</xdr:rowOff>
                  </to>
                </anchor>
              </controlPr>
            </control>
          </mc:Choice>
        </mc:AlternateContent>
        <mc:AlternateContent xmlns:mc="http://schemas.openxmlformats.org/markup-compatibility/2006">
          <mc:Choice Requires="x14">
            <control shapeId="46139" r:id="rId118" name="Option Button 59">
              <controlPr defaultSize="0" autoFill="0" autoLine="0" autoPict="0">
                <anchor moveWithCells="1" sizeWithCells="1">
                  <from>
                    <xdr:col>1</xdr:col>
                    <xdr:colOff>19050</xdr:colOff>
                    <xdr:row>316</xdr:row>
                    <xdr:rowOff>38100</xdr:rowOff>
                  </from>
                  <to>
                    <xdr:col>3</xdr:col>
                    <xdr:colOff>352425</xdr:colOff>
                    <xdr:row>317</xdr:row>
                    <xdr:rowOff>142875</xdr:rowOff>
                  </to>
                </anchor>
              </controlPr>
            </control>
          </mc:Choice>
        </mc:AlternateContent>
        <mc:AlternateContent xmlns:mc="http://schemas.openxmlformats.org/markup-compatibility/2006">
          <mc:Choice Requires="x14">
            <control shapeId="46179" r:id="rId119" name="Group Box 99">
              <controlPr defaultSize="0" autoFill="0" autoPict="0">
                <anchor moveWithCells="1" sizeWithCells="1">
                  <from>
                    <xdr:col>1</xdr:col>
                    <xdr:colOff>1076325</xdr:colOff>
                    <xdr:row>245</xdr:row>
                    <xdr:rowOff>0</xdr:rowOff>
                  </from>
                  <to>
                    <xdr:col>15</xdr:col>
                    <xdr:colOff>0</xdr:colOff>
                    <xdr:row>246</xdr:row>
                    <xdr:rowOff>0</xdr:rowOff>
                  </to>
                </anchor>
              </controlPr>
            </control>
          </mc:Choice>
        </mc:AlternateContent>
        <mc:AlternateContent xmlns:mc="http://schemas.openxmlformats.org/markup-compatibility/2006">
          <mc:Choice Requires="x14">
            <control shapeId="46180" r:id="rId120" name="Option Button 100">
              <controlPr defaultSize="0" autoFill="0" autoLine="0" autoPict="0">
                <anchor moveWithCells="1" sizeWithCells="1">
                  <from>
                    <xdr:col>1</xdr:col>
                    <xdr:colOff>1085850</xdr:colOff>
                    <xdr:row>245</xdr:row>
                    <xdr:rowOff>9525</xdr:rowOff>
                  </from>
                  <to>
                    <xdr:col>2</xdr:col>
                    <xdr:colOff>47625</xdr:colOff>
                    <xdr:row>245</xdr:row>
                    <xdr:rowOff>228600</xdr:rowOff>
                  </to>
                </anchor>
              </controlPr>
            </control>
          </mc:Choice>
        </mc:AlternateContent>
        <mc:AlternateContent xmlns:mc="http://schemas.openxmlformats.org/markup-compatibility/2006">
          <mc:Choice Requires="x14">
            <control shapeId="46181" r:id="rId121" name="Option Button 101">
              <controlPr defaultSize="0" autoFill="0" autoLine="0" autoPict="0">
                <anchor moveWithCells="1" sizeWithCells="1">
                  <from>
                    <xdr:col>2</xdr:col>
                    <xdr:colOff>180975</xdr:colOff>
                    <xdr:row>245</xdr:row>
                    <xdr:rowOff>19050</xdr:rowOff>
                  </from>
                  <to>
                    <xdr:col>10</xdr:col>
                    <xdr:colOff>142875</xdr:colOff>
                    <xdr:row>245</xdr:row>
                    <xdr:rowOff>238125</xdr:rowOff>
                  </to>
                </anchor>
              </controlPr>
            </control>
          </mc:Choice>
        </mc:AlternateContent>
        <mc:AlternateContent xmlns:mc="http://schemas.openxmlformats.org/markup-compatibility/2006">
          <mc:Choice Requires="x14">
            <control shapeId="46182" r:id="rId122" name="Option Button 102">
              <controlPr defaultSize="0" autoFill="0" autoLine="0" autoPict="0">
                <anchor moveWithCells="1" sizeWithCells="1">
                  <from>
                    <xdr:col>10</xdr:col>
                    <xdr:colOff>219075</xdr:colOff>
                    <xdr:row>245</xdr:row>
                    <xdr:rowOff>19050</xdr:rowOff>
                  </from>
                  <to>
                    <xdr:col>14</xdr:col>
                    <xdr:colOff>485775</xdr:colOff>
                    <xdr:row>245</xdr:row>
                    <xdr:rowOff>238125</xdr:rowOff>
                  </to>
                </anchor>
              </controlPr>
            </control>
          </mc:Choice>
        </mc:AlternateContent>
        <mc:AlternateContent xmlns:mc="http://schemas.openxmlformats.org/markup-compatibility/2006">
          <mc:Choice Requires="x14">
            <control shapeId="46186" r:id="rId123" name="Group Box 106">
              <controlPr defaultSize="0" autoFill="0" autoPict="0">
                <anchor moveWithCells="1" sizeWithCells="1">
                  <from>
                    <xdr:col>13</xdr:col>
                    <xdr:colOff>0</xdr:colOff>
                    <xdr:row>252</xdr:row>
                    <xdr:rowOff>0</xdr:rowOff>
                  </from>
                  <to>
                    <xdr:col>15</xdr:col>
                    <xdr:colOff>0</xdr:colOff>
                    <xdr:row>253</xdr:row>
                    <xdr:rowOff>0</xdr:rowOff>
                  </to>
                </anchor>
              </controlPr>
            </control>
          </mc:Choice>
        </mc:AlternateContent>
        <mc:AlternateContent xmlns:mc="http://schemas.openxmlformats.org/markup-compatibility/2006">
          <mc:Choice Requires="x14">
            <control shapeId="46187" r:id="rId124" name="Option Button 107">
              <controlPr defaultSize="0" autoFill="0" autoLine="0" autoPict="0">
                <anchor moveWithCells="1" sizeWithCells="1">
                  <from>
                    <xdr:col>13</xdr:col>
                    <xdr:colOff>76200</xdr:colOff>
                    <xdr:row>252</xdr:row>
                    <xdr:rowOff>19050</xdr:rowOff>
                  </from>
                  <to>
                    <xdr:col>14</xdr:col>
                    <xdr:colOff>0</xdr:colOff>
                    <xdr:row>252</xdr:row>
                    <xdr:rowOff>257175</xdr:rowOff>
                  </to>
                </anchor>
              </controlPr>
            </control>
          </mc:Choice>
        </mc:AlternateContent>
        <mc:AlternateContent xmlns:mc="http://schemas.openxmlformats.org/markup-compatibility/2006">
          <mc:Choice Requires="x14">
            <control shapeId="46188" r:id="rId125" name="Option Button 108">
              <controlPr defaultSize="0" autoFill="0" autoLine="0" autoPict="0">
                <anchor moveWithCells="1" sizeWithCells="1">
                  <from>
                    <xdr:col>14</xdr:col>
                    <xdr:colOff>28575</xdr:colOff>
                    <xdr:row>252</xdr:row>
                    <xdr:rowOff>19050</xdr:rowOff>
                  </from>
                  <to>
                    <xdr:col>14</xdr:col>
                    <xdr:colOff>428625</xdr:colOff>
                    <xdr:row>252</xdr:row>
                    <xdr:rowOff>257175</xdr:rowOff>
                  </to>
                </anchor>
              </controlPr>
            </control>
          </mc:Choice>
        </mc:AlternateContent>
        <mc:AlternateContent xmlns:mc="http://schemas.openxmlformats.org/markup-compatibility/2006">
          <mc:Choice Requires="x14">
            <control shapeId="46201" r:id="rId126" name="Group Box 121">
              <controlPr defaultSize="0" autoFill="0" autoPict="0">
                <anchor moveWithCells="1" sizeWithCells="1">
                  <from>
                    <xdr:col>13</xdr:col>
                    <xdr:colOff>9525</xdr:colOff>
                    <xdr:row>265</xdr:row>
                    <xdr:rowOff>9525</xdr:rowOff>
                  </from>
                  <to>
                    <xdr:col>15</xdr:col>
                    <xdr:colOff>0</xdr:colOff>
                    <xdr:row>266</xdr:row>
                    <xdr:rowOff>0</xdr:rowOff>
                  </to>
                </anchor>
              </controlPr>
            </control>
          </mc:Choice>
        </mc:AlternateContent>
        <mc:AlternateContent xmlns:mc="http://schemas.openxmlformats.org/markup-compatibility/2006">
          <mc:Choice Requires="x14">
            <control shapeId="46202" r:id="rId127" name="Option Button 122">
              <controlPr defaultSize="0" autoFill="0" autoLine="0" autoPict="0">
                <anchor moveWithCells="1" sizeWithCells="1">
                  <from>
                    <xdr:col>13</xdr:col>
                    <xdr:colOff>66675</xdr:colOff>
                    <xdr:row>265</xdr:row>
                    <xdr:rowOff>38100</xdr:rowOff>
                  </from>
                  <to>
                    <xdr:col>14</xdr:col>
                    <xdr:colOff>47625</xdr:colOff>
                    <xdr:row>265</xdr:row>
                    <xdr:rowOff>190500</xdr:rowOff>
                  </to>
                </anchor>
              </controlPr>
            </control>
          </mc:Choice>
        </mc:AlternateContent>
        <mc:AlternateContent xmlns:mc="http://schemas.openxmlformats.org/markup-compatibility/2006">
          <mc:Choice Requires="x14">
            <control shapeId="46203" r:id="rId128" name="Option Button 123">
              <controlPr defaultSize="0" autoFill="0" autoLine="0" autoPict="0">
                <anchor moveWithCells="1" sizeWithCells="1">
                  <from>
                    <xdr:col>14</xdr:col>
                    <xdr:colOff>19050</xdr:colOff>
                    <xdr:row>265</xdr:row>
                    <xdr:rowOff>38100</xdr:rowOff>
                  </from>
                  <to>
                    <xdr:col>14</xdr:col>
                    <xdr:colOff>571500</xdr:colOff>
                    <xdr:row>265</xdr:row>
                    <xdr:rowOff>190500</xdr:rowOff>
                  </to>
                </anchor>
              </controlPr>
            </control>
          </mc:Choice>
        </mc:AlternateContent>
        <mc:AlternateContent xmlns:mc="http://schemas.openxmlformats.org/markup-compatibility/2006">
          <mc:Choice Requires="x14">
            <control shapeId="46205" r:id="rId129" name="Group Box 125">
              <controlPr defaultSize="0" autoFill="0" autoPict="0">
                <anchor moveWithCells="1" sizeWithCells="1">
                  <from>
                    <xdr:col>1</xdr:col>
                    <xdr:colOff>962025</xdr:colOff>
                    <xdr:row>402</xdr:row>
                    <xdr:rowOff>9525</xdr:rowOff>
                  </from>
                  <to>
                    <xdr:col>15</xdr:col>
                    <xdr:colOff>0</xdr:colOff>
                    <xdr:row>403</xdr:row>
                    <xdr:rowOff>0</xdr:rowOff>
                  </to>
                </anchor>
              </controlPr>
            </control>
          </mc:Choice>
        </mc:AlternateContent>
        <mc:AlternateContent xmlns:mc="http://schemas.openxmlformats.org/markup-compatibility/2006">
          <mc:Choice Requires="x14">
            <control shapeId="46206" r:id="rId130" name="Option Button 126">
              <controlPr defaultSize="0" autoFill="0" autoLine="0" autoPict="0">
                <anchor moveWithCells="1" sizeWithCells="1">
                  <from>
                    <xdr:col>1</xdr:col>
                    <xdr:colOff>990600</xdr:colOff>
                    <xdr:row>402</xdr:row>
                    <xdr:rowOff>28575</xdr:rowOff>
                  </from>
                  <to>
                    <xdr:col>3</xdr:col>
                    <xdr:colOff>57150</xdr:colOff>
                    <xdr:row>402</xdr:row>
                    <xdr:rowOff>219075</xdr:rowOff>
                  </to>
                </anchor>
              </controlPr>
            </control>
          </mc:Choice>
        </mc:AlternateContent>
        <mc:AlternateContent xmlns:mc="http://schemas.openxmlformats.org/markup-compatibility/2006">
          <mc:Choice Requires="x14">
            <control shapeId="46207" r:id="rId131" name="Option Button 127">
              <controlPr defaultSize="0" autoFill="0" autoLine="0" autoPict="0">
                <anchor moveWithCells="1" sizeWithCells="1">
                  <from>
                    <xdr:col>3</xdr:col>
                    <xdr:colOff>38100</xdr:colOff>
                    <xdr:row>402</xdr:row>
                    <xdr:rowOff>28575</xdr:rowOff>
                  </from>
                  <to>
                    <xdr:col>11</xdr:col>
                    <xdr:colOff>28575</xdr:colOff>
                    <xdr:row>402</xdr:row>
                    <xdr:rowOff>219075</xdr:rowOff>
                  </to>
                </anchor>
              </controlPr>
            </control>
          </mc:Choice>
        </mc:AlternateContent>
        <mc:AlternateContent xmlns:mc="http://schemas.openxmlformats.org/markup-compatibility/2006">
          <mc:Choice Requires="x14">
            <control shapeId="46208" r:id="rId132" name="Option Button 128">
              <controlPr defaultSize="0" autoFill="0" autoLine="0" autoPict="0">
                <anchor moveWithCells="1" sizeWithCells="1">
                  <from>
                    <xdr:col>11</xdr:col>
                    <xdr:colOff>9525</xdr:colOff>
                    <xdr:row>402</xdr:row>
                    <xdr:rowOff>28575</xdr:rowOff>
                  </from>
                  <to>
                    <xdr:col>14</xdr:col>
                    <xdr:colOff>571500</xdr:colOff>
                    <xdr:row>402</xdr:row>
                    <xdr:rowOff>219075</xdr:rowOff>
                  </to>
                </anchor>
              </controlPr>
            </control>
          </mc:Choice>
        </mc:AlternateContent>
        <mc:AlternateContent xmlns:mc="http://schemas.openxmlformats.org/markup-compatibility/2006">
          <mc:Choice Requires="x14">
            <control shapeId="46219" r:id="rId133" name="Group Box 139">
              <controlPr defaultSize="0" autoFill="0" autoPict="0">
                <anchor moveWithCells="1" sizeWithCells="1">
                  <from>
                    <xdr:col>1</xdr:col>
                    <xdr:colOff>0</xdr:colOff>
                    <xdr:row>422</xdr:row>
                    <xdr:rowOff>19050</xdr:rowOff>
                  </from>
                  <to>
                    <xdr:col>1</xdr:col>
                    <xdr:colOff>1428750</xdr:colOff>
                    <xdr:row>426</xdr:row>
                    <xdr:rowOff>0</xdr:rowOff>
                  </to>
                </anchor>
              </controlPr>
            </control>
          </mc:Choice>
        </mc:AlternateContent>
        <mc:AlternateContent xmlns:mc="http://schemas.openxmlformats.org/markup-compatibility/2006">
          <mc:Choice Requires="x14">
            <control shapeId="46220" r:id="rId134" name="Option Button 140">
              <controlPr defaultSize="0" autoFill="0" autoLine="0" autoPict="0">
                <anchor moveWithCells="1" sizeWithCells="1">
                  <from>
                    <xdr:col>1</xdr:col>
                    <xdr:colOff>1085850</xdr:colOff>
                    <xdr:row>422</xdr:row>
                    <xdr:rowOff>57150</xdr:rowOff>
                  </from>
                  <to>
                    <xdr:col>1</xdr:col>
                    <xdr:colOff>1390650</xdr:colOff>
                    <xdr:row>422</xdr:row>
                    <xdr:rowOff>295275</xdr:rowOff>
                  </to>
                </anchor>
              </controlPr>
            </control>
          </mc:Choice>
        </mc:AlternateContent>
        <mc:AlternateContent xmlns:mc="http://schemas.openxmlformats.org/markup-compatibility/2006">
          <mc:Choice Requires="x14">
            <control shapeId="46221" r:id="rId135" name="Option Button 141">
              <controlPr defaultSize="0" autoFill="0" autoLine="0" autoPict="0">
                <anchor moveWithCells="1" sizeWithCells="1">
                  <from>
                    <xdr:col>1</xdr:col>
                    <xdr:colOff>1085850</xdr:colOff>
                    <xdr:row>423</xdr:row>
                    <xdr:rowOff>76200</xdr:rowOff>
                  </from>
                  <to>
                    <xdr:col>1</xdr:col>
                    <xdr:colOff>1390650</xdr:colOff>
                    <xdr:row>423</xdr:row>
                    <xdr:rowOff>314325</xdr:rowOff>
                  </to>
                </anchor>
              </controlPr>
            </control>
          </mc:Choice>
        </mc:AlternateContent>
        <mc:AlternateContent xmlns:mc="http://schemas.openxmlformats.org/markup-compatibility/2006">
          <mc:Choice Requires="x14">
            <control shapeId="46222" r:id="rId136" name="Option Button 142">
              <controlPr defaultSize="0" autoFill="0" autoLine="0" autoPict="0">
                <anchor moveWithCells="1" sizeWithCells="1">
                  <from>
                    <xdr:col>1</xdr:col>
                    <xdr:colOff>1095375</xdr:colOff>
                    <xdr:row>423</xdr:row>
                    <xdr:rowOff>419100</xdr:rowOff>
                  </from>
                  <to>
                    <xdr:col>1</xdr:col>
                    <xdr:colOff>1400175</xdr:colOff>
                    <xdr:row>424</xdr:row>
                    <xdr:rowOff>180975</xdr:rowOff>
                  </to>
                </anchor>
              </controlPr>
            </control>
          </mc:Choice>
        </mc:AlternateContent>
        <mc:AlternateContent xmlns:mc="http://schemas.openxmlformats.org/markup-compatibility/2006">
          <mc:Choice Requires="x14">
            <control shapeId="46223" r:id="rId137" name="Option Button 143">
              <controlPr defaultSize="0" autoFill="0" autoLine="0" autoPict="0">
                <anchor moveWithCells="1" sizeWithCells="1">
                  <from>
                    <xdr:col>1</xdr:col>
                    <xdr:colOff>1095375</xdr:colOff>
                    <xdr:row>424</xdr:row>
                    <xdr:rowOff>323850</xdr:rowOff>
                  </from>
                  <to>
                    <xdr:col>1</xdr:col>
                    <xdr:colOff>1400175</xdr:colOff>
                    <xdr:row>425</xdr:row>
                    <xdr:rowOff>219075</xdr:rowOff>
                  </to>
                </anchor>
              </controlPr>
            </control>
          </mc:Choice>
        </mc:AlternateContent>
        <mc:AlternateContent xmlns:mc="http://schemas.openxmlformats.org/markup-compatibility/2006">
          <mc:Choice Requires="x14">
            <control shapeId="46224" r:id="rId138" name="Option Button 144">
              <controlPr defaultSize="0" autoFill="0" autoLine="0" autoPict="0">
                <anchor moveWithCells="1" sizeWithCells="1">
                  <from>
                    <xdr:col>1</xdr:col>
                    <xdr:colOff>333375</xdr:colOff>
                    <xdr:row>423</xdr:row>
                    <xdr:rowOff>228600</xdr:rowOff>
                  </from>
                  <to>
                    <xdr:col>1</xdr:col>
                    <xdr:colOff>742950</xdr:colOff>
                    <xdr:row>424</xdr:row>
                    <xdr:rowOff>76200</xdr:rowOff>
                  </to>
                </anchor>
              </controlPr>
            </control>
          </mc:Choice>
        </mc:AlternateContent>
        <mc:AlternateContent xmlns:mc="http://schemas.openxmlformats.org/markup-compatibility/2006">
          <mc:Choice Requires="x14">
            <control shapeId="46233" r:id="rId139" name="Group Box 153">
              <controlPr defaultSize="0" autoFill="0" autoPict="0">
                <anchor moveWithCells="1" sizeWithCells="1">
                  <from>
                    <xdr:col>13</xdr:col>
                    <xdr:colOff>0</xdr:colOff>
                    <xdr:row>437</xdr:row>
                    <xdr:rowOff>0</xdr:rowOff>
                  </from>
                  <to>
                    <xdr:col>15</xdr:col>
                    <xdr:colOff>0</xdr:colOff>
                    <xdr:row>438</xdr:row>
                    <xdr:rowOff>0</xdr:rowOff>
                  </to>
                </anchor>
              </controlPr>
            </control>
          </mc:Choice>
        </mc:AlternateContent>
        <mc:AlternateContent xmlns:mc="http://schemas.openxmlformats.org/markup-compatibility/2006">
          <mc:Choice Requires="x14">
            <control shapeId="46234" r:id="rId140" name="Option Button 154">
              <controlPr defaultSize="0" autoFill="0" autoLine="0" autoPict="0">
                <anchor moveWithCells="1" sizeWithCells="1">
                  <from>
                    <xdr:col>13</xdr:col>
                    <xdr:colOff>57150</xdr:colOff>
                    <xdr:row>437</xdr:row>
                    <xdr:rowOff>85725</xdr:rowOff>
                  </from>
                  <to>
                    <xdr:col>14</xdr:col>
                    <xdr:colOff>38100</xdr:colOff>
                    <xdr:row>437</xdr:row>
                    <xdr:rowOff>428625</xdr:rowOff>
                  </to>
                </anchor>
              </controlPr>
            </control>
          </mc:Choice>
        </mc:AlternateContent>
        <mc:AlternateContent xmlns:mc="http://schemas.openxmlformats.org/markup-compatibility/2006">
          <mc:Choice Requires="x14">
            <control shapeId="46235" r:id="rId141" name="Option Button 155">
              <controlPr defaultSize="0" autoFill="0" autoLine="0" autoPict="0">
                <anchor moveWithCells="1" sizeWithCells="1">
                  <from>
                    <xdr:col>14</xdr:col>
                    <xdr:colOff>9525</xdr:colOff>
                    <xdr:row>437</xdr:row>
                    <xdr:rowOff>85725</xdr:rowOff>
                  </from>
                  <to>
                    <xdr:col>14</xdr:col>
                    <xdr:colOff>571500</xdr:colOff>
                    <xdr:row>437</xdr:row>
                    <xdr:rowOff>428625</xdr:rowOff>
                  </to>
                </anchor>
              </controlPr>
            </control>
          </mc:Choice>
        </mc:AlternateContent>
        <mc:AlternateContent xmlns:mc="http://schemas.openxmlformats.org/markup-compatibility/2006">
          <mc:Choice Requires="x14">
            <control shapeId="46237" r:id="rId142" name="Group Box 157">
              <controlPr defaultSize="0" autoFill="0" autoPict="0">
                <anchor moveWithCells="1" sizeWithCells="1">
                  <from>
                    <xdr:col>13</xdr:col>
                    <xdr:colOff>0</xdr:colOff>
                    <xdr:row>441</xdr:row>
                    <xdr:rowOff>0</xdr:rowOff>
                  </from>
                  <to>
                    <xdr:col>15</xdr:col>
                    <xdr:colOff>0</xdr:colOff>
                    <xdr:row>442</xdr:row>
                    <xdr:rowOff>0</xdr:rowOff>
                  </to>
                </anchor>
              </controlPr>
            </control>
          </mc:Choice>
        </mc:AlternateContent>
        <mc:AlternateContent xmlns:mc="http://schemas.openxmlformats.org/markup-compatibility/2006">
          <mc:Choice Requires="x14">
            <control shapeId="46238" r:id="rId143" name="Option Button 158">
              <controlPr defaultSize="0" autoFill="0" autoLine="0" autoPict="0">
                <anchor moveWithCells="1" sizeWithCells="1">
                  <from>
                    <xdr:col>13</xdr:col>
                    <xdr:colOff>57150</xdr:colOff>
                    <xdr:row>441</xdr:row>
                    <xdr:rowOff>28575</xdr:rowOff>
                  </from>
                  <to>
                    <xdr:col>14</xdr:col>
                    <xdr:colOff>38100</xdr:colOff>
                    <xdr:row>441</xdr:row>
                    <xdr:rowOff>190500</xdr:rowOff>
                  </to>
                </anchor>
              </controlPr>
            </control>
          </mc:Choice>
        </mc:AlternateContent>
        <mc:AlternateContent xmlns:mc="http://schemas.openxmlformats.org/markup-compatibility/2006">
          <mc:Choice Requires="x14">
            <control shapeId="46239" r:id="rId144" name="Option Button 159">
              <controlPr defaultSize="0" autoFill="0" autoLine="0" autoPict="0">
                <anchor moveWithCells="1" sizeWithCells="1">
                  <from>
                    <xdr:col>14</xdr:col>
                    <xdr:colOff>9525</xdr:colOff>
                    <xdr:row>441</xdr:row>
                    <xdr:rowOff>28575</xdr:rowOff>
                  </from>
                  <to>
                    <xdr:col>14</xdr:col>
                    <xdr:colOff>571500</xdr:colOff>
                    <xdr:row>441</xdr:row>
                    <xdr:rowOff>190500</xdr:rowOff>
                  </to>
                </anchor>
              </controlPr>
            </control>
          </mc:Choice>
        </mc:AlternateContent>
        <mc:AlternateContent xmlns:mc="http://schemas.openxmlformats.org/markup-compatibility/2006">
          <mc:Choice Requires="x14">
            <control shapeId="46241" r:id="rId145" name="Group Box 161">
              <controlPr defaultSize="0" autoFill="0" autoPict="0">
                <anchor moveWithCells="1" sizeWithCells="1">
                  <from>
                    <xdr:col>1</xdr:col>
                    <xdr:colOff>0</xdr:colOff>
                    <xdr:row>371</xdr:row>
                    <xdr:rowOff>0</xdr:rowOff>
                  </from>
                  <to>
                    <xdr:col>14</xdr:col>
                    <xdr:colOff>552450</xdr:colOff>
                    <xdr:row>372</xdr:row>
                    <xdr:rowOff>0</xdr:rowOff>
                  </to>
                </anchor>
              </controlPr>
            </control>
          </mc:Choice>
        </mc:AlternateContent>
        <mc:AlternateContent xmlns:mc="http://schemas.openxmlformats.org/markup-compatibility/2006">
          <mc:Choice Requires="x14">
            <control shapeId="46242" r:id="rId146" name="Option Button 162">
              <controlPr defaultSize="0" autoFill="0" autoLine="0" autoPict="0">
                <anchor moveWithCells="1" sizeWithCells="1">
                  <from>
                    <xdr:col>1</xdr:col>
                    <xdr:colOff>1143000</xdr:colOff>
                    <xdr:row>371</xdr:row>
                    <xdr:rowOff>19050</xdr:rowOff>
                  </from>
                  <to>
                    <xdr:col>3</xdr:col>
                    <xdr:colOff>228600</xdr:colOff>
                    <xdr:row>371</xdr:row>
                    <xdr:rowOff>257175</xdr:rowOff>
                  </to>
                </anchor>
              </controlPr>
            </control>
          </mc:Choice>
        </mc:AlternateContent>
        <mc:AlternateContent xmlns:mc="http://schemas.openxmlformats.org/markup-compatibility/2006">
          <mc:Choice Requires="x14">
            <control shapeId="46243" r:id="rId147" name="Option Button 163">
              <controlPr defaultSize="0" autoFill="0" autoLine="0" autoPict="0">
                <anchor moveWithCells="1" sizeWithCells="1">
                  <from>
                    <xdr:col>3</xdr:col>
                    <xdr:colOff>219075</xdr:colOff>
                    <xdr:row>371</xdr:row>
                    <xdr:rowOff>19050</xdr:rowOff>
                  </from>
                  <to>
                    <xdr:col>14</xdr:col>
                    <xdr:colOff>542925</xdr:colOff>
                    <xdr:row>371</xdr:row>
                    <xdr:rowOff>257175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IG669"/>
  <sheetViews>
    <sheetView showGridLines="0" zoomScale="120" zoomScaleNormal="120" workbookViewId="0"/>
  </sheetViews>
  <sheetFormatPr defaultColWidth="3.140625" defaultRowHeight="12.75" x14ac:dyDescent="0.2"/>
  <cols>
    <col min="1" max="1" width="0.85546875" style="2" customWidth="1"/>
    <col min="2" max="2" width="21.7109375" style="2" customWidth="1"/>
    <col min="3" max="3" width="3.28515625" style="2" customWidth="1"/>
    <col min="4" max="4" width="4.28515625" style="2" customWidth="1"/>
    <col min="5" max="5" width="3.42578125" style="2" customWidth="1"/>
    <col min="6" max="6" width="3.85546875" style="2" customWidth="1"/>
    <col min="7" max="7" width="4" style="2" customWidth="1"/>
    <col min="8" max="8" width="1.42578125" style="2" customWidth="1"/>
    <col min="9" max="9" width="1.85546875" style="2" customWidth="1"/>
    <col min="10" max="10" width="3.85546875" style="2" customWidth="1"/>
    <col min="11" max="11" width="3.7109375" style="2" customWidth="1"/>
    <col min="12" max="12" width="3.28515625" style="2" customWidth="1"/>
    <col min="13" max="13" width="6" style="2" customWidth="1"/>
    <col min="14" max="15" width="8.85546875" style="2" customWidth="1"/>
    <col min="16" max="16" width="8.5703125" style="2" customWidth="1"/>
    <col min="17" max="17" width="0.42578125" style="2" customWidth="1"/>
    <col min="18" max="18" width="15.5703125" style="2" hidden="1" customWidth="1"/>
    <col min="19" max="19" width="12.85546875" style="2" hidden="1" customWidth="1"/>
    <col min="20" max="20" width="13.7109375" style="2" hidden="1" customWidth="1"/>
    <col min="21" max="21" width="18" style="2" hidden="1" customWidth="1"/>
    <col min="22" max="22" width="20.140625" style="2" hidden="1" customWidth="1"/>
    <col min="23" max="23" width="21.28515625" style="2" hidden="1" customWidth="1"/>
    <col min="24" max="24" width="10.5703125" style="2" hidden="1" customWidth="1"/>
    <col min="25" max="26" width="19.85546875" style="2" hidden="1" customWidth="1"/>
    <col min="27" max="36" width="16.42578125" style="2" hidden="1" customWidth="1"/>
    <col min="37" max="130" width="3.140625" style="2" hidden="1" customWidth="1"/>
    <col min="131" max="255" width="3.140625" style="2" customWidth="1"/>
    <col min="256" max="16384" width="3.140625" style="2"/>
  </cols>
  <sheetData>
    <row r="1" spans="2:228" ht="15" customHeight="1" x14ac:dyDescent="0.2">
      <c r="B1" s="724" t="s">
        <v>1697</v>
      </c>
      <c r="C1" s="771"/>
      <c r="D1" s="732" t="str">
        <f>IF('Start here'!A6="","",'Start here'!A6)</f>
        <v/>
      </c>
      <c r="E1" s="736"/>
      <c r="F1" s="736"/>
      <c r="G1" s="736"/>
      <c r="H1" s="736"/>
      <c r="I1" s="736"/>
      <c r="J1" s="736"/>
      <c r="K1" s="737"/>
      <c r="M1" s="732" t="str">
        <f>IF('Start here'!A7="","",'Start here'!A7)</f>
        <v/>
      </c>
      <c r="N1" s="736"/>
      <c r="O1" s="736"/>
      <c r="P1" s="737"/>
      <c r="R1" s="242">
        <v>38353</v>
      </c>
      <c r="S1" s="910" t="str">
        <f>IF(R2&lt;R1,"Go to PPD Worksheet","")</f>
        <v>Go to PPD Worksheet</v>
      </c>
      <c r="T1" s="910"/>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228" ht="16.5" customHeight="1" x14ac:dyDescent="0.2">
      <c r="B2" s="777"/>
      <c r="C2" s="777"/>
      <c r="D2" s="777"/>
      <c r="E2" s="777"/>
      <c r="F2" s="777"/>
      <c r="G2" s="777"/>
      <c r="H2" s="777"/>
      <c r="I2" s="777"/>
      <c r="J2" s="777"/>
      <c r="K2" s="777"/>
      <c r="L2" s="777"/>
      <c r="M2" s="777"/>
      <c r="N2" s="777"/>
      <c r="O2" s="777"/>
      <c r="P2" s="777"/>
      <c r="R2" s="242">
        <f>'Start here'!A8</f>
        <v>0</v>
      </c>
      <c r="S2" s="910" t="str">
        <f>IF(R2&gt;=R1,"Go to PPD Worksheet","")</f>
        <v/>
      </c>
      <c r="T2" s="83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row>
    <row r="3" spans="2:228" ht="21" customHeight="1" x14ac:dyDescent="0.3">
      <c r="B3" s="778" t="s">
        <v>1250</v>
      </c>
      <c r="C3" s="779"/>
      <c r="D3" s="779"/>
      <c r="E3" s="779"/>
      <c r="F3" s="779"/>
      <c r="G3" s="779"/>
      <c r="H3" s="779"/>
      <c r="I3" s="779"/>
      <c r="J3" s="779"/>
      <c r="K3" s="779"/>
      <c r="L3" s="779"/>
      <c r="M3" s="779"/>
      <c r="N3" s="779"/>
      <c r="O3" s="779"/>
      <c r="P3" s="1090"/>
      <c r="R3" s="10"/>
      <c r="T3" s="277" t="s">
        <v>1414</v>
      </c>
      <c r="U3" s="565"/>
      <c r="V3" s="565"/>
      <c r="W3" s="565"/>
      <c r="X3" s="565"/>
      <c r="Y3" s="565"/>
      <c r="Z3" s="566"/>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row>
    <row r="4" spans="2:228" ht="30" customHeight="1" x14ac:dyDescent="0.2">
      <c r="B4" s="179" t="s">
        <v>396</v>
      </c>
      <c r="C4" s="1062" t="s">
        <v>335</v>
      </c>
      <c r="D4" s="1063"/>
      <c r="E4" s="1062" t="s">
        <v>336</v>
      </c>
      <c r="F4" s="1063"/>
      <c r="G4" s="1062" t="s">
        <v>337</v>
      </c>
      <c r="H4" s="1063"/>
      <c r="I4" s="1063"/>
      <c r="J4" s="1062" t="s">
        <v>338</v>
      </c>
      <c r="K4" s="1063"/>
      <c r="L4" s="1062" t="s">
        <v>339</v>
      </c>
      <c r="M4" s="1063"/>
      <c r="N4" s="364" t="s">
        <v>700</v>
      </c>
      <c r="O4" s="363" t="s">
        <v>658</v>
      </c>
      <c r="P4" s="363" t="s">
        <v>1859</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row>
    <row r="5" spans="2:228" ht="9" customHeight="1" x14ac:dyDescent="0.2">
      <c r="B5" s="777"/>
      <c r="C5" s="777"/>
      <c r="D5" s="777"/>
      <c r="E5" s="777"/>
      <c r="F5" s="777"/>
      <c r="G5" s="777"/>
      <c r="H5" s="777"/>
      <c r="I5" s="777"/>
      <c r="J5" s="777"/>
      <c r="K5" s="777"/>
      <c r="L5" s="777"/>
      <c r="M5" s="777"/>
      <c r="N5" s="777"/>
      <c r="O5" s="777"/>
      <c r="P5" s="777"/>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row>
    <row r="6" spans="2:228" ht="18" customHeight="1" x14ac:dyDescent="0.2">
      <c r="B6" s="947" t="s">
        <v>1251</v>
      </c>
      <c r="C6" s="863"/>
      <c r="D6" s="863"/>
      <c r="E6" s="863"/>
      <c r="F6" s="863"/>
      <c r="G6" s="863"/>
      <c r="H6" s="863"/>
      <c r="I6" s="863"/>
      <c r="J6" s="863"/>
      <c r="K6" s="863"/>
      <c r="L6" s="863"/>
      <c r="M6" s="863"/>
      <c r="N6" s="863"/>
      <c r="O6" s="863"/>
      <c r="P6" s="863"/>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row>
    <row r="7" spans="2:228" ht="15" customHeight="1" x14ac:dyDescent="0.2">
      <c r="B7" s="910" t="s">
        <v>1252</v>
      </c>
      <c r="C7" s="910"/>
      <c r="D7" s="910"/>
      <c r="E7" s="910"/>
      <c r="F7" s="910"/>
      <c r="G7" s="910"/>
      <c r="H7" s="910"/>
      <c r="I7" s="910"/>
      <c r="J7" s="910"/>
      <c r="K7" s="910"/>
      <c r="L7" s="910"/>
      <c r="M7" s="910"/>
      <c r="N7" s="910"/>
      <c r="O7" s="910"/>
      <c r="P7" s="910"/>
      <c r="R7" s="10"/>
      <c r="S7" s="10"/>
      <c r="T7" s="761" t="s">
        <v>1253</v>
      </c>
      <c r="U7" s="50" t="s">
        <v>1298</v>
      </c>
      <c r="V7" s="50" t="s">
        <v>1745</v>
      </c>
      <c r="W7" s="552" t="s">
        <v>690</v>
      </c>
      <c r="X7" s="50" t="s">
        <v>691</v>
      </c>
      <c r="Y7" s="50" t="s">
        <v>692</v>
      </c>
      <c r="Z7" s="50" t="s">
        <v>693</v>
      </c>
      <c r="AA7" s="147" t="s">
        <v>1617</v>
      </c>
      <c r="AB7" s="147" t="s">
        <v>1618</v>
      </c>
      <c r="AC7" s="147" t="s">
        <v>1619</v>
      </c>
      <c r="AD7" s="50" t="s">
        <v>1086</v>
      </c>
      <c r="AE7" s="50" t="s">
        <v>1087</v>
      </c>
      <c r="AF7" s="50" t="s">
        <v>1088</v>
      </c>
      <c r="AG7" s="50" t="s">
        <v>1585</v>
      </c>
      <c r="AH7" s="50" t="s">
        <v>1028</v>
      </c>
      <c r="AI7" s="50" t="s">
        <v>1029</v>
      </c>
      <c r="AJ7" s="50" t="s">
        <v>1636</v>
      </c>
      <c r="AK7" s="50" t="s">
        <v>1328</v>
      </c>
      <c r="AL7" s="50" t="s">
        <v>1329</v>
      </c>
      <c r="AM7" s="50" t="s">
        <v>1330</v>
      </c>
      <c r="AN7" s="50" t="s">
        <v>193</v>
      </c>
      <c r="AO7" s="50" t="s">
        <v>194</v>
      </c>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row>
    <row r="8" spans="2:228" ht="18" customHeight="1" x14ac:dyDescent="0.2">
      <c r="B8" s="1012"/>
      <c r="C8" s="1012"/>
      <c r="D8" s="1012"/>
      <c r="E8" s="1012"/>
      <c r="F8" s="1012"/>
      <c r="G8" s="1012"/>
      <c r="H8" s="1012"/>
      <c r="I8" s="1012"/>
      <c r="J8" s="1012"/>
      <c r="K8" s="1012"/>
      <c r="L8" s="1012"/>
      <c r="M8" s="1012"/>
      <c r="N8" s="1012"/>
      <c r="O8" s="1012"/>
      <c r="P8" s="21">
        <f>SUMIF(U7:AO7,B8,U8:AO8)</f>
        <v>0</v>
      </c>
      <c r="R8" s="10"/>
      <c r="S8" s="10"/>
      <c r="T8" s="761"/>
      <c r="U8" s="548">
        <v>0</v>
      </c>
      <c r="V8" s="147">
        <v>0.05</v>
      </c>
      <c r="W8" s="147">
        <v>0.1</v>
      </c>
      <c r="X8" s="147">
        <v>0.15</v>
      </c>
      <c r="Y8" s="147">
        <v>0.2</v>
      </c>
      <c r="Z8" s="147">
        <v>0.25</v>
      </c>
      <c r="AA8" s="147">
        <v>0.3</v>
      </c>
      <c r="AB8" s="147">
        <v>0.35</v>
      </c>
      <c r="AC8" s="147">
        <v>0.4</v>
      </c>
      <c r="AD8" s="147">
        <v>0.45</v>
      </c>
      <c r="AE8" s="147">
        <v>0.5</v>
      </c>
      <c r="AF8" s="147">
        <v>0.55000000000000004</v>
      </c>
      <c r="AG8" s="147">
        <v>0.6</v>
      </c>
      <c r="AH8" s="147">
        <v>0.65</v>
      </c>
      <c r="AI8" s="147">
        <v>0.7</v>
      </c>
      <c r="AJ8" s="147">
        <v>0.75</v>
      </c>
      <c r="AK8" s="147">
        <v>0.8</v>
      </c>
      <c r="AL8" s="147">
        <v>0.85</v>
      </c>
      <c r="AM8" s="147">
        <v>0.9</v>
      </c>
      <c r="AN8" s="147">
        <v>0.95</v>
      </c>
      <c r="AO8" s="147">
        <v>1</v>
      </c>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row>
    <row r="9" spans="2:228" ht="12" customHeight="1" x14ac:dyDescent="0.25">
      <c r="B9" s="1220"/>
      <c r="C9" s="1220"/>
      <c r="D9" s="1220"/>
      <c r="E9" s="1220"/>
      <c r="F9" s="1220"/>
      <c r="G9" s="1220"/>
      <c r="H9" s="1220"/>
      <c r="I9" s="1220"/>
      <c r="J9" s="1220"/>
      <c r="K9" s="1220"/>
      <c r="L9" s="1220"/>
      <c r="M9" s="1220"/>
      <c r="N9" s="1220"/>
      <c r="O9" s="1220"/>
      <c r="P9" s="122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row>
    <row r="10" spans="2:228" ht="18" customHeight="1" x14ac:dyDescent="0.2">
      <c r="B10" s="944" t="s">
        <v>1174</v>
      </c>
      <c r="C10" s="945"/>
      <c r="D10" s="945"/>
      <c r="E10" s="945"/>
      <c r="F10" s="945"/>
      <c r="G10" s="945"/>
      <c r="H10" s="945"/>
      <c r="I10" s="945"/>
      <c r="J10" s="945"/>
      <c r="K10" s="945"/>
      <c r="L10" s="945"/>
      <c r="M10" s="945"/>
      <c r="N10" s="945"/>
      <c r="O10" s="945"/>
      <c r="P10" s="830"/>
      <c r="R10" s="10"/>
      <c r="S10" s="58"/>
      <c r="T10" s="58"/>
      <c r="U10" s="58"/>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row>
    <row r="11" spans="2:228" ht="27" customHeight="1" x14ac:dyDescent="0.25">
      <c r="B11" s="378"/>
      <c r="C11" s="832" t="s">
        <v>1564</v>
      </c>
      <c r="D11" s="832"/>
      <c r="E11" s="832"/>
      <c r="F11" s="832"/>
      <c r="G11" s="1066" t="s">
        <v>1064</v>
      </c>
      <c r="H11" s="1066"/>
      <c r="I11" s="1066"/>
      <c r="J11" s="1066"/>
      <c r="K11" s="1066"/>
      <c r="L11" s="1179"/>
      <c r="M11" s="1179"/>
      <c r="N11" s="1179"/>
      <c r="O11" s="1179"/>
      <c r="P11" s="831"/>
      <c r="R11" s="10"/>
      <c r="T11" s="912" t="s">
        <v>1238</v>
      </c>
      <c r="U11" s="912"/>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row>
    <row r="12" spans="2:228" ht="15" customHeight="1" x14ac:dyDescent="0.2">
      <c r="B12" s="293" t="s">
        <v>1065</v>
      </c>
      <c r="C12" s="910"/>
      <c r="D12" s="910"/>
      <c r="E12" s="910" t="s">
        <v>1759</v>
      </c>
      <c r="F12" s="910"/>
      <c r="G12" s="910" t="s">
        <v>355</v>
      </c>
      <c r="H12" s="910"/>
      <c r="I12" s="910"/>
      <c r="J12" s="910" t="s">
        <v>1759</v>
      </c>
      <c r="K12" s="910"/>
      <c r="L12" s="1235"/>
      <c r="M12" s="1236"/>
      <c r="N12" s="1236"/>
      <c r="O12" s="1237"/>
      <c r="P12" s="831"/>
      <c r="R12" s="10"/>
      <c r="S12" s="127" t="s">
        <v>1541</v>
      </c>
      <c r="T12" s="256" t="s">
        <v>1564</v>
      </c>
      <c r="U12" s="256" t="s">
        <v>1565</v>
      </c>
      <c r="V12" s="910" t="s">
        <v>1066</v>
      </c>
      <c r="W12" s="9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row>
    <row r="13" spans="2:228" ht="15" customHeight="1" x14ac:dyDescent="0.2">
      <c r="B13" s="293" t="s">
        <v>1237</v>
      </c>
      <c r="C13" s="1222"/>
      <c r="D13" s="1223"/>
      <c r="E13" s="1171">
        <f>LETable!AT3</f>
        <v>0</v>
      </c>
      <c r="F13" s="1171"/>
      <c r="G13" s="730"/>
      <c r="H13" s="877"/>
      <c r="I13" s="877"/>
      <c r="J13" s="1228">
        <f>IF(C13="",0,IF(OR(C13&lt;=0,G13&lt;=0),E13,IF(G13&lt;C13,0,LETable!AY3)))</f>
        <v>0</v>
      </c>
      <c r="K13" s="1229"/>
      <c r="L13" s="1181" t="str">
        <f>IF(OR(C13="NA",G13="NA"),"",IF(AND(C13&lt;&gt;"",G13=""),"Enter contralateral or NA.",IF(AND(C13="",G13&lt;&gt;""),"Need data","")))</f>
        <v/>
      </c>
      <c r="M13" s="1182"/>
      <c r="N13" s="1182"/>
      <c r="O13" s="1182"/>
      <c r="P13" s="831"/>
      <c r="R13" s="131"/>
      <c r="S13" s="50">
        <v>30</v>
      </c>
      <c r="T13" s="50" t="str">
        <f>IF(OR(C13="",C13="NA"),"",IF(C13&gt;S13,S13,IF(C13&lt;0,0,C13)))</f>
        <v/>
      </c>
      <c r="U13" s="50" t="str">
        <f>IF(OR(G13="",G13="NA"),"",IF(G13&gt;S13,S13,IF(G13&lt;0,0,G13)))</f>
        <v/>
      </c>
      <c r="V13" s="553" t="str">
        <f>IF(W13="","",ROUND(W13,0))</f>
        <v/>
      </c>
      <c r="W13" s="554" t="str">
        <f>IF(T13="","",IF(OR(U13="",U13=0,U13&lt;T13),T13,(T13*S13)/U13))</f>
        <v/>
      </c>
      <c r="X13" s="10"/>
      <c r="Y13" s="58"/>
      <c r="Z13" s="58"/>
      <c r="AA13" s="58"/>
      <c r="AB13" s="58"/>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row>
    <row r="14" spans="2:228" ht="15" customHeight="1" x14ac:dyDescent="0.2">
      <c r="B14" s="293" t="s">
        <v>1801</v>
      </c>
      <c r="C14" s="1222"/>
      <c r="D14" s="1223"/>
      <c r="E14" s="1276">
        <f>IF(AND(C14&lt;&gt;"",C14&lt;&gt;"NA",C13&lt;&gt;"NA",C13&lt;&gt;""),"ERROR",LETable!AT4)</f>
        <v>0</v>
      </c>
      <c r="F14" s="1277"/>
      <c r="G14" s="931" t="str">
        <f>IF(E14="ERROR","Error: Cannot rate ROM and ankylosis.","")</f>
        <v/>
      </c>
      <c r="H14" s="1180"/>
      <c r="I14" s="1180"/>
      <c r="J14" s="1180"/>
      <c r="K14" s="1180"/>
      <c r="L14" s="1180"/>
      <c r="M14" s="1180"/>
      <c r="N14" s="1180"/>
      <c r="O14" s="1180"/>
      <c r="P14" s="831"/>
      <c r="S14" s="50">
        <v>30</v>
      </c>
      <c r="T14" s="50" t="str">
        <f>IF(OR(C14="",C14="NA"),"",IF(C14&gt;S14,S14,IF(C14&lt;0,0,C14)))</f>
        <v/>
      </c>
      <c r="U14" s="10"/>
      <c r="V14" s="61"/>
      <c r="W14" s="10"/>
      <c r="X14" s="10"/>
      <c r="Y14" s="6"/>
      <c r="Z14" s="6"/>
      <c r="AA14" s="6"/>
      <c r="AB14" s="6"/>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row>
    <row r="15" spans="2:228" ht="15" customHeight="1" x14ac:dyDescent="0.2">
      <c r="B15" s="293" t="s">
        <v>1802</v>
      </c>
      <c r="C15" s="1267"/>
      <c r="D15" s="1268"/>
      <c r="E15" s="1268"/>
      <c r="F15" s="1268"/>
      <c r="G15" s="1268"/>
      <c r="H15" s="1268"/>
      <c r="I15" s="1268"/>
      <c r="J15" s="1268"/>
      <c r="K15" s="1269"/>
      <c r="L15" s="1006" t="s">
        <v>1803</v>
      </c>
      <c r="M15" s="1007"/>
      <c r="N15" s="1008"/>
      <c r="O15" s="59">
        <f>IF(E14="ERROR","ERROR",IF(R15&gt;1,1,R15))</f>
        <v>0</v>
      </c>
      <c r="P15" s="831"/>
      <c r="R15" s="192">
        <f>J13+E14</f>
        <v>0</v>
      </c>
      <c r="S15" s="10"/>
      <c r="T15" s="10"/>
      <c r="U15" s="10"/>
      <c r="V15" s="10"/>
      <c r="W15" s="10"/>
      <c r="X15" s="10"/>
      <c r="Y15" s="6"/>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row>
    <row r="16" spans="2:228" ht="15" customHeight="1" x14ac:dyDescent="0.2">
      <c r="B16" s="294" t="s">
        <v>1312</v>
      </c>
      <c r="C16" s="1035"/>
      <c r="D16" s="1035"/>
      <c r="E16" s="1171">
        <f>LETable!AT6</f>
        <v>0</v>
      </c>
      <c r="F16" s="1171"/>
      <c r="G16" s="730"/>
      <c r="H16" s="877"/>
      <c r="I16" s="877"/>
      <c r="J16" s="1178">
        <f>IF(C16="",0,IF(OR(C16&lt;=0,G16&lt;=0),E16,IF(G16&lt;C16,0,LETable!AY6)))</f>
        <v>0</v>
      </c>
      <c r="K16" s="1178"/>
      <c r="L16" s="1232" t="str">
        <f>IF(OR(C16="NA",G16="NA"),"",IF(AND(C16&lt;&gt;"",G16=""),"Enter contralateral or NA.",IF(AND(C16="",G16&lt;&gt;""),"Need data","")))</f>
        <v/>
      </c>
      <c r="M16" s="1232"/>
      <c r="N16" s="1232"/>
      <c r="O16" s="1232"/>
      <c r="P16" s="831"/>
      <c r="S16" s="50">
        <v>50</v>
      </c>
      <c r="T16" s="50" t="str">
        <f>IF(OR(C16="",C16="NA"),"",IF(C16&gt;S16,S16,IF(C16&lt;0,0,C16)))</f>
        <v/>
      </c>
      <c r="U16" s="50" t="str">
        <f>IF(OR(G16="",G16="NA"),"",IF(G16&gt;S16,S16,IF(G16&lt;0,0,G16)))</f>
        <v/>
      </c>
      <c r="V16" s="553" t="str">
        <f>IF(W16="","",ROUND(W16,0))</f>
        <v/>
      </c>
      <c r="W16" s="554" t="str">
        <f>IF(T16="","",IF(OR(U16="",U16=0,U16&lt;T16),T16,(T16*S16)/U16))</f>
        <v/>
      </c>
      <c r="X16" s="10"/>
      <c r="Y16" s="6"/>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row>
    <row r="17" spans="1:228" ht="15" customHeight="1" x14ac:dyDescent="0.2">
      <c r="B17" s="294" t="s">
        <v>1313</v>
      </c>
      <c r="C17" s="1227"/>
      <c r="D17" s="1227"/>
      <c r="E17" s="1171">
        <f>IF(AND(C17&lt;&gt;"",C17&lt;&gt;"NA",C16&lt;&gt;"NA",C16&lt;&gt;""),"ERROR",IF(AND(C17&lt;&gt;"",C17&lt;&gt;"NA",C18&lt;&gt;"",C18&lt;&gt;"NA"),"ERROR",LETable!AT7))</f>
        <v>0</v>
      </c>
      <c r="F17" s="1171"/>
      <c r="G17" s="930" t="str">
        <f>IF(E17="ERROR","Error: Cannot rate ROM and ankylosis.","")</f>
        <v/>
      </c>
      <c r="H17" s="930"/>
      <c r="I17" s="930"/>
      <c r="J17" s="930"/>
      <c r="K17" s="930"/>
      <c r="L17" s="930"/>
      <c r="M17" s="930"/>
      <c r="N17" s="930"/>
      <c r="O17" s="930"/>
      <c r="P17" s="831"/>
      <c r="R17" s="10"/>
      <c r="S17" s="50">
        <v>50</v>
      </c>
      <c r="T17" s="50" t="str">
        <f>IF(OR(C17="",C17="NA"),"",IF(C17&gt;S17,S17,IF(C17&lt;0,0,C17)))</f>
        <v/>
      </c>
      <c r="U17" s="10"/>
      <c r="V17" s="10"/>
      <c r="W17" s="10"/>
      <c r="X17" s="10"/>
      <c r="Y17" s="6"/>
      <c r="Z17" s="6"/>
      <c r="AA17" s="6"/>
      <c r="AB17" s="6"/>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row>
    <row r="18" spans="1:228" ht="15" customHeight="1" x14ac:dyDescent="0.2">
      <c r="B18" s="127" t="s">
        <v>1237</v>
      </c>
      <c r="C18" s="1227"/>
      <c r="D18" s="1227"/>
      <c r="E18" s="1171">
        <f>LETable!AT8</f>
        <v>0</v>
      </c>
      <c r="F18" s="1171"/>
      <c r="G18" s="730"/>
      <c r="H18" s="877"/>
      <c r="I18" s="877"/>
      <c r="J18" s="1178">
        <f>IF(C18="",0,IF(OR(C18&lt;=0,G18&lt;=0),E18,IF(G18&lt;C18,0,LETable!AY8)))</f>
        <v>0</v>
      </c>
      <c r="K18" s="1178"/>
      <c r="L18" s="1232" t="str">
        <f>IF(OR(C18="NA",G18="NA"),"",IF(AND(C18&lt;&gt;"",G18=""),"Enter contralateral or NA.",IF(AND(C18="",G18&lt;&gt;""),"Need data","")))</f>
        <v/>
      </c>
      <c r="M18" s="1232"/>
      <c r="N18" s="1232"/>
      <c r="O18" s="1232"/>
      <c r="P18" s="831"/>
      <c r="R18" s="10"/>
      <c r="S18" s="50">
        <v>30</v>
      </c>
      <c r="T18" s="50" t="str">
        <f>IF(OR(C18="",C18="NA"),"",IF(C18&gt;S18,S18,IF(C18&lt;0,0,C18)))</f>
        <v/>
      </c>
      <c r="U18" s="50" t="str">
        <f>IF(OR(G18="",G18="NA"),"",IF(G18&gt;S18,S18,IF(G18&lt;0,0,G18)))</f>
        <v/>
      </c>
      <c r="V18" s="553" t="str">
        <f>IF(W18="","",ROUND(W18,0))</f>
        <v/>
      </c>
      <c r="W18" s="554" t="str">
        <f>IF(T18="","",IF(OR(U18="",U18=0,U18&lt;T18),T18,(T18*S18)/U18))</f>
        <v/>
      </c>
      <c r="X18" s="10"/>
      <c r="Y18" s="50" t="s">
        <v>1287</v>
      </c>
      <c r="Z18" s="50" t="s">
        <v>1285</v>
      </c>
      <c r="AA18" s="50" t="s">
        <v>1286</v>
      </c>
      <c r="AB18" s="50" t="s">
        <v>1287</v>
      </c>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row>
    <row r="19" spans="1:228" ht="15" customHeight="1" x14ac:dyDescent="0.2">
      <c r="B19" s="293" t="s">
        <v>1801</v>
      </c>
      <c r="C19" s="1222"/>
      <c r="D19" s="1223"/>
      <c r="E19" s="1171">
        <f>IF(AND(C19&lt;&gt;"",C19&lt;&gt;"NA",C18&lt;&gt;"NA",C18&lt;&gt;""),"ERROR",IF(AND(C19&lt;&gt;"",C19&lt;&gt;"NA",C16&lt;&gt;"",C16&lt;&gt;"NA"),"ERROR",LETable!AT9))</f>
        <v>0</v>
      </c>
      <c r="F19" s="1171"/>
      <c r="G19" s="1172" t="str">
        <f>IF(E19="ERROR","Error: Cannot rate ROM and ankylosis.",IF(AND(C17&lt;&gt;"",C17&lt;&gt;"NA",C19&lt;&gt;"",C19&lt;&gt;"NA"),"Multiple ankylosis values; use higher value only.",""))</f>
        <v/>
      </c>
      <c r="H19" s="1173"/>
      <c r="I19" s="1173"/>
      <c r="J19" s="1173"/>
      <c r="K19" s="1173"/>
      <c r="L19" s="1173"/>
      <c r="M19" s="1173"/>
      <c r="N19" s="1173"/>
      <c r="O19" s="1174"/>
      <c r="P19" s="831"/>
      <c r="R19" s="10"/>
      <c r="S19" s="50">
        <v>30</v>
      </c>
      <c r="T19" s="50" t="str">
        <f>IF(OR(C19="",C19="NA"),"",IF(C19&gt;S19,S19,IF(C19&lt;0,0,C19)))</f>
        <v/>
      </c>
      <c r="U19" s="10"/>
      <c r="V19" s="10"/>
      <c r="W19" s="10"/>
      <c r="X19" s="10"/>
      <c r="Y19" s="548">
        <f>IF(AND(O15&gt;0,O15&lt;0.01),0.01,ROUND(O15,2))</f>
        <v>0</v>
      </c>
      <c r="Z19" s="147">
        <f>LARGE(Y19:Y20,1)</f>
        <v>0</v>
      </c>
      <c r="AA19" s="544">
        <f>Z19+Z20*(1-Z19)</f>
        <v>0</v>
      </c>
      <c r="AB19" s="544">
        <f>ROUND(AA19,2)</f>
        <v>0</v>
      </c>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row>
    <row r="20" spans="1:228" ht="21" customHeight="1" x14ac:dyDescent="0.2">
      <c r="B20" s="1122"/>
      <c r="C20" s="1122"/>
      <c r="D20" s="1122"/>
      <c r="E20" s="1122"/>
      <c r="F20" s="1122"/>
      <c r="G20" s="1122"/>
      <c r="H20" s="1122"/>
      <c r="I20" s="1122"/>
      <c r="J20" s="1122"/>
      <c r="K20" s="1006" t="s">
        <v>1803</v>
      </c>
      <c r="L20" s="1007"/>
      <c r="M20" s="1007"/>
      <c r="N20" s="1008"/>
      <c r="O20" s="59">
        <f>IF(OR(E17="ERROR",E19="ERROR"),"ERROR",IF(R20&gt;1,1,R20))</f>
        <v>0</v>
      </c>
      <c r="P20" s="832"/>
      <c r="R20" s="192">
        <f>SUM(J16,J18,W20)</f>
        <v>0</v>
      </c>
      <c r="S20" s="10"/>
      <c r="T20" s="10"/>
      <c r="U20" s="10"/>
      <c r="V20" s="10"/>
      <c r="W20" s="581">
        <f>IF(AND(E17&lt;&gt;"ERROR",E19&lt;&gt;"ERROR",C19&lt;&gt;"",E19&lt;&gt;""),MAX(E17,E19),E17+E19)</f>
        <v>0</v>
      </c>
      <c r="X20" s="10"/>
      <c r="Y20" s="548">
        <f>IF(AND(O20&gt;0,O20&lt;0.01),0.01,ROUND(O20,2))</f>
        <v>0</v>
      </c>
      <c r="Z20" s="147">
        <f>LARGE(Y19:Y20,2)</f>
        <v>0</v>
      </c>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row>
    <row r="21" spans="1:228" ht="21" customHeight="1" x14ac:dyDescent="0.2">
      <c r="B21" s="1122"/>
      <c r="C21" s="1122"/>
      <c r="D21" s="1122"/>
      <c r="E21" s="1122"/>
      <c r="F21" s="1122"/>
      <c r="G21" s="1122"/>
      <c r="H21" s="1122"/>
      <c r="I21" s="1122"/>
      <c r="J21" s="1122"/>
      <c r="K21" s="1006" t="s">
        <v>1347</v>
      </c>
      <c r="L21" s="1007"/>
      <c r="M21" s="1007"/>
      <c r="N21" s="1007"/>
      <c r="O21" s="1008"/>
      <c r="P21" s="245">
        <f>IF(OR(O15="ERROR",O20="ERROR"),"ERROR",AB19)</f>
        <v>0</v>
      </c>
      <c r="R21" s="10"/>
      <c r="S21" s="10"/>
      <c r="T21" s="10"/>
      <c r="U21" s="10"/>
      <c r="V21" s="10"/>
      <c r="W21" s="10"/>
      <c r="X21" s="10"/>
      <c r="Y21" s="517"/>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row>
    <row r="22" spans="1:228" ht="12" customHeight="1" x14ac:dyDescent="0.25">
      <c r="B22" s="1183"/>
      <c r="C22" s="1183"/>
      <c r="D22" s="1183"/>
      <c r="E22" s="1183"/>
      <c r="F22" s="1183"/>
      <c r="G22" s="1183"/>
      <c r="H22" s="1183"/>
      <c r="I22" s="1183"/>
      <c r="J22" s="1183"/>
      <c r="K22" s="1183"/>
      <c r="L22" s="1183"/>
      <c r="M22" s="1183"/>
      <c r="N22" s="1183"/>
      <c r="O22" s="1183"/>
      <c r="P22" s="379"/>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row>
    <row r="23" spans="1:228" ht="15" customHeight="1" x14ac:dyDescent="0.25">
      <c r="B23" s="910" t="s">
        <v>1964</v>
      </c>
      <c r="C23" s="910"/>
      <c r="D23" s="910"/>
      <c r="E23" s="910"/>
      <c r="F23" s="910"/>
      <c r="G23" s="910"/>
      <c r="H23" s="910"/>
      <c r="I23" s="910"/>
      <c r="J23" s="910"/>
      <c r="K23" s="910"/>
      <c r="L23" s="910"/>
      <c r="M23" s="910"/>
      <c r="N23" s="910"/>
      <c r="O23" s="910"/>
      <c r="P23" s="380"/>
      <c r="R23" s="10"/>
      <c r="S23" s="863" t="s">
        <v>2147</v>
      </c>
      <c r="T23" s="863"/>
      <c r="U23" s="863"/>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row>
    <row r="24" spans="1:228" ht="15" customHeight="1" x14ac:dyDescent="0.25">
      <c r="B24" s="304" t="s">
        <v>1971</v>
      </c>
      <c r="C24" s="694"/>
      <c r="D24" s="694"/>
      <c r="E24" s="694"/>
      <c r="F24" s="694"/>
      <c r="G24" s="694"/>
      <c r="H24" s="694"/>
      <c r="I24" s="694"/>
      <c r="J24" s="694"/>
      <c r="K24" s="694"/>
      <c r="L24" s="694"/>
      <c r="M24" s="694"/>
      <c r="N24" s="694"/>
      <c r="O24" s="60"/>
      <c r="P24" s="21">
        <f>IF($W$238&gt;0,0,R24)</f>
        <v>0</v>
      </c>
      <c r="R24" s="147">
        <f>IF(C24=S24,0,IF(C24=T24,0.05,IF(C24=U24,0.1,0)))</f>
        <v>0</v>
      </c>
      <c r="S24" s="50" t="s">
        <v>1901</v>
      </c>
      <c r="T24" s="50" t="s">
        <v>1748</v>
      </c>
      <c r="U24" s="50" t="s">
        <v>1749</v>
      </c>
      <c r="V24" s="97"/>
      <c r="W24" s="96"/>
      <c r="X24" s="132"/>
      <c r="Z24" s="61"/>
      <c r="AA24" s="61"/>
      <c r="AB24" s="62"/>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row>
    <row r="25" spans="1:228" ht="15" customHeight="1" x14ac:dyDescent="0.25">
      <c r="B25" s="304" t="s">
        <v>1972</v>
      </c>
      <c r="C25" s="694"/>
      <c r="D25" s="694"/>
      <c r="E25" s="694"/>
      <c r="F25" s="694"/>
      <c r="G25" s="694"/>
      <c r="H25" s="694"/>
      <c r="I25" s="694"/>
      <c r="J25" s="694"/>
      <c r="K25" s="694"/>
      <c r="L25" s="694"/>
      <c r="M25" s="694"/>
      <c r="N25" s="694"/>
      <c r="O25" s="60"/>
      <c r="P25" s="21">
        <f>IF($W$238&gt;0,0,R25)</f>
        <v>0</v>
      </c>
      <c r="R25" s="147">
        <f>IF(C25=S25,0,IF(C25=T25,0.05,IF(C25=U25,0.1,0)))</f>
        <v>0</v>
      </c>
      <c r="S25" s="50" t="s">
        <v>1901</v>
      </c>
      <c r="T25" s="50" t="s">
        <v>1956</v>
      </c>
      <c r="U25" s="50" t="s">
        <v>1957</v>
      </c>
      <c r="V25" s="97"/>
      <c r="W25" s="96"/>
      <c r="X25" s="132"/>
      <c r="Z25" s="61"/>
      <c r="AA25" s="61"/>
      <c r="AB25" s="62"/>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row>
    <row r="26" spans="1:228" ht="27" customHeight="1" x14ac:dyDescent="0.2">
      <c r="B26" s="1085" t="str">
        <f>IF(AND(OR(R24&gt;0,R25&gt;0),$W$238&gt;0),"A value has been given for loss of sensation or hypersensitivity in the foot. No additional value is allowed for the toes.","")</f>
        <v/>
      </c>
      <c r="C26" s="1085"/>
      <c r="D26" s="1085"/>
      <c r="E26" s="1085"/>
      <c r="F26" s="1085"/>
      <c r="G26" s="1085"/>
      <c r="H26" s="1085"/>
      <c r="I26" s="1085"/>
      <c r="J26" s="1085"/>
      <c r="K26" s="1085"/>
      <c r="L26" s="1085"/>
      <c r="M26" s="1085"/>
      <c r="N26" s="1085"/>
      <c r="O26" s="1085"/>
      <c r="P26" s="196"/>
      <c r="R26" s="10"/>
      <c r="S26" s="14"/>
      <c r="T26" s="14"/>
      <c r="U26" s="14"/>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row>
    <row r="27" spans="1:228" s="6" customFormat="1" ht="12" customHeight="1" x14ac:dyDescent="0.25">
      <c r="A27" s="2"/>
      <c r="B27" s="697"/>
      <c r="C27" s="777"/>
      <c r="D27" s="777"/>
      <c r="E27" s="777"/>
      <c r="F27" s="777"/>
      <c r="G27" s="777"/>
      <c r="H27" s="777"/>
      <c r="I27" s="777"/>
      <c r="J27" s="777"/>
      <c r="K27" s="777"/>
      <c r="L27" s="777"/>
      <c r="M27" s="777"/>
      <c r="N27" s="777"/>
      <c r="O27" s="777"/>
      <c r="P27" s="63"/>
      <c r="Q27" s="2"/>
      <c r="R27" s="10"/>
      <c r="S27" s="10"/>
      <c r="Y27" s="10"/>
      <c r="Z27" s="724"/>
      <c r="AA27" s="724"/>
      <c r="AB27" s="724"/>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row>
    <row r="28" spans="1:228" s="6" customFormat="1" ht="15" customHeight="1" x14ac:dyDescent="0.2">
      <c r="A28" s="2"/>
      <c r="B28" s="761" t="s">
        <v>1975</v>
      </c>
      <c r="C28" s="761"/>
      <c r="D28" s="761"/>
      <c r="E28" s="761"/>
      <c r="F28" s="761"/>
      <c r="G28" s="761"/>
      <c r="H28" s="761"/>
      <c r="I28" s="761"/>
      <c r="J28" s="761"/>
      <c r="K28" s="761"/>
      <c r="L28" s="761"/>
      <c r="M28" s="761"/>
      <c r="N28" s="694"/>
      <c r="O28" s="694"/>
      <c r="P28" s="21">
        <f>IF(N28=T28,0.03,IF(N28=U28,0.15,IF(N28=V28,0.38,IF(N28=W28,0.68,IF(N28=X28,0.9,0)))))</f>
        <v>0</v>
      </c>
      <c r="Q28" s="2"/>
      <c r="R28" s="863" t="s">
        <v>2147</v>
      </c>
      <c r="S28" s="863"/>
      <c r="T28" s="50" t="s">
        <v>1928</v>
      </c>
      <c r="U28" s="50" t="s">
        <v>1929</v>
      </c>
      <c r="V28" s="147" t="s">
        <v>1931</v>
      </c>
      <c r="W28" s="50" t="s">
        <v>929</v>
      </c>
      <c r="X28" s="147" t="s">
        <v>545</v>
      </c>
      <c r="Y28" s="10"/>
      <c r="Z28" s="724"/>
      <c r="AA28" s="724"/>
      <c r="AB28" s="724"/>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row>
    <row r="29" spans="1:228" ht="12" customHeight="1" x14ac:dyDescent="0.25">
      <c r="B29" s="521"/>
      <c r="C29" s="521"/>
      <c r="D29" s="521"/>
      <c r="E29" s="521"/>
      <c r="F29" s="521"/>
      <c r="G29" s="521"/>
      <c r="H29" s="521"/>
      <c r="I29" s="521"/>
      <c r="J29" s="521"/>
      <c r="K29" s="521"/>
      <c r="L29" s="521"/>
      <c r="M29" s="521"/>
      <c r="N29" s="521"/>
      <c r="O29" s="521"/>
      <c r="P29" s="63"/>
      <c r="R29" s="10"/>
      <c r="S29" s="14"/>
      <c r="T29" s="14"/>
      <c r="U29" s="14"/>
      <c r="V29" s="14"/>
      <c r="W29" s="14"/>
      <c r="X29" s="14"/>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row>
    <row r="30" spans="1:228" ht="18" customHeight="1" x14ac:dyDescent="0.2">
      <c r="A30" s="15"/>
      <c r="B30" s="256" t="s">
        <v>611</v>
      </c>
      <c r="C30" s="995"/>
      <c r="D30" s="997"/>
      <c r="E30" s="742" t="s">
        <v>612</v>
      </c>
      <c r="F30" s="743"/>
      <c r="G30" s="743"/>
      <c r="H30" s="743"/>
      <c r="I30" s="743"/>
      <c r="J30" s="743"/>
      <c r="K30" s="743"/>
      <c r="L30" s="743"/>
      <c r="M30" s="743"/>
      <c r="N30" s="743"/>
      <c r="O30" s="744"/>
      <c r="P30" s="245">
        <f>IF(T30=1,0.2,0)</f>
        <v>0</v>
      </c>
      <c r="R30" s="10"/>
      <c r="S30" s="561" t="b">
        <v>0</v>
      </c>
      <c r="T30" s="50">
        <f>IF(S30=TRUE,1,0)</f>
        <v>0</v>
      </c>
      <c r="U30" s="10"/>
      <c r="V30" s="10"/>
      <c r="W30" s="10">
        <v>1E-4</v>
      </c>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row>
    <row r="31" spans="1:228" ht="18" customHeight="1" x14ac:dyDescent="0.2">
      <c r="B31" s="381" t="s">
        <v>613</v>
      </c>
      <c r="C31" s="1018"/>
      <c r="D31" s="1018"/>
      <c r="E31" s="941" t="s">
        <v>614</v>
      </c>
      <c r="F31" s="942"/>
      <c r="G31" s="942"/>
      <c r="H31" s="942"/>
      <c r="I31" s="942"/>
      <c r="J31" s="942"/>
      <c r="K31" s="942"/>
      <c r="L31" s="942"/>
      <c r="M31" s="942"/>
      <c r="N31" s="942"/>
      <c r="O31" s="943"/>
      <c r="P31" s="275">
        <f>IF(T31=1,0.3,0)</f>
        <v>0</v>
      </c>
      <c r="R31" s="10"/>
      <c r="S31" s="561" t="b">
        <v>0</v>
      </c>
      <c r="T31" s="50">
        <f>IF(S31=TRUE,1,0)</f>
        <v>0</v>
      </c>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row>
    <row r="32" spans="1:228" ht="12" customHeight="1" x14ac:dyDescent="0.2">
      <c r="B32" s="1221"/>
      <c r="C32" s="1221"/>
      <c r="D32" s="1221"/>
      <c r="E32" s="1221"/>
      <c r="F32" s="1221"/>
      <c r="G32" s="1221"/>
      <c r="H32" s="1221"/>
      <c r="I32" s="1221"/>
      <c r="J32" s="1221"/>
      <c r="K32" s="1221"/>
      <c r="L32" s="1221"/>
      <c r="M32" s="1221"/>
      <c r="N32" s="1221"/>
      <c r="O32" s="1221"/>
      <c r="R32" s="10"/>
      <c r="S32" s="10"/>
      <c r="T32" s="10"/>
      <c r="U32" s="10"/>
      <c r="V32" s="10"/>
      <c r="W32" s="6"/>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row>
    <row r="33" spans="2:228" ht="27" customHeight="1" x14ac:dyDescent="0.2">
      <c r="B33" s="864" t="s">
        <v>431</v>
      </c>
      <c r="C33" s="865"/>
      <c r="D33" s="865"/>
      <c r="E33" s="865"/>
      <c r="F33" s="865"/>
      <c r="G33" s="907" t="s">
        <v>1495</v>
      </c>
      <c r="H33" s="945"/>
      <c r="I33" s="945"/>
      <c r="J33" s="945"/>
      <c r="K33" s="946"/>
      <c r="L33" s="967"/>
      <c r="M33" s="968"/>
      <c r="N33" s="968"/>
      <c r="O33" s="969"/>
      <c r="P33" s="857">
        <f>IF(J41&gt;0,J41,V39)</f>
        <v>0</v>
      </c>
      <c r="R33" s="10"/>
      <c r="S33" s="50" t="s">
        <v>1826</v>
      </c>
      <c r="T33" s="50" t="s">
        <v>1285</v>
      </c>
      <c r="U33" s="50" t="s">
        <v>1286</v>
      </c>
      <c r="V33" s="50" t="s">
        <v>1287</v>
      </c>
      <c r="W33" s="50" t="s">
        <v>498</v>
      </c>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row>
    <row r="34" spans="2:228" ht="18" customHeight="1" x14ac:dyDescent="0.2">
      <c r="B34" s="776" t="s">
        <v>615</v>
      </c>
      <c r="C34" s="776"/>
      <c r="D34" s="776"/>
      <c r="E34" s="962">
        <f>P8</f>
        <v>0</v>
      </c>
      <c r="F34" s="1054"/>
      <c r="G34" s="1005"/>
      <c r="H34" s="1005"/>
      <c r="I34" s="1005"/>
      <c r="J34" s="1151">
        <f t="shared" ref="J34:J35" si="0">IF(AND(W34&lt;0.01,W34&gt;0),0.01,ROUND(W34,2))</f>
        <v>0</v>
      </c>
      <c r="K34" s="1151"/>
      <c r="L34" s="970"/>
      <c r="M34" s="971"/>
      <c r="N34" s="971"/>
      <c r="O34" s="972"/>
      <c r="P34" s="961"/>
      <c r="R34" s="10"/>
      <c r="S34" s="147">
        <f t="shared" ref="S34:S37" si="1">IF(J34&gt;0,J34,E34)</f>
        <v>0</v>
      </c>
      <c r="T34" s="147">
        <f>LARGE($S$34:$S$40,1)</f>
        <v>0</v>
      </c>
      <c r="U34" s="544">
        <f>T34+T35*(1-T34)</f>
        <v>0</v>
      </c>
      <c r="V34" s="548">
        <f t="shared" ref="V34:V39" si="2">ROUND(U34,2)</f>
        <v>0</v>
      </c>
      <c r="W34" s="596">
        <f t="shared" ref="W34:W35" si="3">G34*E34</f>
        <v>0</v>
      </c>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row>
    <row r="35" spans="2:228" ht="18" customHeight="1" x14ac:dyDescent="0.2">
      <c r="B35" s="791" t="s">
        <v>1918</v>
      </c>
      <c r="C35" s="791"/>
      <c r="D35" s="791"/>
      <c r="E35" s="755">
        <f>IF(P426&gt;0,0,P21)</f>
        <v>0</v>
      </c>
      <c r="F35" s="731"/>
      <c r="G35" s="1005"/>
      <c r="H35" s="1005"/>
      <c r="I35" s="1005"/>
      <c r="J35" s="1151">
        <f t="shared" si="0"/>
        <v>0</v>
      </c>
      <c r="K35" s="1151"/>
      <c r="L35" s="970"/>
      <c r="M35" s="971"/>
      <c r="N35" s="971"/>
      <c r="O35" s="972"/>
      <c r="P35" s="961"/>
      <c r="R35" s="10"/>
      <c r="S35" s="147">
        <f t="shared" si="1"/>
        <v>0</v>
      </c>
      <c r="T35" s="147">
        <f>LARGE($S$34:$S$40,2)</f>
        <v>0</v>
      </c>
      <c r="U35" s="544">
        <f>V34+T36*(1-V34)</f>
        <v>0</v>
      </c>
      <c r="V35" s="548">
        <f t="shared" si="2"/>
        <v>0</v>
      </c>
      <c r="W35" s="596">
        <f t="shared" si="3"/>
        <v>0</v>
      </c>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row>
    <row r="36" spans="2:228" ht="18" customHeight="1" x14ac:dyDescent="0.2">
      <c r="B36" s="791" t="s">
        <v>1976</v>
      </c>
      <c r="C36" s="791"/>
      <c r="D36" s="791"/>
      <c r="E36" s="755">
        <f>P24</f>
        <v>0</v>
      </c>
      <c r="F36" s="731"/>
      <c r="G36" s="1005"/>
      <c r="H36" s="1005"/>
      <c r="I36" s="1005"/>
      <c r="J36" s="1151">
        <f>IF(AND(W36&lt;0.01,W36&gt;0),0.01,ROUND(W36,2))</f>
        <v>0</v>
      </c>
      <c r="K36" s="1151"/>
      <c r="L36" s="970"/>
      <c r="M36" s="971"/>
      <c r="N36" s="971"/>
      <c r="O36" s="972"/>
      <c r="P36" s="961"/>
      <c r="R36" s="10"/>
      <c r="S36" s="147">
        <f t="shared" si="1"/>
        <v>0</v>
      </c>
      <c r="T36" s="147">
        <f>LARGE($S$34:$S$40,3)</f>
        <v>0</v>
      </c>
      <c r="U36" s="544">
        <f>V35+T37*(1-V35)</f>
        <v>0</v>
      </c>
      <c r="V36" s="548">
        <f t="shared" si="2"/>
        <v>0</v>
      </c>
      <c r="W36" s="596">
        <f>G36*E36</f>
        <v>0</v>
      </c>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row>
    <row r="37" spans="2:228" ht="18" customHeight="1" x14ac:dyDescent="0.2">
      <c r="B37" s="742" t="s">
        <v>1208</v>
      </c>
      <c r="C37" s="743"/>
      <c r="D37" s="744"/>
      <c r="E37" s="755">
        <f>P25</f>
        <v>0</v>
      </c>
      <c r="F37" s="731"/>
      <c r="G37" s="1005"/>
      <c r="H37" s="1005"/>
      <c r="I37" s="1005"/>
      <c r="J37" s="1151">
        <f>IF(AND(W37&lt;0.01,W37&gt;0),0.01,ROUND(W37,2))</f>
        <v>0</v>
      </c>
      <c r="K37" s="1151"/>
      <c r="L37" s="915" t="str">
        <f>IF(AND(P21&gt;0,$P$426&gt;0),"The worker has motor loss impairment. No additional impairment value is allowed for reduced range of motion in the same extremity.","")</f>
        <v/>
      </c>
      <c r="M37" s="916"/>
      <c r="N37" s="916"/>
      <c r="O37" s="917"/>
      <c r="P37" s="961"/>
      <c r="R37" s="10"/>
      <c r="S37" s="147">
        <f t="shared" si="1"/>
        <v>0</v>
      </c>
      <c r="T37" s="147">
        <f>LARGE($S$34:$S$40,4)</f>
        <v>0</v>
      </c>
      <c r="U37" s="544">
        <f>V36+T38*(1-V36)</f>
        <v>0</v>
      </c>
      <c r="V37" s="548">
        <f t="shared" si="2"/>
        <v>0</v>
      </c>
      <c r="W37" s="596">
        <f t="shared" ref="W37:W40" si="4">G37*E37</f>
        <v>0</v>
      </c>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row>
    <row r="38" spans="2:228" ht="18" customHeight="1" x14ac:dyDescent="0.2">
      <c r="B38" s="742" t="s">
        <v>1419</v>
      </c>
      <c r="C38" s="743"/>
      <c r="D38" s="744"/>
      <c r="E38" s="727">
        <f>P28</f>
        <v>0</v>
      </c>
      <c r="F38" s="729"/>
      <c r="G38" s="1005"/>
      <c r="H38" s="1005"/>
      <c r="I38" s="1005"/>
      <c r="J38" s="1151">
        <f>IF(AND(W38&lt;0.01,W38&gt;0),0.01,ROUND(W38,2))</f>
        <v>0</v>
      </c>
      <c r="K38" s="1151"/>
      <c r="L38" s="915"/>
      <c r="M38" s="916"/>
      <c r="N38" s="916"/>
      <c r="O38" s="917"/>
      <c r="P38" s="961"/>
      <c r="R38" s="10"/>
      <c r="S38" s="147">
        <f>IF(J38&gt;0,J38,E38)</f>
        <v>0</v>
      </c>
      <c r="T38" s="147">
        <f>LARGE($S$34:$S$40,5)</f>
        <v>0</v>
      </c>
      <c r="U38" s="544">
        <f>V37+T39*(1-V37)</f>
        <v>0</v>
      </c>
      <c r="V38" s="548">
        <f t="shared" si="2"/>
        <v>0</v>
      </c>
      <c r="W38" s="596">
        <f t="shared" si="4"/>
        <v>0</v>
      </c>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row>
    <row r="39" spans="2:228" ht="18" customHeight="1" x14ac:dyDescent="0.2">
      <c r="B39" s="791" t="s">
        <v>1109</v>
      </c>
      <c r="C39" s="791"/>
      <c r="D39" s="791"/>
      <c r="E39" s="755">
        <f>P30</f>
        <v>0</v>
      </c>
      <c r="F39" s="731"/>
      <c r="G39" s="1005"/>
      <c r="H39" s="1005"/>
      <c r="I39" s="1005"/>
      <c r="J39" s="1151">
        <f t="shared" ref="J39:J40" si="5">IF(AND(W39&lt;0.01,W39&gt;0),0.01,ROUND(W39,2))</f>
        <v>0</v>
      </c>
      <c r="K39" s="1151"/>
      <c r="L39" s="915"/>
      <c r="M39" s="916"/>
      <c r="N39" s="916"/>
      <c r="O39" s="917"/>
      <c r="P39" s="961"/>
      <c r="R39" s="10"/>
      <c r="S39" s="147">
        <f t="shared" ref="S39:S40" si="6">IF(J39&gt;0,J39,E39)</f>
        <v>0</v>
      </c>
      <c r="T39" s="147">
        <f>LARGE($S$34:$S$40,6)</f>
        <v>0</v>
      </c>
      <c r="U39" s="544">
        <f>V38+T40*(1-V38)</f>
        <v>0</v>
      </c>
      <c r="V39" s="548">
        <f t="shared" si="2"/>
        <v>0</v>
      </c>
      <c r="W39" s="596">
        <f t="shared" si="4"/>
        <v>0</v>
      </c>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row>
    <row r="40" spans="2:228" ht="18" customHeight="1" x14ac:dyDescent="0.2">
      <c r="B40" s="782" t="s">
        <v>1110</v>
      </c>
      <c r="C40" s="783"/>
      <c r="D40" s="784"/>
      <c r="E40" s="1067">
        <f>P31</f>
        <v>0</v>
      </c>
      <c r="F40" s="1157"/>
      <c r="G40" s="1005"/>
      <c r="H40" s="1005"/>
      <c r="I40" s="1005"/>
      <c r="J40" s="1151">
        <f t="shared" si="5"/>
        <v>0</v>
      </c>
      <c r="K40" s="1151"/>
      <c r="L40" s="915"/>
      <c r="M40" s="916"/>
      <c r="N40" s="916"/>
      <c r="O40" s="917"/>
      <c r="P40" s="961"/>
      <c r="R40" s="10"/>
      <c r="S40" s="147">
        <f t="shared" si="6"/>
        <v>0</v>
      </c>
      <c r="T40" s="147">
        <f>LARGE($S$34:$S$40,7)</f>
        <v>0</v>
      </c>
      <c r="U40" s="96"/>
      <c r="V40" s="128"/>
      <c r="W40" s="21">
        <f t="shared" si="4"/>
        <v>0</v>
      </c>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row>
    <row r="41" spans="2:228" ht="18" customHeight="1" x14ac:dyDescent="0.2">
      <c r="B41" s="957" t="s">
        <v>432</v>
      </c>
      <c r="C41" s="957"/>
      <c r="D41" s="957"/>
      <c r="E41" s="957"/>
      <c r="F41" s="957"/>
      <c r="G41" s="957"/>
      <c r="H41" s="957"/>
      <c r="I41" s="957"/>
      <c r="J41" s="957"/>
      <c r="K41" s="957"/>
      <c r="L41" s="957"/>
      <c r="M41" s="957"/>
      <c r="N41" s="957"/>
      <c r="O41" s="957"/>
      <c r="P41" s="962"/>
      <c r="R41" s="10"/>
      <c r="S41" s="14"/>
      <c r="T41" s="96"/>
      <c r="U41" s="128"/>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row>
    <row r="42" spans="2:228" ht="10.5" customHeight="1" x14ac:dyDescent="0.2">
      <c r="B42" s="777"/>
      <c r="C42" s="777"/>
      <c r="D42" s="777"/>
      <c r="E42" s="777"/>
      <c r="F42" s="777"/>
      <c r="G42" s="777"/>
      <c r="H42" s="777"/>
      <c r="I42" s="777"/>
      <c r="J42" s="777"/>
      <c r="K42" s="777"/>
      <c r="L42" s="777"/>
      <c r="M42" s="777"/>
      <c r="N42" s="777"/>
      <c r="O42" s="777"/>
      <c r="P42" s="777"/>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row>
    <row r="43" spans="2:228" ht="10.5" customHeight="1" x14ac:dyDescent="0.2">
      <c r="B43" s="777"/>
      <c r="C43" s="777"/>
      <c r="D43" s="777"/>
      <c r="E43" s="777"/>
      <c r="F43" s="777"/>
      <c r="G43" s="777"/>
      <c r="H43" s="777"/>
      <c r="I43" s="777"/>
      <c r="J43" s="777"/>
      <c r="K43" s="777"/>
      <c r="L43" s="777"/>
      <c r="M43" s="777"/>
      <c r="N43" s="777"/>
      <c r="O43" s="777"/>
      <c r="P43" s="777"/>
      <c r="R43" s="10"/>
      <c r="S43" s="10"/>
      <c r="T43" s="10"/>
      <c r="U43" s="10"/>
      <c r="V43" s="10"/>
      <c r="W43" s="10"/>
      <c r="X43" s="6"/>
      <c r="Y43" s="6"/>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row>
    <row r="44" spans="2:228" ht="21" customHeight="1" x14ac:dyDescent="0.2">
      <c r="B44" s="947" t="s">
        <v>1111</v>
      </c>
      <c r="C44" s="863"/>
      <c r="D44" s="863"/>
      <c r="E44" s="863"/>
      <c r="F44" s="863"/>
      <c r="G44" s="863"/>
      <c r="H44" s="863"/>
      <c r="I44" s="863"/>
      <c r="J44" s="863"/>
      <c r="K44" s="863"/>
      <c r="L44" s="863"/>
      <c r="M44" s="863"/>
      <c r="N44" s="863"/>
      <c r="O44" s="863"/>
      <c r="P44" s="863"/>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row>
    <row r="45" spans="2:228" ht="15" customHeight="1" x14ac:dyDescent="0.2">
      <c r="B45" s="910" t="s">
        <v>1112</v>
      </c>
      <c r="C45" s="910"/>
      <c r="D45" s="910"/>
      <c r="E45" s="910"/>
      <c r="F45" s="910"/>
      <c r="G45" s="910"/>
      <c r="H45" s="910"/>
      <c r="I45" s="910"/>
      <c r="J45" s="910"/>
      <c r="K45" s="910"/>
      <c r="L45" s="910"/>
      <c r="M45" s="910"/>
      <c r="N45" s="910"/>
      <c r="O45" s="910"/>
      <c r="P45" s="910"/>
      <c r="R45" s="10"/>
      <c r="S45" s="10"/>
      <c r="T45" s="761" t="s">
        <v>1113</v>
      </c>
      <c r="U45" s="50" t="s">
        <v>1298</v>
      </c>
      <c r="V45" s="50" t="s">
        <v>1058</v>
      </c>
      <c r="W45" s="552" t="s">
        <v>1059</v>
      </c>
      <c r="X45" s="50" t="s">
        <v>1244</v>
      </c>
      <c r="Y45" s="50" t="s">
        <v>1245</v>
      </c>
      <c r="Z45" s="50" t="s">
        <v>1827</v>
      </c>
      <c r="AA45" s="147" t="s">
        <v>1671</v>
      </c>
      <c r="AB45" s="147" t="s">
        <v>97</v>
      </c>
      <c r="AC45" s="147" t="s">
        <v>98</v>
      </c>
      <c r="AD45" s="50" t="s">
        <v>1705</v>
      </c>
      <c r="AE45" s="50" t="s">
        <v>1706</v>
      </c>
      <c r="AF45" s="50" t="s">
        <v>1707</v>
      </c>
      <c r="AG45" s="50" t="s">
        <v>76</v>
      </c>
      <c r="AH45" s="50" t="s">
        <v>77</v>
      </c>
      <c r="AI45" s="50" t="s">
        <v>805</v>
      </c>
      <c r="AJ45" s="50" t="s">
        <v>806</v>
      </c>
      <c r="AK45" s="50" t="s">
        <v>807</v>
      </c>
      <c r="AL45" s="50" t="s">
        <v>808</v>
      </c>
      <c r="AM45" s="50" t="s">
        <v>1116</v>
      </c>
      <c r="AN45" s="50" t="s">
        <v>1514</v>
      </c>
      <c r="AO45" s="50" t="s">
        <v>194</v>
      </c>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row>
    <row r="46" spans="2:228" ht="27" customHeight="1" x14ac:dyDescent="0.2">
      <c r="B46" s="1012"/>
      <c r="C46" s="1012"/>
      <c r="D46" s="1012"/>
      <c r="E46" s="1012"/>
      <c r="F46" s="1012"/>
      <c r="G46" s="1012"/>
      <c r="H46" s="1012"/>
      <c r="I46" s="1012"/>
      <c r="J46" s="1012"/>
      <c r="K46" s="1012"/>
      <c r="L46" s="1012"/>
      <c r="M46" s="1012"/>
      <c r="N46" s="1012"/>
      <c r="O46" s="1012"/>
      <c r="P46" s="21">
        <f>SUMIF(U45:AO45,B46,U46:AO46)</f>
        <v>0</v>
      </c>
      <c r="R46" s="10"/>
      <c r="S46" s="10"/>
      <c r="T46" s="761"/>
      <c r="U46" s="548">
        <v>0</v>
      </c>
      <c r="V46" s="147">
        <v>0.05</v>
      </c>
      <c r="W46" s="147">
        <v>0.1</v>
      </c>
      <c r="X46" s="147">
        <v>0.15</v>
      </c>
      <c r="Y46" s="147">
        <v>0.2</v>
      </c>
      <c r="Z46" s="147">
        <v>0.25</v>
      </c>
      <c r="AA46" s="147">
        <v>0.3</v>
      </c>
      <c r="AB46" s="147">
        <v>0.35</v>
      </c>
      <c r="AC46" s="147">
        <v>0.4</v>
      </c>
      <c r="AD46" s="147">
        <v>0.45</v>
      </c>
      <c r="AE46" s="147">
        <v>0.5</v>
      </c>
      <c r="AF46" s="147">
        <v>0.55000000000000004</v>
      </c>
      <c r="AG46" s="147">
        <v>0.6</v>
      </c>
      <c r="AH46" s="147">
        <v>0.65</v>
      </c>
      <c r="AI46" s="147">
        <v>0.7</v>
      </c>
      <c r="AJ46" s="147">
        <v>0.75</v>
      </c>
      <c r="AK46" s="147">
        <v>0.8</v>
      </c>
      <c r="AL46" s="147">
        <v>0.85</v>
      </c>
      <c r="AM46" s="147">
        <v>0.9</v>
      </c>
      <c r="AN46" s="147">
        <v>0.95</v>
      </c>
      <c r="AO46" s="147">
        <v>1</v>
      </c>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row>
    <row r="47" spans="2:228" ht="15" customHeight="1" x14ac:dyDescent="0.25">
      <c r="B47" s="1220"/>
      <c r="C47" s="1220"/>
      <c r="D47" s="1220"/>
      <c r="E47" s="1220"/>
      <c r="F47" s="1220"/>
      <c r="G47" s="1220"/>
      <c r="H47" s="1220"/>
      <c r="I47" s="1220"/>
      <c r="J47" s="1220"/>
      <c r="K47" s="1220"/>
      <c r="L47" s="1220"/>
      <c r="M47" s="1220"/>
      <c r="N47" s="1220"/>
      <c r="O47" s="1220"/>
      <c r="P47" s="122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row>
    <row r="48" spans="2:228" ht="18" customHeight="1" x14ac:dyDescent="0.2">
      <c r="B48" s="1134" t="s">
        <v>1515</v>
      </c>
      <c r="C48" s="1129"/>
      <c r="D48" s="1129"/>
      <c r="E48" s="1129"/>
      <c r="F48" s="1129"/>
      <c r="G48" s="1129"/>
      <c r="H48" s="1129"/>
      <c r="I48" s="1129"/>
      <c r="J48" s="1129"/>
      <c r="K48" s="1129"/>
      <c r="L48" s="1129"/>
      <c r="M48" s="1129"/>
      <c r="N48" s="1129"/>
      <c r="O48" s="1129"/>
      <c r="P48" s="830"/>
      <c r="R48" s="10"/>
      <c r="S48" s="10"/>
      <c r="T48" s="10"/>
      <c r="U48" s="10"/>
      <c r="V48" s="10"/>
      <c r="W48" s="10"/>
      <c r="X48" s="10"/>
      <c r="Y48" s="10"/>
      <c r="Z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row>
    <row r="49" spans="2:228" ht="15" customHeight="1" x14ac:dyDescent="0.2">
      <c r="B49" s="256" t="s">
        <v>1516</v>
      </c>
      <c r="C49" s="1035"/>
      <c r="D49" s="1035"/>
      <c r="E49" s="1035"/>
      <c r="F49" s="1035"/>
      <c r="G49" s="1035"/>
      <c r="H49" s="1035"/>
      <c r="I49" s="1035"/>
      <c r="J49" s="1035"/>
      <c r="K49" s="1035"/>
      <c r="L49" s="1024"/>
      <c r="M49" s="1024"/>
      <c r="N49" s="1024"/>
      <c r="O49" s="64">
        <f>IF(C49=T49,0.45,IF(C49=U49,0.3,IF(C49=V49,0.45,0)))</f>
        <v>0</v>
      </c>
      <c r="P49" s="831"/>
      <c r="R49" s="912" t="s">
        <v>2147</v>
      </c>
      <c r="S49" s="50" t="s">
        <v>1901</v>
      </c>
      <c r="T49" s="50" t="s">
        <v>1517</v>
      </c>
      <c r="U49" s="256" t="s">
        <v>1518</v>
      </c>
      <c r="V49" s="50" t="s">
        <v>1519</v>
      </c>
      <c r="W49" s="10"/>
      <c r="X49" s="10"/>
      <c r="Y49" s="10"/>
      <c r="Z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row>
    <row r="50" spans="2:228" ht="15" customHeight="1" x14ac:dyDescent="0.2">
      <c r="B50" s="256" t="s">
        <v>1673</v>
      </c>
      <c r="C50" s="1035"/>
      <c r="D50" s="1035"/>
      <c r="E50" s="1035"/>
      <c r="F50" s="1035"/>
      <c r="G50" s="1035"/>
      <c r="H50" s="1035"/>
      <c r="I50" s="1035"/>
      <c r="J50" s="1035"/>
      <c r="K50" s="1035"/>
      <c r="L50" s="1024"/>
      <c r="M50" s="1024"/>
      <c r="N50" s="1024"/>
      <c r="O50" s="64">
        <f>IF(C50=T50,0.8,IF(C50=U50,0.45,IF(C50=V50,0.8,0)))</f>
        <v>0</v>
      </c>
      <c r="P50" s="831"/>
      <c r="R50" s="912"/>
      <c r="S50" s="50" t="s">
        <v>1901</v>
      </c>
      <c r="T50" s="50" t="s">
        <v>1517</v>
      </c>
      <c r="U50" s="256" t="s">
        <v>1518</v>
      </c>
      <c r="V50" s="50" t="s">
        <v>1519</v>
      </c>
      <c r="W50" s="10"/>
      <c r="X50" s="10"/>
      <c r="Y50" s="10"/>
      <c r="Z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row>
    <row r="51" spans="2:228" ht="15" customHeight="1" x14ac:dyDescent="0.25">
      <c r="B51" s="1240"/>
      <c r="C51" s="1183"/>
      <c r="D51" s="1183"/>
      <c r="E51" s="1183"/>
      <c r="F51" s="1183"/>
      <c r="G51" s="1183"/>
      <c r="H51" s="1183"/>
      <c r="I51" s="1183"/>
      <c r="J51" s="1183"/>
      <c r="K51" s="1183"/>
      <c r="L51" s="1183"/>
      <c r="M51" s="1183"/>
      <c r="N51" s="1183"/>
      <c r="O51" s="1183"/>
      <c r="P51" s="831"/>
      <c r="R51" s="10"/>
      <c r="S51" s="58"/>
      <c r="T51" s="58"/>
      <c r="U51" s="58"/>
      <c r="V51" s="10"/>
      <c r="W51" s="10"/>
      <c r="X51" s="10"/>
      <c r="Y51" s="10"/>
      <c r="Z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row>
    <row r="52" spans="2:228" ht="27" customHeight="1" x14ac:dyDescent="0.2">
      <c r="B52" s="198"/>
      <c r="C52" s="944" t="s">
        <v>1564</v>
      </c>
      <c r="D52" s="945"/>
      <c r="E52" s="945"/>
      <c r="F52" s="945"/>
      <c r="G52" s="912" t="s">
        <v>1064</v>
      </c>
      <c r="H52" s="912"/>
      <c r="I52" s="912"/>
      <c r="J52" s="912"/>
      <c r="K52" s="912"/>
      <c r="L52" s="777"/>
      <c r="M52" s="777"/>
      <c r="N52" s="777"/>
      <c r="O52" s="777"/>
      <c r="P52" s="831"/>
      <c r="R52" s="10"/>
      <c r="T52" s="912" t="s">
        <v>1238</v>
      </c>
      <c r="U52" s="912"/>
      <c r="V52" s="10"/>
      <c r="W52" s="10"/>
      <c r="X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row>
    <row r="53" spans="2:228" ht="15" customHeight="1" x14ac:dyDescent="0.2">
      <c r="B53" s="294" t="s">
        <v>1674</v>
      </c>
      <c r="C53" s="910" t="s">
        <v>355</v>
      </c>
      <c r="D53" s="910"/>
      <c r="E53" s="910" t="s">
        <v>1759</v>
      </c>
      <c r="F53" s="910"/>
      <c r="G53" s="910" t="s">
        <v>355</v>
      </c>
      <c r="H53" s="910"/>
      <c r="I53" s="910"/>
      <c r="J53" s="910" t="s">
        <v>1759</v>
      </c>
      <c r="K53" s="910"/>
      <c r="L53" s="1024"/>
      <c r="M53" s="1024"/>
      <c r="N53" s="1024"/>
      <c r="O53" s="1032"/>
      <c r="P53" s="831"/>
      <c r="R53" s="10"/>
      <c r="S53" s="127" t="s">
        <v>1541</v>
      </c>
      <c r="T53" s="256" t="s">
        <v>1564</v>
      </c>
      <c r="U53" s="256" t="s">
        <v>1565</v>
      </c>
      <c r="V53" s="910" t="s">
        <v>1066</v>
      </c>
      <c r="W53" s="910"/>
      <c r="AB53" s="6"/>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row>
    <row r="54" spans="2:228" ht="15" customHeight="1" x14ac:dyDescent="0.2">
      <c r="B54" s="294" t="s">
        <v>1312</v>
      </c>
      <c r="C54" s="1035"/>
      <c r="D54" s="1035"/>
      <c r="E54" s="1171">
        <f>LETable!AT12</f>
        <v>0</v>
      </c>
      <c r="F54" s="1171"/>
      <c r="G54" s="694"/>
      <c r="H54" s="694"/>
      <c r="I54" s="694"/>
      <c r="J54" s="1178">
        <f>IF(C54="",0,IF(OR(C54&lt;=0,G54&lt;=0),E54,IF(G54&lt;C54,0,LETable!AY12)))</f>
        <v>0</v>
      </c>
      <c r="K54" s="1178"/>
      <c r="L54" s="1232" t="str">
        <f>IF(OR(C54="NA",G54="NA"),"",IF(AND(C54&lt;&gt;"",G54=""),"Enter contralateral or NA.",IF(AND(C54="",G54&lt;&gt;""),"Need data","")))</f>
        <v/>
      </c>
      <c r="M54" s="1232"/>
      <c r="N54" s="1232"/>
      <c r="O54" s="1233"/>
      <c r="P54" s="831"/>
      <c r="S54" s="50">
        <v>40</v>
      </c>
      <c r="T54" s="50" t="str">
        <f>IF(OR(C54="",C54="NA"),"",IF(C54&gt;S54,S54,IF(C54&lt;0,0,C54)))</f>
        <v/>
      </c>
      <c r="U54" s="50" t="str">
        <f>IF(OR(G54="",G54="NA"),"",IF(G54&gt;S54,S54,IF(G54&lt;0,0,G54)))</f>
        <v/>
      </c>
      <c r="V54" s="553" t="str">
        <f>IF(W54="","",ROUND(W54,0))</f>
        <v/>
      </c>
      <c r="W54" s="554" t="str">
        <f>IF(T54="","",IF(OR(U54="",U54=0,U54&lt;T54),T54,(T54*S54)/U54))</f>
        <v/>
      </c>
      <c r="X54" s="10"/>
      <c r="Y54" s="6"/>
      <c r="Z54" s="6"/>
      <c r="AA54" s="6"/>
      <c r="AB54" s="6"/>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row>
    <row r="55" spans="2:228" ht="15" customHeight="1" x14ac:dyDescent="0.2">
      <c r="B55" s="294" t="s">
        <v>1313</v>
      </c>
      <c r="C55" s="1227"/>
      <c r="D55" s="1227"/>
      <c r="E55" s="1171">
        <f>IF(AND(C55&lt;&gt;"",C55&lt;&gt;"NA",C54&lt;&gt;"NA",C54&lt;&gt;""),"ERROR",IF(AND(C55&lt;&gt;"",C55&lt;&gt;"NA",C56&lt;&gt;"",C56&lt;&gt;"NA"),"ERROR",LETable!AT13))</f>
        <v>0</v>
      </c>
      <c r="F55" s="1171"/>
      <c r="G55" s="930" t="str">
        <f>IF(E55="ERROR","Error: Cannot rate ROM and ankylosis.","")</f>
        <v/>
      </c>
      <c r="H55" s="930"/>
      <c r="I55" s="930"/>
      <c r="J55" s="930"/>
      <c r="K55" s="930"/>
      <c r="L55" s="930"/>
      <c r="M55" s="930"/>
      <c r="N55" s="930"/>
      <c r="O55" s="931"/>
      <c r="P55" s="831"/>
      <c r="R55" s="10"/>
      <c r="S55" s="50">
        <v>40</v>
      </c>
      <c r="T55" s="50" t="str">
        <f>IF(OR(C55="",C55="NA"),"",IF(C55&gt;S55,S55,IF(C55&lt;0,0,C55)))</f>
        <v/>
      </c>
      <c r="U55" s="10"/>
      <c r="V55" s="10"/>
      <c r="W55" s="10"/>
      <c r="X55" s="10"/>
      <c r="Y55" s="6"/>
      <c r="Z55" s="6"/>
      <c r="AA55" s="6"/>
      <c r="AB55" s="6"/>
      <c r="AC55" s="10"/>
      <c r="AD55" s="10"/>
      <c r="AE55" s="10"/>
      <c r="AF55" s="10"/>
      <c r="AG55" s="10"/>
      <c r="AH55" s="10"/>
      <c r="AI55" s="10"/>
      <c r="AJ55" s="10"/>
      <c r="AK55" s="10"/>
      <c r="AL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row>
    <row r="56" spans="2:228" ht="15" customHeight="1" x14ac:dyDescent="0.2">
      <c r="B56" s="127" t="s">
        <v>1237</v>
      </c>
      <c r="C56" s="1227"/>
      <c r="D56" s="1227"/>
      <c r="E56" s="1171">
        <f>LETable!AT14</f>
        <v>0</v>
      </c>
      <c r="F56" s="1171"/>
      <c r="G56" s="694"/>
      <c r="H56" s="694"/>
      <c r="I56" s="694"/>
      <c r="J56" s="1178">
        <f>IF(C56="",0,IF(OR(C56&lt;=0,G56&lt;=0),E56,IF(G56&lt;C56,0,LETable!AY14)))</f>
        <v>0</v>
      </c>
      <c r="K56" s="1178"/>
      <c r="L56" s="1232" t="str">
        <f>IF(OR(C56="NA",G56="NA"),"",IF(AND(C56&lt;&gt;"",G56=""),"Enter contralateral or NA.",IF(AND(C56="",G56&lt;&gt;""),"Need data","")))</f>
        <v/>
      </c>
      <c r="M56" s="1232"/>
      <c r="N56" s="1232"/>
      <c r="O56" s="1233"/>
      <c r="P56" s="831"/>
      <c r="R56" s="10"/>
      <c r="S56" s="50">
        <v>30</v>
      </c>
      <c r="T56" s="50" t="str">
        <f>IF(OR(C56="",C56="NA"),"",IF(C56&gt;S56,S56,IF(C56&lt;0,0,C56)))</f>
        <v/>
      </c>
      <c r="U56" s="50" t="str">
        <f>IF(OR(G56="",G56="NA"),"",IF(G56&gt;S56,S56,IF(G56&lt;0,0,G56)))</f>
        <v/>
      </c>
      <c r="V56" s="553" t="str">
        <f>IF(W56="","",ROUND(W56,0))</f>
        <v/>
      </c>
      <c r="W56" s="554" t="str">
        <f>IF(T56="","",IF(OR(U56="",U56=0,U56&lt;T56),T56,(T56*S56)/U56))</f>
        <v/>
      </c>
      <c r="X56" s="10"/>
      <c r="Y56" s="50" t="s">
        <v>2171</v>
      </c>
      <c r="Z56" s="50" t="s">
        <v>1285</v>
      </c>
      <c r="AA56" s="50" t="s">
        <v>1286</v>
      </c>
      <c r="AB56" s="50" t="s">
        <v>1287</v>
      </c>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row>
    <row r="57" spans="2:228" ht="15" customHeight="1" x14ac:dyDescent="0.2">
      <c r="B57" s="293" t="s">
        <v>1801</v>
      </c>
      <c r="C57" s="1222"/>
      <c r="D57" s="1223"/>
      <c r="E57" s="1171">
        <f>IF(AND(C57&lt;&gt;"",C57&lt;&gt;"NA",C56&lt;&gt;"NA",C56&lt;&gt;""),"ERROR",IF(AND(C57&lt;&gt;"",C57&lt;&gt;"NA",C54&lt;&gt;"",C54&lt;&gt;"NA"),"ERROR",LETable!AT15))</f>
        <v>0</v>
      </c>
      <c r="F57" s="1171"/>
      <c r="G57" s="1172" t="str">
        <f>IF(E57="ERROR","Error: Cannot rate ROM and ankylosis.",IF(AND(C55&lt;&gt;"",C55&lt;&gt;"NA",C57&lt;&gt;"",C57&lt;&gt;"NA"),"Multiple ankylosis values; use higher value only.",""))</f>
        <v/>
      </c>
      <c r="H57" s="1173"/>
      <c r="I57" s="1173"/>
      <c r="J57" s="1173"/>
      <c r="K57" s="1173"/>
      <c r="L57" s="1173"/>
      <c r="M57" s="1173"/>
      <c r="N57" s="1173"/>
      <c r="O57" s="1174"/>
      <c r="P57" s="831"/>
      <c r="R57" s="10"/>
      <c r="S57" s="50">
        <v>30</v>
      </c>
      <c r="T57" s="50" t="str">
        <f>IF(OR(C57="",C57="NA"),"",IF(C57&gt;S57,S57,IF(C57&lt;0,0,C57)))</f>
        <v/>
      </c>
      <c r="U57" s="10"/>
      <c r="V57" s="10"/>
      <c r="W57" s="10"/>
      <c r="X57" s="10"/>
      <c r="Y57" s="192">
        <f>O49</f>
        <v>0</v>
      </c>
      <c r="Z57" s="147">
        <f>LARGE($Y$57:$Y$59,1)</f>
        <v>0</v>
      </c>
      <c r="AA57" s="544">
        <f>Z57+Z58*(1-Z57)</f>
        <v>0</v>
      </c>
      <c r="AB57" s="548">
        <f>ROUND(AA57,2)</f>
        <v>0</v>
      </c>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row>
    <row r="58" spans="2:228" ht="21" customHeight="1" x14ac:dyDescent="0.2">
      <c r="B58" s="1122"/>
      <c r="C58" s="1122"/>
      <c r="D58" s="1122"/>
      <c r="E58" s="1122"/>
      <c r="F58" s="1122"/>
      <c r="G58" s="1122"/>
      <c r="H58" s="1122"/>
      <c r="I58" s="1122"/>
      <c r="J58" s="1122"/>
      <c r="K58" s="1006" t="s">
        <v>1803</v>
      </c>
      <c r="L58" s="1007"/>
      <c r="M58" s="1007"/>
      <c r="N58" s="1008"/>
      <c r="O58" s="59">
        <f>IF(OR(E55="ERROR",E57="ERROR"),"ERROR",IF(R58&gt;1,1,R58))</f>
        <v>0</v>
      </c>
      <c r="P58" s="832"/>
      <c r="R58" s="193">
        <f>SUM(J54,J56,W58)</f>
        <v>0</v>
      </c>
      <c r="S58" s="10"/>
      <c r="T58" s="10"/>
      <c r="U58" s="10"/>
      <c r="V58" s="10"/>
      <c r="W58" s="581">
        <f>IF(AND(E55&lt;&gt;"ERROR",E57&lt;&gt;"ERROR",C57&lt;&gt;"",E57&lt;&gt;""),MAX(E55,E57),E55+E57)</f>
        <v>0</v>
      </c>
      <c r="X58" s="10"/>
      <c r="Y58" s="192">
        <f>O50</f>
        <v>0</v>
      </c>
      <c r="Z58" s="147">
        <f>LARGE($Y$57:$Y$59,2)</f>
        <v>0</v>
      </c>
      <c r="AA58" s="544">
        <f>AB57+Z59*(1-AB57)</f>
        <v>0</v>
      </c>
      <c r="AB58" s="548">
        <f>ROUND(AA58,2)</f>
        <v>0</v>
      </c>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row>
    <row r="59" spans="2:228" ht="21" customHeight="1" x14ac:dyDescent="0.2">
      <c r="B59" s="1122"/>
      <c r="C59" s="1122"/>
      <c r="D59" s="1122"/>
      <c r="E59" s="1122"/>
      <c r="F59" s="1122"/>
      <c r="G59" s="1122"/>
      <c r="H59" s="1122"/>
      <c r="I59" s="1122"/>
      <c r="J59" s="1122"/>
      <c r="K59" s="1006" t="s">
        <v>1675</v>
      </c>
      <c r="L59" s="1007"/>
      <c r="M59" s="1007"/>
      <c r="N59" s="1007"/>
      <c r="O59" s="1008"/>
      <c r="P59" s="245">
        <f>IF(O58="ERROR","ERROR",AB58)</f>
        <v>0</v>
      </c>
      <c r="R59" s="10"/>
      <c r="S59" s="10"/>
      <c r="T59" s="10"/>
      <c r="U59" s="10"/>
      <c r="V59" s="10"/>
      <c r="W59" s="10"/>
      <c r="X59" s="10"/>
      <c r="Y59" s="192">
        <f>IF(AND(O58&lt;0.01,O58&gt;0),0.01,ROUND(O58,2))</f>
        <v>0</v>
      </c>
      <c r="Z59" s="147">
        <f>LARGE($Y$57:$Y$59,3)</f>
        <v>0</v>
      </c>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row>
    <row r="60" spans="2:228" ht="12" customHeight="1" x14ac:dyDescent="0.25">
      <c r="B60" s="1183"/>
      <c r="C60" s="1183"/>
      <c r="D60" s="1183"/>
      <c r="E60" s="1183"/>
      <c r="F60" s="1183"/>
      <c r="G60" s="1183"/>
      <c r="H60" s="1183"/>
      <c r="I60" s="1183"/>
      <c r="J60" s="1183"/>
      <c r="K60" s="1183"/>
      <c r="L60" s="1183"/>
      <c r="M60" s="1183"/>
      <c r="N60" s="1183"/>
      <c r="O60" s="1183"/>
      <c r="P60" s="379"/>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row>
    <row r="61" spans="2:228" ht="15" customHeight="1" x14ac:dyDescent="0.25">
      <c r="B61" s="944" t="s">
        <v>1965</v>
      </c>
      <c r="C61" s="945"/>
      <c r="D61" s="945"/>
      <c r="E61" s="945"/>
      <c r="F61" s="945"/>
      <c r="G61" s="945"/>
      <c r="H61" s="945"/>
      <c r="I61" s="945"/>
      <c r="J61" s="945"/>
      <c r="K61" s="945"/>
      <c r="L61" s="945"/>
      <c r="M61" s="945"/>
      <c r="N61" s="945"/>
      <c r="O61" s="945"/>
      <c r="P61" s="38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row>
    <row r="62" spans="2:228" ht="15" customHeight="1" x14ac:dyDescent="0.2">
      <c r="B62" s="304" t="s">
        <v>1971</v>
      </c>
      <c r="C62" s="1184"/>
      <c r="D62" s="1185"/>
      <c r="E62" s="1185"/>
      <c r="F62" s="1185"/>
      <c r="G62" s="1185"/>
      <c r="H62" s="1185"/>
      <c r="I62" s="1185"/>
      <c r="J62" s="1185"/>
      <c r="K62" s="1185"/>
      <c r="L62" s="1185"/>
      <c r="M62" s="1185"/>
      <c r="N62" s="1185"/>
      <c r="O62" s="66"/>
      <c r="P62" s="49">
        <f>IF($W$238&gt;0,0,R62)</f>
        <v>0</v>
      </c>
      <c r="R62" s="147">
        <f>IF(C62=S62,0,IF(C62=T62,0.05,IF(C62=U62,0.1,0)))</f>
        <v>0</v>
      </c>
      <c r="S62" s="50" t="s">
        <v>1901</v>
      </c>
      <c r="T62" s="50" t="s">
        <v>1748</v>
      </c>
      <c r="U62" s="50" t="s">
        <v>1749</v>
      </c>
      <c r="V62" s="97"/>
      <c r="W62" s="96"/>
      <c r="X62" s="132"/>
      <c r="Y62" s="1234"/>
      <c r="Z62" s="61"/>
      <c r="AA62" s="61"/>
      <c r="AB62" s="62"/>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row>
    <row r="63" spans="2:228" ht="15" customHeight="1" x14ac:dyDescent="0.2">
      <c r="B63" s="304" t="s">
        <v>1972</v>
      </c>
      <c r="C63" s="1184"/>
      <c r="D63" s="1185"/>
      <c r="E63" s="1185"/>
      <c r="F63" s="1185"/>
      <c r="G63" s="1185"/>
      <c r="H63" s="1185"/>
      <c r="I63" s="1185"/>
      <c r="J63" s="1185"/>
      <c r="K63" s="1185"/>
      <c r="L63" s="1185"/>
      <c r="M63" s="1185"/>
      <c r="N63" s="1185"/>
      <c r="O63" s="66"/>
      <c r="P63" s="21">
        <f>IF($W$238&gt;0,0,R63)</f>
        <v>0</v>
      </c>
      <c r="R63" s="147">
        <f>IF(C63=S63,0,IF(C63=T63,0.05,IF(C63=U63,0.1,0)))</f>
        <v>0</v>
      </c>
      <c r="S63" s="50" t="s">
        <v>1901</v>
      </c>
      <c r="T63" s="50" t="s">
        <v>1956</v>
      </c>
      <c r="U63" s="50" t="s">
        <v>1957</v>
      </c>
      <c r="V63" s="97"/>
      <c r="W63" s="96"/>
      <c r="X63" s="132"/>
      <c r="Y63" s="1234"/>
      <c r="Z63" s="61"/>
      <c r="AA63" s="61"/>
      <c r="AB63" s="62"/>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row>
    <row r="64" spans="2:228" ht="27" customHeight="1" x14ac:dyDescent="0.2">
      <c r="B64" s="1085" t="str">
        <f>IF(AND(OR(R62&gt;0,R63&gt;0),$W$238&gt;0),"A value has been given for loss of sensation or hypersensitivity in the foot. No additional value is allowed for the toes.","")</f>
        <v/>
      </c>
      <c r="C64" s="1085"/>
      <c r="D64" s="1085"/>
      <c r="E64" s="1085"/>
      <c r="F64" s="1085"/>
      <c r="G64" s="1085"/>
      <c r="H64" s="1085"/>
      <c r="I64" s="1085"/>
      <c r="J64" s="1085"/>
      <c r="K64" s="1085"/>
      <c r="L64" s="1085"/>
      <c r="M64" s="1085"/>
      <c r="N64" s="1085"/>
      <c r="O64" s="1085"/>
      <c r="P64" s="523"/>
      <c r="R64" s="10"/>
      <c r="S64" s="14"/>
      <c r="T64" s="14"/>
      <c r="U64" s="14"/>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row>
    <row r="65" spans="1:228" s="6" customFormat="1" ht="12" customHeight="1" x14ac:dyDescent="0.25">
      <c r="A65" s="2"/>
      <c r="B65" s="697"/>
      <c r="C65" s="777"/>
      <c r="D65" s="777"/>
      <c r="E65" s="777"/>
      <c r="F65" s="777"/>
      <c r="G65" s="777"/>
      <c r="H65" s="777"/>
      <c r="I65" s="777"/>
      <c r="J65" s="777"/>
      <c r="K65" s="777"/>
      <c r="L65" s="777"/>
      <c r="M65" s="777"/>
      <c r="N65" s="777"/>
      <c r="O65" s="777"/>
      <c r="P65" s="63"/>
      <c r="Q65" s="2"/>
      <c r="R65" s="10"/>
      <c r="S65" s="10"/>
      <c r="Y65" s="10"/>
      <c r="Z65" s="724"/>
      <c r="AA65" s="724"/>
      <c r="AB65" s="724"/>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row>
    <row r="66" spans="1:228" s="6" customFormat="1" ht="15" customHeight="1" x14ac:dyDescent="0.2">
      <c r="A66" s="2"/>
      <c r="B66" s="761" t="s">
        <v>1975</v>
      </c>
      <c r="C66" s="761"/>
      <c r="D66" s="761"/>
      <c r="E66" s="761"/>
      <c r="F66" s="761"/>
      <c r="G66" s="761"/>
      <c r="H66" s="761"/>
      <c r="I66" s="761"/>
      <c r="J66" s="761"/>
      <c r="K66" s="761"/>
      <c r="L66" s="761"/>
      <c r="M66" s="761"/>
      <c r="N66" s="694"/>
      <c r="O66" s="694"/>
      <c r="P66" s="21">
        <f>IF(N66=T66,0.03,IF(N66=U66,0.15,IF(N66=V66,0.38,IF(N66=W66,0.68,IF(N66=X66,0.9,0)))))</f>
        <v>0</v>
      </c>
      <c r="Q66" s="2"/>
      <c r="R66" s="863" t="s">
        <v>2147</v>
      </c>
      <c r="S66" s="863"/>
      <c r="T66" s="50" t="s">
        <v>1928</v>
      </c>
      <c r="U66" s="50" t="s">
        <v>1929</v>
      </c>
      <c r="V66" s="147" t="s">
        <v>1931</v>
      </c>
      <c r="W66" s="50" t="s">
        <v>929</v>
      </c>
      <c r="X66" s="147" t="s">
        <v>545</v>
      </c>
      <c r="Y66" s="10"/>
      <c r="Z66" s="724"/>
      <c r="AA66" s="724"/>
      <c r="AB66" s="724"/>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row>
    <row r="67" spans="1:228" ht="12" customHeight="1" x14ac:dyDescent="0.25">
      <c r="B67" s="521"/>
      <c r="C67" s="521"/>
      <c r="D67" s="521"/>
      <c r="E67" s="521"/>
      <c r="F67" s="521"/>
      <c r="G67" s="521"/>
      <c r="H67" s="521"/>
      <c r="I67" s="521"/>
      <c r="J67" s="521"/>
      <c r="K67" s="521"/>
      <c r="L67" s="521"/>
      <c r="M67" s="521"/>
      <c r="N67" s="521"/>
      <c r="O67" s="521"/>
      <c r="P67" s="63"/>
      <c r="R67" s="10"/>
      <c r="S67" s="14"/>
      <c r="T67" s="14"/>
      <c r="U67" s="14"/>
      <c r="V67" s="14"/>
      <c r="W67" s="14"/>
      <c r="X67" s="14"/>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row>
    <row r="68" spans="1:228" ht="18" customHeight="1" x14ac:dyDescent="0.2">
      <c r="A68" s="15"/>
      <c r="B68" s="256" t="s">
        <v>1676</v>
      </c>
      <c r="C68" s="996"/>
      <c r="D68" s="996"/>
      <c r="E68" s="742" t="s">
        <v>1677</v>
      </c>
      <c r="F68" s="743"/>
      <c r="G68" s="743"/>
      <c r="H68" s="743"/>
      <c r="I68" s="743"/>
      <c r="J68" s="743"/>
      <c r="K68" s="743"/>
      <c r="L68" s="743"/>
      <c r="M68" s="743"/>
      <c r="N68" s="743"/>
      <c r="O68" s="743"/>
      <c r="P68" s="245">
        <f>IF(T68=1,0.15,0)</f>
        <v>0</v>
      </c>
      <c r="R68" s="10"/>
      <c r="S68" s="561" t="b">
        <v>0</v>
      </c>
      <c r="T68" s="50">
        <f>IF(S68=TRUE,1,0)</f>
        <v>0</v>
      </c>
      <c r="U68" s="10"/>
      <c r="V68" s="10"/>
      <c r="W68" s="10">
        <v>1E-4</v>
      </c>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row>
    <row r="69" spans="1:228" ht="18" customHeight="1" x14ac:dyDescent="0.2">
      <c r="B69" s="256" t="s">
        <v>1678</v>
      </c>
      <c r="C69" s="996"/>
      <c r="D69" s="996"/>
      <c r="E69" s="742" t="s">
        <v>1679</v>
      </c>
      <c r="F69" s="743"/>
      <c r="G69" s="743"/>
      <c r="H69" s="743"/>
      <c r="I69" s="743"/>
      <c r="J69" s="743"/>
      <c r="K69" s="743"/>
      <c r="L69" s="743"/>
      <c r="M69" s="743"/>
      <c r="N69" s="743"/>
      <c r="O69" s="743"/>
      <c r="P69" s="245">
        <f>IF(T69=1,0.25,0)</f>
        <v>0</v>
      </c>
      <c r="R69" s="10"/>
      <c r="S69" s="561" t="b">
        <v>0</v>
      </c>
      <c r="T69" s="50">
        <f>IF(S69=TRUE,1,0)</f>
        <v>0</v>
      </c>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row>
    <row r="70" spans="1:228" ht="18" customHeight="1" x14ac:dyDescent="0.2">
      <c r="B70" s="381" t="s">
        <v>613</v>
      </c>
      <c r="C70" s="1018"/>
      <c r="D70" s="1018"/>
      <c r="E70" s="941" t="s">
        <v>614</v>
      </c>
      <c r="F70" s="942"/>
      <c r="G70" s="942"/>
      <c r="H70" s="942"/>
      <c r="I70" s="942"/>
      <c r="J70" s="942"/>
      <c r="K70" s="942"/>
      <c r="L70" s="942"/>
      <c r="M70" s="942"/>
      <c r="N70" s="942"/>
      <c r="O70" s="942"/>
      <c r="P70" s="275">
        <f>IF(T70=1,0.25,0)</f>
        <v>0</v>
      </c>
      <c r="R70" s="10"/>
      <c r="S70" s="561" t="b">
        <v>0</v>
      </c>
      <c r="T70" s="50">
        <f>IF(S70=TRUE,1,0)</f>
        <v>0</v>
      </c>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row>
    <row r="71" spans="1:228" ht="15" customHeight="1" x14ac:dyDescent="0.2">
      <c r="B71" s="1221"/>
      <c r="C71" s="1221"/>
      <c r="D71" s="1221"/>
      <c r="E71" s="1221"/>
      <c r="F71" s="1221"/>
      <c r="G71" s="1221"/>
      <c r="H71" s="1221"/>
      <c r="I71" s="1221"/>
      <c r="J71" s="1221"/>
      <c r="K71" s="1221"/>
      <c r="L71" s="1221"/>
      <c r="M71" s="1221"/>
      <c r="N71" s="1221"/>
      <c r="O71" s="1221"/>
      <c r="R71" s="10"/>
      <c r="S71" s="10"/>
      <c r="T71" s="10"/>
      <c r="U71" s="10"/>
      <c r="V71" s="10"/>
      <c r="W71" s="6"/>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row>
    <row r="72" spans="1:228" ht="27" customHeight="1" x14ac:dyDescent="0.2">
      <c r="B72" s="864" t="s">
        <v>433</v>
      </c>
      <c r="C72" s="865"/>
      <c r="D72" s="865"/>
      <c r="E72" s="865"/>
      <c r="F72" s="865"/>
      <c r="G72" s="907" t="s">
        <v>1495</v>
      </c>
      <c r="H72" s="945"/>
      <c r="I72" s="945"/>
      <c r="J72" s="945"/>
      <c r="K72" s="946"/>
      <c r="L72" s="1319"/>
      <c r="M72" s="1320"/>
      <c r="N72" s="1320"/>
      <c r="O72" s="1321"/>
      <c r="P72" s="857">
        <f>IF(J81&gt;0,J81,V79)</f>
        <v>0</v>
      </c>
      <c r="R72" s="10"/>
      <c r="S72" s="50" t="s">
        <v>1826</v>
      </c>
      <c r="T72" s="50" t="s">
        <v>1285</v>
      </c>
      <c r="U72" s="50" t="s">
        <v>1286</v>
      </c>
      <c r="V72" s="50" t="s">
        <v>1287</v>
      </c>
      <c r="W72" s="50" t="s">
        <v>2288</v>
      </c>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row>
    <row r="73" spans="1:228" ht="18" customHeight="1" x14ac:dyDescent="0.2">
      <c r="B73" s="776" t="s">
        <v>615</v>
      </c>
      <c r="C73" s="776"/>
      <c r="D73" s="776"/>
      <c r="E73" s="962">
        <f>P46</f>
        <v>0</v>
      </c>
      <c r="F73" s="1054"/>
      <c r="G73" s="1005"/>
      <c r="H73" s="1005"/>
      <c r="I73" s="1005"/>
      <c r="J73" s="1151">
        <f t="shared" ref="J73:J74" si="7">IF(AND(W73&lt;0.01,W73&gt;0),0.01,ROUND(W73,2))</f>
        <v>0</v>
      </c>
      <c r="K73" s="1151"/>
      <c r="L73" s="967"/>
      <c r="M73" s="968"/>
      <c r="N73" s="968"/>
      <c r="O73" s="969"/>
      <c r="P73" s="961"/>
      <c r="R73" s="10"/>
      <c r="S73" s="147">
        <f t="shared" ref="S73:S76" si="8">IF(J73&gt;0,J73,E73)</f>
        <v>0</v>
      </c>
      <c r="T73" s="147">
        <f>LARGE($S$73:$S$80,1)</f>
        <v>0</v>
      </c>
      <c r="U73" s="544">
        <f>T73+T74*(1-T73)</f>
        <v>0</v>
      </c>
      <c r="V73" s="548">
        <f t="shared" ref="V73:V79" si="9">ROUND(U73,2)</f>
        <v>0</v>
      </c>
      <c r="W73" s="596">
        <f t="shared" ref="W73:W74" si="10">G73*E73</f>
        <v>0</v>
      </c>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row>
    <row r="74" spans="1:228" ht="18" customHeight="1" x14ac:dyDescent="0.2">
      <c r="B74" s="791" t="s">
        <v>1918</v>
      </c>
      <c r="C74" s="791"/>
      <c r="D74" s="791"/>
      <c r="E74" s="755">
        <f>IF(P426&gt;0,0,P59)</f>
        <v>0</v>
      </c>
      <c r="F74" s="731"/>
      <c r="G74" s="1005"/>
      <c r="H74" s="1005"/>
      <c r="I74" s="1005"/>
      <c r="J74" s="1151">
        <f t="shared" si="7"/>
        <v>0</v>
      </c>
      <c r="K74" s="1151"/>
      <c r="L74" s="970"/>
      <c r="M74" s="971"/>
      <c r="N74" s="971"/>
      <c r="O74" s="972"/>
      <c r="P74" s="961"/>
      <c r="R74" s="10"/>
      <c r="S74" s="147">
        <f t="shared" si="8"/>
        <v>0</v>
      </c>
      <c r="T74" s="147">
        <f>LARGE($S$73:$S$80,2)</f>
        <v>0</v>
      </c>
      <c r="U74" s="544">
        <f t="shared" ref="U74:U79" si="11">V73+T75*(1-V73)</f>
        <v>0</v>
      </c>
      <c r="V74" s="548">
        <f t="shared" si="9"/>
        <v>0</v>
      </c>
      <c r="W74" s="596">
        <f t="shared" si="10"/>
        <v>0</v>
      </c>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row>
    <row r="75" spans="1:228" ht="18" customHeight="1" x14ac:dyDescent="0.2">
      <c r="B75" s="791" t="s">
        <v>1976</v>
      </c>
      <c r="C75" s="791"/>
      <c r="D75" s="791"/>
      <c r="E75" s="755">
        <f>P62</f>
        <v>0</v>
      </c>
      <c r="F75" s="731"/>
      <c r="G75" s="1005"/>
      <c r="H75" s="1005"/>
      <c r="I75" s="1005"/>
      <c r="J75" s="1151">
        <f>IF(AND(W75&lt;0.01,W75&gt;0),0.01,ROUND(W75,2))</f>
        <v>0</v>
      </c>
      <c r="K75" s="1151"/>
      <c r="L75" s="623"/>
      <c r="M75" s="624"/>
      <c r="N75" s="624"/>
      <c r="O75" s="625"/>
      <c r="P75" s="961"/>
      <c r="R75" s="10"/>
      <c r="S75" s="147">
        <f t="shared" si="8"/>
        <v>0</v>
      </c>
      <c r="T75" s="147">
        <f>LARGE($S$73:$S$80,3)</f>
        <v>0</v>
      </c>
      <c r="U75" s="544">
        <f t="shared" si="11"/>
        <v>0</v>
      </c>
      <c r="V75" s="548">
        <f t="shared" si="9"/>
        <v>0</v>
      </c>
      <c r="W75" s="596">
        <f>G75*E75</f>
        <v>0</v>
      </c>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row>
    <row r="76" spans="1:228" ht="18" customHeight="1" x14ac:dyDescent="0.2">
      <c r="B76" s="742" t="s">
        <v>1208</v>
      </c>
      <c r="C76" s="743"/>
      <c r="D76" s="744"/>
      <c r="E76" s="755">
        <f>P63</f>
        <v>0</v>
      </c>
      <c r="F76" s="731"/>
      <c r="G76" s="1005"/>
      <c r="H76" s="1005"/>
      <c r="I76" s="1005"/>
      <c r="J76" s="1151">
        <f>IF(AND(W76&lt;0.01,W76&gt;0),0.01,ROUND(W76,2))</f>
        <v>0</v>
      </c>
      <c r="K76" s="1151"/>
      <c r="L76" s="623"/>
      <c r="M76" s="624"/>
      <c r="N76" s="624"/>
      <c r="O76" s="625"/>
      <c r="P76" s="961"/>
      <c r="R76" s="10"/>
      <c r="S76" s="147">
        <f t="shared" si="8"/>
        <v>0</v>
      </c>
      <c r="T76" s="147">
        <f>LARGE($S$73:$S$80,4)</f>
        <v>0</v>
      </c>
      <c r="U76" s="544">
        <f t="shared" si="11"/>
        <v>0</v>
      </c>
      <c r="V76" s="548">
        <f t="shared" si="9"/>
        <v>0</v>
      </c>
      <c r="W76" s="596">
        <f t="shared" ref="W76:W80" si="12">G76*E76</f>
        <v>0</v>
      </c>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row>
    <row r="77" spans="1:228" ht="18" customHeight="1" x14ac:dyDescent="0.2">
      <c r="B77" s="742" t="s">
        <v>1419</v>
      </c>
      <c r="C77" s="743"/>
      <c r="D77" s="744"/>
      <c r="E77" s="727">
        <f>P66</f>
        <v>0</v>
      </c>
      <c r="F77" s="729"/>
      <c r="G77" s="1005"/>
      <c r="H77" s="1005"/>
      <c r="I77" s="1005"/>
      <c r="J77" s="1151">
        <f>IF(AND(W77&lt;0.01,W77&gt;0),0.01,ROUND(W77,2))</f>
        <v>0</v>
      </c>
      <c r="K77" s="1151"/>
      <c r="L77" s="915" t="str">
        <f>IF(AND(P59&gt;0,$P$426&gt;0),"The worker has motor loss impairment. No additional impairment value is allowed for reduced range of motion in the same extremity.","")</f>
        <v/>
      </c>
      <c r="M77" s="916"/>
      <c r="N77" s="916"/>
      <c r="O77" s="917"/>
      <c r="P77" s="961"/>
      <c r="R77" s="10"/>
      <c r="S77" s="147">
        <f>IF(J77&gt;0,J77,E77)</f>
        <v>0</v>
      </c>
      <c r="T77" s="147">
        <f>LARGE($S$73:$S$80,5)</f>
        <v>0</v>
      </c>
      <c r="U77" s="544">
        <f t="shared" si="11"/>
        <v>0</v>
      </c>
      <c r="V77" s="548">
        <f t="shared" si="9"/>
        <v>0</v>
      </c>
      <c r="W77" s="596">
        <f t="shared" si="12"/>
        <v>0</v>
      </c>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row>
    <row r="78" spans="1:228" ht="18" customHeight="1" x14ac:dyDescent="0.2">
      <c r="B78" s="791" t="s">
        <v>1680</v>
      </c>
      <c r="C78" s="791"/>
      <c r="D78" s="791"/>
      <c r="E78" s="755">
        <f>P68</f>
        <v>0</v>
      </c>
      <c r="F78" s="731"/>
      <c r="G78" s="1005"/>
      <c r="H78" s="1005"/>
      <c r="I78" s="1005"/>
      <c r="J78" s="1151">
        <f t="shared" ref="J78:J80" si="13">IF(AND(W78&lt;0.01,W78&gt;0),0.01,ROUND(W78,2))</f>
        <v>0</v>
      </c>
      <c r="K78" s="1151"/>
      <c r="L78" s="915"/>
      <c r="M78" s="916"/>
      <c r="N78" s="916"/>
      <c r="O78" s="917"/>
      <c r="P78" s="961"/>
      <c r="R78" s="10"/>
      <c r="S78" s="147">
        <f t="shared" ref="S78:S80" si="14">IF(J78&gt;0,J78,E78)</f>
        <v>0</v>
      </c>
      <c r="T78" s="147">
        <f>LARGE($S$73:$S$80,6)</f>
        <v>0</v>
      </c>
      <c r="U78" s="544">
        <f t="shared" si="11"/>
        <v>0</v>
      </c>
      <c r="V78" s="548">
        <f t="shared" si="9"/>
        <v>0</v>
      </c>
      <c r="W78" s="596">
        <f t="shared" si="12"/>
        <v>0</v>
      </c>
      <c r="X78" s="10"/>
      <c r="Y78" s="10"/>
      <c r="Z78" s="6"/>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row>
    <row r="79" spans="1:228" ht="18" customHeight="1" x14ac:dyDescent="0.2">
      <c r="B79" s="742" t="s">
        <v>1681</v>
      </c>
      <c r="C79" s="743"/>
      <c r="D79" s="744"/>
      <c r="E79" s="727">
        <f>P69</f>
        <v>0</v>
      </c>
      <c r="F79" s="729"/>
      <c r="G79" s="1005"/>
      <c r="H79" s="1005"/>
      <c r="I79" s="1005"/>
      <c r="J79" s="1151">
        <f t="shared" si="13"/>
        <v>0</v>
      </c>
      <c r="K79" s="1151"/>
      <c r="L79" s="915"/>
      <c r="M79" s="916"/>
      <c r="N79" s="916"/>
      <c r="O79" s="917"/>
      <c r="P79" s="961"/>
      <c r="R79" s="10"/>
      <c r="S79" s="147">
        <f t="shared" si="14"/>
        <v>0</v>
      </c>
      <c r="T79" s="147">
        <f>LARGE($S$73:$S$80,7)</f>
        <v>0</v>
      </c>
      <c r="U79" s="544">
        <f t="shared" si="11"/>
        <v>0</v>
      </c>
      <c r="V79" s="548">
        <f t="shared" si="9"/>
        <v>0</v>
      </c>
      <c r="W79" s="596">
        <f t="shared" si="12"/>
        <v>0</v>
      </c>
      <c r="X79" s="10"/>
      <c r="Y79" s="10"/>
      <c r="Z79" s="1"/>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row>
    <row r="80" spans="1:228" ht="18" customHeight="1" x14ac:dyDescent="0.2">
      <c r="B80" s="782" t="s">
        <v>1110</v>
      </c>
      <c r="C80" s="783"/>
      <c r="D80" s="784"/>
      <c r="E80" s="1067">
        <f>P70</f>
        <v>0</v>
      </c>
      <c r="F80" s="1157"/>
      <c r="G80" s="1005"/>
      <c r="H80" s="1005"/>
      <c r="I80" s="1005"/>
      <c r="J80" s="1151">
        <f t="shared" si="13"/>
        <v>0</v>
      </c>
      <c r="K80" s="1151"/>
      <c r="L80" s="915"/>
      <c r="M80" s="916"/>
      <c r="N80" s="916"/>
      <c r="O80" s="917"/>
      <c r="P80" s="961"/>
      <c r="R80" s="10"/>
      <c r="S80" s="147">
        <f t="shared" si="14"/>
        <v>0</v>
      </c>
      <c r="T80" s="147">
        <f>LARGE($S$73:$S$80,8)</f>
        <v>0</v>
      </c>
      <c r="U80" s="96"/>
      <c r="V80" s="128"/>
      <c r="W80" s="21">
        <f t="shared" si="12"/>
        <v>0</v>
      </c>
      <c r="X80" s="10"/>
      <c r="Y80" s="10"/>
      <c r="Z80" s="6"/>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row>
    <row r="81" spans="2:228" ht="18" customHeight="1" x14ac:dyDescent="0.2">
      <c r="B81" s="957" t="s">
        <v>1682</v>
      </c>
      <c r="C81" s="957"/>
      <c r="D81" s="957"/>
      <c r="E81" s="957"/>
      <c r="F81" s="957"/>
      <c r="G81" s="957"/>
      <c r="H81" s="957"/>
      <c r="I81" s="957"/>
      <c r="J81" s="957"/>
      <c r="K81" s="957"/>
      <c r="L81" s="957"/>
      <c r="M81" s="957"/>
      <c r="N81" s="957"/>
      <c r="O81" s="957"/>
      <c r="P81" s="962"/>
      <c r="R81" s="10"/>
      <c r="S81" s="14"/>
      <c r="T81" s="96"/>
      <c r="U81" s="128"/>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row>
    <row r="82" spans="2:228" ht="15" customHeight="1" x14ac:dyDescent="0.25">
      <c r="B82" s="1183"/>
      <c r="C82" s="1183"/>
      <c r="D82" s="1183"/>
      <c r="E82" s="1183"/>
      <c r="F82" s="1183"/>
      <c r="G82" s="1183"/>
      <c r="H82" s="1183"/>
      <c r="I82" s="1183"/>
      <c r="J82" s="1183"/>
      <c r="K82" s="1183"/>
      <c r="L82" s="1183"/>
      <c r="M82" s="1183"/>
      <c r="N82" s="1183"/>
      <c r="O82" s="1183"/>
      <c r="P82" s="1183"/>
      <c r="R82" s="10"/>
      <c r="S82" s="14"/>
      <c r="T82" s="96"/>
      <c r="U82" s="128"/>
      <c r="V82" s="10"/>
      <c r="W82" s="10"/>
      <c r="X82" s="6"/>
      <c r="Y82" s="6"/>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row>
    <row r="83" spans="2:228" x14ac:dyDescent="0.2">
      <c r="B83" s="777"/>
      <c r="C83" s="777"/>
      <c r="D83" s="777"/>
      <c r="E83" s="777"/>
      <c r="F83" s="777"/>
      <c r="G83" s="777"/>
      <c r="H83" s="777"/>
      <c r="I83" s="777"/>
      <c r="J83" s="777"/>
      <c r="K83" s="777"/>
      <c r="L83" s="777"/>
      <c r="M83" s="777"/>
      <c r="N83" s="777"/>
      <c r="O83" s="777"/>
      <c r="P83" s="777"/>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row>
    <row r="84" spans="2:228" ht="18" customHeight="1" x14ac:dyDescent="0.2">
      <c r="B84" s="947" t="s">
        <v>1683</v>
      </c>
      <c r="C84" s="863"/>
      <c r="D84" s="863"/>
      <c r="E84" s="863"/>
      <c r="F84" s="863"/>
      <c r="G84" s="863"/>
      <c r="H84" s="863"/>
      <c r="I84" s="863"/>
      <c r="J84" s="863"/>
      <c r="K84" s="863"/>
      <c r="L84" s="863"/>
      <c r="M84" s="863"/>
      <c r="N84" s="863"/>
      <c r="O84" s="863"/>
      <c r="P84" s="863"/>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row>
    <row r="85" spans="2:228" ht="15" customHeight="1" x14ac:dyDescent="0.2">
      <c r="B85" s="910" t="s">
        <v>1684</v>
      </c>
      <c r="C85" s="910"/>
      <c r="D85" s="910"/>
      <c r="E85" s="910"/>
      <c r="F85" s="910"/>
      <c r="G85" s="910"/>
      <c r="H85" s="910"/>
      <c r="I85" s="910"/>
      <c r="J85" s="910"/>
      <c r="K85" s="910"/>
      <c r="L85" s="910"/>
      <c r="M85" s="910"/>
      <c r="N85" s="910"/>
      <c r="O85" s="910"/>
      <c r="P85" s="910"/>
      <c r="R85" s="10"/>
      <c r="S85" s="10"/>
      <c r="T85" s="761" t="s">
        <v>1685</v>
      </c>
      <c r="U85" s="50" t="s">
        <v>1298</v>
      </c>
      <c r="V85" s="50" t="s">
        <v>1058</v>
      </c>
      <c r="W85" s="552" t="s">
        <v>1059</v>
      </c>
      <c r="X85" s="50" t="s">
        <v>1244</v>
      </c>
      <c r="Y85" s="50" t="s">
        <v>1245</v>
      </c>
      <c r="Z85" s="50" t="s">
        <v>1827</v>
      </c>
      <c r="AA85" s="147" t="s">
        <v>1671</v>
      </c>
      <c r="AB85" s="147" t="s">
        <v>97</v>
      </c>
      <c r="AC85" s="147" t="s">
        <v>98</v>
      </c>
      <c r="AD85" s="50" t="s">
        <v>1705</v>
      </c>
      <c r="AE85" s="50" t="s">
        <v>1706</v>
      </c>
      <c r="AF85" s="50" t="s">
        <v>1707</v>
      </c>
      <c r="AG85" s="50" t="s">
        <v>76</v>
      </c>
      <c r="AH85" s="50" t="s">
        <v>77</v>
      </c>
      <c r="AI85" s="50" t="s">
        <v>805</v>
      </c>
      <c r="AJ85" s="50" t="s">
        <v>806</v>
      </c>
      <c r="AK85" s="50" t="s">
        <v>807</v>
      </c>
      <c r="AL85" s="50" t="s">
        <v>808</v>
      </c>
      <c r="AM85" s="50" t="s">
        <v>1116</v>
      </c>
      <c r="AN85" s="50" t="s">
        <v>1514</v>
      </c>
      <c r="AO85" s="50" t="s">
        <v>194</v>
      </c>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row>
    <row r="86" spans="2:228" ht="27" customHeight="1" x14ac:dyDescent="0.2">
      <c r="B86" s="1012"/>
      <c r="C86" s="1012"/>
      <c r="D86" s="1012"/>
      <c r="E86" s="1012"/>
      <c r="F86" s="1012"/>
      <c r="G86" s="1012"/>
      <c r="H86" s="1012"/>
      <c r="I86" s="1012"/>
      <c r="J86" s="1012"/>
      <c r="K86" s="1012"/>
      <c r="L86" s="1012"/>
      <c r="M86" s="1012"/>
      <c r="N86" s="1012"/>
      <c r="O86" s="1012"/>
      <c r="P86" s="21">
        <f>SUMIF(U85:AO85,B86,U86:AO86)</f>
        <v>0</v>
      </c>
      <c r="R86" s="10"/>
      <c r="S86" s="10"/>
      <c r="T86" s="761"/>
      <c r="U86" s="548">
        <v>0</v>
      </c>
      <c r="V86" s="147">
        <v>0.05</v>
      </c>
      <c r="W86" s="147">
        <v>0.1</v>
      </c>
      <c r="X86" s="147">
        <v>0.15</v>
      </c>
      <c r="Y86" s="147">
        <v>0.2</v>
      </c>
      <c r="Z86" s="147">
        <v>0.25</v>
      </c>
      <c r="AA86" s="147">
        <v>0.3</v>
      </c>
      <c r="AB86" s="147">
        <v>0.35</v>
      </c>
      <c r="AC86" s="147">
        <v>0.4</v>
      </c>
      <c r="AD86" s="147">
        <v>0.45</v>
      </c>
      <c r="AE86" s="147">
        <v>0.5</v>
      </c>
      <c r="AF86" s="147">
        <v>0.55000000000000004</v>
      </c>
      <c r="AG86" s="147">
        <v>0.6</v>
      </c>
      <c r="AH86" s="147">
        <v>0.65</v>
      </c>
      <c r="AI86" s="147">
        <v>0.7</v>
      </c>
      <c r="AJ86" s="147">
        <v>0.75</v>
      </c>
      <c r="AK86" s="147">
        <v>0.8</v>
      </c>
      <c r="AL86" s="147">
        <v>0.85</v>
      </c>
      <c r="AM86" s="147">
        <v>0.9</v>
      </c>
      <c r="AN86" s="147">
        <v>0.95</v>
      </c>
      <c r="AO86" s="147">
        <v>1</v>
      </c>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row>
    <row r="87" spans="2:228" ht="12" customHeight="1" x14ac:dyDescent="0.25">
      <c r="B87" s="1220"/>
      <c r="C87" s="1220"/>
      <c r="D87" s="1220"/>
      <c r="E87" s="1220"/>
      <c r="F87" s="1220"/>
      <c r="G87" s="1220"/>
      <c r="H87" s="1220"/>
      <c r="I87" s="1220"/>
      <c r="J87" s="1220"/>
      <c r="K87" s="1220"/>
      <c r="L87" s="1220"/>
      <c r="M87" s="1220"/>
      <c r="N87" s="1220"/>
      <c r="O87" s="1220"/>
      <c r="P87" s="122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row>
    <row r="88" spans="2:228" ht="18" customHeight="1" x14ac:dyDescent="0.2">
      <c r="B88" s="944" t="s">
        <v>182</v>
      </c>
      <c r="C88" s="945"/>
      <c r="D88" s="945"/>
      <c r="E88" s="945"/>
      <c r="F88" s="945"/>
      <c r="G88" s="945"/>
      <c r="H88" s="945"/>
      <c r="I88" s="945"/>
      <c r="J88" s="945"/>
      <c r="K88" s="945"/>
      <c r="L88" s="945"/>
      <c r="M88" s="945"/>
      <c r="N88" s="945"/>
      <c r="O88" s="945"/>
      <c r="P88" s="830"/>
      <c r="R88" s="10"/>
      <c r="S88" s="10"/>
      <c r="T88" s="10"/>
      <c r="U88" s="10"/>
      <c r="V88" s="10"/>
      <c r="W88" s="10"/>
      <c r="X88" s="10"/>
      <c r="Y88" s="10"/>
      <c r="Z88" s="10"/>
      <c r="AA88" s="724"/>
      <c r="AB88" s="724"/>
      <c r="AC88" s="724"/>
      <c r="AD88" s="724"/>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row>
    <row r="89" spans="2:228" ht="15" customHeight="1" x14ac:dyDescent="0.2">
      <c r="B89" s="282" t="s">
        <v>1516</v>
      </c>
      <c r="C89" s="1241"/>
      <c r="D89" s="1242"/>
      <c r="E89" s="1242"/>
      <c r="F89" s="1242"/>
      <c r="G89" s="1242"/>
      <c r="H89" s="1242"/>
      <c r="I89" s="1242"/>
      <c r="J89" s="1242"/>
      <c r="K89" s="1242"/>
      <c r="L89" s="1224"/>
      <c r="M89" s="1225"/>
      <c r="N89" s="1226"/>
      <c r="O89" s="67">
        <f>IF(C89=T89,0.45,IF(C89=U89,0.3,IF(C89=V89,0.45,0)))</f>
        <v>0</v>
      </c>
      <c r="P89" s="831"/>
      <c r="R89" s="947" t="s">
        <v>2147</v>
      </c>
      <c r="S89" s="50" t="s">
        <v>1901</v>
      </c>
      <c r="T89" s="50" t="s">
        <v>1517</v>
      </c>
      <c r="U89" s="256" t="s">
        <v>1518</v>
      </c>
      <c r="V89" s="50" t="s">
        <v>1519</v>
      </c>
      <c r="W89" s="10"/>
      <c r="X89" s="10"/>
      <c r="Y89" s="10"/>
      <c r="Z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row>
    <row r="90" spans="2:228" ht="15" customHeight="1" x14ac:dyDescent="0.2">
      <c r="B90" s="274" t="s">
        <v>183</v>
      </c>
      <c r="C90" s="1222"/>
      <c r="D90" s="1238"/>
      <c r="E90" s="1238"/>
      <c r="F90" s="1238"/>
      <c r="G90" s="1238"/>
      <c r="H90" s="1238"/>
      <c r="I90" s="1238"/>
      <c r="J90" s="1238"/>
      <c r="K90" s="1238"/>
      <c r="L90" s="1032"/>
      <c r="M90" s="1033"/>
      <c r="N90" s="1034"/>
      <c r="O90" s="64">
        <f>IF(C90=T90,0.8,IF(C90=U90,0.45,IF(C90=V90,0.8,0)))</f>
        <v>0</v>
      </c>
      <c r="P90" s="831"/>
      <c r="R90" s="947"/>
      <c r="S90" s="50" t="s">
        <v>1901</v>
      </c>
      <c r="T90" s="50" t="s">
        <v>1517</v>
      </c>
      <c r="U90" s="256" t="s">
        <v>1518</v>
      </c>
      <c r="V90" s="50" t="s">
        <v>1519</v>
      </c>
      <c r="W90" s="10"/>
      <c r="X90" s="10"/>
      <c r="Y90" s="10"/>
      <c r="Z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row>
    <row r="91" spans="2:228" ht="12" customHeight="1" x14ac:dyDescent="0.25">
      <c r="B91" s="1240"/>
      <c r="C91" s="1183"/>
      <c r="D91" s="1183"/>
      <c r="E91" s="1183"/>
      <c r="F91" s="1183"/>
      <c r="G91" s="1183"/>
      <c r="H91" s="1183"/>
      <c r="I91" s="1183"/>
      <c r="J91" s="1183"/>
      <c r="K91" s="1183"/>
      <c r="L91" s="1183"/>
      <c r="M91" s="1183"/>
      <c r="N91" s="1183"/>
      <c r="O91" s="1183"/>
      <c r="P91" s="831"/>
      <c r="R91" s="10"/>
      <c r="S91" s="58"/>
      <c r="T91" s="58"/>
      <c r="U91" s="58"/>
      <c r="V91" s="10"/>
      <c r="W91" s="10"/>
      <c r="X91" s="10"/>
      <c r="Y91" s="10"/>
      <c r="Z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row>
    <row r="92" spans="2:228" ht="39" customHeight="1" x14ac:dyDescent="0.2">
      <c r="B92" s="198"/>
      <c r="C92" s="910" t="s">
        <v>1564</v>
      </c>
      <c r="D92" s="910"/>
      <c r="E92" s="910"/>
      <c r="F92" s="910"/>
      <c r="G92" s="1123" t="s">
        <v>1064</v>
      </c>
      <c r="H92" s="1123"/>
      <c r="I92" s="1123"/>
      <c r="J92" s="1123"/>
      <c r="K92" s="1123"/>
      <c r="L92" s="777"/>
      <c r="M92" s="777"/>
      <c r="N92" s="777"/>
      <c r="O92" s="777"/>
      <c r="P92" s="831"/>
      <c r="R92" s="10"/>
      <c r="T92" s="912" t="s">
        <v>1238</v>
      </c>
      <c r="U92" s="912"/>
      <c r="V92" s="10"/>
      <c r="W92" s="10"/>
      <c r="X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row>
    <row r="93" spans="2:228" ht="15" customHeight="1" x14ac:dyDescent="0.2">
      <c r="B93" s="277" t="s">
        <v>1802</v>
      </c>
      <c r="C93" s="910" t="s">
        <v>355</v>
      </c>
      <c r="D93" s="910"/>
      <c r="E93" s="910" t="s">
        <v>1759</v>
      </c>
      <c r="F93" s="910"/>
      <c r="G93" s="910" t="s">
        <v>355</v>
      </c>
      <c r="H93" s="910"/>
      <c r="I93" s="910"/>
      <c r="J93" s="910" t="s">
        <v>1759</v>
      </c>
      <c r="K93" s="910"/>
      <c r="L93" s="1024"/>
      <c r="M93" s="1024"/>
      <c r="N93" s="1024"/>
      <c r="O93" s="1032"/>
      <c r="P93" s="831"/>
      <c r="R93" s="10"/>
      <c r="S93" s="588" t="s">
        <v>1541</v>
      </c>
      <c r="T93" s="39" t="s">
        <v>1564</v>
      </c>
      <c r="U93" s="39" t="s">
        <v>1565</v>
      </c>
      <c r="V93" s="910" t="s">
        <v>1066</v>
      </c>
      <c r="W93" s="910"/>
      <c r="AB93" s="6"/>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row>
    <row r="94" spans="2:228" ht="15" customHeight="1" x14ac:dyDescent="0.2">
      <c r="B94" s="294" t="s">
        <v>1312</v>
      </c>
      <c r="C94" s="1222"/>
      <c r="D94" s="1223"/>
      <c r="E94" s="1171">
        <f>LETable!AT18</f>
        <v>0</v>
      </c>
      <c r="F94" s="1171"/>
      <c r="G94" s="694"/>
      <c r="H94" s="694"/>
      <c r="I94" s="694"/>
      <c r="J94" s="1178">
        <f>IF(C94="",0,IF(OR(C94&lt;=0,G94&lt;=0),E94,IF(G94&lt;C94,0,LETable!AY18)))</f>
        <v>0</v>
      </c>
      <c r="K94" s="1178"/>
      <c r="L94" s="1232" t="str">
        <f>IF(OR(C94="NA",G94="NA"),"",IF(AND(C94&lt;&gt;"",G94=""),"Enter contralateral or NA.",IF(AND(C94="",G94&lt;&gt;""),"Need data","")))</f>
        <v/>
      </c>
      <c r="M94" s="1232"/>
      <c r="N94" s="1232"/>
      <c r="O94" s="1233"/>
      <c r="P94" s="831"/>
      <c r="S94" s="50">
        <v>40</v>
      </c>
      <c r="T94" s="50" t="str">
        <f>IF(OR(C94="",C94="NA"),"",IF(C94&gt;S94,S94,IF(C94&lt;0,0,C94)))</f>
        <v/>
      </c>
      <c r="U94" s="50" t="str">
        <f>IF(OR(G94="",G94="NA"),"",IF(G94&gt;S94,S94,IF(G94&lt;0,0,G94)))</f>
        <v/>
      </c>
      <c r="V94" s="553" t="str">
        <f>IF(W94="","",ROUND(W94,0))</f>
        <v/>
      </c>
      <c r="W94" s="554" t="str">
        <f>IF(T94="","",IF(OR(U94="",U94=0,U94&lt;T94),T94,(T94*S94)/U94))</f>
        <v/>
      </c>
      <c r="X94" s="10"/>
      <c r="Y94" s="6"/>
      <c r="Z94" s="6"/>
      <c r="AA94" s="6"/>
      <c r="AB94" s="6"/>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row>
    <row r="95" spans="2:228" ht="15" customHeight="1" x14ac:dyDescent="0.2">
      <c r="B95" s="294" t="s">
        <v>1313</v>
      </c>
      <c r="C95" s="1222"/>
      <c r="D95" s="1223"/>
      <c r="E95" s="1171">
        <f>IF(AND(C95&lt;&gt;"",C95&lt;&gt;"NA",C94&lt;&gt;"NA",C94&lt;&gt;""),"ERROR",IF(AND(C95&lt;&gt;"",C95&lt;&gt;"NA",C96&lt;&gt;"",C96&lt;&gt;"NA"),"ERROR",LETable!AT19))</f>
        <v>0</v>
      </c>
      <c r="F95" s="1171"/>
      <c r="G95" s="930" t="str">
        <f>IF(E95="ERROR","Error: Cannot rate ROM and ankylosis.","")</f>
        <v/>
      </c>
      <c r="H95" s="930"/>
      <c r="I95" s="930"/>
      <c r="J95" s="930"/>
      <c r="K95" s="930"/>
      <c r="L95" s="930"/>
      <c r="M95" s="930"/>
      <c r="N95" s="930"/>
      <c r="O95" s="931"/>
      <c r="P95" s="831"/>
      <c r="R95" s="10"/>
      <c r="S95" s="50">
        <v>40</v>
      </c>
      <c r="T95" s="50" t="str">
        <f>IF(OR(C95="",C95="NA"),"",IF(C95&gt;S95,S95,IF(C95&lt;0,0,C95)))</f>
        <v/>
      </c>
      <c r="U95" s="10"/>
      <c r="V95" s="10"/>
      <c r="W95" s="10"/>
      <c r="X95" s="10"/>
      <c r="Y95" s="6"/>
      <c r="Z95" s="6"/>
      <c r="AA95" s="6"/>
      <c r="AB95" s="6"/>
      <c r="AC95" s="10"/>
      <c r="AD95" s="10"/>
      <c r="AE95" s="10"/>
      <c r="AF95" s="10"/>
      <c r="AG95" s="10"/>
      <c r="AH95" s="10"/>
      <c r="AI95" s="10"/>
      <c r="AJ95" s="10"/>
      <c r="AK95" s="10"/>
      <c r="AL95" s="10"/>
      <c r="AM95" s="10"/>
      <c r="AN95" s="10"/>
      <c r="AO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row>
    <row r="96" spans="2:228" ht="15" customHeight="1" x14ac:dyDescent="0.2">
      <c r="B96" s="127" t="s">
        <v>1237</v>
      </c>
      <c r="C96" s="1222"/>
      <c r="D96" s="1223"/>
      <c r="E96" s="1171">
        <f>LETable!AT20</f>
        <v>0</v>
      </c>
      <c r="F96" s="1171"/>
      <c r="G96" s="694"/>
      <c r="H96" s="694"/>
      <c r="I96" s="694"/>
      <c r="J96" s="1178">
        <f>IF(C96="",0,IF(OR(C96&lt;=0,G96&lt;=0),E96,IF(G96&lt;C96,0,LETable!AY20)))</f>
        <v>0</v>
      </c>
      <c r="K96" s="1178"/>
      <c r="L96" s="1232" t="str">
        <f>IF(OR(C96="NA",G96="NA"),"",IF(AND(C96&lt;&gt;"",G96=""),"Enter contralateral or NA.",IF(AND(C96="",G96&lt;&gt;""),"Need data","")))</f>
        <v/>
      </c>
      <c r="M96" s="1232"/>
      <c r="N96" s="1232"/>
      <c r="O96" s="1233"/>
      <c r="P96" s="831"/>
      <c r="R96" s="10"/>
      <c r="S96" s="50">
        <v>30</v>
      </c>
      <c r="T96" s="50" t="str">
        <f>IF(OR(C96="",C96="NA"),"",IF(C96&gt;S96,S96,IF(C96&lt;0,0,C96)))</f>
        <v/>
      </c>
      <c r="U96" s="50" t="str">
        <f>IF(OR(G96="",G96="NA"),"",IF(G96&gt;S96,S96,IF(G96&lt;0,0,G96)))</f>
        <v/>
      </c>
      <c r="V96" s="553" t="str">
        <f>IF(W96="","",ROUND(W96,0))</f>
        <v/>
      </c>
      <c r="W96" s="554" t="str">
        <f>IF(T96="","",IF(OR(U96="",U96=0,U96&lt;T96),T96,(T96*S96)/U96))</f>
        <v/>
      </c>
      <c r="X96" s="10"/>
      <c r="Y96" s="50" t="s">
        <v>2171</v>
      </c>
      <c r="Z96" s="50" t="s">
        <v>1285</v>
      </c>
      <c r="AA96" s="50" t="s">
        <v>1286</v>
      </c>
      <c r="AB96" s="50" t="s">
        <v>1287</v>
      </c>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row>
    <row r="97" spans="1:228" ht="15" customHeight="1" x14ac:dyDescent="0.2">
      <c r="B97" s="293" t="s">
        <v>1801</v>
      </c>
      <c r="C97" s="1222"/>
      <c r="D97" s="1223"/>
      <c r="E97" s="1171">
        <f>IF(AND(C97&lt;&gt;"",C97&lt;&gt;"NA",C96&lt;&gt;"NA",C96&lt;&gt;""),"ERROR",IF(AND(C97&lt;&gt;"",C97&lt;&gt;"NA",C94&lt;&gt;"",C94&lt;&gt;"NA"),"ERROR",LETable!AT21))</f>
        <v>0</v>
      </c>
      <c r="F97" s="1171"/>
      <c r="G97" s="1172" t="str">
        <f>IF(E97="ERROR","Error: Cannot rate ROM and ankylosis.",IF(AND(C95&lt;&gt;"",C95&lt;&gt;"NA",C97&lt;&gt;"",C97&lt;&gt;"NA"),"Multiple ankylosis values; use higher value only.",""))</f>
        <v/>
      </c>
      <c r="H97" s="1173"/>
      <c r="I97" s="1173"/>
      <c r="J97" s="1173"/>
      <c r="K97" s="1173"/>
      <c r="L97" s="1173"/>
      <c r="M97" s="1173"/>
      <c r="N97" s="1173"/>
      <c r="O97" s="1174"/>
      <c r="P97" s="831"/>
      <c r="R97" s="10"/>
      <c r="S97" s="50">
        <v>30</v>
      </c>
      <c r="T97" s="50" t="str">
        <f>IF(OR(C97="",C97="NA"),"",IF(C97&gt;S97,S97,IF(C97&lt;0,0,C97)))</f>
        <v/>
      </c>
      <c r="U97" s="10"/>
      <c r="V97" s="10"/>
      <c r="W97" s="10"/>
      <c r="X97" s="10"/>
      <c r="Y97" s="192">
        <f>O89</f>
        <v>0</v>
      </c>
      <c r="Z97" s="147">
        <f>LARGE($Y$97:$Y$99,1)</f>
        <v>0</v>
      </c>
      <c r="AA97" s="544">
        <f>Z97+Z98*(1-Z97)</f>
        <v>0</v>
      </c>
      <c r="AB97" s="548">
        <f>ROUND(AA97,2)</f>
        <v>0</v>
      </c>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row>
    <row r="98" spans="1:228" ht="21" customHeight="1" x14ac:dyDescent="0.2">
      <c r="B98" s="1122"/>
      <c r="C98" s="1122"/>
      <c r="D98" s="1122"/>
      <c r="E98" s="1122"/>
      <c r="F98" s="1122"/>
      <c r="G98" s="1122"/>
      <c r="H98" s="1122"/>
      <c r="I98" s="1122"/>
      <c r="J98" s="1122"/>
      <c r="K98" s="631" t="s">
        <v>1803</v>
      </c>
      <c r="L98" s="632"/>
      <c r="M98" s="632"/>
      <c r="N98" s="633"/>
      <c r="O98" s="59">
        <f>IF(OR(E95="ERROR",E97="ERROR"),"ERROR",IF(R98&gt;1,1,R98))</f>
        <v>0</v>
      </c>
      <c r="P98" s="832"/>
      <c r="R98" s="193">
        <f>SUM(J94,J96,W98)</f>
        <v>0</v>
      </c>
      <c r="S98" s="10"/>
      <c r="T98" s="10"/>
      <c r="U98" s="10"/>
      <c r="V98" s="10"/>
      <c r="W98" s="581">
        <f>IF(AND(E95&lt;&gt;"ERROR",E97&lt;&gt;"ERROR",C97&lt;&gt;"",E97&lt;&gt;""),MAX(E95,E97),E95+E97)</f>
        <v>0</v>
      </c>
      <c r="X98" s="10"/>
      <c r="Y98" s="192">
        <f>O90</f>
        <v>0</v>
      </c>
      <c r="Z98" s="147">
        <f>LARGE($Y$97:$Y$99,2)</f>
        <v>0</v>
      </c>
      <c r="AA98" s="544">
        <f>AB97+Z99*(1-AB97)</f>
        <v>0</v>
      </c>
      <c r="AB98" s="548">
        <f>ROUND(AA98,2)</f>
        <v>0</v>
      </c>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row>
    <row r="99" spans="1:228" ht="21" customHeight="1" x14ac:dyDescent="0.2">
      <c r="B99" s="1122"/>
      <c r="C99" s="1122"/>
      <c r="D99" s="1122"/>
      <c r="E99" s="1122"/>
      <c r="F99" s="1122"/>
      <c r="G99" s="1122"/>
      <c r="H99" s="1122"/>
      <c r="I99" s="1122"/>
      <c r="J99" s="1122"/>
      <c r="K99" s="631" t="s">
        <v>184</v>
      </c>
      <c r="L99" s="632"/>
      <c r="M99" s="632"/>
      <c r="N99" s="632"/>
      <c r="O99" s="633"/>
      <c r="P99" s="245">
        <f>IF(O98="ERROR","ERROR",AB98)</f>
        <v>0</v>
      </c>
      <c r="R99" s="10"/>
      <c r="S99" s="10"/>
      <c r="T99" s="10"/>
      <c r="U99" s="10"/>
      <c r="V99" s="10"/>
      <c r="W99" s="10"/>
      <c r="X99" s="10"/>
      <c r="Y99" s="192">
        <f>IF(AND(O98&lt;0.01,O98&gt;0),0.01,ROUND(O98,2))</f>
        <v>0</v>
      </c>
      <c r="Z99" s="147">
        <f>LARGE($Y$97:$Y$99,3)</f>
        <v>0</v>
      </c>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row>
    <row r="100" spans="1:228" ht="12" customHeight="1" x14ac:dyDescent="0.25">
      <c r="B100" s="1183"/>
      <c r="C100" s="1183"/>
      <c r="D100" s="1183"/>
      <c r="E100" s="1183"/>
      <c r="F100" s="1183"/>
      <c r="G100" s="1183"/>
      <c r="H100" s="1183"/>
      <c r="I100" s="1183"/>
      <c r="J100" s="1183"/>
      <c r="K100" s="1183"/>
      <c r="L100" s="1183"/>
      <c r="M100" s="1183"/>
      <c r="N100" s="1183"/>
      <c r="O100" s="1183"/>
      <c r="P100" s="379"/>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row>
    <row r="101" spans="1:228" ht="15" customHeight="1" x14ac:dyDescent="0.25">
      <c r="B101" s="944" t="s">
        <v>1966</v>
      </c>
      <c r="C101" s="945"/>
      <c r="D101" s="945"/>
      <c r="E101" s="945"/>
      <c r="F101" s="945"/>
      <c r="G101" s="945"/>
      <c r="H101" s="945"/>
      <c r="I101" s="945"/>
      <c r="J101" s="945"/>
      <c r="K101" s="945"/>
      <c r="L101" s="945"/>
      <c r="M101" s="945"/>
      <c r="N101" s="945"/>
      <c r="O101" s="945"/>
      <c r="P101" s="38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row>
    <row r="102" spans="1:228" ht="15" customHeight="1" x14ac:dyDescent="0.25">
      <c r="B102" s="304" t="s">
        <v>1971</v>
      </c>
      <c r="C102" s="922"/>
      <c r="D102" s="922"/>
      <c r="E102" s="922"/>
      <c r="F102" s="922"/>
      <c r="G102" s="922"/>
      <c r="H102" s="922"/>
      <c r="I102" s="922"/>
      <c r="J102" s="922"/>
      <c r="K102" s="922"/>
      <c r="L102" s="922"/>
      <c r="M102" s="922"/>
      <c r="N102" s="922"/>
      <c r="O102" s="68"/>
      <c r="P102" s="522">
        <f>IF($W$238&gt;0,0,R102)</f>
        <v>0</v>
      </c>
      <c r="R102" s="147">
        <f>IF(C102=S102,0,IF(C102=T102,0.05,IF(C102=U102,0.1,0)))</f>
        <v>0</v>
      </c>
      <c r="S102" s="50" t="s">
        <v>1901</v>
      </c>
      <c r="T102" s="50" t="s">
        <v>1748</v>
      </c>
      <c r="U102" s="50" t="s">
        <v>1749</v>
      </c>
      <c r="V102" s="97"/>
      <c r="W102" s="96"/>
      <c r="X102" s="132"/>
      <c r="Y102" s="132"/>
      <c r="Z102" s="61"/>
      <c r="AA102" s="61"/>
      <c r="AB102" s="62"/>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c r="HA102" s="10"/>
      <c r="HB102" s="10"/>
      <c r="HC102" s="10"/>
      <c r="HD102" s="10"/>
      <c r="HE102" s="10"/>
      <c r="HF102" s="10"/>
      <c r="HG102" s="10"/>
      <c r="HH102" s="10"/>
      <c r="HI102" s="10"/>
      <c r="HJ102" s="10"/>
      <c r="HK102" s="10"/>
      <c r="HL102" s="10"/>
      <c r="HM102" s="10"/>
      <c r="HN102" s="10"/>
      <c r="HO102" s="10"/>
      <c r="HP102" s="10"/>
      <c r="HQ102" s="10"/>
      <c r="HR102" s="10"/>
      <c r="HS102" s="10"/>
      <c r="HT102" s="10"/>
    </row>
    <row r="103" spans="1:228" ht="15" customHeight="1" x14ac:dyDescent="0.25">
      <c r="B103" s="304" t="s">
        <v>1972</v>
      </c>
      <c r="C103" s="922"/>
      <c r="D103" s="922"/>
      <c r="E103" s="922"/>
      <c r="F103" s="922"/>
      <c r="G103" s="922"/>
      <c r="H103" s="922"/>
      <c r="I103" s="922"/>
      <c r="J103" s="922"/>
      <c r="K103" s="922"/>
      <c r="L103" s="922"/>
      <c r="M103" s="922"/>
      <c r="N103" s="922"/>
      <c r="O103" s="69"/>
      <c r="P103" s="21">
        <f>IF($W$238&gt;0,0,R103)</f>
        <v>0</v>
      </c>
      <c r="R103" s="147">
        <f>IF(C103=S103,0,IF(C103=T103,0.05,IF(C103=U103,0.1,0)))</f>
        <v>0</v>
      </c>
      <c r="S103" s="50" t="s">
        <v>1901</v>
      </c>
      <c r="T103" s="50" t="s">
        <v>1956</v>
      </c>
      <c r="U103" s="50" t="s">
        <v>1957</v>
      </c>
      <c r="V103" s="97"/>
      <c r="W103" s="96"/>
      <c r="X103" s="132"/>
      <c r="Y103" s="132"/>
      <c r="Z103" s="61"/>
      <c r="AA103" s="61"/>
      <c r="AB103" s="62"/>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row>
    <row r="104" spans="1:228" ht="27" customHeight="1" x14ac:dyDescent="0.2">
      <c r="B104" s="1085" t="str">
        <f>IF(AND(OR(R102&gt;0,R103&gt;0),$W$238&gt;0),"A value has been given for loss of sensation or hypersensitivity in the foot. No additional value is allowed for the toes.","")</f>
        <v/>
      </c>
      <c r="C104" s="1085"/>
      <c r="D104" s="1085"/>
      <c r="E104" s="1085"/>
      <c r="F104" s="1085"/>
      <c r="G104" s="1085"/>
      <c r="H104" s="1085"/>
      <c r="I104" s="1085"/>
      <c r="J104" s="1085"/>
      <c r="K104" s="1085"/>
      <c r="L104" s="1085"/>
      <c r="M104" s="1085"/>
      <c r="N104" s="1085"/>
      <c r="O104" s="1085"/>
      <c r="P104" s="523"/>
      <c r="R104" s="10"/>
      <c r="S104" s="14"/>
      <c r="T104" s="14"/>
      <c r="U104" s="14"/>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c r="HD104" s="10"/>
      <c r="HE104" s="10"/>
      <c r="HF104" s="10"/>
      <c r="HG104" s="10"/>
      <c r="HH104" s="10"/>
      <c r="HI104" s="10"/>
      <c r="HJ104" s="10"/>
      <c r="HK104" s="10"/>
      <c r="HL104" s="10"/>
      <c r="HM104" s="10"/>
      <c r="HN104" s="10"/>
      <c r="HO104" s="10"/>
      <c r="HP104" s="10"/>
      <c r="HQ104" s="10"/>
      <c r="HR104" s="10"/>
      <c r="HS104" s="10"/>
      <c r="HT104" s="10"/>
    </row>
    <row r="105" spans="1:228" s="6" customFormat="1" ht="12" customHeight="1" x14ac:dyDescent="0.25">
      <c r="A105" s="2"/>
      <c r="B105" s="697"/>
      <c r="C105" s="777"/>
      <c r="D105" s="777"/>
      <c r="E105" s="777"/>
      <c r="F105" s="777"/>
      <c r="G105" s="777"/>
      <c r="H105" s="777"/>
      <c r="I105" s="777"/>
      <c r="J105" s="777"/>
      <c r="K105" s="777"/>
      <c r="L105" s="777"/>
      <c r="M105" s="777"/>
      <c r="N105" s="777"/>
      <c r="O105" s="777"/>
      <c r="P105" s="63"/>
      <c r="Q105" s="2"/>
      <c r="R105" s="10"/>
      <c r="S105" s="10"/>
      <c r="Y105" s="10"/>
      <c r="Z105" s="724"/>
      <c r="AA105" s="724"/>
      <c r="AB105" s="724"/>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row>
    <row r="106" spans="1:228" s="6" customFormat="1" ht="15" customHeight="1" x14ac:dyDescent="0.2">
      <c r="A106" s="2"/>
      <c r="B106" s="761" t="s">
        <v>1975</v>
      </c>
      <c r="C106" s="761"/>
      <c r="D106" s="761"/>
      <c r="E106" s="761"/>
      <c r="F106" s="761"/>
      <c r="G106" s="761"/>
      <c r="H106" s="761"/>
      <c r="I106" s="761"/>
      <c r="J106" s="761"/>
      <c r="K106" s="761"/>
      <c r="L106" s="761"/>
      <c r="M106" s="761"/>
      <c r="N106" s="694"/>
      <c r="O106" s="694"/>
      <c r="P106" s="21">
        <f>IF(N106=T106,0.03,IF(N106=U106,0.15,IF(N106=V106,0.38,IF(N106=W106,0.68,IF(N106=X106,0.9,0)))))</f>
        <v>0</v>
      </c>
      <c r="Q106" s="2"/>
      <c r="R106" s="863" t="s">
        <v>2147</v>
      </c>
      <c r="S106" s="863"/>
      <c r="T106" s="50" t="s">
        <v>1928</v>
      </c>
      <c r="U106" s="50" t="s">
        <v>1929</v>
      </c>
      <c r="V106" s="147" t="s">
        <v>1931</v>
      </c>
      <c r="W106" s="50" t="s">
        <v>929</v>
      </c>
      <c r="X106" s="147" t="s">
        <v>545</v>
      </c>
      <c r="Y106" s="10"/>
      <c r="Z106" s="724"/>
      <c r="AA106" s="724"/>
      <c r="AB106" s="724"/>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row>
    <row r="107" spans="1:228" ht="12" customHeight="1" x14ac:dyDescent="0.25">
      <c r="B107" s="521"/>
      <c r="C107" s="521"/>
      <c r="D107" s="521"/>
      <c r="E107" s="521"/>
      <c r="F107" s="521"/>
      <c r="G107" s="521"/>
      <c r="H107" s="521"/>
      <c r="I107" s="521"/>
      <c r="J107" s="521"/>
      <c r="K107" s="521"/>
      <c r="L107" s="521"/>
      <c r="M107" s="521"/>
      <c r="N107" s="521"/>
      <c r="O107" s="521"/>
      <c r="P107" s="63"/>
      <c r="R107" s="10"/>
      <c r="S107" s="14"/>
      <c r="T107" s="14"/>
      <c r="U107" s="14"/>
      <c r="V107" s="14"/>
      <c r="W107" s="14"/>
      <c r="X107" s="14"/>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row>
    <row r="108" spans="1:228" ht="18" customHeight="1" x14ac:dyDescent="0.2">
      <c r="A108" s="15"/>
      <c r="B108" s="256" t="s">
        <v>1676</v>
      </c>
      <c r="C108" s="996"/>
      <c r="D108" s="996"/>
      <c r="E108" s="742" t="s">
        <v>1677</v>
      </c>
      <c r="F108" s="743"/>
      <c r="G108" s="743"/>
      <c r="H108" s="743"/>
      <c r="I108" s="743"/>
      <c r="J108" s="743"/>
      <c r="K108" s="743"/>
      <c r="L108" s="743"/>
      <c r="M108" s="743"/>
      <c r="N108" s="743"/>
      <c r="O108" s="743"/>
      <c r="P108" s="245">
        <f>IF(T108=1,0.15,0)</f>
        <v>0</v>
      </c>
      <c r="R108" s="10"/>
      <c r="S108" s="561" t="b">
        <v>0</v>
      </c>
      <c r="T108" s="50">
        <f>IF(S108=TRUE,1,0)</f>
        <v>0</v>
      </c>
      <c r="U108" s="10"/>
      <c r="V108" s="10"/>
      <c r="W108" s="10">
        <v>1E-4</v>
      </c>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c r="HL108" s="10"/>
      <c r="HM108" s="10"/>
      <c r="HN108" s="10"/>
      <c r="HO108" s="10"/>
      <c r="HP108" s="10"/>
      <c r="HQ108" s="10"/>
      <c r="HR108" s="10"/>
      <c r="HS108" s="10"/>
      <c r="HT108" s="10"/>
    </row>
    <row r="109" spans="1:228" ht="18" customHeight="1" x14ac:dyDescent="0.2">
      <c r="B109" s="256" t="s">
        <v>1678</v>
      </c>
      <c r="C109" s="996"/>
      <c r="D109" s="996"/>
      <c r="E109" s="742" t="s">
        <v>1679</v>
      </c>
      <c r="F109" s="743"/>
      <c r="G109" s="743"/>
      <c r="H109" s="743"/>
      <c r="I109" s="743"/>
      <c r="J109" s="743"/>
      <c r="K109" s="743"/>
      <c r="L109" s="743"/>
      <c r="M109" s="743"/>
      <c r="N109" s="743"/>
      <c r="O109" s="743"/>
      <c r="P109" s="245">
        <f>IF(T109=1,0.25,0)</f>
        <v>0</v>
      </c>
      <c r="R109" s="10"/>
      <c r="S109" s="561" t="b">
        <v>0</v>
      </c>
      <c r="T109" s="50">
        <f>IF(S109=TRUE,1,0)</f>
        <v>0</v>
      </c>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c r="GY109" s="10"/>
      <c r="GZ109" s="10"/>
      <c r="HA109" s="10"/>
      <c r="HB109" s="10"/>
      <c r="HC109" s="10"/>
      <c r="HD109" s="10"/>
      <c r="HE109" s="10"/>
      <c r="HF109" s="10"/>
      <c r="HG109" s="10"/>
      <c r="HH109" s="10"/>
      <c r="HI109" s="10"/>
      <c r="HJ109" s="10"/>
      <c r="HK109" s="10"/>
      <c r="HL109" s="10"/>
      <c r="HM109" s="10"/>
      <c r="HN109" s="10"/>
      <c r="HO109" s="10"/>
      <c r="HP109" s="10"/>
      <c r="HQ109" s="10"/>
      <c r="HR109" s="10"/>
      <c r="HS109" s="10"/>
      <c r="HT109" s="10"/>
    </row>
    <row r="110" spans="1:228" ht="18" customHeight="1" x14ac:dyDescent="0.2">
      <c r="B110" s="381" t="s">
        <v>613</v>
      </c>
      <c r="C110" s="1018"/>
      <c r="D110" s="1018"/>
      <c r="E110" s="941" t="s">
        <v>614</v>
      </c>
      <c r="F110" s="942"/>
      <c r="G110" s="942"/>
      <c r="H110" s="942"/>
      <c r="I110" s="942"/>
      <c r="J110" s="942"/>
      <c r="K110" s="942"/>
      <c r="L110" s="942"/>
      <c r="M110" s="942"/>
      <c r="N110" s="942"/>
      <c r="O110" s="942"/>
      <c r="P110" s="275">
        <f>IF(T110=1,0.25,0)</f>
        <v>0</v>
      </c>
      <c r="R110" s="10"/>
      <c r="S110" s="561" t="b">
        <v>0</v>
      </c>
      <c r="T110" s="50">
        <f>IF(S110=TRUE,1,0)</f>
        <v>0</v>
      </c>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0"/>
      <c r="EV110" s="10"/>
      <c r="EW110" s="10"/>
      <c r="EX110" s="10"/>
      <c r="EY110" s="10"/>
      <c r="EZ110" s="10"/>
      <c r="FA110" s="10"/>
      <c r="FB110" s="10"/>
      <c r="FC110" s="10"/>
      <c r="FD110" s="10"/>
      <c r="FE110" s="10"/>
      <c r="FF110" s="10"/>
      <c r="FG110" s="10"/>
      <c r="FH110" s="10"/>
      <c r="FI110" s="10"/>
      <c r="FJ110" s="10"/>
      <c r="FK110" s="10"/>
      <c r="FL110" s="10"/>
      <c r="FM110" s="10"/>
      <c r="FN110" s="10"/>
      <c r="FO110" s="10"/>
      <c r="FP110" s="10"/>
      <c r="FQ110" s="10"/>
      <c r="FR110" s="10"/>
      <c r="FS110" s="10"/>
      <c r="FT110" s="10"/>
      <c r="FU110" s="10"/>
      <c r="FV110" s="10"/>
      <c r="FW110" s="10"/>
      <c r="FX110" s="10"/>
      <c r="FY110" s="10"/>
      <c r="FZ110" s="10"/>
      <c r="GA110" s="10"/>
      <c r="GB110" s="10"/>
      <c r="GC110" s="10"/>
      <c r="GD110" s="10"/>
      <c r="GE110" s="10"/>
      <c r="GF110" s="10"/>
      <c r="GG110" s="10"/>
      <c r="GH110" s="10"/>
      <c r="GI110" s="10"/>
      <c r="GJ110" s="10"/>
      <c r="GK110" s="10"/>
      <c r="GL110" s="10"/>
      <c r="GM110" s="10"/>
      <c r="GN110" s="10"/>
      <c r="GO110" s="10"/>
      <c r="GP110" s="10"/>
      <c r="GQ110" s="10"/>
      <c r="GR110" s="10"/>
      <c r="GS110" s="10"/>
      <c r="GT110" s="10"/>
      <c r="GU110" s="10"/>
      <c r="GV110" s="10"/>
      <c r="GW110" s="10"/>
      <c r="GX110" s="10"/>
      <c r="GY110" s="10"/>
      <c r="GZ110" s="10"/>
      <c r="HA110" s="10"/>
      <c r="HB110" s="10"/>
      <c r="HC110" s="10"/>
      <c r="HD110" s="10"/>
      <c r="HE110" s="10"/>
      <c r="HF110" s="10"/>
      <c r="HG110" s="10"/>
      <c r="HH110" s="10"/>
      <c r="HI110" s="10"/>
      <c r="HJ110" s="10"/>
      <c r="HK110" s="10"/>
      <c r="HL110" s="10"/>
      <c r="HM110" s="10"/>
      <c r="HN110" s="10"/>
      <c r="HO110" s="10"/>
      <c r="HP110" s="10"/>
      <c r="HQ110" s="10"/>
      <c r="HR110" s="10"/>
      <c r="HS110" s="10"/>
      <c r="HT110" s="10"/>
    </row>
    <row r="111" spans="1:228" ht="12" customHeight="1" x14ac:dyDescent="0.35">
      <c r="B111" s="1221"/>
      <c r="C111" s="1221"/>
      <c r="D111" s="1221"/>
      <c r="E111" s="1221"/>
      <c r="F111" s="1221"/>
      <c r="G111" s="1221"/>
      <c r="H111" s="1221"/>
      <c r="I111" s="1221"/>
      <c r="J111" s="1221"/>
      <c r="K111" s="1221"/>
      <c r="L111" s="1221"/>
      <c r="M111" s="1221"/>
      <c r="N111" s="1221"/>
      <c r="O111" s="1221"/>
      <c r="R111" s="10"/>
      <c r="S111" s="197"/>
      <c r="T111" s="10"/>
      <c r="U111" s="10"/>
      <c r="V111" s="10"/>
      <c r="W111" s="6"/>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c r="EM111" s="10"/>
      <c r="EN111" s="10"/>
      <c r="EO111" s="10"/>
      <c r="EP111" s="10"/>
      <c r="EQ111" s="10"/>
      <c r="ER111" s="10"/>
      <c r="ES111" s="10"/>
      <c r="ET111" s="10"/>
      <c r="EU111" s="10"/>
      <c r="EV111" s="10"/>
      <c r="EW111" s="10"/>
      <c r="EX111" s="10"/>
      <c r="EY111" s="10"/>
      <c r="EZ111" s="10"/>
      <c r="FA111" s="10"/>
      <c r="FB111" s="10"/>
      <c r="FC111" s="10"/>
      <c r="FD111" s="10"/>
      <c r="FE111" s="10"/>
      <c r="FF111" s="10"/>
      <c r="FG111" s="10"/>
      <c r="FH111" s="10"/>
      <c r="FI111" s="10"/>
      <c r="FJ111" s="10"/>
      <c r="FK111" s="10"/>
      <c r="FL111" s="10"/>
      <c r="FM111" s="10"/>
      <c r="FN111" s="10"/>
      <c r="FO111" s="10"/>
      <c r="FP111" s="10"/>
      <c r="FQ111" s="10"/>
      <c r="FR111" s="10"/>
      <c r="FS111" s="10"/>
      <c r="FT111" s="10"/>
      <c r="FU111" s="10"/>
      <c r="FV111" s="10"/>
      <c r="FW111" s="10"/>
      <c r="FX111" s="10"/>
      <c r="FY111" s="10"/>
      <c r="FZ111" s="10"/>
      <c r="GA111" s="10"/>
      <c r="GB111" s="10"/>
      <c r="GC111" s="10"/>
      <c r="GD111" s="10"/>
      <c r="GE111" s="10"/>
      <c r="GF111" s="10"/>
      <c r="GG111" s="10"/>
      <c r="GH111" s="10"/>
      <c r="GI111" s="10"/>
      <c r="GJ111" s="10"/>
      <c r="GK111" s="10"/>
      <c r="GL111" s="10"/>
      <c r="GM111" s="10"/>
      <c r="GN111" s="10"/>
      <c r="GO111" s="10"/>
      <c r="GP111" s="10"/>
      <c r="GQ111" s="10"/>
      <c r="GR111" s="10"/>
      <c r="GS111" s="10"/>
      <c r="GT111" s="10"/>
      <c r="GU111" s="10"/>
      <c r="GV111" s="10"/>
      <c r="GW111" s="10"/>
      <c r="GX111" s="10"/>
      <c r="GY111" s="10"/>
      <c r="GZ111" s="10"/>
      <c r="HA111" s="10"/>
      <c r="HB111" s="10"/>
      <c r="HC111" s="10"/>
      <c r="HD111" s="10"/>
      <c r="HE111" s="10"/>
      <c r="HF111" s="10"/>
      <c r="HG111" s="10"/>
      <c r="HH111" s="10"/>
      <c r="HI111" s="10"/>
      <c r="HJ111" s="10"/>
      <c r="HK111" s="10"/>
      <c r="HL111" s="10"/>
      <c r="HM111" s="10"/>
      <c r="HN111" s="10"/>
      <c r="HO111" s="10"/>
      <c r="HP111" s="10"/>
      <c r="HQ111" s="10"/>
      <c r="HR111" s="10"/>
      <c r="HS111" s="10"/>
      <c r="HT111" s="10"/>
    </row>
    <row r="112" spans="1:228" ht="27" customHeight="1" x14ac:dyDescent="0.2">
      <c r="B112" s="864" t="s">
        <v>801</v>
      </c>
      <c r="C112" s="865"/>
      <c r="D112" s="865"/>
      <c r="E112" s="865"/>
      <c r="F112" s="865"/>
      <c r="G112" s="912" t="s">
        <v>1495</v>
      </c>
      <c r="H112" s="910"/>
      <c r="I112" s="910"/>
      <c r="J112" s="910"/>
      <c r="K112" s="910"/>
      <c r="L112" s="1319"/>
      <c r="M112" s="1320"/>
      <c r="N112" s="1320"/>
      <c r="O112" s="1321"/>
      <c r="P112" s="857">
        <f>IF(J121&gt;0,J121,V119)</f>
        <v>0</v>
      </c>
      <c r="R112" s="10"/>
      <c r="S112" s="50" t="s">
        <v>1826</v>
      </c>
      <c r="T112" s="50" t="s">
        <v>1285</v>
      </c>
      <c r="U112" s="50" t="s">
        <v>1286</v>
      </c>
      <c r="V112" s="50" t="s">
        <v>1287</v>
      </c>
      <c r="W112" s="50" t="s">
        <v>498</v>
      </c>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c r="EM112" s="10"/>
      <c r="EN112" s="10"/>
      <c r="EO112" s="10"/>
      <c r="EP112" s="10"/>
      <c r="EQ112" s="10"/>
      <c r="ER112" s="10"/>
      <c r="ES112" s="10"/>
      <c r="ET112" s="10"/>
      <c r="EU112" s="10"/>
      <c r="EV112" s="10"/>
      <c r="EW112" s="10"/>
      <c r="EX112" s="10"/>
      <c r="EY112" s="10"/>
      <c r="EZ112" s="10"/>
      <c r="FA112" s="10"/>
      <c r="FB112" s="10"/>
      <c r="FC112" s="10"/>
      <c r="FD112" s="10"/>
      <c r="FE112" s="10"/>
      <c r="FF112" s="10"/>
      <c r="FG112" s="10"/>
      <c r="FH112" s="10"/>
      <c r="FI112" s="10"/>
      <c r="FJ112" s="10"/>
      <c r="FK112" s="10"/>
      <c r="FL112" s="10"/>
      <c r="FM112" s="10"/>
      <c r="FN112" s="10"/>
      <c r="FO112" s="10"/>
      <c r="FP112" s="10"/>
      <c r="FQ112" s="10"/>
      <c r="FR112" s="10"/>
      <c r="FS112" s="10"/>
      <c r="FT112" s="10"/>
      <c r="FU112" s="10"/>
      <c r="FV112" s="10"/>
      <c r="FW112" s="10"/>
      <c r="FX112" s="10"/>
      <c r="FY112" s="10"/>
      <c r="FZ112" s="10"/>
      <c r="GA112" s="10"/>
      <c r="GB112" s="10"/>
      <c r="GC112" s="10"/>
      <c r="GD112" s="10"/>
      <c r="GE112" s="10"/>
      <c r="GF112" s="10"/>
      <c r="GG112" s="10"/>
      <c r="GH112" s="10"/>
      <c r="GI112" s="10"/>
      <c r="GJ112" s="10"/>
      <c r="GK112" s="10"/>
      <c r="GL112" s="10"/>
      <c r="GM112" s="10"/>
      <c r="GN112" s="10"/>
      <c r="GO112" s="10"/>
      <c r="GP112" s="10"/>
      <c r="GQ112" s="10"/>
      <c r="GR112" s="10"/>
      <c r="GS112" s="10"/>
      <c r="GT112" s="10"/>
      <c r="GU112" s="10"/>
      <c r="GV112" s="10"/>
      <c r="GW112" s="10"/>
      <c r="GX112" s="10"/>
      <c r="GY112" s="10"/>
      <c r="GZ112" s="10"/>
      <c r="HA112" s="10"/>
      <c r="HB112" s="10"/>
      <c r="HC112" s="10"/>
      <c r="HD112" s="10"/>
      <c r="HE112" s="10"/>
      <c r="HF112" s="10"/>
      <c r="HG112" s="10"/>
      <c r="HH112" s="10"/>
      <c r="HI112" s="10"/>
      <c r="HJ112" s="10"/>
      <c r="HK112" s="10"/>
      <c r="HL112" s="10"/>
      <c r="HM112" s="10"/>
      <c r="HN112" s="10"/>
      <c r="HO112" s="10"/>
      <c r="HP112" s="10"/>
      <c r="HQ112" s="10"/>
      <c r="HR112" s="10"/>
      <c r="HS112" s="10"/>
      <c r="HT112" s="10"/>
    </row>
    <row r="113" spans="2:228" ht="18" customHeight="1" x14ac:dyDescent="0.2">
      <c r="B113" s="776" t="s">
        <v>615</v>
      </c>
      <c r="C113" s="776"/>
      <c r="D113" s="776"/>
      <c r="E113" s="962">
        <f>P86</f>
        <v>0</v>
      </c>
      <c r="F113" s="1054"/>
      <c r="G113" s="1005"/>
      <c r="H113" s="1005"/>
      <c r="I113" s="1005"/>
      <c r="J113" s="1151">
        <f t="shared" ref="J113:J114" si="15">IF(AND(W113&lt;0.01,W113&gt;0),0.01,ROUND(W113,2))</f>
        <v>0</v>
      </c>
      <c r="K113" s="1151"/>
      <c r="L113" s="967"/>
      <c r="M113" s="968"/>
      <c r="N113" s="968"/>
      <c r="O113" s="969"/>
      <c r="P113" s="961"/>
      <c r="R113" s="10"/>
      <c r="S113" s="147">
        <f t="shared" ref="S113:S116" si="16">IF(J113&gt;0,J113,E113)</f>
        <v>0</v>
      </c>
      <c r="T113" s="147">
        <f>LARGE($S$113:$S$120,1)</f>
        <v>0</v>
      </c>
      <c r="U113" s="544">
        <f>T113+T114*(1-T113)</f>
        <v>0</v>
      </c>
      <c r="V113" s="548">
        <f t="shared" ref="V113:V119" si="17">ROUND(U113,2)</f>
        <v>0</v>
      </c>
      <c r="W113" s="596">
        <f t="shared" ref="W113:W114" si="18">G113*E113</f>
        <v>0</v>
      </c>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c r="HQ113" s="10"/>
      <c r="HR113" s="10"/>
      <c r="HS113" s="10"/>
      <c r="HT113" s="10"/>
    </row>
    <row r="114" spans="2:228" ht="18" customHeight="1" x14ac:dyDescent="0.2">
      <c r="B114" s="791" t="s">
        <v>1918</v>
      </c>
      <c r="C114" s="791"/>
      <c r="D114" s="791"/>
      <c r="E114" s="755">
        <f>IF(P426&gt;0,0,P99)</f>
        <v>0</v>
      </c>
      <c r="F114" s="731"/>
      <c r="G114" s="1005"/>
      <c r="H114" s="1005"/>
      <c r="I114" s="1005"/>
      <c r="J114" s="1151">
        <f t="shared" si="15"/>
        <v>0</v>
      </c>
      <c r="K114" s="1151"/>
      <c r="L114" s="970"/>
      <c r="M114" s="971"/>
      <c r="N114" s="971"/>
      <c r="O114" s="972"/>
      <c r="P114" s="961"/>
      <c r="R114" s="10"/>
      <c r="S114" s="147">
        <f t="shared" si="16"/>
        <v>0</v>
      </c>
      <c r="T114" s="147">
        <f>LARGE($S$113:$S$120,2)</f>
        <v>0</v>
      </c>
      <c r="U114" s="544">
        <f t="shared" ref="U114:U119" si="19">V113+T115*(1-V113)</f>
        <v>0</v>
      </c>
      <c r="V114" s="548">
        <f t="shared" si="17"/>
        <v>0</v>
      </c>
      <c r="W114" s="596">
        <f t="shared" si="18"/>
        <v>0</v>
      </c>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c r="FF114" s="10"/>
      <c r="FG114" s="10"/>
      <c r="FH114" s="10"/>
      <c r="FI114" s="10"/>
      <c r="FJ114" s="10"/>
      <c r="FK114" s="10"/>
      <c r="FL114" s="10"/>
      <c r="FM114" s="10"/>
      <c r="FN114" s="10"/>
      <c r="FO114" s="10"/>
      <c r="FP114" s="10"/>
      <c r="FQ114" s="10"/>
      <c r="FR114" s="10"/>
      <c r="FS114" s="10"/>
      <c r="FT114" s="10"/>
      <c r="FU114" s="10"/>
      <c r="FV114" s="10"/>
      <c r="FW114" s="10"/>
      <c r="FX114" s="10"/>
      <c r="FY114" s="10"/>
      <c r="FZ114" s="10"/>
      <c r="GA114" s="10"/>
      <c r="GB114" s="10"/>
      <c r="GC114" s="10"/>
      <c r="GD114" s="10"/>
      <c r="GE114" s="10"/>
      <c r="GF114" s="10"/>
      <c r="GG114" s="10"/>
      <c r="GH114" s="10"/>
      <c r="GI114" s="10"/>
      <c r="GJ114" s="10"/>
      <c r="GK114" s="10"/>
      <c r="GL114" s="10"/>
      <c r="GM114" s="10"/>
      <c r="GN114" s="10"/>
      <c r="GO114" s="10"/>
      <c r="GP114" s="10"/>
      <c r="GQ114" s="10"/>
      <c r="GR114" s="10"/>
      <c r="GS114" s="10"/>
      <c r="GT114" s="10"/>
      <c r="GU114" s="10"/>
      <c r="GV114" s="10"/>
      <c r="GW114" s="10"/>
      <c r="GX114" s="10"/>
      <c r="GY114" s="10"/>
      <c r="GZ114" s="10"/>
      <c r="HA114" s="10"/>
      <c r="HB114" s="10"/>
      <c r="HC114" s="10"/>
      <c r="HD114" s="10"/>
      <c r="HE114" s="10"/>
      <c r="HF114" s="10"/>
      <c r="HG114" s="10"/>
      <c r="HH114" s="10"/>
      <c r="HI114" s="10"/>
      <c r="HJ114" s="10"/>
      <c r="HK114" s="10"/>
      <c r="HL114" s="10"/>
      <c r="HM114" s="10"/>
      <c r="HN114" s="10"/>
      <c r="HO114" s="10"/>
      <c r="HP114" s="10"/>
      <c r="HQ114" s="10"/>
      <c r="HR114" s="10"/>
      <c r="HS114" s="10"/>
      <c r="HT114" s="10"/>
    </row>
    <row r="115" spans="2:228" ht="18" customHeight="1" x14ac:dyDescent="0.2">
      <c r="B115" s="791" t="s">
        <v>1976</v>
      </c>
      <c r="C115" s="791"/>
      <c r="D115" s="791"/>
      <c r="E115" s="755">
        <f>P102</f>
        <v>0</v>
      </c>
      <c r="F115" s="731"/>
      <c r="G115" s="1005"/>
      <c r="H115" s="1005"/>
      <c r="I115" s="1005"/>
      <c r="J115" s="1151">
        <f>IF(AND(W115&lt;0.01,W115&gt;0),0.01,ROUND(W115,2))</f>
        <v>0</v>
      </c>
      <c r="K115" s="1151"/>
      <c r="L115" s="623"/>
      <c r="M115" s="624"/>
      <c r="N115" s="624"/>
      <c r="O115" s="625"/>
      <c r="P115" s="961"/>
      <c r="R115" s="10"/>
      <c r="S115" s="147">
        <f t="shared" si="16"/>
        <v>0</v>
      </c>
      <c r="T115" s="147">
        <f>LARGE($S$113:$S$120,3)</f>
        <v>0</v>
      </c>
      <c r="U115" s="544">
        <f t="shared" si="19"/>
        <v>0</v>
      </c>
      <c r="V115" s="548">
        <f t="shared" si="17"/>
        <v>0</v>
      </c>
      <c r="W115" s="596">
        <f>G115*E115</f>
        <v>0</v>
      </c>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c r="HL115" s="10"/>
      <c r="HM115" s="10"/>
      <c r="HN115" s="10"/>
      <c r="HO115" s="10"/>
      <c r="HP115" s="10"/>
      <c r="HQ115" s="10"/>
      <c r="HR115" s="10"/>
      <c r="HS115" s="10"/>
      <c r="HT115" s="10"/>
    </row>
    <row r="116" spans="2:228" ht="18" customHeight="1" x14ac:dyDescent="0.2">
      <c r="B116" s="742" t="s">
        <v>1208</v>
      </c>
      <c r="C116" s="743"/>
      <c r="D116" s="744"/>
      <c r="E116" s="755">
        <f>P103</f>
        <v>0</v>
      </c>
      <c r="F116" s="731"/>
      <c r="G116" s="1005"/>
      <c r="H116" s="1005"/>
      <c r="I116" s="1005"/>
      <c r="J116" s="1151">
        <f>IF(AND(W116&lt;0.01,W116&gt;0),0.01,ROUND(W116,2))</f>
        <v>0</v>
      </c>
      <c r="K116" s="1151"/>
      <c r="L116" s="623"/>
      <c r="M116" s="624"/>
      <c r="N116" s="624"/>
      <c r="O116" s="625"/>
      <c r="P116" s="961"/>
      <c r="R116" s="10"/>
      <c r="S116" s="147">
        <f t="shared" si="16"/>
        <v>0</v>
      </c>
      <c r="T116" s="147">
        <f>LARGE($S$113:$S$120,4)</f>
        <v>0</v>
      </c>
      <c r="U116" s="544">
        <f t="shared" si="19"/>
        <v>0</v>
      </c>
      <c r="V116" s="548">
        <f t="shared" si="17"/>
        <v>0</v>
      </c>
      <c r="W116" s="596">
        <f t="shared" ref="W116:W120" si="20">G116*E116</f>
        <v>0</v>
      </c>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c r="HQ116" s="10"/>
      <c r="HR116" s="10"/>
      <c r="HS116" s="10"/>
      <c r="HT116" s="10"/>
    </row>
    <row r="117" spans="2:228" ht="18" customHeight="1" x14ac:dyDescent="0.2">
      <c r="B117" s="742" t="s">
        <v>1419</v>
      </c>
      <c r="C117" s="743"/>
      <c r="D117" s="744"/>
      <c r="E117" s="727">
        <f>P106</f>
        <v>0</v>
      </c>
      <c r="F117" s="729"/>
      <c r="G117" s="1005"/>
      <c r="H117" s="1005"/>
      <c r="I117" s="1005"/>
      <c r="J117" s="1151">
        <f>IF(AND(W117&lt;0.01,W117&gt;0),0.01,ROUND(W117,2))</f>
        <v>0</v>
      </c>
      <c r="K117" s="1151"/>
      <c r="L117" s="915" t="str">
        <f>IF(AND(P99&gt;0,$P$426&gt;0),"The worker has motor loss impairment. No additional impairment value is allowed for reduced range of motion in the same extremity.","")</f>
        <v/>
      </c>
      <c r="M117" s="916"/>
      <c r="N117" s="916"/>
      <c r="O117" s="917"/>
      <c r="P117" s="961"/>
      <c r="R117" s="10"/>
      <c r="S117" s="147">
        <f>IF(J117&gt;0,J117,E117)</f>
        <v>0</v>
      </c>
      <c r="T117" s="147">
        <f>LARGE($S$113:$S$120,5)</f>
        <v>0</v>
      </c>
      <c r="U117" s="544">
        <f t="shared" si="19"/>
        <v>0</v>
      </c>
      <c r="V117" s="548">
        <f t="shared" si="17"/>
        <v>0</v>
      </c>
      <c r="W117" s="596">
        <f t="shared" si="20"/>
        <v>0</v>
      </c>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row>
    <row r="118" spans="2:228" ht="18" customHeight="1" x14ac:dyDescent="0.2">
      <c r="B118" s="791" t="s">
        <v>1680</v>
      </c>
      <c r="C118" s="791"/>
      <c r="D118" s="791"/>
      <c r="E118" s="755">
        <f>P108</f>
        <v>0</v>
      </c>
      <c r="F118" s="731"/>
      <c r="G118" s="1005"/>
      <c r="H118" s="1005"/>
      <c r="I118" s="1005"/>
      <c r="J118" s="1151">
        <f t="shared" ref="J118:J120" si="21">IF(AND(W118&lt;0.01,W118&gt;0),0.01,ROUND(W118,2))</f>
        <v>0</v>
      </c>
      <c r="K118" s="1151"/>
      <c r="L118" s="915"/>
      <c r="M118" s="916"/>
      <c r="N118" s="916"/>
      <c r="O118" s="917"/>
      <c r="P118" s="961"/>
      <c r="R118" s="10"/>
      <c r="S118" s="147">
        <f t="shared" ref="S118:S120" si="22">IF(J118&gt;0,J118,E118)</f>
        <v>0</v>
      </c>
      <c r="T118" s="147">
        <f>LARGE($S$113:$S$120,6)</f>
        <v>0</v>
      </c>
      <c r="U118" s="544">
        <f t="shared" si="19"/>
        <v>0</v>
      </c>
      <c r="V118" s="548">
        <f t="shared" si="17"/>
        <v>0</v>
      </c>
      <c r="W118" s="596">
        <f t="shared" si="20"/>
        <v>0</v>
      </c>
      <c r="X118" s="10"/>
      <c r="Y118" s="10"/>
      <c r="Z118" s="6"/>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c r="HD118" s="10"/>
      <c r="HE118" s="10"/>
      <c r="HF118" s="10"/>
      <c r="HG118" s="10"/>
      <c r="HH118" s="10"/>
      <c r="HI118" s="10"/>
      <c r="HJ118" s="10"/>
      <c r="HK118" s="10"/>
      <c r="HL118" s="10"/>
      <c r="HM118" s="10"/>
      <c r="HN118" s="10"/>
      <c r="HO118" s="10"/>
      <c r="HP118" s="10"/>
      <c r="HQ118" s="10"/>
      <c r="HR118" s="10"/>
      <c r="HS118" s="10"/>
      <c r="HT118" s="10"/>
    </row>
    <row r="119" spans="2:228" ht="18" customHeight="1" x14ac:dyDescent="0.2">
      <c r="B119" s="742" t="s">
        <v>1681</v>
      </c>
      <c r="C119" s="743"/>
      <c r="D119" s="744"/>
      <c r="E119" s="727">
        <f>P109</f>
        <v>0</v>
      </c>
      <c r="F119" s="729"/>
      <c r="G119" s="1005"/>
      <c r="H119" s="1005"/>
      <c r="I119" s="1005"/>
      <c r="J119" s="1151">
        <f t="shared" si="21"/>
        <v>0</v>
      </c>
      <c r="K119" s="1151"/>
      <c r="L119" s="915"/>
      <c r="M119" s="916"/>
      <c r="N119" s="916"/>
      <c r="O119" s="917"/>
      <c r="P119" s="961"/>
      <c r="R119" s="10"/>
      <c r="S119" s="147">
        <f t="shared" si="22"/>
        <v>0</v>
      </c>
      <c r="T119" s="147">
        <f>LARGE($S$113:$S$120,7)</f>
        <v>0</v>
      </c>
      <c r="U119" s="544">
        <f t="shared" si="19"/>
        <v>0</v>
      </c>
      <c r="V119" s="548">
        <f t="shared" si="17"/>
        <v>0</v>
      </c>
      <c r="W119" s="596">
        <f t="shared" si="20"/>
        <v>0</v>
      </c>
      <c r="X119" s="10"/>
      <c r="Y119" s="10"/>
      <c r="Z119" s="1"/>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c r="HJ119" s="10"/>
      <c r="HK119" s="10"/>
      <c r="HL119" s="10"/>
      <c r="HM119" s="10"/>
      <c r="HN119" s="10"/>
      <c r="HO119" s="10"/>
      <c r="HP119" s="10"/>
      <c r="HQ119" s="10"/>
      <c r="HR119" s="10"/>
      <c r="HS119" s="10"/>
      <c r="HT119" s="10"/>
    </row>
    <row r="120" spans="2:228" ht="18" customHeight="1" x14ac:dyDescent="0.2">
      <c r="B120" s="789" t="s">
        <v>1110</v>
      </c>
      <c r="C120" s="789"/>
      <c r="D120" s="789"/>
      <c r="E120" s="1022">
        <f>P110</f>
        <v>0</v>
      </c>
      <c r="F120" s="1022"/>
      <c r="G120" s="1005"/>
      <c r="H120" s="1005"/>
      <c r="I120" s="1005"/>
      <c r="J120" s="1151">
        <f t="shared" si="21"/>
        <v>0</v>
      </c>
      <c r="K120" s="1151"/>
      <c r="L120" s="915"/>
      <c r="M120" s="916"/>
      <c r="N120" s="916"/>
      <c r="O120" s="917"/>
      <c r="P120" s="961"/>
      <c r="R120" s="10"/>
      <c r="S120" s="147">
        <f t="shared" si="22"/>
        <v>0</v>
      </c>
      <c r="T120" s="147">
        <f>LARGE($S$113:$S$120,8)</f>
        <v>0</v>
      </c>
      <c r="U120" s="96"/>
      <c r="V120" s="128"/>
      <c r="W120" s="21">
        <f t="shared" si="20"/>
        <v>0</v>
      </c>
      <c r="X120" s="10"/>
      <c r="Y120" s="10"/>
      <c r="Z120" s="6"/>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c r="EM120" s="10"/>
      <c r="EN120" s="10"/>
      <c r="EO120" s="10"/>
      <c r="EP120" s="10"/>
      <c r="EQ120" s="10"/>
      <c r="ER120" s="10"/>
      <c r="ES120" s="10"/>
      <c r="ET120" s="10"/>
      <c r="EU120" s="10"/>
      <c r="EV120" s="10"/>
      <c r="EW120" s="10"/>
      <c r="EX120" s="10"/>
      <c r="EY120" s="10"/>
      <c r="EZ120" s="10"/>
      <c r="FA120" s="10"/>
      <c r="FB120" s="10"/>
      <c r="FC120" s="10"/>
      <c r="FD120" s="10"/>
      <c r="FE120" s="10"/>
      <c r="FF120" s="10"/>
      <c r="FG120" s="10"/>
      <c r="FH120" s="10"/>
      <c r="FI120" s="10"/>
      <c r="FJ120" s="10"/>
      <c r="FK120" s="10"/>
      <c r="FL120" s="10"/>
      <c r="FM120" s="10"/>
      <c r="FN120" s="10"/>
      <c r="FO120" s="10"/>
      <c r="FP120" s="10"/>
      <c r="FQ120" s="10"/>
      <c r="FR120" s="10"/>
      <c r="FS120" s="10"/>
      <c r="FT120" s="10"/>
      <c r="FU120" s="10"/>
      <c r="FV120" s="10"/>
      <c r="FW120" s="10"/>
      <c r="FX120" s="10"/>
      <c r="FY120" s="10"/>
      <c r="FZ120" s="10"/>
      <c r="GA120" s="10"/>
      <c r="GB120" s="10"/>
      <c r="GC120" s="10"/>
      <c r="GD120" s="10"/>
      <c r="GE120" s="10"/>
      <c r="GF120" s="10"/>
      <c r="GG120" s="10"/>
      <c r="GH120" s="10"/>
      <c r="GI120" s="10"/>
      <c r="GJ120" s="10"/>
      <c r="GK120" s="10"/>
      <c r="GL120" s="10"/>
      <c r="GM120" s="10"/>
      <c r="GN120" s="10"/>
      <c r="GO120" s="10"/>
      <c r="GP120" s="10"/>
      <c r="GQ120" s="10"/>
      <c r="GR120" s="10"/>
      <c r="GS120" s="10"/>
      <c r="GT120" s="10"/>
      <c r="GU120" s="10"/>
      <c r="GV120" s="10"/>
      <c r="GW120" s="10"/>
      <c r="GX120" s="10"/>
      <c r="GY120" s="10"/>
      <c r="GZ120" s="10"/>
      <c r="HA120" s="10"/>
      <c r="HB120" s="10"/>
      <c r="HC120" s="10"/>
      <c r="HD120" s="10"/>
      <c r="HE120" s="10"/>
      <c r="HF120" s="10"/>
      <c r="HG120" s="10"/>
      <c r="HH120" s="10"/>
      <c r="HI120" s="10"/>
      <c r="HJ120" s="10"/>
      <c r="HK120" s="10"/>
      <c r="HL120" s="10"/>
      <c r="HM120" s="10"/>
      <c r="HN120" s="10"/>
      <c r="HO120" s="10"/>
      <c r="HP120" s="10"/>
      <c r="HQ120" s="10"/>
      <c r="HR120" s="10"/>
      <c r="HS120" s="10"/>
      <c r="HT120" s="10"/>
    </row>
    <row r="121" spans="2:228" ht="18" customHeight="1" x14ac:dyDescent="0.2">
      <c r="B121" s="957" t="s">
        <v>564</v>
      </c>
      <c r="C121" s="957"/>
      <c r="D121" s="957"/>
      <c r="E121" s="957"/>
      <c r="F121" s="957"/>
      <c r="G121" s="957"/>
      <c r="H121" s="957"/>
      <c r="I121" s="957"/>
      <c r="J121" s="957"/>
      <c r="K121" s="957"/>
      <c r="L121" s="957"/>
      <c r="M121" s="957"/>
      <c r="N121" s="957"/>
      <c r="O121" s="957"/>
      <c r="P121" s="962"/>
      <c r="R121" s="10"/>
      <c r="S121" s="14"/>
      <c r="T121" s="96"/>
      <c r="U121" s="128"/>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c r="EM121" s="10"/>
      <c r="EN121" s="10"/>
      <c r="EO121" s="10"/>
      <c r="EP121" s="10"/>
      <c r="EQ121" s="10"/>
      <c r="ER121" s="10"/>
      <c r="ES121" s="10"/>
      <c r="ET121" s="10"/>
      <c r="EU121" s="10"/>
      <c r="EV121" s="10"/>
      <c r="EW121" s="10"/>
      <c r="EX121" s="10"/>
      <c r="EY121" s="10"/>
      <c r="EZ121" s="10"/>
      <c r="FA121" s="10"/>
      <c r="FB121" s="10"/>
      <c r="FC121" s="10"/>
      <c r="FD121" s="10"/>
      <c r="FE121" s="10"/>
      <c r="FF121" s="10"/>
      <c r="FG121" s="10"/>
      <c r="FH121" s="10"/>
      <c r="FI121" s="10"/>
      <c r="FJ121" s="10"/>
      <c r="FK121" s="10"/>
      <c r="FL121" s="10"/>
      <c r="FM121" s="10"/>
      <c r="FN121" s="10"/>
      <c r="FO121" s="10"/>
      <c r="FP121" s="10"/>
      <c r="FQ121" s="10"/>
      <c r="FR121" s="10"/>
      <c r="FS121" s="10"/>
      <c r="FT121" s="10"/>
      <c r="FU121" s="10"/>
      <c r="FV121" s="10"/>
      <c r="FW121" s="10"/>
      <c r="FX121" s="10"/>
      <c r="FY121" s="10"/>
      <c r="FZ121" s="10"/>
      <c r="GA121" s="10"/>
      <c r="GB121" s="10"/>
      <c r="GC121" s="10"/>
      <c r="GD121" s="10"/>
      <c r="GE121" s="10"/>
      <c r="GF121" s="10"/>
      <c r="GG121" s="10"/>
      <c r="GH121" s="10"/>
      <c r="GI121" s="10"/>
      <c r="GJ121" s="10"/>
      <c r="GK121" s="10"/>
      <c r="GL121" s="10"/>
      <c r="GM121" s="10"/>
      <c r="GN121" s="10"/>
      <c r="GO121" s="10"/>
      <c r="GP121" s="10"/>
      <c r="GQ121" s="10"/>
      <c r="GR121" s="10"/>
      <c r="GS121" s="10"/>
      <c r="GT121" s="10"/>
      <c r="GU121" s="10"/>
      <c r="GV121" s="10"/>
      <c r="GW121" s="10"/>
      <c r="GX121" s="10"/>
      <c r="GY121" s="10"/>
      <c r="GZ121" s="10"/>
      <c r="HA121" s="10"/>
      <c r="HB121" s="10"/>
      <c r="HC121" s="10"/>
      <c r="HD121" s="10"/>
      <c r="HE121" s="10"/>
      <c r="HF121" s="10"/>
      <c r="HG121" s="10"/>
      <c r="HH121" s="10"/>
      <c r="HI121" s="10"/>
      <c r="HJ121" s="10"/>
      <c r="HK121" s="10"/>
      <c r="HL121" s="10"/>
      <c r="HM121" s="10"/>
      <c r="HN121" s="10"/>
      <c r="HO121" s="10"/>
      <c r="HP121" s="10"/>
      <c r="HQ121" s="10"/>
      <c r="HR121" s="10"/>
      <c r="HS121" s="10"/>
      <c r="HT121" s="10"/>
    </row>
    <row r="122" spans="2:228" ht="11.25" customHeight="1" x14ac:dyDescent="0.2">
      <c r="B122" s="777"/>
      <c r="C122" s="777"/>
      <c r="D122" s="777"/>
      <c r="E122" s="777"/>
      <c r="F122" s="777"/>
      <c r="G122" s="777"/>
      <c r="H122" s="777"/>
      <c r="I122" s="777"/>
      <c r="J122" s="777"/>
      <c r="K122" s="777"/>
      <c r="L122" s="777"/>
      <c r="M122" s="777"/>
      <c r="N122" s="777"/>
      <c r="O122" s="777"/>
      <c r="P122" s="777"/>
      <c r="R122" s="10"/>
      <c r="S122" s="10"/>
      <c r="T122" s="10"/>
      <c r="U122" s="10"/>
      <c r="V122" s="10"/>
      <c r="W122" s="10"/>
      <c r="X122" s="6"/>
      <c r="Y122" s="6"/>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c r="FF122" s="10"/>
      <c r="FG122" s="10"/>
      <c r="FH122" s="10"/>
      <c r="FI122" s="10"/>
      <c r="FJ122" s="10"/>
      <c r="FK122" s="10"/>
      <c r="FL122" s="10"/>
      <c r="FM122" s="10"/>
      <c r="FN122" s="10"/>
      <c r="FO122" s="10"/>
      <c r="FP122" s="10"/>
      <c r="FQ122" s="10"/>
      <c r="FR122" s="10"/>
      <c r="FS122" s="10"/>
      <c r="FT122" s="10"/>
      <c r="FU122" s="10"/>
      <c r="FV122" s="10"/>
      <c r="FW122" s="10"/>
      <c r="FX122" s="10"/>
      <c r="FY122" s="10"/>
      <c r="FZ122" s="10"/>
      <c r="GA122" s="10"/>
      <c r="GB122" s="10"/>
      <c r="GC122" s="10"/>
      <c r="GD122" s="10"/>
      <c r="GE122" s="10"/>
      <c r="GF122" s="10"/>
      <c r="GG122" s="10"/>
      <c r="GH122" s="10"/>
      <c r="GI122" s="10"/>
      <c r="GJ122" s="10"/>
      <c r="GK122" s="10"/>
      <c r="GL122" s="10"/>
      <c r="GM122" s="10"/>
      <c r="GN122" s="10"/>
      <c r="GO122" s="10"/>
      <c r="GP122" s="10"/>
      <c r="GQ122" s="10"/>
      <c r="GR122" s="10"/>
      <c r="GS122" s="10"/>
      <c r="GT122" s="10"/>
      <c r="GU122" s="10"/>
      <c r="GV122" s="10"/>
      <c r="GW122" s="10"/>
      <c r="GX122" s="10"/>
      <c r="GY122" s="10"/>
      <c r="GZ122" s="10"/>
      <c r="HA122" s="10"/>
      <c r="HB122" s="10"/>
      <c r="HC122" s="10"/>
      <c r="HD122" s="10"/>
      <c r="HE122" s="10"/>
      <c r="HF122" s="10"/>
      <c r="HG122" s="10"/>
      <c r="HH122" s="10"/>
      <c r="HI122" s="10"/>
      <c r="HJ122" s="10"/>
      <c r="HK122" s="10"/>
      <c r="HL122" s="10"/>
      <c r="HM122" s="10"/>
      <c r="HN122" s="10"/>
      <c r="HO122" s="10"/>
      <c r="HP122" s="10"/>
      <c r="HQ122" s="10"/>
      <c r="HR122" s="10"/>
      <c r="HS122" s="10"/>
      <c r="HT122" s="10"/>
    </row>
    <row r="123" spans="2:228" x14ac:dyDescent="0.2">
      <c r="B123" s="777"/>
      <c r="C123" s="777"/>
      <c r="D123" s="777"/>
      <c r="E123" s="777"/>
      <c r="F123" s="777"/>
      <c r="G123" s="777"/>
      <c r="H123" s="777"/>
      <c r="I123" s="777"/>
      <c r="J123" s="777"/>
      <c r="K123" s="777"/>
      <c r="L123" s="777"/>
      <c r="M123" s="777"/>
      <c r="N123" s="777"/>
      <c r="O123" s="777"/>
      <c r="P123" s="777"/>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c r="FF123" s="10"/>
      <c r="FG123" s="10"/>
      <c r="FH123" s="10"/>
      <c r="FI123" s="10"/>
      <c r="FJ123" s="10"/>
      <c r="FK123" s="10"/>
      <c r="FL123" s="10"/>
      <c r="FM123" s="10"/>
      <c r="FN123" s="10"/>
      <c r="FO123" s="10"/>
      <c r="FP123" s="10"/>
      <c r="FQ123" s="10"/>
      <c r="FR123" s="10"/>
      <c r="FS123" s="10"/>
      <c r="FT123" s="10"/>
      <c r="FU123" s="10"/>
      <c r="FV123" s="10"/>
      <c r="FW123" s="10"/>
      <c r="FX123" s="10"/>
      <c r="FY123" s="10"/>
      <c r="FZ123" s="10"/>
      <c r="GA123" s="10"/>
      <c r="GB123" s="10"/>
      <c r="GC123" s="10"/>
      <c r="GD123" s="10"/>
      <c r="GE123" s="10"/>
      <c r="GF123" s="10"/>
      <c r="GG123" s="10"/>
      <c r="GH123" s="10"/>
      <c r="GI123" s="10"/>
      <c r="GJ123" s="10"/>
      <c r="GK123" s="10"/>
      <c r="GL123" s="10"/>
      <c r="GM123" s="10"/>
      <c r="GN123" s="10"/>
      <c r="GO123" s="10"/>
      <c r="GP123" s="10"/>
      <c r="GQ123" s="10"/>
      <c r="GR123" s="10"/>
      <c r="GS123" s="10"/>
      <c r="GT123" s="10"/>
      <c r="GU123" s="10"/>
      <c r="GV123" s="10"/>
      <c r="GW123" s="10"/>
      <c r="GX123" s="10"/>
      <c r="GY123" s="10"/>
      <c r="GZ123" s="10"/>
      <c r="HA123" s="10"/>
      <c r="HB123" s="10"/>
      <c r="HC123" s="10"/>
      <c r="HD123" s="10"/>
      <c r="HE123" s="10"/>
      <c r="HF123" s="10"/>
      <c r="HG123" s="10"/>
      <c r="HH123" s="10"/>
      <c r="HI123" s="10"/>
      <c r="HJ123" s="10"/>
      <c r="HK123" s="10"/>
      <c r="HL123" s="10"/>
      <c r="HM123" s="10"/>
      <c r="HN123" s="10"/>
      <c r="HO123" s="10"/>
      <c r="HP123" s="10"/>
      <c r="HQ123" s="10"/>
      <c r="HR123" s="10"/>
      <c r="HS123" s="10"/>
      <c r="HT123" s="10"/>
    </row>
    <row r="124" spans="2:228" ht="18" customHeight="1" x14ac:dyDescent="0.2">
      <c r="B124" s="947" t="s">
        <v>565</v>
      </c>
      <c r="C124" s="863"/>
      <c r="D124" s="863"/>
      <c r="E124" s="863"/>
      <c r="F124" s="863"/>
      <c r="G124" s="863"/>
      <c r="H124" s="863"/>
      <c r="I124" s="863"/>
      <c r="J124" s="863"/>
      <c r="K124" s="863"/>
      <c r="L124" s="863"/>
      <c r="M124" s="863"/>
      <c r="N124" s="863"/>
      <c r="O124" s="863"/>
      <c r="P124" s="863"/>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c r="EM124" s="10"/>
      <c r="EN124" s="10"/>
      <c r="EO124" s="10"/>
      <c r="EP124" s="10"/>
      <c r="EQ124" s="10"/>
      <c r="ER124" s="10"/>
      <c r="ES124" s="10"/>
      <c r="ET124" s="10"/>
      <c r="EU124" s="10"/>
      <c r="EV124" s="10"/>
      <c r="EW124" s="10"/>
      <c r="EX124" s="10"/>
      <c r="EY124" s="10"/>
      <c r="EZ124" s="10"/>
      <c r="FA124" s="10"/>
      <c r="FB124" s="10"/>
      <c r="FC124" s="10"/>
      <c r="FD124" s="10"/>
      <c r="FE124" s="10"/>
      <c r="FF124" s="10"/>
      <c r="FG124" s="10"/>
      <c r="FH124" s="10"/>
      <c r="FI124" s="10"/>
      <c r="FJ124" s="10"/>
      <c r="FK124" s="10"/>
      <c r="FL124" s="10"/>
      <c r="FM124" s="10"/>
      <c r="FN124" s="10"/>
      <c r="FO124" s="10"/>
      <c r="FP124" s="10"/>
      <c r="FQ124" s="10"/>
      <c r="FR124" s="10"/>
      <c r="FS124" s="10"/>
      <c r="FT124" s="10"/>
      <c r="FU124" s="10"/>
      <c r="FV124" s="10"/>
      <c r="FW124" s="10"/>
      <c r="FX124" s="10"/>
      <c r="FY124" s="10"/>
      <c r="FZ124" s="10"/>
      <c r="GA124" s="10"/>
      <c r="GB124" s="10"/>
      <c r="GC124" s="10"/>
      <c r="GD124" s="10"/>
      <c r="GE124" s="10"/>
      <c r="GF124" s="10"/>
      <c r="GG124" s="10"/>
      <c r="GH124" s="10"/>
      <c r="GI124" s="10"/>
      <c r="GJ124" s="10"/>
      <c r="GK124" s="10"/>
      <c r="GL124" s="10"/>
      <c r="GM124" s="10"/>
      <c r="GN124" s="10"/>
      <c r="GO124" s="10"/>
      <c r="GP124" s="10"/>
      <c r="GQ124" s="10"/>
      <c r="GR124" s="10"/>
      <c r="GS124" s="10"/>
      <c r="GT124" s="10"/>
      <c r="GU124" s="10"/>
      <c r="GV124" s="10"/>
      <c r="GW124" s="10"/>
      <c r="GX124" s="10"/>
      <c r="GY124" s="10"/>
      <c r="GZ124" s="10"/>
      <c r="HA124" s="10"/>
      <c r="HB124" s="10"/>
      <c r="HC124" s="10"/>
      <c r="HD124" s="10"/>
      <c r="HE124" s="10"/>
      <c r="HF124" s="10"/>
      <c r="HG124" s="10"/>
      <c r="HH124" s="10"/>
      <c r="HI124" s="10"/>
      <c r="HJ124" s="10"/>
      <c r="HK124" s="10"/>
      <c r="HL124" s="10"/>
      <c r="HM124" s="10"/>
      <c r="HN124" s="10"/>
      <c r="HO124" s="10"/>
      <c r="HP124" s="10"/>
      <c r="HQ124" s="10"/>
      <c r="HR124" s="10"/>
      <c r="HS124" s="10"/>
      <c r="HT124" s="10"/>
    </row>
    <row r="125" spans="2:228" ht="15" customHeight="1" x14ac:dyDescent="0.2">
      <c r="B125" s="910" t="s">
        <v>566</v>
      </c>
      <c r="C125" s="910"/>
      <c r="D125" s="910"/>
      <c r="E125" s="910"/>
      <c r="F125" s="910"/>
      <c r="G125" s="910"/>
      <c r="H125" s="910"/>
      <c r="I125" s="910"/>
      <c r="J125" s="910"/>
      <c r="K125" s="910"/>
      <c r="L125" s="910"/>
      <c r="M125" s="910"/>
      <c r="N125" s="910"/>
      <c r="O125" s="910"/>
      <c r="P125" s="910"/>
      <c r="R125" s="10"/>
      <c r="S125" s="10"/>
      <c r="T125" s="761" t="s">
        <v>567</v>
      </c>
      <c r="U125" s="50" t="s">
        <v>1298</v>
      </c>
      <c r="V125" s="50" t="s">
        <v>1058</v>
      </c>
      <c r="W125" s="552" t="s">
        <v>1059</v>
      </c>
      <c r="X125" s="50" t="s">
        <v>1244</v>
      </c>
      <c r="Y125" s="50" t="s">
        <v>1245</v>
      </c>
      <c r="Z125" s="50" t="s">
        <v>1827</v>
      </c>
      <c r="AA125" s="147" t="s">
        <v>1671</v>
      </c>
      <c r="AB125" s="147" t="s">
        <v>97</v>
      </c>
      <c r="AC125" s="147" t="s">
        <v>98</v>
      </c>
      <c r="AD125" s="50" t="s">
        <v>1705</v>
      </c>
      <c r="AE125" s="50" t="s">
        <v>1706</v>
      </c>
      <c r="AF125" s="50" t="s">
        <v>1707</v>
      </c>
      <c r="AG125" s="50" t="s">
        <v>76</v>
      </c>
      <c r="AH125" s="50" t="s">
        <v>77</v>
      </c>
      <c r="AI125" s="50" t="s">
        <v>805</v>
      </c>
      <c r="AJ125" s="50" t="s">
        <v>806</v>
      </c>
      <c r="AK125" s="50" t="s">
        <v>807</v>
      </c>
      <c r="AL125" s="50" t="s">
        <v>808</v>
      </c>
      <c r="AM125" s="50" t="s">
        <v>1116</v>
      </c>
      <c r="AN125" s="50" t="s">
        <v>1514</v>
      </c>
      <c r="AO125" s="50" t="s">
        <v>194</v>
      </c>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c r="EM125" s="10"/>
      <c r="EN125" s="10"/>
      <c r="EO125" s="10"/>
      <c r="EP125" s="10"/>
      <c r="EQ125" s="10"/>
      <c r="ER125" s="10"/>
      <c r="ES125" s="10"/>
      <c r="ET125" s="10"/>
      <c r="EU125" s="10"/>
      <c r="EV125" s="10"/>
      <c r="EW125" s="10"/>
      <c r="EX125" s="10"/>
      <c r="EY125" s="10"/>
      <c r="EZ125" s="10"/>
      <c r="FA125" s="10"/>
      <c r="FB125" s="10"/>
      <c r="FC125" s="10"/>
      <c r="FD125" s="10"/>
      <c r="FE125" s="10"/>
      <c r="FF125" s="10"/>
      <c r="FG125" s="10"/>
      <c r="FH125" s="10"/>
      <c r="FI125" s="10"/>
      <c r="FJ125" s="10"/>
      <c r="FK125" s="10"/>
      <c r="FL125" s="10"/>
      <c r="FM125" s="10"/>
      <c r="FN125" s="10"/>
      <c r="FO125" s="10"/>
      <c r="FP125" s="10"/>
      <c r="FQ125" s="10"/>
      <c r="FR125" s="10"/>
      <c r="FS125" s="10"/>
      <c r="FT125" s="10"/>
      <c r="FU125" s="10"/>
      <c r="FV125" s="10"/>
      <c r="FW125" s="10"/>
      <c r="FX125" s="10"/>
      <c r="FY125" s="10"/>
      <c r="FZ125" s="10"/>
      <c r="GA125" s="10"/>
      <c r="GB125" s="10"/>
      <c r="GC125" s="10"/>
      <c r="GD125" s="10"/>
      <c r="GE125" s="10"/>
      <c r="GF125" s="10"/>
      <c r="GG125" s="10"/>
      <c r="GH125" s="10"/>
      <c r="GI125" s="10"/>
      <c r="GJ125" s="10"/>
      <c r="GK125" s="10"/>
      <c r="GL125" s="10"/>
      <c r="GM125" s="10"/>
      <c r="GN125" s="10"/>
      <c r="GO125" s="10"/>
      <c r="GP125" s="10"/>
      <c r="GQ125" s="10"/>
      <c r="GR125" s="10"/>
      <c r="GS125" s="10"/>
      <c r="GT125" s="10"/>
      <c r="GU125" s="10"/>
      <c r="GV125" s="10"/>
      <c r="GW125" s="10"/>
      <c r="GX125" s="10"/>
      <c r="GY125" s="10"/>
      <c r="GZ125" s="10"/>
      <c r="HA125" s="10"/>
      <c r="HB125" s="10"/>
      <c r="HC125" s="10"/>
      <c r="HD125" s="10"/>
      <c r="HE125" s="10"/>
      <c r="HF125" s="10"/>
      <c r="HG125" s="10"/>
      <c r="HH125" s="10"/>
      <c r="HI125" s="10"/>
      <c r="HJ125" s="10"/>
      <c r="HK125" s="10"/>
      <c r="HL125" s="10"/>
      <c r="HM125" s="10"/>
      <c r="HN125" s="10"/>
      <c r="HO125" s="10"/>
      <c r="HP125" s="10"/>
      <c r="HQ125" s="10"/>
      <c r="HR125" s="10"/>
      <c r="HS125" s="10"/>
      <c r="HT125" s="10"/>
    </row>
    <row r="126" spans="2:228" ht="27.75" customHeight="1" x14ac:dyDescent="0.2">
      <c r="B126" s="1012"/>
      <c r="C126" s="1012"/>
      <c r="D126" s="1012"/>
      <c r="E126" s="1012"/>
      <c r="F126" s="1012"/>
      <c r="G126" s="1012"/>
      <c r="H126" s="1012"/>
      <c r="I126" s="1012"/>
      <c r="J126" s="1012"/>
      <c r="K126" s="1012"/>
      <c r="L126" s="1012"/>
      <c r="M126" s="1012"/>
      <c r="N126" s="1012"/>
      <c r="O126" s="1012"/>
      <c r="P126" s="21">
        <f>SUMIF(U125:AO125,B126,U126:AO126)</f>
        <v>0</v>
      </c>
      <c r="R126" s="10"/>
      <c r="S126" s="10"/>
      <c r="T126" s="761"/>
      <c r="U126" s="548">
        <v>0</v>
      </c>
      <c r="V126" s="147">
        <v>0.05</v>
      </c>
      <c r="W126" s="147">
        <v>0.1</v>
      </c>
      <c r="X126" s="147">
        <v>0.15</v>
      </c>
      <c r="Y126" s="147">
        <v>0.2</v>
      </c>
      <c r="Z126" s="147">
        <v>0.25</v>
      </c>
      <c r="AA126" s="147">
        <v>0.3</v>
      </c>
      <c r="AB126" s="147">
        <v>0.35</v>
      </c>
      <c r="AC126" s="147">
        <v>0.4</v>
      </c>
      <c r="AD126" s="147">
        <v>0.45</v>
      </c>
      <c r="AE126" s="147">
        <v>0.5</v>
      </c>
      <c r="AF126" s="147">
        <v>0.55000000000000004</v>
      </c>
      <c r="AG126" s="147">
        <v>0.6</v>
      </c>
      <c r="AH126" s="147">
        <v>0.65</v>
      </c>
      <c r="AI126" s="147">
        <v>0.7</v>
      </c>
      <c r="AJ126" s="147">
        <v>0.75</v>
      </c>
      <c r="AK126" s="147">
        <v>0.8</v>
      </c>
      <c r="AL126" s="147">
        <v>0.85</v>
      </c>
      <c r="AM126" s="147">
        <v>0.9</v>
      </c>
      <c r="AN126" s="147">
        <v>0.95</v>
      </c>
      <c r="AO126" s="147">
        <v>1</v>
      </c>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0"/>
      <c r="EU126" s="10"/>
      <c r="EV126" s="10"/>
      <c r="EW126" s="10"/>
      <c r="EX126" s="10"/>
      <c r="EY126" s="10"/>
      <c r="EZ126" s="10"/>
      <c r="FA126" s="10"/>
      <c r="FB126" s="10"/>
      <c r="FC126" s="10"/>
      <c r="FD126" s="10"/>
      <c r="FE126" s="10"/>
      <c r="FF126" s="10"/>
      <c r="FG126" s="10"/>
      <c r="FH126" s="10"/>
      <c r="FI126" s="10"/>
      <c r="FJ126" s="10"/>
      <c r="FK126" s="10"/>
      <c r="FL126" s="10"/>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c r="GM126" s="10"/>
      <c r="GN126" s="10"/>
      <c r="GO126" s="10"/>
      <c r="GP126" s="10"/>
      <c r="GQ126" s="10"/>
      <c r="GR126" s="10"/>
      <c r="GS126" s="10"/>
      <c r="GT126" s="10"/>
      <c r="GU126" s="10"/>
      <c r="GV126" s="10"/>
      <c r="GW126" s="10"/>
      <c r="GX126" s="10"/>
      <c r="GY126" s="10"/>
      <c r="GZ126" s="10"/>
      <c r="HA126" s="10"/>
      <c r="HB126" s="10"/>
      <c r="HC126" s="10"/>
      <c r="HD126" s="10"/>
      <c r="HE126" s="10"/>
      <c r="HF126" s="10"/>
      <c r="HG126" s="10"/>
      <c r="HH126" s="10"/>
      <c r="HI126" s="10"/>
      <c r="HJ126" s="10"/>
      <c r="HK126" s="10"/>
      <c r="HL126" s="10"/>
      <c r="HM126" s="10"/>
      <c r="HN126" s="10"/>
      <c r="HO126" s="10"/>
      <c r="HP126" s="10"/>
      <c r="HQ126" s="10"/>
      <c r="HR126" s="10"/>
      <c r="HS126" s="10"/>
      <c r="HT126" s="10"/>
    </row>
    <row r="127" spans="2:228" ht="12" customHeight="1" x14ac:dyDescent="0.25">
      <c r="B127" s="1220"/>
      <c r="C127" s="1220"/>
      <c r="D127" s="1220"/>
      <c r="E127" s="1220"/>
      <c r="F127" s="1220"/>
      <c r="G127" s="1220"/>
      <c r="H127" s="1220"/>
      <c r="I127" s="1220"/>
      <c r="J127" s="1220"/>
      <c r="K127" s="1220"/>
      <c r="L127" s="1220"/>
      <c r="M127" s="1220"/>
      <c r="N127" s="1220"/>
      <c r="O127" s="1220"/>
      <c r="P127" s="122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c r="EM127" s="10"/>
      <c r="EN127" s="10"/>
      <c r="EO127" s="10"/>
      <c r="EP127" s="10"/>
      <c r="EQ127" s="10"/>
      <c r="ER127" s="10"/>
      <c r="ES127" s="10"/>
      <c r="ET127" s="10"/>
      <c r="EU127" s="10"/>
      <c r="EV127" s="10"/>
      <c r="EW127" s="10"/>
      <c r="EX127" s="10"/>
      <c r="EY127" s="10"/>
      <c r="EZ127" s="10"/>
      <c r="FA127" s="10"/>
      <c r="FB127" s="10"/>
      <c r="FC127" s="10"/>
      <c r="FD127" s="10"/>
      <c r="FE127" s="10"/>
      <c r="FF127" s="10"/>
      <c r="FG127" s="10"/>
      <c r="FH127" s="10"/>
      <c r="FI127" s="10"/>
      <c r="FJ127" s="10"/>
      <c r="FK127" s="10"/>
      <c r="FL127" s="10"/>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c r="GM127" s="10"/>
      <c r="GN127" s="10"/>
      <c r="GO127" s="10"/>
      <c r="GP127" s="10"/>
      <c r="GQ127" s="10"/>
      <c r="GR127" s="10"/>
      <c r="GS127" s="10"/>
      <c r="GT127" s="10"/>
      <c r="GU127" s="10"/>
      <c r="GV127" s="10"/>
      <c r="GW127" s="10"/>
      <c r="GX127" s="10"/>
      <c r="GY127" s="10"/>
      <c r="GZ127" s="10"/>
      <c r="HA127" s="10"/>
      <c r="HB127" s="10"/>
      <c r="HC127" s="10"/>
      <c r="HD127" s="10"/>
      <c r="HE127" s="10"/>
      <c r="HF127" s="10"/>
      <c r="HG127" s="10"/>
      <c r="HH127" s="10"/>
      <c r="HI127" s="10"/>
      <c r="HJ127" s="10"/>
      <c r="HK127" s="10"/>
      <c r="HL127" s="10"/>
      <c r="HM127" s="10"/>
      <c r="HN127" s="10"/>
      <c r="HO127" s="10"/>
      <c r="HP127" s="10"/>
      <c r="HQ127" s="10"/>
      <c r="HR127" s="10"/>
      <c r="HS127" s="10"/>
      <c r="HT127" s="10"/>
    </row>
    <row r="128" spans="2:228" ht="18" customHeight="1" x14ac:dyDescent="0.2">
      <c r="B128" s="944" t="s">
        <v>568</v>
      </c>
      <c r="C128" s="945"/>
      <c r="D128" s="945"/>
      <c r="E128" s="945"/>
      <c r="F128" s="945"/>
      <c r="G128" s="945"/>
      <c r="H128" s="945"/>
      <c r="I128" s="945"/>
      <c r="J128" s="945"/>
      <c r="K128" s="945"/>
      <c r="L128" s="945"/>
      <c r="M128" s="945"/>
      <c r="N128" s="945"/>
      <c r="O128" s="945"/>
      <c r="P128" s="830"/>
      <c r="R128" s="10"/>
      <c r="S128" s="10"/>
      <c r="T128" s="10"/>
      <c r="U128" s="10"/>
      <c r="V128" s="10"/>
      <c r="W128" s="10"/>
      <c r="X128" s="10"/>
      <c r="Y128" s="10"/>
      <c r="Z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10"/>
      <c r="EP128" s="10"/>
      <c r="EQ128" s="10"/>
      <c r="ER128" s="10"/>
      <c r="ES128" s="10"/>
      <c r="ET128" s="10"/>
      <c r="EU128" s="10"/>
      <c r="EV128" s="10"/>
      <c r="EW128" s="10"/>
      <c r="EX128" s="10"/>
      <c r="EY128" s="10"/>
      <c r="EZ128" s="10"/>
      <c r="FA128" s="10"/>
      <c r="FB128" s="10"/>
      <c r="FC128" s="10"/>
      <c r="FD128" s="10"/>
      <c r="FE128" s="10"/>
      <c r="FF128" s="10"/>
      <c r="FG128" s="10"/>
      <c r="FH128" s="10"/>
      <c r="FI128" s="10"/>
      <c r="FJ128" s="10"/>
      <c r="FK128" s="10"/>
      <c r="FL128" s="10"/>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c r="GM128" s="10"/>
      <c r="GN128" s="10"/>
      <c r="GO128" s="10"/>
      <c r="GP128" s="10"/>
      <c r="GQ128" s="10"/>
      <c r="GR128" s="10"/>
      <c r="GS128" s="10"/>
      <c r="GT128" s="10"/>
      <c r="GU128" s="10"/>
      <c r="GV128" s="10"/>
      <c r="GW128" s="10"/>
      <c r="GX128" s="10"/>
      <c r="GY128" s="10"/>
      <c r="GZ128" s="10"/>
      <c r="HA128" s="10"/>
      <c r="HB128" s="10"/>
      <c r="HC128" s="10"/>
      <c r="HD128" s="10"/>
      <c r="HE128" s="10"/>
      <c r="HF128" s="10"/>
      <c r="HG128" s="10"/>
      <c r="HH128" s="10"/>
      <c r="HI128" s="10"/>
      <c r="HJ128" s="10"/>
      <c r="HK128" s="10"/>
      <c r="HL128" s="10"/>
      <c r="HM128" s="10"/>
      <c r="HN128" s="10"/>
      <c r="HO128" s="10"/>
      <c r="HP128" s="10"/>
      <c r="HQ128" s="10"/>
      <c r="HR128" s="10"/>
      <c r="HS128" s="10"/>
      <c r="HT128" s="10"/>
    </row>
    <row r="129" spans="2:228" ht="15" customHeight="1" x14ac:dyDescent="0.2">
      <c r="B129" s="282" t="s">
        <v>1516</v>
      </c>
      <c r="C129" s="1241"/>
      <c r="D129" s="1242"/>
      <c r="E129" s="1242"/>
      <c r="F129" s="1242"/>
      <c r="G129" s="1242"/>
      <c r="H129" s="1242"/>
      <c r="I129" s="1242"/>
      <c r="J129" s="1242"/>
      <c r="K129" s="1242"/>
      <c r="L129" s="1224"/>
      <c r="M129" s="1225"/>
      <c r="N129" s="1226"/>
      <c r="O129" s="67">
        <f>IF(C129=T129,0.45,IF(C129=U129,0.3,IF(C129=V129,0.45,0)))</f>
        <v>0</v>
      </c>
      <c r="P129" s="831"/>
      <c r="R129" s="947" t="s">
        <v>2147</v>
      </c>
      <c r="S129" s="50" t="s">
        <v>1901</v>
      </c>
      <c r="T129" s="50" t="s">
        <v>1517</v>
      </c>
      <c r="U129" s="256" t="s">
        <v>1518</v>
      </c>
      <c r="V129" s="50" t="s">
        <v>1519</v>
      </c>
      <c r="W129" s="10"/>
      <c r="X129" s="10"/>
      <c r="Y129" s="10"/>
      <c r="Z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c r="FF129" s="10"/>
      <c r="FG129" s="10"/>
      <c r="FH129" s="10"/>
      <c r="FI129" s="10"/>
      <c r="FJ129" s="10"/>
      <c r="FK129" s="10"/>
      <c r="FL129" s="10"/>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c r="GM129" s="10"/>
      <c r="GN129" s="10"/>
      <c r="GO129" s="10"/>
      <c r="GP129" s="10"/>
      <c r="GQ129" s="10"/>
      <c r="GR129" s="10"/>
      <c r="GS129" s="10"/>
      <c r="GT129" s="10"/>
      <c r="GU129" s="10"/>
      <c r="GV129" s="10"/>
      <c r="GW129" s="10"/>
      <c r="GX129" s="10"/>
      <c r="GY129" s="10"/>
      <c r="GZ129" s="10"/>
      <c r="HA129" s="10"/>
      <c r="HB129" s="10"/>
      <c r="HC129" s="10"/>
      <c r="HD129" s="10"/>
      <c r="HE129" s="10"/>
      <c r="HF129" s="10"/>
      <c r="HG129" s="10"/>
      <c r="HH129" s="10"/>
      <c r="HI129" s="10"/>
      <c r="HJ129" s="10"/>
      <c r="HK129" s="10"/>
      <c r="HL129" s="10"/>
      <c r="HM129" s="10"/>
      <c r="HN129" s="10"/>
      <c r="HO129" s="10"/>
      <c r="HP129" s="10"/>
      <c r="HQ129" s="10"/>
      <c r="HR129" s="10"/>
      <c r="HS129" s="10"/>
      <c r="HT129" s="10"/>
    </row>
    <row r="130" spans="2:228" ht="15" customHeight="1" x14ac:dyDescent="0.2">
      <c r="B130" s="274" t="s">
        <v>1673</v>
      </c>
      <c r="C130" s="1222"/>
      <c r="D130" s="1238"/>
      <c r="E130" s="1238"/>
      <c r="F130" s="1238"/>
      <c r="G130" s="1238"/>
      <c r="H130" s="1238"/>
      <c r="I130" s="1238"/>
      <c r="J130" s="1238"/>
      <c r="K130" s="1238"/>
      <c r="L130" s="1032"/>
      <c r="M130" s="1033"/>
      <c r="N130" s="1034"/>
      <c r="O130" s="64">
        <f>IF(C130=T130,0.8,IF(C130=U130,0.45,IF(C130=V130,0.8,0)))</f>
        <v>0</v>
      </c>
      <c r="P130" s="831"/>
      <c r="R130" s="947"/>
      <c r="S130" s="50" t="s">
        <v>1901</v>
      </c>
      <c r="T130" s="50" t="s">
        <v>1517</v>
      </c>
      <c r="U130" s="256" t="s">
        <v>1518</v>
      </c>
      <c r="V130" s="50" t="s">
        <v>1519</v>
      </c>
      <c r="W130" s="10"/>
      <c r="X130" s="10"/>
      <c r="Y130" s="10"/>
      <c r="Z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c r="HA130" s="10"/>
      <c r="HB130" s="10"/>
      <c r="HC130" s="10"/>
      <c r="HD130" s="10"/>
      <c r="HE130" s="10"/>
      <c r="HF130" s="10"/>
      <c r="HG130" s="10"/>
      <c r="HH130" s="10"/>
      <c r="HI130" s="10"/>
      <c r="HJ130" s="10"/>
      <c r="HK130" s="10"/>
      <c r="HL130" s="10"/>
      <c r="HM130" s="10"/>
      <c r="HN130" s="10"/>
      <c r="HO130" s="10"/>
      <c r="HP130" s="10"/>
      <c r="HQ130" s="10"/>
      <c r="HR130" s="10"/>
      <c r="HS130" s="10"/>
      <c r="HT130" s="10"/>
    </row>
    <row r="131" spans="2:228" ht="12" customHeight="1" x14ac:dyDescent="0.25">
      <c r="B131" s="1240"/>
      <c r="C131" s="1183"/>
      <c r="D131" s="1183"/>
      <c r="E131" s="1183"/>
      <c r="F131" s="1183"/>
      <c r="G131" s="1183"/>
      <c r="H131" s="1183"/>
      <c r="I131" s="1183"/>
      <c r="J131" s="1183"/>
      <c r="K131" s="1183"/>
      <c r="L131" s="1183"/>
      <c r="M131" s="1183"/>
      <c r="N131" s="1183"/>
      <c r="O131" s="1183"/>
      <c r="P131" s="831"/>
      <c r="R131" s="10"/>
      <c r="S131" s="58"/>
      <c r="T131" s="58"/>
      <c r="U131" s="58"/>
      <c r="V131" s="10"/>
      <c r="W131" s="10"/>
      <c r="X131" s="10"/>
      <c r="Y131" s="10"/>
      <c r="Z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c r="EM131" s="10"/>
      <c r="EN131" s="10"/>
      <c r="EO131" s="10"/>
      <c r="EP131" s="10"/>
      <c r="EQ131" s="10"/>
      <c r="ER131" s="10"/>
      <c r="ES131" s="10"/>
      <c r="ET131" s="10"/>
      <c r="EU131" s="10"/>
      <c r="EV131" s="10"/>
      <c r="EW131" s="10"/>
      <c r="EX131" s="10"/>
      <c r="EY131" s="10"/>
      <c r="EZ131" s="10"/>
      <c r="FA131" s="10"/>
      <c r="FB131" s="10"/>
      <c r="FC131" s="10"/>
      <c r="FD131" s="10"/>
      <c r="FE131" s="10"/>
      <c r="FF131" s="10"/>
      <c r="FG131" s="10"/>
      <c r="FH131" s="10"/>
      <c r="FI131" s="10"/>
      <c r="FJ131" s="10"/>
      <c r="FK131" s="10"/>
      <c r="FL131" s="10"/>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c r="GM131" s="10"/>
      <c r="GN131" s="10"/>
      <c r="GO131" s="10"/>
      <c r="GP131" s="10"/>
      <c r="GQ131" s="10"/>
      <c r="GR131" s="10"/>
      <c r="GS131" s="10"/>
      <c r="GT131" s="10"/>
      <c r="GU131" s="10"/>
      <c r="GV131" s="10"/>
      <c r="GW131" s="10"/>
      <c r="GX131" s="10"/>
      <c r="GY131" s="10"/>
      <c r="GZ131" s="10"/>
      <c r="HA131" s="10"/>
      <c r="HB131" s="10"/>
      <c r="HC131" s="10"/>
      <c r="HD131" s="10"/>
      <c r="HE131" s="10"/>
      <c r="HF131" s="10"/>
      <c r="HG131" s="10"/>
      <c r="HH131" s="10"/>
      <c r="HI131" s="10"/>
      <c r="HJ131" s="10"/>
      <c r="HK131" s="10"/>
      <c r="HL131" s="10"/>
      <c r="HM131" s="10"/>
      <c r="HN131" s="10"/>
      <c r="HO131" s="10"/>
      <c r="HP131" s="10"/>
      <c r="HQ131" s="10"/>
      <c r="HR131" s="10"/>
      <c r="HS131" s="10"/>
      <c r="HT131" s="10"/>
    </row>
    <row r="132" spans="2:228" ht="27" customHeight="1" x14ac:dyDescent="0.25">
      <c r="B132" s="295"/>
      <c r="C132" s="910" t="s">
        <v>1564</v>
      </c>
      <c r="D132" s="910"/>
      <c r="E132" s="910"/>
      <c r="F132" s="910"/>
      <c r="G132" s="912" t="s">
        <v>1064</v>
      </c>
      <c r="H132" s="912"/>
      <c r="I132" s="912"/>
      <c r="J132" s="912"/>
      <c r="K132" s="912"/>
      <c r="L132" s="777"/>
      <c r="M132" s="777"/>
      <c r="N132" s="777"/>
      <c r="O132" s="777"/>
      <c r="P132" s="831"/>
      <c r="R132" s="10"/>
      <c r="T132" s="912" t="s">
        <v>1238</v>
      </c>
      <c r="U132" s="912"/>
      <c r="V132" s="10"/>
      <c r="W132" s="10"/>
      <c r="X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c r="EM132" s="10"/>
      <c r="EN132" s="10"/>
      <c r="EO132" s="10"/>
      <c r="EP132" s="10"/>
      <c r="EQ132" s="10"/>
      <c r="ER132" s="10"/>
      <c r="ES132" s="10"/>
      <c r="ET132" s="10"/>
      <c r="EU132" s="10"/>
      <c r="EV132" s="10"/>
      <c r="EW132" s="10"/>
      <c r="EX132" s="10"/>
      <c r="EY132" s="10"/>
      <c r="EZ132" s="10"/>
      <c r="FA132" s="10"/>
      <c r="FB132" s="10"/>
      <c r="FC132" s="10"/>
      <c r="FD132" s="10"/>
      <c r="FE132" s="10"/>
      <c r="FF132" s="10"/>
      <c r="FG132" s="10"/>
      <c r="FH132" s="10"/>
      <c r="FI132" s="10"/>
      <c r="FJ132" s="10"/>
      <c r="FK132" s="10"/>
      <c r="FL132" s="10"/>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c r="GM132" s="10"/>
      <c r="GN132" s="10"/>
      <c r="GO132" s="10"/>
      <c r="GP132" s="10"/>
      <c r="GQ132" s="10"/>
      <c r="GR132" s="10"/>
      <c r="GS132" s="10"/>
      <c r="GT132" s="10"/>
      <c r="GU132" s="10"/>
      <c r="GV132" s="10"/>
      <c r="GW132" s="10"/>
      <c r="GX132" s="10"/>
      <c r="GY132" s="10"/>
      <c r="GZ132" s="10"/>
      <c r="HA132" s="10"/>
      <c r="HB132" s="10"/>
      <c r="HC132" s="10"/>
      <c r="HD132" s="10"/>
      <c r="HE132" s="10"/>
      <c r="HF132" s="10"/>
      <c r="HG132" s="10"/>
      <c r="HH132" s="10"/>
      <c r="HI132" s="10"/>
      <c r="HJ132" s="10"/>
      <c r="HK132" s="10"/>
      <c r="HL132" s="10"/>
      <c r="HM132" s="10"/>
      <c r="HN132" s="10"/>
      <c r="HO132" s="10"/>
      <c r="HP132" s="10"/>
      <c r="HQ132" s="10"/>
      <c r="HR132" s="10"/>
      <c r="HS132" s="10"/>
      <c r="HT132" s="10"/>
    </row>
    <row r="133" spans="2:228" ht="15" customHeight="1" x14ac:dyDescent="0.2">
      <c r="B133" s="294" t="s">
        <v>1802</v>
      </c>
      <c r="C133" s="910" t="s">
        <v>355</v>
      </c>
      <c r="D133" s="1243"/>
      <c r="E133" s="910" t="s">
        <v>1759</v>
      </c>
      <c r="F133" s="910"/>
      <c r="G133" s="910" t="s">
        <v>355</v>
      </c>
      <c r="H133" s="910"/>
      <c r="I133" s="910"/>
      <c r="J133" s="910" t="s">
        <v>1759</v>
      </c>
      <c r="K133" s="910"/>
      <c r="L133" s="1225"/>
      <c r="M133" s="1225"/>
      <c r="N133" s="1225"/>
      <c r="O133" s="1225"/>
      <c r="P133" s="831"/>
      <c r="R133" s="10"/>
      <c r="S133" s="50" t="s">
        <v>1541</v>
      </c>
      <c r="T133" s="256" t="s">
        <v>1564</v>
      </c>
      <c r="U133" s="256" t="s">
        <v>1565</v>
      </c>
      <c r="V133" s="910" t="s">
        <v>1066</v>
      </c>
      <c r="W133" s="910"/>
      <c r="AB133" s="6"/>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c r="EM133" s="10"/>
      <c r="EN133" s="10"/>
      <c r="EO133" s="10"/>
      <c r="EP133" s="10"/>
      <c r="EQ133" s="10"/>
      <c r="ER133" s="10"/>
      <c r="ES133" s="10"/>
      <c r="ET133" s="10"/>
      <c r="EU133" s="10"/>
      <c r="EV133" s="10"/>
      <c r="EW133" s="10"/>
      <c r="EX133" s="10"/>
      <c r="EY133" s="10"/>
      <c r="EZ133" s="10"/>
      <c r="FA133" s="10"/>
      <c r="FB133" s="10"/>
      <c r="FC133" s="10"/>
      <c r="FD133" s="10"/>
      <c r="FE133" s="10"/>
      <c r="FF133" s="10"/>
      <c r="FG133" s="10"/>
      <c r="FH133" s="10"/>
      <c r="FI133" s="10"/>
      <c r="FJ133" s="10"/>
      <c r="FK133" s="10"/>
      <c r="FL133" s="10"/>
      <c r="FM133" s="10"/>
      <c r="FN133" s="10"/>
      <c r="FO133" s="10"/>
      <c r="FP133" s="10"/>
      <c r="FQ133" s="10"/>
      <c r="FR133" s="10"/>
      <c r="FS133" s="10"/>
      <c r="FT133" s="10"/>
      <c r="FU133" s="10"/>
      <c r="FV133" s="10"/>
      <c r="FW133" s="10"/>
      <c r="FX133" s="10"/>
      <c r="FY133" s="10"/>
      <c r="FZ133" s="10"/>
      <c r="GA133" s="10"/>
      <c r="GB133" s="10"/>
      <c r="GC133" s="10"/>
      <c r="GD133" s="10"/>
      <c r="GE133" s="10"/>
      <c r="GF133" s="10"/>
      <c r="GG133" s="10"/>
      <c r="GH133" s="10"/>
      <c r="GI133" s="10"/>
      <c r="GJ133" s="10"/>
      <c r="GK133" s="10"/>
      <c r="GL133" s="10"/>
      <c r="GM133" s="10"/>
      <c r="GN133" s="10"/>
      <c r="GO133" s="10"/>
      <c r="GP133" s="10"/>
      <c r="GQ133" s="10"/>
      <c r="GR133" s="10"/>
      <c r="GS133" s="10"/>
      <c r="GT133" s="10"/>
      <c r="GU133" s="10"/>
      <c r="GV133" s="10"/>
      <c r="GW133" s="10"/>
      <c r="GX133" s="10"/>
      <c r="GY133" s="10"/>
      <c r="GZ133" s="10"/>
      <c r="HA133" s="10"/>
      <c r="HB133" s="10"/>
      <c r="HC133" s="10"/>
      <c r="HD133" s="10"/>
      <c r="HE133" s="10"/>
      <c r="HF133" s="10"/>
      <c r="HG133" s="10"/>
      <c r="HH133" s="10"/>
      <c r="HI133" s="10"/>
      <c r="HJ133" s="10"/>
      <c r="HK133" s="10"/>
      <c r="HL133" s="10"/>
      <c r="HM133" s="10"/>
      <c r="HN133" s="10"/>
      <c r="HO133" s="10"/>
      <c r="HP133" s="10"/>
      <c r="HQ133" s="10"/>
      <c r="HR133" s="10"/>
      <c r="HS133" s="10"/>
      <c r="HT133" s="10"/>
    </row>
    <row r="134" spans="2:228" ht="15" customHeight="1" x14ac:dyDescent="0.2">
      <c r="B134" s="294" t="s">
        <v>1312</v>
      </c>
      <c r="C134" s="1222"/>
      <c r="D134" s="1223"/>
      <c r="E134" s="1171">
        <f>LETable!AT24</f>
        <v>0</v>
      </c>
      <c r="F134" s="1171"/>
      <c r="G134" s="694"/>
      <c r="H134" s="694"/>
      <c r="I134" s="694"/>
      <c r="J134" s="1178">
        <f>IF(C134="",0,IF(OR(C134&lt;=0,G134&lt;=0),E134,IF(G134&lt;C134,0,LETable!AY24)))</f>
        <v>0</v>
      </c>
      <c r="K134" s="1178"/>
      <c r="L134" s="1232" t="str">
        <f>IF(OR(C134="NA",G134="NA"),"",IF(AND(C134&lt;&gt;"",G134=""),"Enter contralateral or NA.",IF(AND(C134="",G134&lt;&gt;""),"Need data","")))</f>
        <v/>
      </c>
      <c r="M134" s="1232"/>
      <c r="N134" s="1232"/>
      <c r="O134" s="1233"/>
      <c r="P134" s="831"/>
      <c r="S134" s="50">
        <v>40</v>
      </c>
      <c r="T134" s="50" t="str">
        <f>IF(OR(C134="",C134="NA"),"",IF(C134&gt;S134,S134,IF(C134&lt;0,0,C134)))</f>
        <v/>
      </c>
      <c r="U134" s="50" t="str">
        <f>IF(OR(G134="",G134="NA"),"",IF(G134&gt;S134,S134,IF(G134&lt;0,0,G134)))</f>
        <v/>
      </c>
      <c r="V134" s="553" t="str">
        <f>IF(W134="","",ROUND(W134,0))</f>
        <v/>
      </c>
      <c r="W134" s="554" t="str">
        <f>IF(T134="","",IF(OR(U134="",U134=0,U134&lt;T134),T134,(T134*S134)/U134))</f>
        <v/>
      </c>
      <c r="X134" s="10"/>
      <c r="Y134" s="6"/>
      <c r="Z134" s="6"/>
      <c r="AA134" s="6"/>
      <c r="AB134" s="6"/>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0"/>
      <c r="EU134" s="10"/>
      <c r="EV134" s="10"/>
      <c r="EW134" s="10"/>
      <c r="EX134" s="10"/>
      <c r="EY134" s="10"/>
      <c r="EZ134" s="10"/>
      <c r="FA134" s="10"/>
      <c r="FB134" s="10"/>
      <c r="FC134" s="10"/>
      <c r="FD134" s="10"/>
      <c r="FE134" s="10"/>
      <c r="FF134" s="10"/>
      <c r="FG134" s="10"/>
      <c r="FH134" s="10"/>
      <c r="FI134" s="10"/>
      <c r="FJ134" s="10"/>
      <c r="FK134" s="10"/>
      <c r="FL134" s="10"/>
      <c r="FM134" s="10"/>
      <c r="FN134" s="10"/>
      <c r="FO134" s="10"/>
      <c r="FP134" s="10"/>
      <c r="FQ134" s="10"/>
      <c r="FR134" s="10"/>
      <c r="FS134" s="10"/>
      <c r="FT134" s="10"/>
      <c r="FU134" s="10"/>
      <c r="FV134" s="10"/>
      <c r="FW134" s="10"/>
      <c r="FX134" s="10"/>
      <c r="FY134" s="10"/>
      <c r="FZ134" s="10"/>
      <c r="GA134" s="10"/>
      <c r="GB134" s="10"/>
      <c r="GC134" s="10"/>
      <c r="GD134" s="10"/>
      <c r="GE134" s="10"/>
      <c r="GF134" s="10"/>
      <c r="GG134" s="10"/>
      <c r="GH134" s="10"/>
      <c r="GI134" s="10"/>
      <c r="GJ134" s="10"/>
      <c r="GK134" s="10"/>
      <c r="GL134" s="10"/>
      <c r="GM134" s="10"/>
      <c r="GN134" s="10"/>
      <c r="GO134" s="10"/>
      <c r="GP134" s="10"/>
      <c r="GQ134" s="10"/>
      <c r="GR134" s="10"/>
      <c r="GS134" s="10"/>
      <c r="GT134" s="10"/>
      <c r="GU134" s="10"/>
      <c r="GV134" s="10"/>
      <c r="GW134" s="10"/>
      <c r="GX134" s="10"/>
      <c r="GY134" s="10"/>
      <c r="GZ134" s="10"/>
      <c r="HA134" s="10"/>
      <c r="HB134" s="10"/>
      <c r="HC134" s="10"/>
      <c r="HD134" s="10"/>
      <c r="HE134" s="10"/>
      <c r="HF134" s="10"/>
      <c r="HG134" s="10"/>
      <c r="HH134" s="10"/>
      <c r="HI134" s="10"/>
      <c r="HJ134" s="10"/>
      <c r="HK134" s="10"/>
      <c r="HL134" s="10"/>
      <c r="HM134" s="10"/>
      <c r="HN134" s="10"/>
      <c r="HO134" s="10"/>
      <c r="HP134" s="10"/>
      <c r="HQ134" s="10"/>
      <c r="HR134" s="10"/>
      <c r="HS134" s="10"/>
      <c r="HT134" s="10"/>
    </row>
    <row r="135" spans="2:228" ht="15" customHeight="1" x14ac:dyDescent="0.2">
      <c r="B135" s="294" t="s">
        <v>1313</v>
      </c>
      <c r="C135" s="1222"/>
      <c r="D135" s="1223"/>
      <c r="E135" s="1171">
        <f>IF(AND(C135&lt;&gt;"",C135&lt;&gt;"NA",C134&lt;&gt;"NA",C134&lt;&gt;""),"ERROR",IF(AND(C135&lt;&gt;"",C135&lt;&gt;"NA",C136&lt;&gt;"",C136&lt;&gt;"NA"),"ERROR",LETable!AT25))</f>
        <v>0</v>
      </c>
      <c r="F135" s="1171"/>
      <c r="G135" s="930" t="str">
        <f>IF(E135="ERROR","Error: Cannot rate ROM and ankylosis.","")</f>
        <v/>
      </c>
      <c r="H135" s="930"/>
      <c r="I135" s="930"/>
      <c r="J135" s="930"/>
      <c r="K135" s="930"/>
      <c r="L135" s="930"/>
      <c r="M135" s="930"/>
      <c r="N135" s="930"/>
      <c r="O135" s="931"/>
      <c r="P135" s="831"/>
      <c r="R135" s="10"/>
      <c r="S135" s="50">
        <v>40</v>
      </c>
      <c r="T135" s="50" t="str">
        <f>IF(OR(C135="",C135="NA"),"",IF(C135&gt;S135,S135,IF(C135&lt;0,0,C135)))</f>
        <v/>
      </c>
      <c r="U135" s="10"/>
      <c r="V135" s="10"/>
      <c r="W135" s="10"/>
      <c r="X135" s="10"/>
      <c r="Y135" s="6"/>
      <c r="Z135" s="6"/>
      <c r="AA135" s="6"/>
      <c r="AB135" s="6"/>
      <c r="AC135" s="10"/>
      <c r="AD135" s="10"/>
      <c r="AE135" s="10"/>
      <c r="AF135" s="10"/>
      <c r="AG135" s="10"/>
      <c r="AH135" s="10"/>
      <c r="AI135" s="10"/>
      <c r="AJ135" s="10"/>
      <c r="AK135" s="10"/>
      <c r="AL135" s="10"/>
      <c r="AM135" s="10"/>
      <c r="AN135" s="10"/>
      <c r="AO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c r="EU135" s="10"/>
      <c r="EV135" s="10"/>
      <c r="EW135" s="10"/>
      <c r="EX135" s="10"/>
      <c r="EY135" s="10"/>
      <c r="EZ135" s="10"/>
      <c r="FA135" s="10"/>
      <c r="FB135" s="10"/>
      <c r="FC135" s="10"/>
      <c r="FD135" s="10"/>
      <c r="FE135" s="10"/>
      <c r="FF135" s="10"/>
      <c r="FG135" s="10"/>
      <c r="FH135" s="10"/>
      <c r="FI135" s="10"/>
      <c r="FJ135" s="10"/>
      <c r="FK135" s="10"/>
      <c r="FL135" s="10"/>
      <c r="FM135" s="10"/>
      <c r="FN135" s="10"/>
      <c r="FO135" s="10"/>
      <c r="FP135" s="10"/>
      <c r="FQ135" s="10"/>
      <c r="FR135" s="10"/>
      <c r="FS135" s="10"/>
      <c r="FT135" s="10"/>
      <c r="FU135" s="10"/>
      <c r="FV135" s="10"/>
      <c r="FW135" s="10"/>
      <c r="FX135" s="10"/>
      <c r="FY135" s="10"/>
      <c r="FZ135" s="10"/>
      <c r="GA135" s="10"/>
      <c r="GB135" s="10"/>
      <c r="GC135" s="10"/>
      <c r="GD135" s="10"/>
      <c r="GE135" s="10"/>
      <c r="GF135" s="10"/>
      <c r="GG135" s="10"/>
      <c r="GH135" s="10"/>
      <c r="GI135" s="10"/>
      <c r="GJ135" s="10"/>
      <c r="GK135" s="10"/>
      <c r="GL135" s="10"/>
      <c r="GM135" s="10"/>
      <c r="GN135" s="10"/>
      <c r="GO135" s="10"/>
      <c r="GP135" s="10"/>
      <c r="GQ135" s="10"/>
      <c r="GR135" s="10"/>
      <c r="GS135" s="10"/>
      <c r="GT135" s="10"/>
      <c r="GU135" s="10"/>
      <c r="GV135" s="10"/>
      <c r="GW135" s="10"/>
      <c r="GX135" s="10"/>
      <c r="GY135" s="10"/>
      <c r="GZ135" s="10"/>
      <c r="HA135" s="10"/>
      <c r="HB135" s="10"/>
      <c r="HC135" s="10"/>
      <c r="HD135" s="10"/>
      <c r="HE135" s="10"/>
      <c r="HF135" s="10"/>
      <c r="HG135" s="10"/>
      <c r="HH135" s="10"/>
      <c r="HI135" s="10"/>
      <c r="HJ135" s="10"/>
      <c r="HK135" s="10"/>
      <c r="HL135" s="10"/>
      <c r="HM135" s="10"/>
      <c r="HN135" s="10"/>
      <c r="HO135" s="10"/>
      <c r="HP135" s="10"/>
      <c r="HQ135" s="10"/>
      <c r="HR135" s="10"/>
      <c r="HS135" s="10"/>
      <c r="HT135" s="10"/>
    </row>
    <row r="136" spans="2:228" ht="15" customHeight="1" x14ac:dyDescent="0.2">
      <c r="B136" s="127" t="s">
        <v>1237</v>
      </c>
      <c r="C136" s="1222"/>
      <c r="D136" s="1223"/>
      <c r="E136" s="1171">
        <f>LETable!AT26</f>
        <v>0</v>
      </c>
      <c r="F136" s="1171"/>
      <c r="G136" s="694"/>
      <c r="H136" s="694"/>
      <c r="I136" s="694"/>
      <c r="J136" s="1178">
        <f>IF(C136="",0,IF(OR(C136&lt;=0,G136&lt;=0),E136,IF(G136&lt;C136,0,LETable!AY26)))</f>
        <v>0</v>
      </c>
      <c r="K136" s="1178"/>
      <c r="L136" s="1232" t="str">
        <f>IF(OR(C136="NA",G136="NA"),"",IF(AND(C136&lt;&gt;"",G136=""),"Enter contralateral or NA.",IF(AND(C136="",G136&lt;&gt;""),"Need data","")))</f>
        <v/>
      </c>
      <c r="M136" s="1232"/>
      <c r="N136" s="1232"/>
      <c r="O136" s="1233"/>
      <c r="P136" s="831"/>
      <c r="R136" s="10"/>
      <c r="S136" s="50">
        <v>30</v>
      </c>
      <c r="T136" s="50" t="str">
        <f>IF(OR(C136="",C136="NA"),"",IF(C136&gt;S136,S136,IF(C136&lt;0,0,C136)))</f>
        <v/>
      </c>
      <c r="U136" s="50" t="str">
        <f>IF(OR(G136="",G136="NA"),"",IF(G136&gt;S136,S136,IF(G136&lt;0,0,G136)))</f>
        <v/>
      </c>
      <c r="V136" s="553" t="str">
        <f>IF(W136="","",ROUND(W136,0))</f>
        <v/>
      </c>
      <c r="W136" s="554" t="str">
        <f>IF(T136="","",IF(OR(U136="",U136=0,U136&lt;T136),T136,(T136*S136)/U136))</f>
        <v/>
      </c>
      <c r="X136" s="10"/>
      <c r="Y136" s="50" t="s">
        <v>2171</v>
      </c>
      <c r="Z136" s="50" t="s">
        <v>1285</v>
      </c>
      <c r="AA136" s="50" t="s">
        <v>1286</v>
      </c>
      <c r="AB136" s="50" t="s">
        <v>1287</v>
      </c>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c r="EM136" s="10"/>
      <c r="EN136" s="10"/>
      <c r="EO136" s="10"/>
      <c r="EP136" s="10"/>
      <c r="EQ136" s="10"/>
      <c r="ER136" s="10"/>
      <c r="ES136" s="10"/>
      <c r="ET136" s="10"/>
      <c r="EU136" s="10"/>
      <c r="EV136" s="10"/>
      <c r="EW136" s="10"/>
      <c r="EX136" s="10"/>
      <c r="EY136" s="10"/>
      <c r="EZ136" s="10"/>
      <c r="FA136" s="10"/>
      <c r="FB136" s="10"/>
      <c r="FC136" s="10"/>
      <c r="FD136" s="10"/>
      <c r="FE136" s="10"/>
      <c r="FF136" s="10"/>
      <c r="FG136" s="10"/>
      <c r="FH136" s="10"/>
      <c r="FI136" s="10"/>
      <c r="FJ136" s="10"/>
      <c r="FK136" s="10"/>
      <c r="FL136" s="10"/>
      <c r="FM136" s="10"/>
      <c r="FN136" s="10"/>
      <c r="FO136" s="10"/>
      <c r="FP136" s="10"/>
      <c r="FQ136" s="10"/>
      <c r="FR136" s="10"/>
      <c r="FS136" s="10"/>
      <c r="FT136" s="10"/>
      <c r="FU136" s="10"/>
      <c r="FV136" s="10"/>
      <c r="FW136" s="10"/>
      <c r="FX136" s="10"/>
      <c r="FY136" s="10"/>
      <c r="FZ136" s="10"/>
      <c r="GA136" s="10"/>
      <c r="GB136" s="10"/>
      <c r="GC136" s="10"/>
      <c r="GD136" s="10"/>
      <c r="GE136" s="10"/>
      <c r="GF136" s="10"/>
      <c r="GG136" s="10"/>
      <c r="GH136" s="10"/>
      <c r="GI136" s="10"/>
      <c r="GJ136" s="10"/>
      <c r="GK136" s="10"/>
      <c r="GL136" s="10"/>
      <c r="GM136" s="10"/>
      <c r="GN136" s="10"/>
      <c r="GO136" s="10"/>
      <c r="GP136" s="10"/>
      <c r="GQ136" s="10"/>
      <c r="GR136" s="10"/>
      <c r="GS136" s="10"/>
      <c r="GT136" s="10"/>
      <c r="GU136" s="10"/>
      <c r="GV136" s="10"/>
      <c r="GW136" s="10"/>
      <c r="GX136" s="10"/>
      <c r="GY136" s="10"/>
      <c r="GZ136" s="10"/>
      <c r="HA136" s="10"/>
      <c r="HB136" s="10"/>
      <c r="HC136" s="10"/>
      <c r="HD136" s="10"/>
      <c r="HE136" s="10"/>
      <c r="HF136" s="10"/>
      <c r="HG136" s="10"/>
      <c r="HH136" s="10"/>
      <c r="HI136" s="10"/>
      <c r="HJ136" s="10"/>
      <c r="HK136" s="10"/>
      <c r="HL136" s="10"/>
      <c r="HM136" s="10"/>
      <c r="HN136" s="10"/>
      <c r="HO136" s="10"/>
      <c r="HP136" s="10"/>
      <c r="HQ136" s="10"/>
      <c r="HR136" s="10"/>
      <c r="HS136" s="10"/>
      <c r="HT136" s="10"/>
    </row>
    <row r="137" spans="2:228" ht="15" customHeight="1" x14ac:dyDescent="0.2">
      <c r="B137" s="293" t="s">
        <v>1801</v>
      </c>
      <c r="C137" s="1222"/>
      <c r="D137" s="1239"/>
      <c r="E137" s="1171">
        <f>IF(AND(C137&lt;&gt;"",C137&lt;&gt;"NA",C136&lt;&gt;"NA",C136&lt;&gt;""),"ERROR",IF(AND(C137&lt;&gt;"",C137&lt;&gt;"NA",C134&lt;&gt;"",C134&lt;&gt;"NA"),"ERROR",LETable!AT27))</f>
        <v>0</v>
      </c>
      <c r="F137" s="1171"/>
      <c r="G137" s="1172" t="str">
        <f>IF(E137="ERROR","Error: Cannot rate ROM and ankylosis.",IF(AND(C135&lt;&gt;"",C135&lt;&gt;"NA",C137&lt;&gt;"",C137&lt;&gt;"NA"),"Multiple ankylosis values; use higher value only.",""))</f>
        <v/>
      </c>
      <c r="H137" s="1173"/>
      <c r="I137" s="1173"/>
      <c r="J137" s="1173"/>
      <c r="K137" s="1173"/>
      <c r="L137" s="1173"/>
      <c r="M137" s="1173"/>
      <c r="N137" s="1173"/>
      <c r="O137" s="1174"/>
      <c r="P137" s="831"/>
      <c r="R137" s="10"/>
      <c r="S137" s="50">
        <v>30</v>
      </c>
      <c r="T137" s="50" t="str">
        <f>IF(OR(C137="",C137="NA"),"",IF(C137&gt;S137,S137,IF(C137&lt;0,0,C137)))</f>
        <v/>
      </c>
      <c r="U137" s="10"/>
      <c r="V137" s="10"/>
      <c r="W137" s="10"/>
      <c r="X137" s="10"/>
      <c r="Y137" s="192">
        <f>O129</f>
        <v>0</v>
      </c>
      <c r="Z137" s="147">
        <f>LARGE($Y$137:$Y$139,1)</f>
        <v>0</v>
      </c>
      <c r="AA137" s="544">
        <f>Z137+Z138*(1-Z137)</f>
        <v>0</v>
      </c>
      <c r="AB137" s="548">
        <f>ROUND(AA137,2)</f>
        <v>0</v>
      </c>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c r="EM137" s="10"/>
      <c r="EN137" s="10"/>
      <c r="EO137" s="10"/>
      <c r="EP137" s="10"/>
      <c r="EQ137" s="10"/>
      <c r="ER137" s="10"/>
      <c r="ES137" s="10"/>
      <c r="ET137" s="10"/>
      <c r="EU137" s="10"/>
      <c r="EV137" s="10"/>
      <c r="EW137" s="10"/>
      <c r="EX137" s="10"/>
      <c r="EY137" s="10"/>
      <c r="EZ137" s="10"/>
      <c r="FA137" s="10"/>
      <c r="FB137" s="10"/>
      <c r="FC137" s="10"/>
      <c r="FD137" s="10"/>
      <c r="FE137" s="10"/>
      <c r="FF137" s="10"/>
      <c r="FG137" s="10"/>
      <c r="FH137" s="10"/>
      <c r="FI137" s="10"/>
      <c r="FJ137" s="10"/>
      <c r="FK137" s="10"/>
      <c r="FL137" s="10"/>
      <c r="FM137" s="10"/>
      <c r="FN137" s="10"/>
      <c r="FO137" s="10"/>
      <c r="FP137" s="10"/>
      <c r="FQ137" s="10"/>
      <c r="FR137" s="10"/>
      <c r="FS137" s="10"/>
      <c r="FT137" s="10"/>
      <c r="FU137" s="10"/>
      <c r="FV137" s="10"/>
      <c r="FW137" s="10"/>
      <c r="FX137" s="10"/>
      <c r="FY137" s="10"/>
      <c r="FZ137" s="10"/>
      <c r="GA137" s="10"/>
      <c r="GB137" s="10"/>
      <c r="GC137" s="10"/>
      <c r="GD137" s="10"/>
      <c r="GE137" s="10"/>
      <c r="GF137" s="10"/>
      <c r="GG137" s="10"/>
      <c r="GH137" s="10"/>
      <c r="GI137" s="10"/>
      <c r="GJ137" s="10"/>
      <c r="GK137" s="10"/>
      <c r="GL137" s="10"/>
      <c r="GM137" s="10"/>
      <c r="GN137" s="10"/>
      <c r="GO137" s="10"/>
      <c r="GP137" s="10"/>
      <c r="GQ137" s="10"/>
      <c r="GR137" s="10"/>
      <c r="GS137" s="10"/>
      <c r="GT137" s="10"/>
      <c r="GU137" s="10"/>
      <c r="GV137" s="10"/>
      <c r="GW137" s="10"/>
      <c r="GX137" s="10"/>
      <c r="GY137" s="10"/>
      <c r="GZ137" s="10"/>
      <c r="HA137" s="10"/>
      <c r="HB137" s="10"/>
      <c r="HC137" s="10"/>
      <c r="HD137" s="10"/>
      <c r="HE137" s="10"/>
      <c r="HF137" s="10"/>
      <c r="HG137" s="10"/>
      <c r="HH137" s="10"/>
      <c r="HI137" s="10"/>
      <c r="HJ137" s="10"/>
      <c r="HK137" s="10"/>
      <c r="HL137" s="10"/>
      <c r="HM137" s="10"/>
      <c r="HN137" s="10"/>
      <c r="HO137" s="10"/>
      <c r="HP137" s="10"/>
      <c r="HQ137" s="10"/>
      <c r="HR137" s="10"/>
      <c r="HS137" s="10"/>
      <c r="HT137" s="10"/>
    </row>
    <row r="138" spans="2:228" ht="21" customHeight="1" x14ac:dyDescent="0.2">
      <c r="B138" s="1122"/>
      <c r="C138" s="1122"/>
      <c r="D138" s="1122"/>
      <c r="E138" s="1122"/>
      <c r="F138" s="1122"/>
      <c r="G138" s="1122"/>
      <c r="H138" s="1122"/>
      <c r="I138" s="1122"/>
      <c r="J138" s="1122"/>
      <c r="K138" s="1006" t="s">
        <v>1803</v>
      </c>
      <c r="L138" s="1007"/>
      <c r="M138" s="1007"/>
      <c r="N138" s="1008"/>
      <c r="O138" s="65">
        <f>IF(OR(E135="ERROR",E137="ERROR"),"ERROR",IF(R138&gt;1,1,R138))</f>
        <v>0</v>
      </c>
      <c r="P138" s="832"/>
      <c r="R138" s="193">
        <f>SUM(J134,J136,W138)</f>
        <v>0</v>
      </c>
      <c r="S138" s="10"/>
      <c r="T138" s="10"/>
      <c r="U138" s="10"/>
      <c r="V138" s="10"/>
      <c r="W138" s="581">
        <f>IF(AND(E135&lt;&gt;"ERROR",E137&lt;&gt;"ERROR",C137&lt;&gt;"",E137&lt;&gt;""),MAX(E135,E137),E135+E137)</f>
        <v>0</v>
      </c>
      <c r="X138" s="10"/>
      <c r="Y138" s="192">
        <f>O130</f>
        <v>0</v>
      </c>
      <c r="Z138" s="147">
        <f>LARGE($Y$137:$Y$139,2)</f>
        <v>0</v>
      </c>
      <c r="AA138" s="544">
        <f>AB137+Z139*(1-AB137)</f>
        <v>0</v>
      </c>
      <c r="AB138" s="548">
        <f>ROUND(AA138,2)</f>
        <v>0</v>
      </c>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10"/>
      <c r="FL138" s="10"/>
      <c r="FM138" s="10"/>
      <c r="FN138" s="10"/>
      <c r="FO138" s="10"/>
      <c r="FP138" s="10"/>
      <c r="FQ138" s="10"/>
      <c r="FR138" s="10"/>
      <c r="FS138" s="10"/>
      <c r="FT138" s="10"/>
      <c r="FU138" s="10"/>
      <c r="FV138" s="10"/>
      <c r="FW138" s="10"/>
      <c r="FX138" s="10"/>
      <c r="FY138" s="10"/>
      <c r="FZ138" s="10"/>
      <c r="GA138" s="10"/>
      <c r="GB138" s="10"/>
      <c r="GC138" s="10"/>
      <c r="GD138" s="10"/>
      <c r="GE138" s="10"/>
      <c r="GF138" s="10"/>
      <c r="GG138" s="10"/>
      <c r="GH138" s="10"/>
      <c r="GI138" s="10"/>
      <c r="GJ138" s="10"/>
      <c r="GK138" s="10"/>
      <c r="GL138" s="10"/>
      <c r="GM138" s="10"/>
      <c r="GN138" s="10"/>
      <c r="GO138" s="10"/>
      <c r="GP138" s="10"/>
      <c r="GQ138" s="10"/>
      <c r="GR138" s="10"/>
      <c r="GS138" s="10"/>
      <c r="GT138" s="10"/>
      <c r="GU138" s="10"/>
      <c r="GV138" s="10"/>
      <c r="GW138" s="10"/>
      <c r="GX138" s="10"/>
      <c r="GY138" s="10"/>
      <c r="GZ138" s="10"/>
      <c r="HA138" s="10"/>
      <c r="HB138" s="10"/>
      <c r="HC138" s="10"/>
      <c r="HD138" s="10"/>
      <c r="HE138" s="10"/>
      <c r="HF138" s="10"/>
      <c r="HG138" s="10"/>
      <c r="HH138" s="10"/>
      <c r="HI138" s="10"/>
      <c r="HJ138" s="10"/>
      <c r="HK138" s="10"/>
      <c r="HL138" s="10"/>
      <c r="HM138" s="10"/>
      <c r="HN138" s="10"/>
      <c r="HO138" s="10"/>
      <c r="HP138" s="10"/>
      <c r="HQ138" s="10"/>
      <c r="HR138" s="10"/>
      <c r="HS138" s="10"/>
      <c r="HT138" s="10"/>
    </row>
    <row r="139" spans="2:228" ht="21" customHeight="1" x14ac:dyDescent="0.2">
      <c r="B139" s="1122"/>
      <c r="C139" s="1122"/>
      <c r="D139" s="1122"/>
      <c r="E139" s="1122"/>
      <c r="F139" s="1122"/>
      <c r="G139" s="1122"/>
      <c r="H139" s="1122"/>
      <c r="I139" s="1122"/>
      <c r="J139" s="1122"/>
      <c r="K139" s="1006" t="s">
        <v>420</v>
      </c>
      <c r="L139" s="1007"/>
      <c r="M139" s="1007"/>
      <c r="N139" s="1007"/>
      <c r="O139" s="1008"/>
      <c r="P139" s="245">
        <f>IF(O138="ERROR","ERROR",AB138)</f>
        <v>0</v>
      </c>
      <c r="R139" s="10"/>
      <c r="S139" s="10"/>
      <c r="T139" s="10"/>
      <c r="U139" s="10"/>
      <c r="V139" s="10"/>
      <c r="W139" s="10"/>
      <c r="X139" s="10"/>
      <c r="Y139" s="192">
        <f>IF(AND(O138&lt;0.01,O138&gt;0),0.01,ROUND(O138,2))</f>
        <v>0</v>
      </c>
      <c r="Z139" s="147">
        <f>LARGE($Y$137:$Y$139,3)</f>
        <v>0</v>
      </c>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0"/>
      <c r="FZ139" s="10"/>
      <c r="GA139" s="10"/>
      <c r="GB139" s="10"/>
      <c r="GC139" s="10"/>
      <c r="GD139" s="10"/>
      <c r="GE139" s="10"/>
      <c r="GF139" s="10"/>
      <c r="GG139" s="10"/>
      <c r="GH139" s="10"/>
      <c r="GI139" s="10"/>
      <c r="GJ139" s="10"/>
      <c r="GK139" s="10"/>
      <c r="GL139" s="10"/>
      <c r="GM139" s="10"/>
      <c r="GN139" s="10"/>
      <c r="GO139" s="10"/>
      <c r="GP139" s="10"/>
      <c r="GQ139" s="10"/>
      <c r="GR139" s="10"/>
      <c r="GS139" s="10"/>
      <c r="GT139" s="10"/>
      <c r="GU139" s="10"/>
      <c r="GV139" s="10"/>
      <c r="GW139" s="10"/>
      <c r="GX139" s="10"/>
      <c r="GY139" s="10"/>
      <c r="GZ139" s="10"/>
      <c r="HA139" s="10"/>
      <c r="HB139" s="10"/>
      <c r="HC139" s="10"/>
      <c r="HD139" s="10"/>
      <c r="HE139" s="10"/>
      <c r="HF139" s="10"/>
      <c r="HG139" s="10"/>
      <c r="HH139" s="10"/>
      <c r="HI139" s="10"/>
      <c r="HJ139" s="10"/>
      <c r="HK139" s="10"/>
      <c r="HL139" s="10"/>
      <c r="HM139" s="10"/>
      <c r="HN139" s="10"/>
      <c r="HO139" s="10"/>
      <c r="HP139" s="10"/>
      <c r="HQ139" s="10"/>
      <c r="HR139" s="10"/>
      <c r="HS139" s="10"/>
      <c r="HT139" s="10"/>
    </row>
    <row r="140" spans="2:228" ht="12" customHeight="1" x14ac:dyDescent="0.25">
      <c r="B140" s="1183"/>
      <c r="C140" s="1183"/>
      <c r="D140" s="1183"/>
      <c r="E140" s="1183"/>
      <c r="F140" s="1183"/>
      <c r="G140" s="1183"/>
      <c r="H140" s="1183"/>
      <c r="I140" s="1183"/>
      <c r="J140" s="1183"/>
      <c r="K140" s="1183"/>
      <c r="L140" s="1183"/>
      <c r="M140" s="1183"/>
      <c r="N140" s="1183"/>
      <c r="O140" s="1183"/>
      <c r="P140" s="379"/>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c r="EM140" s="10"/>
      <c r="EN140" s="10"/>
      <c r="EO140" s="10"/>
      <c r="EP140" s="10"/>
      <c r="EQ140" s="10"/>
      <c r="ER140" s="10"/>
      <c r="ES140" s="10"/>
      <c r="ET140" s="10"/>
      <c r="EU140" s="10"/>
      <c r="EV140" s="10"/>
      <c r="EW140" s="10"/>
      <c r="EX140" s="10"/>
      <c r="EY140" s="10"/>
      <c r="EZ140" s="10"/>
      <c r="FA140" s="10"/>
      <c r="FB140" s="10"/>
      <c r="FC140" s="10"/>
      <c r="FD140" s="10"/>
      <c r="FE140" s="10"/>
      <c r="FF140" s="10"/>
      <c r="FG140" s="10"/>
      <c r="FH140" s="10"/>
      <c r="FI140" s="10"/>
      <c r="FJ140" s="10"/>
      <c r="FK140" s="10"/>
      <c r="FL140" s="10"/>
      <c r="FM140" s="10"/>
      <c r="FN140" s="10"/>
      <c r="FO140" s="10"/>
      <c r="FP140" s="10"/>
      <c r="FQ140" s="10"/>
      <c r="FR140" s="10"/>
      <c r="FS140" s="10"/>
      <c r="FT140" s="10"/>
      <c r="FU140" s="10"/>
      <c r="FV140" s="10"/>
      <c r="FW140" s="10"/>
      <c r="FX140" s="10"/>
      <c r="FY140" s="10"/>
      <c r="FZ140" s="10"/>
      <c r="GA140" s="10"/>
      <c r="GB140" s="10"/>
      <c r="GC140" s="10"/>
      <c r="GD140" s="10"/>
      <c r="GE140" s="10"/>
      <c r="GF140" s="10"/>
      <c r="GG140" s="10"/>
      <c r="GH140" s="10"/>
      <c r="GI140" s="10"/>
      <c r="GJ140" s="10"/>
      <c r="GK140" s="10"/>
      <c r="GL140" s="10"/>
      <c r="GM140" s="10"/>
      <c r="GN140" s="10"/>
      <c r="GO140" s="10"/>
      <c r="GP140" s="10"/>
      <c r="GQ140" s="10"/>
      <c r="GR140" s="10"/>
      <c r="GS140" s="10"/>
      <c r="GT140" s="10"/>
      <c r="GU140" s="10"/>
      <c r="GV140" s="10"/>
      <c r="GW140" s="10"/>
      <c r="GX140" s="10"/>
      <c r="GY140" s="10"/>
      <c r="GZ140" s="10"/>
      <c r="HA140" s="10"/>
      <c r="HB140" s="10"/>
      <c r="HC140" s="10"/>
      <c r="HD140" s="10"/>
      <c r="HE140" s="10"/>
      <c r="HF140" s="10"/>
      <c r="HG140" s="10"/>
      <c r="HH140" s="10"/>
      <c r="HI140" s="10"/>
      <c r="HJ140" s="10"/>
      <c r="HK140" s="10"/>
      <c r="HL140" s="10"/>
      <c r="HM140" s="10"/>
      <c r="HN140" s="10"/>
      <c r="HO140" s="10"/>
      <c r="HP140" s="10"/>
      <c r="HQ140" s="10"/>
      <c r="HR140" s="10"/>
      <c r="HS140" s="10"/>
      <c r="HT140" s="10"/>
    </row>
    <row r="141" spans="2:228" ht="15" customHeight="1" x14ac:dyDescent="0.25">
      <c r="B141" s="944" t="s">
        <v>1967</v>
      </c>
      <c r="C141" s="945"/>
      <c r="D141" s="945"/>
      <c r="E141" s="945"/>
      <c r="F141" s="945"/>
      <c r="G141" s="945"/>
      <c r="H141" s="945"/>
      <c r="I141" s="945"/>
      <c r="J141" s="945"/>
      <c r="K141" s="945"/>
      <c r="L141" s="945"/>
      <c r="M141" s="945"/>
      <c r="N141" s="945"/>
      <c r="O141" s="945"/>
      <c r="P141" s="38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c r="EM141" s="10"/>
      <c r="EN141" s="10"/>
      <c r="EO141" s="10"/>
      <c r="EP141" s="10"/>
      <c r="EQ141" s="10"/>
      <c r="ER141" s="10"/>
      <c r="ES141" s="10"/>
      <c r="ET141" s="10"/>
      <c r="EU141" s="10"/>
      <c r="EV141" s="10"/>
      <c r="EW141" s="10"/>
      <c r="EX141" s="10"/>
      <c r="EY141" s="10"/>
      <c r="EZ141" s="10"/>
      <c r="FA141" s="10"/>
      <c r="FB141" s="10"/>
      <c r="FC141" s="10"/>
      <c r="FD141" s="10"/>
      <c r="FE141" s="10"/>
      <c r="FF141" s="10"/>
      <c r="FG141" s="10"/>
      <c r="FH141" s="10"/>
      <c r="FI141" s="10"/>
      <c r="FJ141" s="10"/>
      <c r="FK141" s="10"/>
      <c r="FL141" s="10"/>
      <c r="FM141" s="10"/>
      <c r="FN141" s="10"/>
      <c r="FO141" s="10"/>
      <c r="FP141" s="10"/>
      <c r="FQ141" s="10"/>
      <c r="FR141" s="10"/>
      <c r="FS141" s="10"/>
      <c r="FT141" s="10"/>
      <c r="FU141" s="10"/>
      <c r="FV141" s="10"/>
      <c r="FW141" s="10"/>
      <c r="FX141" s="10"/>
      <c r="FY141" s="10"/>
      <c r="FZ141" s="10"/>
      <c r="GA141" s="10"/>
      <c r="GB141" s="10"/>
      <c r="GC141" s="10"/>
      <c r="GD141" s="10"/>
      <c r="GE141" s="10"/>
      <c r="GF141" s="10"/>
      <c r="GG141" s="10"/>
      <c r="GH141" s="10"/>
      <c r="GI141" s="10"/>
      <c r="GJ141" s="10"/>
      <c r="GK141" s="10"/>
      <c r="GL141" s="10"/>
      <c r="GM141" s="10"/>
      <c r="GN141" s="10"/>
      <c r="GO141" s="10"/>
      <c r="GP141" s="10"/>
      <c r="GQ141" s="10"/>
      <c r="GR141" s="10"/>
      <c r="GS141" s="10"/>
      <c r="GT141" s="10"/>
      <c r="GU141" s="10"/>
      <c r="GV141" s="10"/>
      <c r="GW141" s="10"/>
      <c r="GX141" s="10"/>
      <c r="GY141" s="10"/>
      <c r="GZ141" s="10"/>
      <c r="HA141" s="10"/>
      <c r="HB141" s="10"/>
      <c r="HC141" s="10"/>
      <c r="HD141" s="10"/>
      <c r="HE141" s="10"/>
      <c r="HF141" s="10"/>
      <c r="HG141" s="10"/>
      <c r="HH141" s="10"/>
      <c r="HI141" s="10"/>
      <c r="HJ141" s="10"/>
      <c r="HK141" s="10"/>
      <c r="HL141" s="10"/>
      <c r="HM141" s="10"/>
      <c r="HN141" s="10"/>
      <c r="HO141" s="10"/>
      <c r="HP141" s="10"/>
      <c r="HQ141" s="10"/>
      <c r="HR141" s="10"/>
      <c r="HS141" s="10"/>
      <c r="HT141" s="10"/>
    </row>
    <row r="142" spans="2:228" ht="15" customHeight="1" x14ac:dyDescent="0.2">
      <c r="B142" s="304" t="s">
        <v>1971</v>
      </c>
      <c r="C142" s="1245"/>
      <c r="D142" s="1246"/>
      <c r="E142" s="1246"/>
      <c r="F142" s="1246"/>
      <c r="G142" s="1246"/>
      <c r="H142" s="1246"/>
      <c r="I142" s="1246"/>
      <c r="J142" s="1246"/>
      <c r="K142" s="1246"/>
      <c r="L142" s="1246"/>
      <c r="M142" s="1246"/>
      <c r="N142" s="1247"/>
      <c r="O142" s="70"/>
      <c r="P142" s="522">
        <f>IF($W$238&gt;0,0,R142)</f>
        <v>0</v>
      </c>
      <c r="R142" s="147">
        <f>IF(C142=S142,0,IF(C142=T142,0.05,IF(C142=U142,0.1,0)))</f>
        <v>0</v>
      </c>
      <c r="S142" s="50" t="s">
        <v>1901</v>
      </c>
      <c r="T142" s="50" t="s">
        <v>1748</v>
      </c>
      <c r="U142" s="50" t="s">
        <v>1749</v>
      </c>
      <c r="V142" s="97"/>
      <c r="W142" s="96"/>
      <c r="X142" s="132"/>
      <c r="Y142" s="132"/>
      <c r="Z142" s="61"/>
      <c r="AA142" s="61"/>
      <c r="AB142" s="62"/>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EZ142" s="10"/>
      <c r="FA142" s="10"/>
      <c r="FB142" s="10"/>
      <c r="FC142" s="10"/>
      <c r="FD142" s="10"/>
      <c r="FE142" s="10"/>
      <c r="FF142" s="10"/>
      <c r="FG142" s="10"/>
      <c r="FH142" s="10"/>
      <c r="FI142" s="10"/>
      <c r="FJ142" s="10"/>
      <c r="FK142" s="10"/>
      <c r="FL142" s="10"/>
      <c r="FM142" s="10"/>
      <c r="FN142" s="10"/>
      <c r="FO142" s="10"/>
      <c r="FP142" s="10"/>
      <c r="FQ142" s="10"/>
      <c r="FR142" s="10"/>
      <c r="FS142" s="10"/>
      <c r="FT142" s="10"/>
      <c r="FU142" s="10"/>
      <c r="FV142" s="10"/>
      <c r="FW142" s="10"/>
      <c r="FX142" s="10"/>
      <c r="FY142" s="10"/>
      <c r="FZ142" s="10"/>
      <c r="GA142" s="10"/>
      <c r="GB142" s="10"/>
      <c r="GC142" s="10"/>
      <c r="GD142" s="10"/>
      <c r="GE142" s="10"/>
      <c r="GF142" s="10"/>
      <c r="GG142" s="10"/>
      <c r="GH142" s="10"/>
      <c r="GI142" s="10"/>
      <c r="GJ142" s="10"/>
      <c r="GK142" s="10"/>
      <c r="GL142" s="10"/>
      <c r="GM142" s="10"/>
      <c r="GN142" s="10"/>
      <c r="GO142" s="10"/>
      <c r="GP142" s="10"/>
      <c r="GQ142" s="10"/>
      <c r="GR142" s="10"/>
      <c r="GS142" s="10"/>
      <c r="GT142" s="10"/>
      <c r="GU142" s="10"/>
      <c r="GV142" s="10"/>
      <c r="GW142" s="10"/>
      <c r="GX142" s="10"/>
      <c r="GY142" s="10"/>
      <c r="GZ142" s="10"/>
      <c r="HA142" s="10"/>
      <c r="HB142" s="10"/>
      <c r="HC142" s="10"/>
      <c r="HD142" s="10"/>
      <c r="HE142" s="10"/>
      <c r="HF142" s="10"/>
      <c r="HG142" s="10"/>
      <c r="HH142" s="10"/>
      <c r="HI142" s="10"/>
      <c r="HJ142" s="10"/>
      <c r="HK142" s="10"/>
      <c r="HL142" s="10"/>
      <c r="HM142" s="10"/>
      <c r="HN142" s="10"/>
      <c r="HO142" s="10"/>
      <c r="HP142" s="10"/>
      <c r="HQ142" s="10"/>
      <c r="HR142" s="10"/>
      <c r="HS142" s="10"/>
      <c r="HT142" s="10"/>
    </row>
    <row r="143" spans="2:228" ht="15" customHeight="1" x14ac:dyDescent="0.2">
      <c r="B143" s="304" t="s">
        <v>1972</v>
      </c>
      <c r="C143" s="1184"/>
      <c r="D143" s="1185"/>
      <c r="E143" s="1185"/>
      <c r="F143" s="1185"/>
      <c r="G143" s="1185"/>
      <c r="H143" s="1185"/>
      <c r="I143" s="1185"/>
      <c r="J143" s="1185"/>
      <c r="K143" s="1185"/>
      <c r="L143" s="1185"/>
      <c r="M143" s="1185"/>
      <c r="N143" s="1244"/>
      <c r="O143" s="71"/>
      <c r="P143" s="21">
        <f>IF($W$238&gt;0,0,R143)</f>
        <v>0</v>
      </c>
      <c r="R143" s="147">
        <f>IF(C143=S143,0,IF(C143=T143,0.05,IF(C143=U143,0.1,0)))</f>
        <v>0</v>
      </c>
      <c r="S143" s="50" t="s">
        <v>1901</v>
      </c>
      <c r="T143" s="50" t="s">
        <v>1956</v>
      </c>
      <c r="U143" s="50" t="s">
        <v>1957</v>
      </c>
      <c r="V143" s="97"/>
      <c r="W143" s="96"/>
      <c r="X143" s="132"/>
      <c r="Y143" s="132"/>
      <c r="Z143" s="61"/>
      <c r="AA143" s="61"/>
      <c r="AB143" s="62"/>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c r="FU143" s="10"/>
      <c r="FV143" s="10"/>
      <c r="FW143" s="10"/>
      <c r="FX143" s="10"/>
      <c r="FY143" s="10"/>
      <c r="FZ143" s="10"/>
      <c r="GA143" s="10"/>
      <c r="GB143" s="10"/>
      <c r="GC143" s="10"/>
      <c r="GD143" s="10"/>
      <c r="GE143" s="10"/>
      <c r="GF143" s="10"/>
      <c r="GG143" s="10"/>
      <c r="GH143" s="10"/>
      <c r="GI143" s="10"/>
      <c r="GJ143" s="10"/>
      <c r="GK143" s="10"/>
      <c r="GL143" s="10"/>
      <c r="GM143" s="10"/>
      <c r="GN143" s="10"/>
      <c r="GO143" s="10"/>
      <c r="GP143" s="10"/>
      <c r="GQ143" s="10"/>
      <c r="GR143" s="10"/>
      <c r="GS143" s="10"/>
      <c r="GT143" s="10"/>
      <c r="GU143" s="10"/>
      <c r="GV143" s="10"/>
      <c r="GW143" s="10"/>
      <c r="GX143" s="10"/>
      <c r="GY143" s="10"/>
      <c r="GZ143" s="10"/>
      <c r="HA143" s="10"/>
      <c r="HB143" s="10"/>
      <c r="HC143" s="10"/>
      <c r="HD143" s="10"/>
      <c r="HE143" s="10"/>
      <c r="HF143" s="10"/>
      <c r="HG143" s="10"/>
      <c r="HH143" s="10"/>
      <c r="HI143" s="10"/>
      <c r="HJ143" s="10"/>
      <c r="HK143" s="10"/>
      <c r="HL143" s="10"/>
      <c r="HM143" s="10"/>
      <c r="HN143" s="10"/>
      <c r="HO143" s="10"/>
      <c r="HP143" s="10"/>
      <c r="HQ143" s="10"/>
      <c r="HR143" s="10"/>
      <c r="HS143" s="10"/>
      <c r="HT143" s="10"/>
    </row>
    <row r="144" spans="2:228" ht="27" customHeight="1" x14ac:dyDescent="0.2">
      <c r="B144" s="1085" t="str">
        <f>IF(AND(OR(R142&gt;0,R143&gt;0),$W$238&gt;0),"A value has been given for loss of sensation or hypersensitivity in the foot. No additional value is allowed for the toes.","")</f>
        <v/>
      </c>
      <c r="C144" s="1085"/>
      <c r="D144" s="1085"/>
      <c r="E144" s="1085"/>
      <c r="F144" s="1085"/>
      <c r="G144" s="1085"/>
      <c r="H144" s="1085"/>
      <c r="I144" s="1085"/>
      <c r="J144" s="1085"/>
      <c r="K144" s="1085"/>
      <c r="L144" s="1085"/>
      <c r="M144" s="1085"/>
      <c r="N144" s="1085"/>
      <c r="O144" s="1085"/>
      <c r="P144" s="523"/>
      <c r="R144" s="10"/>
      <c r="S144" s="14"/>
      <c r="T144" s="14"/>
      <c r="U144" s="14"/>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c r="FF144" s="10"/>
      <c r="FG144" s="10"/>
      <c r="FH144" s="10"/>
      <c r="FI144" s="10"/>
      <c r="FJ144" s="10"/>
      <c r="FK144" s="10"/>
      <c r="FL144" s="10"/>
      <c r="FM144" s="10"/>
      <c r="FN144" s="10"/>
      <c r="FO144" s="10"/>
      <c r="FP144" s="10"/>
      <c r="FQ144" s="10"/>
      <c r="FR144" s="10"/>
      <c r="FS144" s="10"/>
      <c r="FT144" s="10"/>
      <c r="FU144" s="10"/>
      <c r="FV144" s="10"/>
      <c r="FW144" s="10"/>
      <c r="FX144" s="10"/>
      <c r="FY144" s="10"/>
      <c r="FZ144" s="10"/>
      <c r="GA144" s="10"/>
      <c r="GB144" s="10"/>
      <c r="GC144" s="10"/>
      <c r="GD144" s="10"/>
      <c r="GE144" s="10"/>
      <c r="GF144" s="10"/>
      <c r="GG144" s="10"/>
      <c r="GH144" s="10"/>
      <c r="GI144" s="10"/>
      <c r="GJ144" s="10"/>
      <c r="GK144" s="10"/>
      <c r="GL144" s="10"/>
      <c r="GM144" s="10"/>
      <c r="GN144" s="10"/>
      <c r="GO144" s="10"/>
      <c r="GP144" s="10"/>
      <c r="GQ144" s="10"/>
      <c r="GR144" s="10"/>
      <c r="GS144" s="10"/>
      <c r="GT144" s="10"/>
      <c r="GU144" s="10"/>
      <c r="GV144" s="10"/>
      <c r="GW144" s="10"/>
      <c r="GX144" s="10"/>
      <c r="GY144" s="10"/>
      <c r="GZ144" s="10"/>
      <c r="HA144" s="10"/>
      <c r="HB144" s="10"/>
      <c r="HC144" s="10"/>
      <c r="HD144" s="10"/>
      <c r="HE144" s="10"/>
      <c r="HF144" s="10"/>
      <c r="HG144" s="10"/>
      <c r="HH144" s="10"/>
      <c r="HI144" s="10"/>
      <c r="HJ144" s="10"/>
      <c r="HK144" s="10"/>
      <c r="HL144" s="10"/>
      <c r="HM144" s="10"/>
      <c r="HN144" s="10"/>
      <c r="HO144" s="10"/>
      <c r="HP144" s="10"/>
      <c r="HQ144" s="10"/>
      <c r="HR144" s="10"/>
      <c r="HS144" s="10"/>
      <c r="HT144" s="10"/>
    </row>
    <row r="145" spans="1:228" s="6" customFormat="1" ht="12" customHeight="1" x14ac:dyDescent="0.25">
      <c r="A145" s="2"/>
      <c r="B145" s="697"/>
      <c r="C145" s="777"/>
      <c r="D145" s="777"/>
      <c r="E145" s="777"/>
      <c r="F145" s="777"/>
      <c r="G145" s="777"/>
      <c r="H145" s="777"/>
      <c r="I145" s="777"/>
      <c r="J145" s="777"/>
      <c r="K145" s="777"/>
      <c r="L145" s="777"/>
      <c r="M145" s="777"/>
      <c r="N145" s="777"/>
      <c r="O145" s="777"/>
      <c r="P145" s="63"/>
      <c r="Q145" s="2"/>
      <c r="R145" s="10"/>
      <c r="S145" s="10"/>
      <c r="Y145" s="10"/>
      <c r="Z145" s="724"/>
      <c r="AA145" s="724"/>
      <c r="AB145" s="724"/>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row>
    <row r="146" spans="1:228" s="6" customFormat="1" ht="15" customHeight="1" x14ac:dyDescent="0.2">
      <c r="A146" s="2"/>
      <c r="B146" s="761" t="s">
        <v>1975</v>
      </c>
      <c r="C146" s="761"/>
      <c r="D146" s="761"/>
      <c r="E146" s="761"/>
      <c r="F146" s="761"/>
      <c r="G146" s="761"/>
      <c r="H146" s="761"/>
      <c r="I146" s="761"/>
      <c r="J146" s="761"/>
      <c r="K146" s="761"/>
      <c r="L146" s="761"/>
      <c r="M146" s="761"/>
      <c r="N146" s="694"/>
      <c r="O146" s="694"/>
      <c r="P146" s="21">
        <f>IF(N146=T146,0.03,IF(N146=U146,0.15,IF(N146=V146,0.38,IF(N146=W146,0.68,IF(N146=X146,0.9,0)))))</f>
        <v>0</v>
      </c>
      <c r="Q146" s="2"/>
      <c r="R146" s="863" t="s">
        <v>2147</v>
      </c>
      <c r="S146" s="863"/>
      <c r="T146" s="50" t="s">
        <v>1928</v>
      </c>
      <c r="U146" s="50" t="s">
        <v>1929</v>
      </c>
      <c r="V146" s="147" t="s">
        <v>1931</v>
      </c>
      <c r="W146" s="50" t="s">
        <v>929</v>
      </c>
      <c r="X146" s="147" t="s">
        <v>545</v>
      </c>
      <c r="Y146" s="10"/>
      <c r="Z146" s="724"/>
      <c r="AA146" s="724"/>
      <c r="AB146" s="724"/>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row>
    <row r="147" spans="1:228" ht="12" customHeight="1" x14ac:dyDescent="0.25">
      <c r="B147" s="521"/>
      <c r="C147" s="521"/>
      <c r="D147" s="521"/>
      <c r="E147" s="521"/>
      <c r="F147" s="521"/>
      <c r="G147" s="521"/>
      <c r="H147" s="521"/>
      <c r="I147" s="521"/>
      <c r="J147" s="521"/>
      <c r="K147" s="521"/>
      <c r="L147" s="521"/>
      <c r="M147" s="521"/>
      <c r="N147" s="521"/>
      <c r="O147" s="521"/>
      <c r="P147" s="63"/>
      <c r="R147" s="10"/>
      <c r="S147" s="14"/>
      <c r="T147" s="14"/>
      <c r="U147" s="14"/>
      <c r="V147" s="14"/>
      <c r="W147" s="14"/>
      <c r="X147" s="14"/>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10"/>
      <c r="FL147" s="10"/>
      <c r="FM147" s="10"/>
      <c r="FN147" s="10"/>
      <c r="FO147" s="10"/>
      <c r="FP147" s="10"/>
      <c r="FQ147" s="10"/>
      <c r="FR147" s="10"/>
      <c r="FS147" s="10"/>
      <c r="FT147" s="10"/>
      <c r="FU147" s="10"/>
      <c r="FV147" s="10"/>
      <c r="FW147" s="10"/>
      <c r="FX147" s="10"/>
      <c r="FY147" s="10"/>
      <c r="FZ147" s="10"/>
      <c r="GA147" s="10"/>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c r="GY147" s="10"/>
      <c r="GZ147" s="10"/>
      <c r="HA147" s="10"/>
      <c r="HB147" s="10"/>
      <c r="HC147" s="10"/>
      <c r="HD147" s="10"/>
      <c r="HE147" s="10"/>
      <c r="HF147" s="10"/>
      <c r="HG147" s="10"/>
      <c r="HH147" s="10"/>
      <c r="HI147" s="10"/>
      <c r="HJ147" s="10"/>
      <c r="HK147" s="10"/>
      <c r="HL147" s="10"/>
      <c r="HM147" s="10"/>
      <c r="HN147" s="10"/>
      <c r="HO147" s="10"/>
      <c r="HP147" s="10"/>
      <c r="HQ147" s="10"/>
      <c r="HR147" s="10"/>
      <c r="HS147" s="10"/>
      <c r="HT147" s="10"/>
    </row>
    <row r="148" spans="1:228" ht="18" customHeight="1" x14ac:dyDescent="0.2">
      <c r="A148" s="15"/>
      <c r="B148" s="256" t="s">
        <v>1676</v>
      </c>
      <c r="C148" s="995"/>
      <c r="D148" s="997"/>
      <c r="E148" s="742" t="s">
        <v>1677</v>
      </c>
      <c r="F148" s="743"/>
      <c r="G148" s="743"/>
      <c r="H148" s="743"/>
      <c r="I148" s="743"/>
      <c r="J148" s="743"/>
      <c r="K148" s="743"/>
      <c r="L148" s="743"/>
      <c r="M148" s="743"/>
      <c r="N148" s="743"/>
      <c r="O148" s="744"/>
      <c r="P148" s="245">
        <f>IF(T148=1,0.15,0)</f>
        <v>0</v>
      </c>
      <c r="R148" s="10"/>
      <c r="S148" s="561" t="b">
        <v>0</v>
      </c>
      <c r="T148" s="50">
        <f>IF(S148=TRUE,1,0)</f>
        <v>0</v>
      </c>
      <c r="U148" s="10"/>
      <c r="V148" s="10"/>
      <c r="W148" s="10">
        <v>1E-4</v>
      </c>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c r="FF148" s="10"/>
      <c r="FG148" s="10"/>
      <c r="FH148" s="10"/>
      <c r="FI148" s="10"/>
      <c r="FJ148" s="10"/>
      <c r="FK148" s="10"/>
      <c r="FL148" s="10"/>
      <c r="FM148" s="10"/>
      <c r="FN148" s="10"/>
      <c r="FO148" s="10"/>
      <c r="FP148" s="10"/>
      <c r="FQ148" s="10"/>
      <c r="FR148" s="10"/>
      <c r="FS148" s="10"/>
      <c r="FT148" s="10"/>
      <c r="FU148" s="10"/>
      <c r="FV148" s="10"/>
      <c r="FW148" s="10"/>
      <c r="FX148" s="10"/>
      <c r="FY148" s="10"/>
      <c r="FZ148" s="10"/>
      <c r="GA148" s="10"/>
      <c r="GB148" s="10"/>
      <c r="GC148" s="10"/>
      <c r="GD148" s="10"/>
      <c r="GE148" s="10"/>
      <c r="GF148" s="10"/>
      <c r="GG148" s="10"/>
      <c r="GH148" s="10"/>
      <c r="GI148" s="10"/>
      <c r="GJ148" s="10"/>
      <c r="GK148" s="10"/>
      <c r="GL148" s="10"/>
      <c r="GM148" s="10"/>
      <c r="GN148" s="10"/>
      <c r="GO148" s="10"/>
      <c r="GP148" s="10"/>
      <c r="GQ148" s="10"/>
      <c r="GR148" s="10"/>
      <c r="GS148" s="10"/>
      <c r="GT148" s="10"/>
      <c r="GU148" s="10"/>
      <c r="GV148" s="10"/>
      <c r="GW148" s="10"/>
      <c r="GX148" s="10"/>
      <c r="GY148" s="10"/>
      <c r="GZ148" s="10"/>
      <c r="HA148" s="10"/>
      <c r="HB148" s="10"/>
      <c r="HC148" s="10"/>
      <c r="HD148" s="10"/>
      <c r="HE148" s="10"/>
      <c r="HF148" s="10"/>
      <c r="HG148" s="10"/>
      <c r="HH148" s="10"/>
      <c r="HI148" s="10"/>
      <c r="HJ148" s="10"/>
      <c r="HK148" s="10"/>
      <c r="HL148" s="10"/>
      <c r="HM148" s="10"/>
      <c r="HN148" s="10"/>
      <c r="HO148" s="10"/>
      <c r="HP148" s="10"/>
      <c r="HQ148" s="10"/>
      <c r="HR148" s="10"/>
      <c r="HS148" s="10"/>
      <c r="HT148" s="10"/>
    </row>
    <row r="149" spans="1:228" ht="18" customHeight="1" x14ac:dyDescent="0.2">
      <c r="B149" s="256" t="s">
        <v>1678</v>
      </c>
      <c r="C149" s="995"/>
      <c r="D149" s="997"/>
      <c r="E149" s="742" t="s">
        <v>1679</v>
      </c>
      <c r="F149" s="743"/>
      <c r="G149" s="743"/>
      <c r="H149" s="743"/>
      <c r="I149" s="743"/>
      <c r="J149" s="743"/>
      <c r="K149" s="743"/>
      <c r="L149" s="743"/>
      <c r="M149" s="743"/>
      <c r="N149" s="743"/>
      <c r="O149" s="744"/>
      <c r="P149" s="245">
        <f>IF(T149=1,0.25,0)</f>
        <v>0</v>
      </c>
      <c r="R149" s="10"/>
      <c r="S149" s="561" t="b">
        <v>0</v>
      </c>
      <c r="T149" s="50">
        <f>IF(S149=TRUE,1,0)</f>
        <v>0</v>
      </c>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c r="EM149" s="10"/>
      <c r="EN149" s="10"/>
      <c r="EO149" s="10"/>
      <c r="EP149" s="10"/>
      <c r="EQ149" s="10"/>
      <c r="ER149" s="10"/>
      <c r="ES149" s="10"/>
      <c r="ET149" s="10"/>
      <c r="EU149" s="10"/>
      <c r="EV149" s="10"/>
      <c r="EW149" s="10"/>
      <c r="EX149" s="10"/>
      <c r="EY149" s="10"/>
      <c r="EZ149" s="10"/>
      <c r="FA149" s="10"/>
      <c r="FB149" s="10"/>
      <c r="FC149" s="10"/>
      <c r="FD149" s="10"/>
      <c r="FE149" s="10"/>
      <c r="FF149" s="10"/>
      <c r="FG149" s="10"/>
      <c r="FH149" s="10"/>
      <c r="FI149" s="10"/>
      <c r="FJ149" s="10"/>
      <c r="FK149" s="10"/>
      <c r="FL149" s="10"/>
      <c r="FM149" s="10"/>
      <c r="FN149" s="10"/>
      <c r="FO149" s="10"/>
      <c r="FP149" s="10"/>
      <c r="FQ149" s="10"/>
      <c r="FR149" s="10"/>
      <c r="FS149" s="10"/>
      <c r="FT149" s="10"/>
      <c r="FU149" s="10"/>
      <c r="FV149" s="10"/>
      <c r="FW149" s="10"/>
      <c r="FX149" s="10"/>
      <c r="FY149" s="10"/>
      <c r="FZ149" s="10"/>
      <c r="GA149" s="10"/>
      <c r="GB149" s="10"/>
      <c r="GC149" s="10"/>
      <c r="GD149" s="10"/>
      <c r="GE149" s="10"/>
      <c r="GF149" s="10"/>
      <c r="GG149" s="10"/>
      <c r="GH149" s="10"/>
      <c r="GI149" s="10"/>
      <c r="GJ149" s="10"/>
      <c r="GK149" s="10"/>
      <c r="GL149" s="10"/>
      <c r="GM149" s="10"/>
      <c r="GN149" s="10"/>
      <c r="GO149" s="10"/>
      <c r="GP149" s="10"/>
      <c r="GQ149" s="10"/>
      <c r="GR149" s="10"/>
      <c r="GS149" s="10"/>
      <c r="GT149" s="10"/>
      <c r="GU149" s="10"/>
      <c r="GV149" s="10"/>
      <c r="GW149" s="10"/>
      <c r="GX149" s="10"/>
      <c r="GY149" s="10"/>
      <c r="GZ149" s="10"/>
      <c r="HA149" s="10"/>
      <c r="HB149" s="10"/>
      <c r="HC149" s="10"/>
      <c r="HD149" s="10"/>
      <c r="HE149" s="10"/>
      <c r="HF149" s="10"/>
      <c r="HG149" s="10"/>
      <c r="HH149" s="10"/>
      <c r="HI149" s="10"/>
      <c r="HJ149" s="10"/>
      <c r="HK149" s="10"/>
      <c r="HL149" s="10"/>
      <c r="HM149" s="10"/>
      <c r="HN149" s="10"/>
      <c r="HO149" s="10"/>
      <c r="HP149" s="10"/>
      <c r="HQ149" s="10"/>
      <c r="HR149" s="10"/>
      <c r="HS149" s="10"/>
      <c r="HT149" s="10"/>
    </row>
    <row r="150" spans="1:228" ht="18" customHeight="1" x14ac:dyDescent="0.2">
      <c r="B150" s="381" t="s">
        <v>613</v>
      </c>
      <c r="C150" s="1018"/>
      <c r="D150" s="1018"/>
      <c r="E150" s="941" t="s">
        <v>614</v>
      </c>
      <c r="F150" s="942"/>
      <c r="G150" s="942"/>
      <c r="H150" s="942"/>
      <c r="I150" s="942"/>
      <c r="J150" s="942"/>
      <c r="K150" s="942"/>
      <c r="L150" s="942"/>
      <c r="M150" s="942"/>
      <c r="N150" s="942"/>
      <c r="O150" s="943"/>
      <c r="P150" s="296">
        <f>IF(T150=1,0.25,0)</f>
        <v>0</v>
      </c>
      <c r="R150" s="10"/>
      <c r="S150" s="561" t="b">
        <v>0</v>
      </c>
      <c r="T150" s="50">
        <f>IF(S150=TRUE,1,0)</f>
        <v>0</v>
      </c>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0"/>
      <c r="EV150" s="10"/>
      <c r="EW150" s="10"/>
      <c r="EX150" s="10"/>
      <c r="EY150" s="10"/>
      <c r="EZ150" s="10"/>
      <c r="FA150" s="10"/>
      <c r="FB150" s="10"/>
      <c r="FC150" s="10"/>
      <c r="FD150" s="10"/>
      <c r="FE150" s="10"/>
      <c r="FF150" s="10"/>
      <c r="FG150" s="10"/>
      <c r="FH150" s="10"/>
      <c r="FI150" s="10"/>
      <c r="FJ150" s="10"/>
      <c r="FK150" s="10"/>
      <c r="FL150" s="10"/>
      <c r="FM150" s="10"/>
      <c r="FN150" s="10"/>
      <c r="FO150" s="10"/>
      <c r="FP150" s="10"/>
      <c r="FQ150" s="10"/>
      <c r="FR150" s="10"/>
      <c r="FS150" s="10"/>
      <c r="FT150" s="10"/>
      <c r="FU150" s="10"/>
      <c r="FV150" s="10"/>
      <c r="FW150" s="10"/>
      <c r="FX150" s="10"/>
      <c r="FY150" s="10"/>
      <c r="FZ150" s="10"/>
      <c r="GA150" s="10"/>
      <c r="GB150" s="10"/>
      <c r="GC150" s="10"/>
      <c r="GD150" s="10"/>
      <c r="GE150" s="10"/>
      <c r="GF150" s="10"/>
      <c r="GG150" s="10"/>
      <c r="GH150" s="10"/>
      <c r="GI150" s="10"/>
      <c r="GJ150" s="10"/>
      <c r="GK150" s="10"/>
      <c r="GL150" s="10"/>
      <c r="GM150" s="10"/>
      <c r="GN150" s="10"/>
      <c r="GO150" s="10"/>
      <c r="GP150" s="10"/>
      <c r="GQ150" s="10"/>
      <c r="GR150" s="10"/>
      <c r="GS150" s="10"/>
      <c r="GT150" s="10"/>
      <c r="GU150" s="10"/>
      <c r="GV150" s="10"/>
      <c r="GW150" s="10"/>
      <c r="GX150" s="10"/>
      <c r="GY150" s="10"/>
      <c r="GZ150" s="10"/>
      <c r="HA150" s="10"/>
      <c r="HB150" s="10"/>
      <c r="HC150" s="10"/>
      <c r="HD150" s="10"/>
      <c r="HE150" s="10"/>
      <c r="HF150" s="10"/>
      <c r="HG150" s="10"/>
      <c r="HH150" s="10"/>
      <c r="HI150" s="10"/>
      <c r="HJ150" s="10"/>
      <c r="HK150" s="10"/>
      <c r="HL150" s="10"/>
      <c r="HM150" s="10"/>
      <c r="HN150" s="10"/>
      <c r="HO150" s="10"/>
      <c r="HP150" s="10"/>
      <c r="HQ150" s="10"/>
      <c r="HR150" s="10"/>
      <c r="HS150" s="10"/>
      <c r="HT150" s="10"/>
    </row>
    <row r="151" spans="1:228" ht="12" customHeight="1" x14ac:dyDescent="0.2">
      <c r="B151" s="1221"/>
      <c r="C151" s="1221"/>
      <c r="D151" s="1221"/>
      <c r="E151" s="1221"/>
      <c r="F151" s="1221"/>
      <c r="G151" s="1221"/>
      <c r="H151" s="1221"/>
      <c r="I151" s="1221"/>
      <c r="J151" s="1221"/>
      <c r="K151" s="1221"/>
      <c r="L151" s="1221"/>
      <c r="M151" s="1221"/>
      <c r="N151" s="1221"/>
      <c r="O151" s="1221"/>
      <c r="R151" s="10"/>
      <c r="S151" s="10"/>
      <c r="T151" s="10"/>
      <c r="U151" s="10"/>
      <c r="V151" s="10"/>
      <c r="W151" s="6"/>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c r="EM151" s="10"/>
      <c r="EN151" s="10"/>
      <c r="EO151" s="10"/>
      <c r="EP151" s="10"/>
      <c r="EQ151" s="10"/>
      <c r="ER151" s="10"/>
      <c r="ES151" s="10"/>
      <c r="ET151" s="10"/>
      <c r="EU151" s="10"/>
      <c r="EV151" s="10"/>
      <c r="EW151" s="10"/>
      <c r="EX151" s="10"/>
      <c r="EY151" s="10"/>
      <c r="EZ151" s="10"/>
      <c r="FA151" s="10"/>
      <c r="FB151" s="10"/>
      <c r="FC151" s="10"/>
      <c r="FD151" s="10"/>
      <c r="FE151" s="10"/>
      <c r="FF151" s="10"/>
      <c r="FG151" s="10"/>
      <c r="FH151" s="10"/>
      <c r="FI151" s="10"/>
      <c r="FJ151" s="10"/>
      <c r="FK151" s="10"/>
      <c r="FL151" s="10"/>
      <c r="FM151" s="10"/>
      <c r="FN151" s="10"/>
      <c r="FO151" s="10"/>
      <c r="FP151" s="10"/>
      <c r="FQ151" s="10"/>
      <c r="FR151" s="10"/>
      <c r="FS151" s="10"/>
      <c r="FT151" s="10"/>
      <c r="FU151" s="10"/>
      <c r="FV151" s="10"/>
      <c r="FW151" s="10"/>
      <c r="FX151" s="10"/>
      <c r="FY151" s="10"/>
      <c r="FZ151" s="10"/>
      <c r="GA151" s="10"/>
      <c r="GB151" s="10"/>
      <c r="GC151" s="10"/>
      <c r="GD151" s="10"/>
      <c r="GE151" s="10"/>
      <c r="GF151" s="10"/>
      <c r="GG151" s="10"/>
      <c r="GH151" s="10"/>
      <c r="GI151" s="10"/>
      <c r="GJ151" s="10"/>
      <c r="GK151" s="10"/>
      <c r="GL151" s="10"/>
      <c r="GM151" s="10"/>
      <c r="GN151" s="10"/>
      <c r="GO151" s="10"/>
      <c r="GP151" s="10"/>
      <c r="GQ151" s="10"/>
      <c r="GR151" s="10"/>
      <c r="GS151" s="10"/>
      <c r="GT151" s="10"/>
      <c r="GU151" s="10"/>
      <c r="GV151" s="10"/>
      <c r="GW151" s="10"/>
      <c r="GX151" s="10"/>
      <c r="GY151" s="10"/>
      <c r="GZ151" s="10"/>
      <c r="HA151" s="10"/>
      <c r="HB151" s="10"/>
      <c r="HC151" s="10"/>
      <c r="HD151" s="10"/>
      <c r="HE151" s="10"/>
      <c r="HF151" s="10"/>
      <c r="HG151" s="10"/>
      <c r="HH151" s="10"/>
      <c r="HI151" s="10"/>
      <c r="HJ151" s="10"/>
      <c r="HK151" s="10"/>
      <c r="HL151" s="10"/>
      <c r="HM151" s="10"/>
      <c r="HN151" s="10"/>
      <c r="HO151" s="10"/>
      <c r="HP151" s="10"/>
      <c r="HQ151" s="10"/>
      <c r="HR151" s="10"/>
      <c r="HS151" s="10"/>
      <c r="HT151" s="10"/>
    </row>
    <row r="152" spans="1:228" ht="27" customHeight="1" x14ac:dyDescent="0.2">
      <c r="B152" s="864" t="s">
        <v>802</v>
      </c>
      <c r="C152" s="865"/>
      <c r="D152" s="865"/>
      <c r="E152" s="865"/>
      <c r="F152" s="865"/>
      <c r="G152" s="912" t="s">
        <v>1495</v>
      </c>
      <c r="H152" s="910"/>
      <c r="I152" s="910"/>
      <c r="J152" s="910"/>
      <c r="K152" s="910"/>
      <c r="L152" s="1319"/>
      <c r="M152" s="1320"/>
      <c r="N152" s="1320"/>
      <c r="O152" s="1321"/>
      <c r="P152" s="857">
        <f>IF(J161&gt;0,J161,V159)</f>
        <v>0</v>
      </c>
      <c r="R152" s="10"/>
      <c r="S152" s="50" t="s">
        <v>1826</v>
      </c>
      <c r="T152" s="50" t="s">
        <v>1285</v>
      </c>
      <c r="U152" s="50" t="s">
        <v>1286</v>
      </c>
      <c r="V152" s="50" t="s">
        <v>1287</v>
      </c>
      <c r="W152" s="50" t="s">
        <v>498</v>
      </c>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c r="EM152" s="10"/>
      <c r="EN152" s="10"/>
      <c r="EO152" s="10"/>
      <c r="EP152" s="10"/>
      <c r="EQ152" s="10"/>
      <c r="ER152" s="10"/>
      <c r="ES152" s="10"/>
      <c r="ET152" s="10"/>
      <c r="EU152" s="10"/>
      <c r="EV152" s="10"/>
      <c r="EW152" s="10"/>
      <c r="EX152" s="10"/>
      <c r="EY152" s="10"/>
      <c r="EZ152" s="10"/>
      <c r="FA152" s="10"/>
      <c r="FB152" s="10"/>
      <c r="FC152" s="10"/>
      <c r="FD152" s="10"/>
      <c r="FE152" s="10"/>
      <c r="FF152" s="10"/>
      <c r="FG152" s="10"/>
      <c r="FH152" s="10"/>
      <c r="FI152" s="10"/>
      <c r="FJ152" s="10"/>
      <c r="FK152" s="10"/>
      <c r="FL152" s="10"/>
      <c r="FM152" s="10"/>
      <c r="FN152" s="10"/>
      <c r="FO152" s="10"/>
      <c r="FP152" s="10"/>
      <c r="FQ152" s="10"/>
      <c r="FR152" s="10"/>
      <c r="FS152" s="10"/>
      <c r="FT152" s="10"/>
      <c r="FU152" s="10"/>
      <c r="FV152" s="10"/>
      <c r="FW152" s="10"/>
      <c r="FX152" s="10"/>
      <c r="FY152" s="10"/>
      <c r="FZ152" s="10"/>
      <c r="GA152" s="10"/>
      <c r="GB152" s="10"/>
      <c r="GC152" s="10"/>
      <c r="GD152" s="10"/>
      <c r="GE152" s="10"/>
      <c r="GF152" s="10"/>
      <c r="GG152" s="10"/>
      <c r="GH152" s="10"/>
      <c r="GI152" s="10"/>
      <c r="GJ152" s="10"/>
      <c r="GK152" s="10"/>
      <c r="GL152" s="10"/>
      <c r="GM152" s="10"/>
      <c r="GN152" s="10"/>
      <c r="GO152" s="10"/>
      <c r="GP152" s="10"/>
      <c r="GQ152" s="10"/>
      <c r="GR152" s="10"/>
      <c r="GS152" s="10"/>
      <c r="GT152" s="10"/>
      <c r="GU152" s="10"/>
      <c r="GV152" s="10"/>
      <c r="GW152" s="10"/>
      <c r="GX152" s="10"/>
      <c r="GY152" s="10"/>
      <c r="GZ152" s="10"/>
      <c r="HA152" s="10"/>
      <c r="HB152" s="10"/>
      <c r="HC152" s="10"/>
      <c r="HD152" s="10"/>
      <c r="HE152" s="10"/>
      <c r="HF152" s="10"/>
      <c r="HG152" s="10"/>
      <c r="HH152" s="10"/>
      <c r="HI152" s="10"/>
      <c r="HJ152" s="10"/>
      <c r="HK152" s="10"/>
      <c r="HL152" s="10"/>
      <c r="HM152" s="10"/>
      <c r="HN152" s="10"/>
      <c r="HO152" s="10"/>
      <c r="HP152" s="10"/>
      <c r="HQ152" s="10"/>
      <c r="HR152" s="10"/>
      <c r="HS152" s="10"/>
      <c r="HT152" s="10"/>
    </row>
    <row r="153" spans="1:228" ht="18" customHeight="1" x14ac:dyDescent="0.2">
      <c r="B153" s="776" t="s">
        <v>615</v>
      </c>
      <c r="C153" s="776"/>
      <c r="D153" s="776"/>
      <c r="E153" s="962">
        <f>P126</f>
        <v>0</v>
      </c>
      <c r="F153" s="1054"/>
      <c r="G153" s="1005"/>
      <c r="H153" s="1005"/>
      <c r="I153" s="1005"/>
      <c r="J153" s="1314">
        <f t="shared" ref="J153:J154" si="23">IF(AND(W153&lt;0.01,W153&gt;0),0.01,ROUND(W153,2))</f>
        <v>0</v>
      </c>
      <c r="K153" s="1314"/>
      <c r="L153" s="967"/>
      <c r="M153" s="968"/>
      <c r="N153" s="968"/>
      <c r="O153" s="969"/>
      <c r="P153" s="961"/>
      <c r="R153" s="10"/>
      <c r="S153" s="147">
        <f t="shared" ref="S153:S155" si="24">IF(J153&gt;0,J153,E153)</f>
        <v>0</v>
      </c>
      <c r="T153" s="147">
        <f>LARGE($S$153:$S$160,1)</f>
        <v>0</v>
      </c>
      <c r="U153" s="544">
        <f>T153+T154*(1-T153)</f>
        <v>0</v>
      </c>
      <c r="V153" s="548">
        <f t="shared" ref="V153:V159" si="25">ROUND(U153,2)</f>
        <v>0</v>
      </c>
      <c r="W153" s="596">
        <f t="shared" ref="W153:W154" si="26">G153*E153</f>
        <v>0</v>
      </c>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c r="FF153" s="10"/>
      <c r="FG153" s="10"/>
      <c r="FH153" s="10"/>
      <c r="FI153" s="10"/>
      <c r="FJ153" s="10"/>
      <c r="FK153" s="10"/>
      <c r="FL153" s="10"/>
      <c r="FM153" s="10"/>
      <c r="FN153" s="10"/>
      <c r="FO153" s="10"/>
      <c r="FP153" s="10"/>
      <c r="FQ153" s="10"/>
      <c r="FR153" s="10"/>
      <c r="FS153" s="10"/>
      <c r="FT153" s="10"/>
      <c r="FU153" s="10"/>
      <c r="FV153" s="10"/>
      <c r="FW153" s="10"/>
      <c r="FX153" s="10"/>
      <c r="FY153" s="10"/>
      <c r="FZ153" s="10"/>
      <c r="GA153" s="10"/>
      <c r="GB153" s="10"/>
      <c r="GC153" s="10"/>
      <c r="GD153" s="10"/>
      <c r="GE153" s="10"/>
      <c r="GF153" s="10"/>
      <c r="GG153" s="10"/>
      <c r="GH153" s="10"/>
      <c r="GI153" s="10"/>
      <c r="GJ153" s="10"/>
      <c r="GK153" s="10"/>
      <c r="GL153" s="10"/>
      <c r="GM153" s="10"/>
      <c r="GN153" s="10"/>
      <c r="GO153" s="10"/>
      <c r="GP153" s="10"/>
      <c r="GQ153" s="10"/>
      <c r="GR153" s="10"/>
      <c r="GS153" s="10"/>
      <c r="GT153" s="10"/>
      <c r="GU153" s="10"/>
      <c r="GV153" s="10"/>
      <c r="GW153" s="10"/>
      <c r="GX153" s="10"/>
      <c r="GY153" s="10"/>
      <c r="GZ153" s="10"/>
      <c r="HA153" s="10"/>
      <c r="HB153" s="10"/>
      <c r="HC153" s="10"/>
      <c r="HD153" s="10"/>
      <c r="HE153" s="10"/>
      <c r="HF153" s="10"/>
      <c r="HG153" s="10"/>
      <c r="HH153" s="10"/>
      <c r="HI153" s="10"/>
      <c r="HJ153" s="10"/>
      <c r="HK153" s="10"/>
      <c r="HL153" s="10"/>
      <c r="HM153" s="10"/>
      <c r="HN153" s="10"/>
      <c r="HO153" s="10"/>
      <c r="HP153" s="10"/>
      <c r="HQ153" s="10"/>
      <c r="HR153" s="10"/>
      <c r="HS153" s="10"/>
      <c r="HT153" s="10"/>
    </row>
    <row r="154" spans="1:228" ht="18" customHeight="1" x14ac:dyDescent="0.2">
      <c r="B154" s="791" t="s">
        <v>1918</v>
      </c>
      <c r="C154" s="791"/>
      <c r="D154" s="791"/>
      <c r="E154" s="755">
        <f>IF(P426&gt;0,0,P139)</f>
        <v>0</v>
      </c>
      <c r="F154" s="731"/>
      <c r="G154" s="1005"/>
      <c r="H154" s="1005"/>
      <c r="I154" s="1005"/>
      <c r="J154" s="1314">
        <f t="shared" si="23"/>
        <v>0</v>
      </c>
      <c r="K154" s="1314"/>
      <c r="L154" s="970"/>
      <c r="M154" s="971"/>
      <c r="N154" s="971"/>
      <c r="O154" s="972"/>
      <c r="P154" s="961"/>
      <c r="R154" s="10"/>
      <c r="S154" s="147">
        <f t="shared" si="24"/>
        <v>0</v>
      </c>
      <c r="T154" s="147">
        <f>LARGE($S$153:$S$160,2)</f>
        <v>0</v>
      </c>
      <c r="U154" s="544">
        <f t="shared" ref="U154:U159" si="27">V153+T155*(1-V153)</f>
        <v>0</v>
      </c>
      <c r="V154" s="548">
        <f t="shared" si="25"/>
        <v>0</v>
      </c>
      <c r="W154" s="596">
        <f t="shared" si="26"/>
        <v>0</v>
      </c>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c r="FU154" s="10"/>
      <c r="FV154" s="10"/>
      <c r="FW154" s="10"/>
      <c r="FX154" s="10"/>
      <c r="FY154" s="10"/>
      <c r="FZ154" s="10"/>
      <c r="GA154" s="10"/>
      <c r="GB154" s="10"/>
      <c r="GC154" s="10"/>
      <c r="GD154" s="10"/>
      <c r="GE154" s="10"/>
      <c r="GF154" s="10"/>
      <c r="GG154" s="10"/>
      <c r="GH154" s="10"/>
      <c r="GI154" s="10"/>
      <c r="GJ154" s="10"/>
      <c r="GK154" s="10"/>
      <c r="GL154" s="10"/>
      <c r="GM154" s="10"/>
      <c r="GN154" s="10"/>
      <c r="GO154" s="10"/>
      <c r="GP154" s="10"/>
      <c r="GQ154" s="10"/>
      <c r="GR154" s="10"/>
      <c r="GS154" s="10"/>
      <c r="GT154" s="10"/>
      <c r="GU154" s="10"/>
      <c r="GV154" s="10"/>
      <c r="GW154" s="10"/>
      <c r="GX154" s="10"/>
      <c r="GY154" s="10"/>
      <c r="GZ154" s="10"/>
      <c r="HA154" s="10"/>
      <c r="HB154" s="10"/>
      <c r="HC154" s="10"/>
      <c r="HD154" s="10"/>
      <c r="HE154" s="10"/>
      <c r="HF154" s="10"/>
      <c r="HG154" s="10"/>
      <c r="HH154" s="10"/>
      <c r="HI154" s="10"/>
      <c r="HJ154" s="10"/>
      <c r="HK154" s="10"/>
      <c r="HL154" s="10"/>
      <c r="HM154" s="10"/>
      <c r="HN154" s="10"/>
      <c r="HO154" s="10"/>
      <c r="HP154" s="10"/>
      <c r="HQ154" s="10"/>
      <c r="HR154" s="10"/>
      <c r="HS154" s="10"/>
      <c r="HT154" s="10"/>
    </row>
    <row r="155" spans="1:228" ht="18" customHeight="1" x14ac:dyDescent="0.2">
      <c r="B155" s="791" t="s">
        <v>1976</v>
      </c>
      <c r="C155" s="791"/>
      <c r="D155" s="791"/>
      <c r="E155" s="755">
        <f>P142</f>
        <v>0</v>
      </c>
      <c r="F155" s="731"/>
      <c r="G155" s="1005"/>
      <c r="H155" s="1005"/>
      <c r="I155" s="1005"/>
      <c r="J155" s="1314">
        <f>IF(AND(W155&lt;0.01,W155&gt;0),0.01,ROUND(W155,2))</f>
        <v>0</v>
      </c>
      <c r="K155" s="1314"/>
      <c r="L155" s="623"/>
      <c r="M155" s="624"/>
      <c r="N155" s="624"/>
      <c r="O155" s="625"/>
      <c r="P155" s="961"/>
      <c r="R155" s="10"/>
      <c r="S155" s="147">
        <f t="shared" si="24"/>
        <v>0</v>
      </c>
      <c r="T155" s="147">
        <f>LARGE($S$153:$S$160,3)</f>
        <v>0</v>
      </c>
      <c r="U155" s="544">
        <f t="shared" si="27"/>
        <v>0</v>
      </c>
      <c r="V155" s="548">
        <f t="shared" si="25"/>
        <v>0</v>
      </c>
      <c r="W155" s="596">
        <f>G155*E155</f>
        <v>0</v>
      </c>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10"/>
      <c r="FL155" s="10"/>
      <c r="FM155" s="10"/>
      <c r="FN155" s="10"/>
      <c r="FO155" s="10"/>
      <c r="FP155" s="10"/>
      <c r="FQ155" s="10"/>
      <c r="FR155" s="10"/>
      <c r="FS155" s="10"/>
      <c r="FT155" s="10"/>
      <c r="FU155" s="10"/>
      <c r="FV155" s="10"/>
      <c r="FW155" s="10"/>
      <c r="FX155" s="10"/>
      <c r="FY155" s="10"/>
      <c r="FZ155" s="10"/>
      <c r="GA155" s="10"/>
      <c r="GB155" s="10"/>
      <c r="GC155" s="10"/>
      <c r="GD155" s="10"/>
      <c r="GE155" s="10"/>
      <c r="GF155" s="10"/>
      <c r="GG155" s="10"/>
      <c r="GH155" s="10"/>
      <c r="GI155" s="10"/>
      <c r="GJ155" s="10"/>
      <c r="GK155" s="10"/>
      <c r="GL155" s="10"/>
      <c r="GM155" s="10"/>
      <c r="GN155" s="10"/>
      <c r="GO155" s="10"/>
      <c r="GP155" s="10"/>
      <c r="GQ155" s="10"/>
      <c r="GR155" s="10"/>
      <c r="GS155" s="10"/>
      <c r="GT155" s="10"/>
      <c r="GU155" s="10"/>
      <c r="GV155" s="10"/>
      <c r="GW155" s="10"/>
      <c r="GX155" s="10"/>
      <c r="GY155" s="10"/>
      <c r="GZ155" s="10"/>
      <c r="HA155" s="10"/>
      <c r="HB155" s="10"/>
      <c r="HC155" s="10"/>
      <c r="HD155" s="10"/>
      <c r="HE155" s="10"/>
      <c r="HF155" s="10"/>
      <c r="HG155" s="10"/>
      <c r="HH155" s="10"/>
      <c r="HI155" s="10"/>
      <c r="HJ155" s="10"/>
      <c r="HK155" s="10"/>
      <c r="HL155" s="10"/>
      <c r="HM155" s="10"/>
      <c r="HN155" s="10"/>
      <c r="HO155" s="10"/>
      <c r="HP155" s="10"/>
      <c r="HQ155" s="10"/>
      <c r="HR155" s="10"/>
      <c r="HS155" s="10"/>
      <c r="HT155" s="10"/>
    </row>
    <row r="156" spans="1:228" ht="18" customHeight="1" x14ac:dyDescent="0.2">
      <c r="B156" s="742" t="s">
        <v>1208</v>
      </c>
      <c r="C156" s="743"/>
      <c r="D156" s="744"/>
      <c r="E156" s="755">
        <f>P143</f>
        <v>0</v>
      </c>
      <c r="F156" s="731"/>
      <c r="G156" s="1005"/>
      <c r="H156" s="1005"/>
      <c r="I156" s="1005"/>
      <c r="J156" s="1314">
        <f>IF(AND(W156&lt;0.01,W156&gt;0),0.01,ROUND(W156,2))</f>
        <v>0</v>
      </c>
      <c r="K156" s="1314"/>
      <c r="L156" s="623"/>
      <c r="M156" s="624"/>
      <c r="N156" s="624"/>
      <c r="O156" s="625"/>
      <c r="P156" s="961"/>
      <c r="R156" s="10"/>
      <c r="S156" s="147">
        <f>IF(J156&gt;0,J156,E156)</f>
        <v>0</v>
      </c>
      <c r="T156" s="147">
        <f>LARGE($S$153:$S$160,4)</f>
        <v>0</v>
      </c>
      <c r="U156" s="544">
        <f t="shared" si="27"/>
        <v>0</v>
      </c>
      <c r="V156" s="548">
        <f t="shared" si="25"/>
        <v>0</v>
      </c>
      <c r="W156" s="596">
        <f t="shared" ref="W156:W160" si="28">G156*E156</f>
        <v>0</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c r="HA156" s="10"/>
      <c r="HB156" s="10"/>
      <c r="HC156" s="10"/>
      <c r="HD156" s="10"/>
      <c r="HE156" s="10"/>
      <c r="HF156" s="10"/>
      <c r="HG156" s="10"/>
      <c r="HH156" s="10"/>
      <c r="HI156" s="10"/>
      <c r="HJ156" s="10"/>
      <c r="HK156" s="10"/>
      <c r="HL156" s="10"/>
      <c r="HM156" s="10"/>
      <c r="HN156" s="10"/>
      <c r="HO156" s="10"/>
      <c r="HP156" s="10"/>
      <c r="HQ156" s="10"/>
      <c r="HR156" s="10"/>
      <c r="HS156" s="10"/>
      <c r="HT156" s="10"/>
    </row>
    <row r="157" spans="1:228" ht="18" customHeight="1" x14ac:dyDescent="0.2">
      <c r="B157" s="742" t="s">
        <v>1419</v>
      </c>
      <c r="C157" s="743"/>
      <c r="D157" s="744"/>
      <c r="E157" s="727">
        <f>P146</f>
        <v>0</v>
      </c>
      <c r="F157" s="729"/>
      <c r="G157" s="1005"/>
      <c r="H157" s="1005"/>
      <c r="I157" s="1005"/>
      <c r="J157" s="1314">
        <f>IF(AND(W157&lt;0.01,W157&gt;0),0.01,ROUND(W157,2))</f>
        <v>0</v>
      </c>
      <c r="K157" s="1314"/>
      <c r="L157" s="915" t="str">
        <f>IF(AND(P139&gt;0,$P$426&gt;0),"The worker has motor loss impairment. No additional impairment value is allowed for reduced range of motion in the same extremity.","")</f>
        <v/>
      </c>
      <c r="M157" s="916"/>
      <c r="N157" s="916"/>
      <c r="O157" s="917"/>
      <c r="P157" s="961"/>
      <c r="R157" s="10"/>
      <c r="S157" s="147">
        <f t="shared" ref="S157:S160" si="29">IF(J157&gt;0,J157,E157)</f>
        <v>0</v>
      </c>
      <c r="T157" s="147">
        <f>LARGE($S$153:$S$160,5)</f>
        <v>0</v>
      </c>
      <c r="U157" s="544">
        <f t="shared" si="27"/>
        <v>0</v>
      </c>
      <c r="V157" s="548">
        <f t="shared" si="25"/>
        <v>0</v>
      </c>
      <c r="W157" s="596">
        <f t="shared" si="28"/>
        <v>0</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c r="HA157" s="10"/>
      <c r="HB157" s="10"/>
      <c r="HC157" s="10"/>
      <c r="HD157" s="10"/>
      <c r="HE157" s="10"/>
      <c r="HF157" s="10"/>
      <c r="HG157" s="10"/>
      <c r="HH157" s="10"/>
      <c r="HI157" s="10"/>
      <c r="HJ157" s="10"/>
      <c r="HK157" s="10"/>
      <c r="HL157" s="10"/>
      <c r="HM157" s="10"/>
      <c r="HN157" s="10"/>
      <c r="HO157" s="10"/>
      <c r="HP157" s="10"/>
      <c r="HQ157" s="10"/>
      <c r="HR157" s="10"/>
      <c r="HS157" s="10"/>
      <c r="HT157" s="10"/>
    </row>
    <row r="158" spans="1:228" ht="18" customHeight="1" x14ac:dyDescent="0.2">
      <c r="B158" s="791" t="s">
        <v>1680</v>
      </c>
      <c r="C158" s="791"/>
      <c r="D158" s="791"/>
      <c r="E158" s="755">
        <f>P148</f>
        <v>0</v>
      </c>
      <c r="F158" s="731"/>
      <c r="G158" s="1005"/>
      <c r="H158" s="1005"/>
      <c r="I158" s="1005"/>
      <c r="J158" s="1314">
        <f t="shared" ref="J158:J160" si="30">IF(AND(W158&lt;0.01,W158&gt;0),0.01,ROUND(W158,2))</f>
        <v>0</v>
      </c>
      <c r="K158" s="1314"/>
      <c r="L158" s="915"/>
      <c r="M158" s="916"/>
      <c r="N158" s="916"/>
      <c r="O158" s="917"/>
      <c r="P158" s="961"/>
      <c r="R158" s="10"/>
      <c r="S158" s="147">
        <f t="shared" si="29"/>
        <v>0</v>
      </c>
      <c r="T158" s="147">
        <f>LARGE($S$153:$S$160,6)</f>
        <v>0</v>
      </c>
      <c r="U158" s="544">
        <f t="shared" si="27"/>
        <v>0</v>
      </c>
      <c r="V158" s="548">
        <f t="shared" si="25"/>
        <v>0</v>
      </c>
      <c r="W158" s="596">
        <f t="shared" si="28"/>
        <v>0</v>
      </c>
      <c r="X158" s="10"/>
      <c r="Y158" s="10"/>
      <c r="Z158" s="6"/>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10"/>
      <c r="FL158" s="10"/>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c r="GM158" s="10"/>
      <c r="GN158" s="10"/>
      <c r="GO158" s="10"/>
      <c r="GP158" s="10"/>
      <c r="GQ158" s="10"/>
      <c r="GR158" s="10"/>
      <c r="GS158" s="10"/>
      <c r="GT158" s="10"/>
      <c r="GU158" s="10"/>
      <c r="GV158" s="10"/>
      <c r="GW158" s="10"/>
      <c r="GX158" s="10"/>
      <c r="GY158" s="10"/>
      <c r="GZ158" s="10"/>
      <c r="HA158" s="10"/>
      <c r="HB158" s="10"/>
      <c r="HC158" s="10"/>
      <c r="HD158" s="10"/>
      <c r="HE158" s="10"/>
      <c r="HF158" s="10"/>
      <c r="HG158" s="10"/>
      <c r="HH158" s="10"/>
      <c r="HI158" s="10"/>
      <c r="HJ158" s="10"/>
      <c r="HK158" s="10"/>
      <c r="HL158" s="10"/>
      <c r="HM158" s="10"/>
      <c r="HN158" s="10"/>
      <c r="HO158" s="10"/>
      <c r="HP158" s="10"/>
      <c r="HQ158" s="10"/>
      <c r="HR158" s="10"/>
      <c r="HS158" s="10"/>
      <c r="HT158" s="10"/>
    </row>
    <row r="159" spans="1:228" ht="18" customHeight="1" x14ac:dyDescent="0.2">
      <c r="B159" s="742" t="s">
        <v>1681</v>
      </c>
      <c r="C159" s="743"/>
      <c r="D159" s="744"/>
      <c r="E159" s="727">
        <f>P149</f>
        <v>0</v>
      </c>
      <c r="F159" s="729"/>
      <c r="G159" s="1005"/>
      <c r="H159" s="1005"/>
      <c r="I159" s="1005"/>
      <c r="J159" s="1314">
        <f t="shared" si="30"/>
        <v>0</v>
      </c>
      <c r="K159" s="1314"/>
      <c r="L159" s="915"/>
      <c r="M159" s="916"/>
      <c r="N159" s="916"/>
      <c r="O159" s="917"/>
      <c r="P159" s="961"/>
      <c r="R159" s="10"/>
      <c r="S159" s="147">
        <f t="shared" si="29"/>
        <v>0</v>
      </c>
      <c r="T159" s="147">
        <f>LARGE($S$153:$S$160,7)</f>
        <v>0</v>
      </c>
      <c r="U159" s="544">
        <f t="shared" si="27"/>
        <v>0</v>
      </c>
      <c r="V159" s="548">
        <f t="shared" si="25"/>
        <v>0</v>
      </c>
      <c r="W159" s="596">
        <f t="shared" si="28"/>
        <v>0</v>
      </c>
      <c r="X159" s="10"/>
      <c r="Y159" s="10"/>
      <c r="Z159" s="1"/>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c r="FF159" s="10"/>
      <c r="FG159" s="10"/>
      <c r="FH159" s="10"/>
      <c r="FI159" s="10"/>
      <c r="FJ159" s="10"/>
      <c r="FK159" s="10"/>
      <c r="FL159" s="10"/>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c r="GM159" s="10"/>
      <c r="GN159" s="10"/>
      <c r="GO159" s="10"/>
      <c r="GP159" s="10"/>
      <c r="GQ159" s="10"/>
      <c r="GR159" s="10"/>
      <c r="GS159" s="10"/>
      <c r="GT159" s="10"/>
      <c r="GU159" s="10"/>
      <c r="GV159" s="10"/>
      <c r="GW159" s="10"/>
      <c r="GX159" s="10"/>
      <c r="GY159" s="10"/>
      <c r="GZ159" s="10"/>
      <c r="HA159" s="10"/>
      <c r="HB159" s="10"/>
      <c r="HC159" s="10"/>
      <c r="HD159" s="10"/>
      <c r="HE159" s="10"/>
      <c r="HF159" s="10"/>
      <c r="HG159" s="10"/>
      <c r="HH159" s="10"/>
      <c r="HI159" s="10"/>
      <c r="HJ159" s="10"/>
      <c r="HK159" s="10"/>
      <c r="HL159" s="10"/>
      <c r="HM159" s="10"/>
      <c r="HN159" s="10"/>
      <c r="HO159" s="10"/>
      <c r="HP159" s="10"/>
      <c r="HQ159" s="10"/>
      <c r="HR159" s="10"/>
      <c r="HS159" s="10"/>
      <c r="HT159" s="10"/>
    </row>
    <row r="160" spans="1:228" ht="18" customHeight="1" x14ac:dyDescent="0.2">
      <c r="B160" s="789" t="s">
        <v>1110</v>
      </c>
      <c r="C160" s="789"/>
      <c r="D160" s="789"/>
      <c r="E160" s="1022">
        <f>P150</f>
        <v>0</v>
      </c>
      <c r="F160" s="1022"/>
      <c r="G160" s="1005"/>
      <c r="H160" s="1005"/>
      <c r="I160" s="1005"/>
      <c r="J160" s="1314">
        <f t="shared" si="30"/>
        <v>0</v>
      </c>
      <c r="K160" s="1314"/>
      <c r="L160" s="915"/>
      <c r="M160" s="916"/>
      <c r="N160" s="916"/>
      <c r="O160" s="917"/>
      <c r="P160" s="961"/>
      <c r="R160" s="10"/>
      <c r="S160" s="147">
        <f t="shared" si="29"/>
        <v>0</v>
      </c>
      <c r="T160" s="147">
        <f>LARGE($S$153:$S$160,8)</f>
        <v>0</v>
      </c>
      <c r="U160" s="96"/>
      <c r="V160" s="128"/>
      <c r="W160" s="21">
        <f t="shared" si="28"/>
        <v>0</v>
      </c>
      <c r="X160" s="10"/>
      <c r="Y160" s="10"/>
      <c r="Z160" s="6"/>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10"/>
      <c r="FL160" s="10"/>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c r="GM160" s="10"/>
      <c r="GN160" s="10"/>
      <c r="GO160" s="10"/>
      <c r="GP160" s="10"/>
      <c r="GQ160" s="10"/>
      <c r="GR160" s="10"/>
      <c r="GS160" s="10"/>
      <c r="GT160" s="10"/>
      <c r="GU160" s="10"/>
      <c r="GV160" s="10"/>
      <c r="GW160" s="10"/>
      <c r="GX160" s="10"/>
      <c r="GY160" s="10"/>
      <c r="GZ160" s="10"/>
      <c r="HA160" s="10"/>
      <c r="HB160" s="10"/>
      <c r="HC160" s="10"/>
      <c r="HD160" s="10"/>
      <c r="HE160" s="10"/>
      <c r="HF160" s="10"/>
      <c r="HG160" s="10"/>
      <c r="HH160" s="10"/>
      <c r="HI160" s="10"/>
      <c r="HJ160" s="10"/>
      <c r="HK160" s="10"/>
      <c r="HL160" s="10"/>
      <c r="HM160" s="10"/>
      <c r="HN160" s="10"/>
      <c r="HO160" s="10"/>
      <c r="HP160" s="10"/>
      <c r="HQ160" s="10"/>
      <c r="HR160" s="10"/>
      <c r="HS160" s="10"/>
      <c r="HT160" s="10"/>
    </row>
    <row r="161" spans="2:228" ht="18" customHeight="1" x14ac:dyDescent="0.2">
      <c r="B161" s="1318" t="s">
        <v>434</v>
      </c>
      <c r="C161" s="1318"/>
      <c r="D161" s="1318"/>
      <c r="E161" s="1318"/>
      <c r="F161" s="1318"/>
      <c r="G161" s="1318"/>
      <c r="H161" s="1318"/>
      <c r="I161" s="1318"/>
      <c r="J161" s="1318"/>
      <c r="K161" s="1318"/>
      <c r="L161" s="1318"/>
      <c r="M161" s="1318"/>
      <c r="N161" s="1318"/>
      <c r="O161" s="1318"/>
      <c r="P161" s="962"/>
      <c r="R161" s="10"/>
      <c r="S161" s="14"/>
      <c r="T161" s="96"/>
      <c r="U161" s="128"/>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c r="GY161" s="10"/>
      <c r="GZ161" s="10"/>
      <c r="HA161" s="10"/>
      <c r="HB161" s="10"/>
      <c r="HC161" s="10"/>
      <c r="HD161" s="10"/>
      <c r="HE161" s="10"/>
      <c r="HF161" s="10"/>
      <c r="HG161" s="10"/>
      <c r="HH161" s="10"/>
      <c r="HI161" s="10"/>
      <c r="HJ161" s="10"/>
      <c r="HK161" s="10"/>
      <c r="HL161" s="10"/>
      <c r="HM161" s="10"/>
      <c r="HN161" s="10"/>
      <c r="HO161" s="10"/>
      <c r="HP161" s="10"/>
      <c r="HQ161" s="10"/>
      <c r="HR161" s="10"/>
      <c r="HS161" s="10"/>
      <c r="HT161" s="10"/>
    </row>
    <row r="162" spans="2:228" ht="3" customHeight="1" x14ac:dyDescent="0.2">
      <c r="B162" s="777"/>
      <c r="C162" s="777"/>
      <c r="D162" s="777"/>
      <c r="E162" s="777"/>
      <c r="F162" s="777"/>
      <c r="G162" s="777"/>
      <c r="H162" s="777"/>
      <c r="I162" s="777"/>
      <c r="J162" s="777"/>
      <c r="K162" s="777"/>
      <c r="L162" s="777"/>
      <c r="M162" s="777"/>
      <c r="N162" s="777"/>
      <c r="O162" s="777"/>
      <c r="R162" s="10"/>
      <c r="S162" s="10"/>
      <c r="T162" s="10"/>
      <c r="U162" s="10"/>
      <c r="V162" s="10"/>
      <c r="W162" s="10"/>
      <c r="X162" s="6"/>
      <c r="Y162" s="6"/>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c r="GY162" s="10"/>
      <c r="GZ162" s="10"/>
      <c r="HA162" s="10"/>
      <c r="HB162" s="10"/>
      <c r="HC162" s="10"/>
      <c r="HD162" s="10"/>
      <c r="HE162" s="10"/>
      <c r="HF162" s="10"/>
      <c r="HG162" s="10"/>
      <c r="HH162" s="10"/>
      <c r="HI162" s="10"/>
      <c r="HJ162" s="10"/>
      <c r="HK162" s="10"/>
      <c r="HL162" s="10"/>
      <c r="HM162" s="10"/>
      <c r="HN162" s="10"/>
      <c r="HO162" s="10"/>
      <c r="HP162" s="10"/>
      <c r="HQ162" s="10"/>
      <c r="HR162" s="10"/>
      <c r="HS162" s="10"/>
      <c r="HT162" s="10"/>
    </row>
    <row r="163" spans="2:228" ht="3" customHeight="1" x14ac:dyDescent="0.2">
      <c r="B163" s="777"/>
      <c r="C163" s="777"/>
      <c r="D163" s="777"/>
      <c r="E163" s="777"/>
      <c r="F163" s="777"/>
      <c r="G163" s="777"/>
      <c r="H163" s="777"/>
      <c r="I163" s="777"/>
      <c r="J163" s="777"/>
      <c r="K163" s="777"/>
      <c r="L163" s="777"/>
      <c r="M163" s="777"/>
      <c r="N163" s="777"/>
      <c r="O163" s="777"/>
      <c r="P163" s="777"/>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c r="HA163" s="10"/>
      <c r="HB163" s="10"/>
      <c r="HC163" s="10"/>
      <c r="HD163" s="10"/>
      <c r="HE163" s="10"/>
      <c r="HF163" s="10"/>
      <c r="HG163" s="10"/>
      <c r="HH163" s="10"/>
      <c r="HI163" s="10"/>
      <c r="HJ163" s="10"/>
      <c r="HK163" s="10"/>
      <c r="HL163" s="10"/>
      <c r="HM163" s="10"/>
      <c r="HN163" s="10"/>
      <c r="HO163" s="10"/>
      <c r="HP163" s="10"/>
      <c r="HQ163" s="10"/>
      <c r="HR163" s="10"/>
      <c r="HS163" s="10"/>
      <c r="HT163" s="10"/>
    </row>
    <row r="164" spans="2:228" ht="18" customHeight="1" x14ac:dyDescent="0.2">
      <c r="B164" s="947" t="s">
        <v>694</v>
      </c>
      <c r="C164" s="863"/>
      <c r="D164" s="863"/>
      <c r="E164" s="863"/>
      <c r="F164" s="863"/>
      <c r="G164" s="863"/>
      <c r="H164" s="863"/>
      <c r="I164" s="863"/>
      <c r="J164" s="863"/>
      <c r="K164" s="863"/>
      <c r="L164" s="863"/>
      <c r="M164" s="863"/>
      <c r="N164" s="863"/>
      <c r="O164" s="863"/>
      <c r="P164" s="863"/>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row>
    <row r="165" spans="2:228" ht="15" customHeight="1" x14ac:dyDescent="0.2">
      <c r="B165" s="910" t="s">
        <v>695</v>
      </c>
      <c r="C165" s="910"/>
      <c r="D165" s="910"/>
      <c r="E165" s="910"/>
      <c r="F165" s="910"/>
      <c r="G165" s="910"/>
      <c r="H165" s="910"/>
      <c r="I165" s="910"/>
      <c r="J165" s="910"/>
      <c r="K165" s="910"/>
      <c r="L165" s="910"/>
      <c r="M165" s="910"/>
      <c r="N165" s="910"/>
      <c r="O165" s="910"/>
      <c r="P165" s="910"/>
      <c r="R165" s="10"/>
      <c r="S165" s="10"/>
      <c r="T165" s="761" t="s">
        <v>696</v>
      </c>
      <c r="U165" s="50" t="s">
        <v>1298</v>
      </c>
      <c r="V165" s="50" t="s">
        <v>1058</v>
      </c>
      <c r="W165" s="552" t="s">
        <v>1059</v>
      </c>
      <c r="X165" s="50" t="s">
        <v>1244</v>
      </c>
      <c r="Y165" s="50" t="s">
        <v>1245</v>
      </c>
      <c r="Z165" s="50" t="s">
        <v>1827</v>
      </c>
      <c r="AA165" s="147" t="s">
        <v>1671</v>
      </c>
      <c r="AB165" s="147" t="s">
        <v>97</v>
      </c>
      <c r="AC165" s="147" t="s">
        <v>98</v>
      </c>
      <c r="AD165" s="50" t="s">
        <v>1705</v>
      </c>
      <c r="AE165" s="50" t="s">
        <v>1706</v>
      </c>
      <c r="AF165" s="50" t="s">
        <v>1707</v>
      </c>
      <c r="AG165" s="50" t="s">
        <v>76</v>
      </c>
      <c r="AH165" s="50" t="s">
        <v>77</v>
      </c>
      <c r="AI165" s="50" t="s">
        <v>805</v>
      </c>
      <c r="AJ165" s="50" t="s">
        <v>806</v>
      </c>
      <c r="AK165" s="50" t="s">
        <v>807</v>
      </c>
      <c r="AL165" s="50" t="s">
        <v>808</v>
      </c>
      <c r="AM165" s="50" t="s">
        <v>1116</v>
      </c>
      <c r="AN165" s="50" t="s">
        <v>1514</v>
      </c>
      <c r="AO165" s="50" t="s">
        <v>194</v>
      </c>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10"/>
      <c r="FN165" s="10"/>
      <c r="FO165" s="10"/>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row>
    <row r="166" spans="2:228" ht="27" customHeight="1" x14ac:dyDescent="0.2">
      <c r="B166" s="1012"/>
      <c r="C166" s="1012"/>
      <c r="D166" s="1012"/>
      <c r="E166" s="1012"/>
      <c r="F166" s="1012"/>
      <c r="G166" s="1012"/>
      <c r="H166" s="1012"/>
      <c r="I166" s="1012"/>
      <c r="J166" s="1012"/>
      <c r="K166" s="1012"/>
      <c r="L166" s="1012"/>
      <c r="M166" s="1012"/>
      <c r="N166" s="1012"/>
      <c r="O166" s="1012"/>
      <c r="P166" s="21">
        <f>SUMIF(U165:AO165,B166,U166:AO166)</f>
        <v>0</v>
      </c>
      <c r="R166" s="10"/>
      <c r="S166" s="10"/>
      <c r="T166" s="761"/>
      <c r="U166" s="548">
        <v>0</v>
      </c>
      <c r="V166" s="147">
        <v>0.05</v>
      </c>
      <c r="W166" s="147">
        <v>0.1</v>
      </c>
      <c r="X166" s="147">
        <v>0.15</v>
      </c>
      <c r="Y166" s="147">
        <v>0.2</v>
      </c>
      <c r="Z166" s="147">
        <v>0.25</v>
      </c>
      <c r="AA166" s="147">
        <v>0.3</v>
      </c>
      <c r="AB166" s="147">
        <v>0.35</v>
      </c>
      <c r="AC166" s="147">
        <v>0.4</v>
      </c>
      <c r="AD166" s="147">
        <v>0.45</v>
      </c>
      <c r="AE166" s="147">
        <v>0.5</v>
      </c>
      <c r="AF166" s="147">
        <v>0.55000000000000004</v>
      </c>
      <c r="AG166" s="147">
        <v>0.6</v>
      </c>
      <c r="AH166" s="147">
        <v>0.65</v>
      </c>
      <c r="AI166" s="147">
        <v>0.7</v>
      </c>
      <c r="AJ166" s="147">
        <v>0.75</v>
      </c>
      <c r="AK166" s="147">
        <v>0.8</v>
      </c>
      <c r="AL166" s="147">
        <v>0.85</v>
      </c>
      <c r="AM166" s="147">
        <v>0.9</v>
      </c>
      <c r="AN166" s="147">
        <v>0.95</v>
      </c>
      <c r="AO166" s="147">
        <v>1</v>
      </c>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c r="HA166" s="10"/>
      <c r="HB166" s="10"/>
      <c r="HC166" s="10"/>
      <c r="HD166" s="10"/>
      <c r="HE166" s="10"/>
      <c r="HF166" s="10"/>
      <c r="HG166" s="10"/>
      <c r="HH166" s="10"/>
      <c r="HI166" s="10"/>
      <c r="HJ166" s="10"/>
      <c r="HK166" s="10"/>
      <c r="HL166" s="10"/>
      <c r="HM166" s="10"/>
      <c r="HN166" s="10"/>
      <c r="HO166" s="10"/>
      <c r="HP166" s="10"/>
      <c r="HQ166" s="10"/>
      <c r="HR166" s="10"/>
      <c r="HS166" s="10"/>
      <c r="HT166" s="10"/>
    </row>
    <row r="167" spans="2:228" ht="12" customHeight="1" x14ac:dyDescent="0.25">
      <c r="B167" s="1220"/>
      <c r="C167" s="1220"/>
      <c r="D167" s="1220"/>
      <c r="E167" s="1220"/>
      <c r="F167" s="1220"/>
      <c r="G167" s="1220"/>
      <c r="H167" s="1220"/>
      <c r="I167" s="1220"/>
      <c r="J167" s="1220"/>
      <c r="K167" s="1220"/>
      <c r="L167" s="1220"/>
      <c r="M167" s="1220"/>
      <c r="N167" s="1220"/>
      <c r="O167" s="1220"/>
      <c r="P167" s="122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row>
    <row r="168" spans="2:228" ht="18" customHeight="1" x14ac:dyDescent="0.2">
      <c r="B168" s="944" t="s">
        <v>794</v>
      </c>
      <c r="C168" s="945"/>
      <c r="D168" s="945"/>
      <c r="E168" s="945"/>
      <c r="F168" s="945"/>
      <c r="G168" s="945"/>
      <c r="H168" s="945"/>
      <c r="I168" s="945"/>
      <c r="J168" s="945"/>
      <c r="K168" s="945"/>
      <c r="L168" s="945"/>
      <c r="M168" s="945"/>
      <c r="N168" s="945"/>
      <c r="O168" s="945"/>
      <c r="P168" s="830"/>
      <c r="R168" s="10"/>
      <c r="S168" s="10"/>
      <c r="T168" s="10"/>
      <c r="U168" s="10"/>
      <c r="V168" s="10"/>
      <c r="W168" s="10"/>
      <c r="X168" s="10"/>
      <c r="Y168" s="10"/>
      <c r="Z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row>
    <row r="169" spans="2:228" ht="15" customHeight="1" x14ac:dyDescent="0.2">
      <c r="B169" s="282" t="s">
        <v>1516</v>
      </c>
      <c r="C169" s="1241"/>
      <c r="D169" s="1242"/>
      <c r="E169" s="1242"/>
      <c r="F169" s="1242"/>
      <c r="G169" s="1242"/>
      <c r="H169" s="1242"/>
      <c r="I169" s="1242"/>
      <c r="J169" s="1242"/>
      <c r="K169" s="1242"/>
      <c r="L169" s="1224"/>
      <c r="M169" s="1225"/>
      <c r="N169" s="1226"/>
      <c r="O169" s="67">
        <f>IF(C169=T169,0.45,IF(C169=U169,0.3,IF(C169=V169,0.45,0)))</f>
        <v>0</v>
      </c>
      <c r="P169" s="831"/>
      <c r="R169" s="947" t="s">
        <v>2147</v>
      </c>
      <c r="S169" s="50" t="s">
        <v>1901</v>
      </c>
      <c r="T169" s="50" t="s">
        <v>1517</v>
      </c>
      <c r="U169" s="256" t="s">
        <v>1518</v>
      </c>
      <c r="V169" s="50" t="s">
        <v>1519</v>
      </c>
      <c r="W169" s="10"/>
      <c r="X169" s="10"/>
      <c r="Y169" s="10"/>
      <c r="Z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row>
    <row r="170" spans="2:228" ht="15" customHeight="1" x14ac:dyDescent="0.2">
      <c r="B170" s="274" t="s">
        <v>1673</v>
      </c>
      <c r="C170" s="1222"/>
      <c r="D170" s="1238"/>
      <c r="E170" s="1238"/>
      <c r="F170" s="1238"/>
      <c r="G170" s="1238"/>
      <c r="H170" s="1238"/>
      <c r="I170" s="1238"/>
      <c r="J170" s="1238"/>
      <c r="K170" s="1238"/>
      <c r="L170" s="1032"/>
      <c r="M170" s="1033"/>
      <c r="N170" s="1034"/>
      <c r="O170" s="64">
        <f>IF(C170=T170,0.8,IF(C170=U170,0.45,IF(C170=V170,0.8,0)))</f>
        <v>0</v>
      </c>
      <c r="P170" s="831"/>
      <c r="R170" s="947"/>
      <c r="S170" s="50" t="s">
        <v>1901</v>
      </c>
      <c r="T170" s="50" t="s">
        <v>1517</v>
      </c>
      <c r="U170" s="256" t="s">
        <v>1518</v>
      </c>
      <c r="V170" s="50" t="s">
        <v>1519</v>
      </c>
      <c r="W170" s="10"/>
      <c r="X170" s="10"/>
      <c r="Y170" s="10"/>
      <c r="Z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row>
    <row r="171" spans="2:228" ht="12" customHeight="1" x14ac:dyDescent="0.25">
      <c r="B171" s="1240"/>
      <c r="C171" s="1183"/>
      <c r="D171" s="1183"/>
      <c r="E171" s="1183"/>
      <c r="F171" s="1183"/>
      <c r="G171" s="1183"/>
      <c r="H171" s="1183"/>
      <c r="I171" s="1183"/>
      <c r="J171" s="1183"/>
      <c r="K171" s="1183"/>
      <c r="L171" s="1183"/>
      <c r="M171" s="1183"/>
      <c r="N171" s="1183"/>
      <c r="O171" s="1183"/>
      <c r="P171" s="831"/>
      <c r="R171" s="10"/>
      <c r="S171" s="58"/>
      <c r="T171" s="58"/>
      <c r="U171" s="58"/>
      <c r="V171" s="10"/>
      <c r="W171" s="10"/>
      <c r="X171" s="10"/>
      <c r="Y171" s="10"/>
      <c r="Z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row>
    <row r="172" spans="2:228" ht="28.5" customHeight="1" x14ac:dyDescent="0.2">
      <c r="B172" s="198"/>
      <c r="C172" s="944" t="s">
        <v>1564</v>
      </c>
      <c r="D172" s="945"/>
      <c r="E172" s="945"/>
      <c r="F172" s="945"/>
      <c r="G172" s="912" t="s">
        <v>1064</v>
      </c>
      <c r="H172" s="912"/>
      <c r="I172" s="912"/>
      <c r="J172" s="912"/>
      <c r="K172" s="912"/>
      <c r="L172" s="1065"/>
      <c r="M172" s="1004"/>
      <c r="N172" s="1004"/>
      <c r="O172" s="1004"/>
      <c r="P172" s="831"/>
      <c r="R172" s="10"/>
      <c r="T172" s="58"/>
      <c r="U172" s="58"/>
      <c r="V172" s="10"/>
      <c r="W172" s="10"/>
      <c r="X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row>
    <row r="173" spans="2:228" ht="15" customHeight="1" x14ac:dyDescent="0.2">
      <c r="B173" s="127" t="s">
        <v>1802</v>
      </c>
      <c r="C173" s="910" t="s">
        <v>355</v>
      </c>
      <c r="D173" s="910"/>
      <c r="E173" s="910" t="s">
        <v>1759</v>
      </c>
      <c r="F173" s="910"/>
      <c r="G173" s="830" t="s">
        <v>355</v>
      </c>
      <c r="H173" s="830"/>
      <c r="I173" s="830"/>
      <c r="J173" s="830" t="s">
        <v>1759</v>
      </c>
      <c r="K173" s="830"/>
      <c r="L173" s="1003"/>
      <c r="M173" s="1003"/>
      <c r="N173" s="1003"/>
      <c r="O173" s="1003"/>
      <c r="P173" s="831"/>
      <c r="R173" s="10"/>
      <c r="S173" s="50" t="s">
        <v>1541</v>
      </c>
      <c r="T173" s="256" t="s">
        <v>1564</v>
      </c>
      <c r="U173" s="256" t="s">
        <v>1565</v>
      </c>
      <c r="V173" s="910" t="s">
        <v>1066</v>
      </c>
      <c r="W173" s="910"/>
      <c r="AB173" s="6"/>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c r="HD173" s="10"/>
      <c r="HE173" s="10"/>
      <c r="HF173" s="10"/>
      <c r="HG173" s="10"/>
      <c r="HH173" s="10"/>
      <c r="HI173" s="10"/>
      <c r="HJ173" s="10"/>
      <c r="HK173" s="10"/>
      <c r="HL173" s="10"/>
      <c r="HM173" s="10"/>
      <c r="HN173" s="10"/>
      <c r="HO173" s="10"/>
      <c r="HP173" s="10"/>
      <c r="HQ173" s="10"/>
      <c r="HR173" s="10"/>
      <c r="HS173" s="10"/>
      <c r="HT173" s="10"/>
    </row>
    <row r="174" spans="2:228" ht="15" customHeight="1" x14ac:dyDescent="0.2">
      <c r="B174" s="294" t="s">
        <v>1312</v>
      </c>
      <c r="C174" s="1035"/>
      <c r="D174" s="1035"/>
      <c r="E174" s="1171">
        <f>LETable!AT30</f>
        <v>0</v>
      </c>
      <c r="F174" s="1171"/>
      <c r="G174" s="694"/>
      <c r="H174" s="694"/>
      <c r="I174" s="694"/>
      <c r="J174" s="1178">
        <f>IF(C174="",0,IF(OR(C174&lt;=0,G174&lt;=0),E174,IF(G174&lt;C174,0,LETable!AY30)))</f>
        <v>0</v>
      </c>
      <c r="K174" s="1178"/>
      <c r="L174" s="1232" t="str">
        <f>IF(OR(C174="NA",G174="NA"),"",IF(AND(C174&lt;&gt;"",G174=""),"Enter contralateral or NA.",IF(AND(C174="",G174&lt;&gt;""),"Need data","")))</f>
        <v/>
      </c>
      <c r="M174" s="1232"/>
      <c r="N174" s="1232"/>
      <c r="O174" s="1233"/>
      <c r="P174" s="831"/>
      <c r="S174" s="50">
        <v>40</v>
      </c>
      <c r="T174" s="50" t="str">
        <f>IF(OR(C174="",C174="NA"),"",IF(C174&gt;S174,S174,IF(C174&lt;0,0,C174)))</f>
        <v/>
      </c>
      <c r="U174" s="50" t="str">
        <f>IF(OR(G174="",G174="NA"),"",IF(G174&gt;S174,S174,IF(G174&lt;0,0,G174)))</f>
        <v/>
      </c>
      <c r="V174" s="553" t="str">
        <f>IF(W174="","",ROUND(W174,0))</f>
        <v/>
      </c>
      <c r="W174" s="554" t="str">
        <f>IF(T174="","",IF(OR(U174="",U174=0,U174&lt;T174),T174,(T174*S174)/U174))</f>
        <v/>
      </c>
      <c r="X174" s="10"/>
      <c r="Y174" s="6"/>
      <c r="Z174" s="6"/>
      <c r="AA174" s="6"/>
      <c r="AB174" s="6"/>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c r="HA174" s="10"/>
      <c r="HB174" s="10"/>
      <c r="HC174" s="10"/>
      <c r="HD174" s="10"/>
      <c r="HE174" s="10"/>
      <c r="HF174" s="10"/>
      <c r="HG174" s="10"/>
      <c r="HH174" s="10"/>
      <c r="HI174" s="10"/>
      <c r="HJ174" s="10"/>
      <c r="HK174" s="10"/>
      <c r="HL174" s="10"/>
      <c r="HM174" s="10"/>
      <c r="HN174" s="10"/>
      <c r="HO174" s="10"/>
      <c r="HP174" s="10"/>
      <c r="HQ174" s="10"/>
      <c r="HR174" s="10"/>
      <c r="HS174" s="10"/>
      <c r="HT174" s="10"/>
    </row>
    <row r="175" spans="2:228" ht="15" customHeight="1" x14ac:dyDescent="0.2">
      <c r="B175" s="294" t="s">
        <v>1313</v>
      </c>
      <c r="C175" s="1227"/>
      <c r="D175" s="1227"/>
      <c r="E175" s="1171">
        <f>IF(AND(C175&lt;&gt;"",C175&lt;&gt;"NA",C174&lt;&gt;"NA",C174&lt;&gt;""),"ERROR",IF(AND(C175&lt;&gt;"",C175&lt;&gt;"NA",C176&lt;&gt;"",C176&lt;&gt;"NA"),"ERROR",LETable!AT31))</f>
        <v>0</v>
      </c>
      <c r="F175" s="1171"/>
      <c r="G175" s="930" t="str">
        <f>IF(E175="ERROR","Error: Cannot rate ROM and ankylosis.","")</f>
        <v/>
      </c>
      <c r="H175" s="930"/>
      <c r="I175" s="930"/>
      <c r="J175" s="930"/>
      <c r="K175" s="930"/>
      <c r="L175" s="930"/>
      <c r="M175" s="930"/>
      <c r="N175" s="930"/>
      <c r="O175" s="931"/>
      <c r="P175" s="831"/>
      <c r="R175" s="10"/>
      <c r="S175" s="50">
        <v>40</v>
      </c>
      <c r="T175" s="50" t="str">
        <f>IF(OR(C175="",C175="NA"),"",IF(C175&gt;S175,S175,IF(C175&lt;0,0,C175)))</f>
        <v/>
      </c>
      <c r="U175" s="10"/>
      <c r="V175" s="10"/>
      <c r="W175" s="10"/>
      <c r="X175" s="10"/>
      <c r="Y175" s="6"/>
      <c r="Z175" s="6"/>
      <c r="AA175" s="6"/>
      <c r="AB175" s="6"/>
      <c r="AC175" s="10"/>
      <c r="AD175" s="10"/>
      <c r="AE175" s="10"/>
      <c r="AF175" s="10"/>
      <c r="AG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0"/>
      <c r="EN175" s="10"/>
      <c r="EO175" s="10"/>
      <c r="EP175" s="10"/>
      <c r="EQ175" s="10"/>
      <c r="ER175" s="10"/>
      <c r="ES175" s="10"/>
      <c r="ET175" s="10"/>
      <c r="EU175" s="10"/>
      <c r="EV175" s="10"/>
      <c r="EW175" s="10"/>
      <c r="EX175" s="10"/>
      <c r="EY175" s="10"/>
      <c r="EZ175" s="10"/>
      <c r="FA175" s="10"/>
      <c r="FB175" s="10"/>
      <c r="FC175" s="10"/>
      <c r="FD175" s="10"/>
      <c r="FE175" s="10"/>
      <c r="FF175" s="10"/>
      <c r="FG175" s="10"/>
      <c r="FH175" s="10"/>
      <c r="FI175" s="10"/>
      <c r="FJ175" s="10"/>
      <c r="FK175" s="10"/>
      <c r="FL175" s="10"/>
      <c r="FM175" s="10"/>
      <c r="FN175" s="10"/>
      <c r="FO175" s="10"/>
      <c r="FP175" s="10"/>
      <c r="FQ175" s="10"/>
      <c r="FR175" s="10"/>
      <c r="FS175" s="10"/>
      <c r="FT175" s="10"/>
      <c r="FU175" s="10"/>
      <c r="FV175" s="10"/>
      <c r="FW175" s="10"/>
      <c r="FX175" s="10"/>
      <c r="FY175" s="10"/>
      <c r="FZ175" s="10"/>
      <c r="GA175" s="10"/>
      <c r="GB175" s="10"/>
      <c r="GC175" s="10"/>
      <c r="GD175" s="10"/>
      <c r="GE175" s="10"/>
      <c r="GF175" s="10"/>
      <c r="GG175" s="10"/>
      <c r="GH175" s="10"/>
      <c r="GI175" s="10"/>
      <c r="GJ175" s="10"/>
      <c r="GK175" s="10"/>
      <c r="GL175" s="10"/>
      <c r="GM175" s="10"/>
      <c r="GN175" s="10"/>
      <c r="GO175" s="10"/>
      <c r="GP175" s="10"/>
      <c r="GQ175" s="10"/>
      <c r="GR175" s="10"/>
      <c r="GS175" s="10"/>
      <c r="GT175" s="10"/>
      <c r="GU175" s="10"/>
      <c r="GV175" s="10"/>
      <c r="GW175" s="10"/>
      <c r="GX175" s="10"/>
      <c r="GY175" s="10"/>
      <c r="GZ175" s="10"/>
      <c r="HA175" s="10"/>
      <c r="HB175" s="10"/>
      <c r="HC175" s="10"/>
      <c r="HD175" s="10"/>
      <c r="HE175" s="10"/>
      <c r="HF175" s="10"/>
      <c r="HG175" s="10"/>
      <c r="HH175" s="10"/>
      <c r="HI175" s="10"/>
      <c r="HJ175" s="10"/>
      <c r="HK175" s="10"/>
      <c r="HL175" s="10"/>
      <c r="HM175" s="10"/>
      <c r="HN175" s="10"/>
      <c r="HO175" s="10"/>
      <c r="HP175" s="10"/>
      <c r="HQ175" s="10"/>
      <c r="HR175" s="10"/>
      <c r="HS175" s="10"/>
      <c r="HT175" s="10"/>
    </row>
    <row r="176" spans="2:228" ht="15" customHeight="1" x14ac:dyDescent="0.2">
      <c r="B176" s="127" t="s">
        <v>1237</v>
      </c>
      <c r="C176" s="1227"/>
      <c r="D176" s="1227"/>
      <c r="E176" s="1171">
        <f>LETable!AT32</f>
        <v>0</v>
      </c>
      <c r="F176" s="1171"/>
      <c r="G176" s="694"/>
      <c r="H176" s="694"/>
      <c r="I176" s="694"/>
      <c r="J176" s="1178">
        <f>IF(C176="",0,IF(OR(C176&lt;=0,G176&lt;=0),E176,IF(G176&lt;C176,0,LETable!AY32)))</f>
        <v>0</v>
      </c>
      <c r="K176" s="1178"/>
      <c r="L176" s="1232" t="str">
        <f>IF(OR(C176="NA",G176="NA"),"",IF(AND(C176&lt;&gt;"",G176=""),"Enter contralateral or NA.",IF(AND(C176="",G176&lt;&gt;""),"Need data","")))</f>
        <v/>
      </c>
      <c r="M176" s="1232"/>
      <c r="N176" s="1232"/>
      <c r="O176" s="1233"/>
      <c r="P176" s="831"/>
      <c r="R176" s="10"/>
      <c r="S176" s="50">
        <v>30</v>
      </c>
      <c r="T176" s="50" t="str">
        <f>IF(OR(C176="",C176="NA"),"",IF(C176&gt;S176,S176,IF(C176&lt;0,0,C176)))</f>
        <v/>
      </c>
      <c r="U176" s="50" t="str">
        <f>IF(OR(G176="",G176="NA"),"",IF(G176&gt;S176,S176,IF(G176&lt;0,0,G176)))</f>
        <v/>
      </c>
      <c r="V176" s="553" t="str">
        <f>IF(W176="","",ROUND(W176,0))</f>
        <v/>
      </c>
      <c r="W176" s="554" t="str">
        <f>IF(T176="","",IF(OR(U176="",U176=0,U176&lt;T176),T176,(T176*S176)/U176))</f>
        <v/>
      </c>
      <c r="X176" s="10"/>
      <c r="Y176" s="50" t="s">
        <v>2171</v>
      </c>
      <c r="Z176" s="50" t="s">
        <v>1285</v>
      </c>
      <c r="AA176" s="50" t="s">
        <v>1286</v>
      </c>
      <c r="AB176" s="50" t="s">
        <v>1287</v>
      </c>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0"/>
      <c r="EN176" s="10"/>
      <c r="EO176" s="10"/>
      <c r="EP176" s="10"/>
      <c r="EQ176" s="10"/>
      <c r="ER176" s="10"/>
      <c r="ES176" s="10"/>
      <c r="ET176" s="10"/>
      <c r="EU176" s="10"/>
      <c r="EV176" s="10"/>
      <c r="EW176" s="10"/>
      <c r="EX176" s="10"/>
      <c r="EY176" s="10"/>
      <c r="EZ176" s="10"/>
      <c r="FA176" s="10"/>
      <c r="FB176" s="10"/>
      <c r="FC176" s="10"/>
      <c r="FD176" s="10"/>
      <c r="FE176" s="10"/>
      <c r="FF176" s="10"/>
      <c r="FG176" s="10"/>
      <c r="FH176" s="10"/>
      <c r="FI176" s="10"/>
      <c r="FJ176" s="10"/>
      <c r="FK176" s="10"/>
      <c r="FL176" s="10"/>
      <c r="FM176" s="10"/>
      <c r="FN176" s="10"/>
      <c r="FO176" s="10"/>
      <c r="FP176" s="10"/>
      <c r="FQ176" s="10"/>
      <c r="FR176" s="10"/>
      <c r="FS176" s="10"/>
      <c r="FT176" s="10"/>
      <c r="FU176" s="10"/>
      <c r="FV176" s="10"/>
      <c r="FW176" s="10"/>
      <c r="FX176" s="10"/>
      <c r="FY176" s="10"/>
      <c r="FZ176" s="10"/>
      <c r="GA176" s="10"/>
      <c r="GB176" s="10"/>
      <c r="GC176" s="10"/>
      <c r="GD176" s="10"/>
      <c r="GE176" s="10"/>
      <c r="GF176" s="10"/>
      <c r="GG176" s="10"/>
      <c r="GH176" s="10"/>
      <c r="GI176" s="10"/>
      <c r="GJ176" s="10"/>
      <c r="GK176" s="10"/>
      <c r="GL176" s="10"/>
      <c r="GM176" s="10"/>
      <c r="GN176" s="10"/>
      <c r="GO176" s="10"/>
      <c r="GP176" s="10"/>
      <c r="GQ176" s="10"/>
      <c r="GR176" s="10"/>
      <c r="GS176" s="10"/>
      <c r="GT176" s="10"/>
      <c r="GU176" s="10"/>
      <c r="GV176" s="10"/>
      <c r="GW176" s="10"/>
      <c r="GX176" s="10"/>
      <c r="GY176" s="10"/>
      <c r="GZ176" s="10"/>
      <c r="HA176" s="10"/>
      <c r="HB176" s="10"/>
      <c r="HC176" s="10"/>
      <c r="HD176" s="10"/>
      <c r="HE176" s="10"/>
      <c r="HF176" s="10"/>
      <c r="HG176" s="10"/>
      <c r="HH176" s="10"/>
      <c r="HI176" s="10"/>
      <c r="HJ176" s="10"/>
      <c r="HK176" s="10"/>
      <c r="HL176" s="10"/>
      <c r="HM176" s="10"/>
      <c r="HN176" s="10"/>
      <c r="HO176" s="10"/>
      <c r="HP176" s="10"/>
      <c r="HQ176" s="10"/>
      <c r="HR176" s="10"/>
      <c r="HS176" s="10"/>
      <c r="HT176" s="10"/>
    </row>
    <row r="177" spans="1:228" ht="15" customHeight="1" x14ac:dyDescent="0.2">
      <c r="B177" s="293" t="s">
        <v>1801</v>
      </c>
      <c r="C177" s="1222"/>
      <c r="D177" s="1223"/>
      <c r="E177" s="1171">
        <f>IF(AND(C177&lt;&gt;"",C177&lt;&gt;"NA",C176&lt;&gt;"NA",C176&lt;&gt;""),"ERROR",IF(AND(C177&lt;&gt;"",C177&lt;&gt;"NA",C174&lt;&gt;"",C174&lt;&gt;"NA"),"ERROR",LETable!AT33))</f>
        <v>0</v>
      </c>
      <c r="F177" s="1171"/>
      <c r="G177" s="1172" t="str">
        <f>IF(E177="ERROR","Error: Cannot rate ROM and ankylosis.",IF(AND(C175&lt;&gt;"",C175&lt;&gt;"NA",C177&lt;&gt;"",C177&lt;&gt;"NA"),"Multiple ankylosis values; use higher value only.",""))</f>
        <v/>
      </c>
      <c r="H177" s="1173"/>
      <c r="I177" s="1173"/>
      <c r="J177" s="1173"/>
      <c r="K177" s="1173"/>
      <c r="L177" s="1173"/>
      <c r="M177" s="1173"/>
      <c r="N177" s="1173"/>
      <c r="O177" s="1174"/>
      <c r="P177" s="831"/>
      <c r="R177" s="10"/>
      <c r="S177" s="50">
        <v>30</v>
      </c>
      <c r="T177" s="50" t="str">
        <f>IF(OR(C177="",C177="NA"),"",IF(C177&gt;S177,S177,IF(C177&lt;0,0,C177)))</f>
        <v/>
      </c>
      <c r="U177" s="10"/>
      <c r="V177" s="10"/>
      <c r="W177" s="10"/>
      <c r="X177" s="10"/>
      <c r="Y177" s="192">
        <f>O169</f>
        <v>0</v>
      </c>
      <c r="Z177" s="147">
        <f>LARGE($Y$177:$Y$179,1)</f>
        <v>0</v>
      </c>
      <c r="AA177" s="544">
        <f>Z177+Z178*(1-Z177)</f>
        <v>0</v>
      </c>
      <c r="AB177" s="548">
        <f>ROUND(AA177,2)</f>
        <v>0</v>
      </c>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0"/>
      <c r="EN177" s="10"/>
      <c r="EO177" s="10"/>
      <c r="EP177" s="10"/>
      <c r="EQ177" s="10"/>
      <c r="ER177" s="10"/>
      <c r="ES177" s="10"/>
      <c r="ET177" s="10"/>
      <c r="EU177" s="10"/>
      <c r="EV177" s="10"/>
      <c r="EW177" s="10"/>
      <c r="EX177" s="10"/>
      <c r="EY177" s="10"/>
      <c r="EZ177" s="10"/>
      <c r="FA177" s="10"/>
      <c r="FB177" s="10"/>
      <c r="FC177" s="10"/>
      <c r="FD177" s="10"/>
      <c r="FE177" s="10"/>
      <c r="FF177" s="10"/>
      <c r="FG177" s="10"/>
      <c r="FH177" s="10"/>
      <c r="FI177" s="10"/>
      <c r="FJ177" s="10"/>
      <c r="FK177" s="10"/>
      <c r="FL177" s="10"/>
      <c r="FM177" s="10"/>
      <c r="FN177" s="10"/>
      <c r="FO177" s="10"/>
      <c r="FP177" s="10"/>
      <c r="FQ177" s="10"/>
      <c r="FR177" s="10"/>
      <c r="FS177" s="10"/>
      <c r="FT177" s="10"/>
      <c r="FU177" s="10"/>
      <c r="FV177" s="10"/>
      <c r="FW177" s="10"/>
      <c r="FX177" s="10"/>
      <c r="FY177" s="10"/>
      <c r="FZ177" s="10"/>
      <c r="GA177" s="10"/>
      <c r="GB177" s="10"/>
      <c r="GC177" s="10"/>
      <c r="GD177" s="10"/>
      <c r="GE177" s="10"/>
      <c r="GF177" s="10"/>
      <c r="GG177" s="10"/>
      <c r="GH177" s="10"/>
      <c r="GI177" s="10"/>
      <c r="GJ177" s="10"/>
      <c r="GK177" s="10"/>
      <c r="GL177" s="10"/>
      <c r="GM177" s="10"/>
      <c r="GN177" s="10"/>
      <c r="GO177" s="10"/>
      <c r="GP177" s="10"/>
      <c r="GQ177" s="10"/>
      <c r="GR177" s="10"/>
      <c r="GS177" s="10"/>
      <c r="GT177" s="10"/>
      <c r="GU177" s="10"/>
      <c r="GV177" s="10"/>
      <c r="GW177" s="10"/>
      <c r="GX177" s="10"/>
      <c r="GY177" s="10"/>
      <c r="GZ177" s="10"/>
      <c r="HA177" s="10"/>
      <c r="HB177" s="10"/>
      <c r="HC177" s="10"/>
      <c r="HD177" s="10"/>
      <c r="HE177" s="10"/>
      <c r="HF177" s="10"/>
      <c r="HG177" s="10"/>
      <c r="HH177" s="10"/>
      <c r="HI177" s="10"/>
      <c r="HJ177" s="10"/>
      <c r="HK177" s="10"/>
      <c r="HL177" s="10"/>
      <c r="HM177" s="10"/>
      <c r="HN177" s="10"/>
      <c r="HO177" s="10"/>
      <c r="HP177" s="10"/>
      <c r="HQ177" s="10"/>
      <c r="HR177" s="10"/>
      <c r="HS177" s="10"/>
      <c r="HT177" s="10"/>
    </row>
    <row r="178" spans="1:228" ht="21" customHeight="1" x14ac:dyDescent="0.2">
      <c r="B178" s="1122"/>
      <c r="C178" s="1122"/>
      <c r="D178" s="1122"/>
      <c r="E178" s="1122"/>
      <c r="F178" s="1122"/>
      <c r="G178" s="1122"/>
      <c r="H178" s="1122"/>
      <c r="I178" s="1122"/>
      <c r="J178" s="1122"/>
      <c r="K178" s="1006" t="s">
        <v>1803</v>
      </c>
      <c r="L178" s="1007"/>
      <c r="M178" s="1007"/>
      <c r="N178" s="1008"/>
      <c r="O178" s="59">
        <f>IF(OR(E175="ERROR",E177="ERROR"),"ERROR",IF(R178&gt;1,1,R178))</f>
        <v>0</v>
      </c>
      <c r="P178" s="832"/>
      <c r="R178" s="193">
        <f>SUM(J174,J176,W178)</f>
        <v>0</v>
      </c>
      <c r="S178" s="10"/>
      <c r="T178" s="10"/>
      <c r="U178" s="10"/>
      <c r="V178" s="10"/>
      <c r="W178" s="581">
        <f>IF(AND(E175&lt;&gt;"ERROR",E177&lt;&gt;"ERROR",C177&lt;&gt;"",E177&lt;&gt;""),MAX(E175,E177),E175+E177)</f>
        <v>0</v>
      </c>
      <c r="X178" s="10"/>
      <c r="Y178" s="192">
        <f>O170</f>
        <v>0</v>
      </c>
      <c r="Z178" s="147">
        <f>LARGE($Y$177:$Y$179,2)</f>
        <v>0</v>
      </c>
      <c r="AA178" s="544">
        <f>AB177+Z179*(1-AB177)</f>
        <v>0</v>
      </c>
      <c r="AB178" s="548">
        <f>ROUND(AA178,2)</f>
        <v>0</v>
      </c>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0"/>
      <c r="EN178" s="10"/>
      <c r="EO178" s="10"/>
      <c r="EP178" s="10"/>
      <c r="EQ178" s="10"/>
      <c r="ER178" s="10"/>
      <c r="ES178" s="10"/>
      <c r="ET178" s="10"/>
      <c r="EU178" s="10"/>
      <c r="EV178" s="10"/>
      <c r="EW178" s="10"/>
      <c r="EX178" s="10"/>
      <c r="EY178" s="10"/>
      <c r="EZ178" s="10"/>
      <c r="FA178" s="10"/>
      <c r="FB178" s="10"/>
      <c r="FC178" s="10"/>
      <c r="FD178" s="10"/>
      <c r="FE178" s="10"/>
      <c r="FF178" s="10"/>
      <c r="FG178" s="10"/>
      <c r="FH178" s="10"/>
      <c r="FI178" s="10"/>
      <c r="FJ178" s="10"/>
      <c r="FK178" s="10"/>
      <c r="FL178" s="10"/>
      <c r="FM178" s="10"/>
      <c r="FN178" s="10"/>
      <c r="FO178" s="10"/>
      <c r="FP178" s="10"/>
      <c r="FQ178" s="10"/>
      <c r="FR178" s="10"/>
      <c r="FS178" s="10"/>
      <c r="FT178" s="10"/>
      <c r="FU178" s="10"/>
      <c r="FV178" s="10"/>
      <c r="FW178" s="10"/>
      <c r="FX178" s="10"/>
      <c r="FY178" s="10"/>
      <c r="FZ178" s="10"/>
      <c r="GA178" s="10"/>
      <c r="GB178" s="10"/>
      <c r="GC178" s="10"/>
      <c r="GD178" s="10"/>
      <c r="GE178" s="10"/>
      <c r="GF178" s="10"/>
      <c r="GG178" s="10"/>
      <c r="GH178" s="10"/>
      <c r="GI178" s="10"/>
      <c r="GJ178" s="10"/>
      <c r="GK178" s="10"/>
      <c r="GL178" s="10"/>
      <c r="GM178" s="10"/>
      <c r="GN178" s="10"/>
      <c r="GO178" s="10"/>
      <c r="GP178" s="10"/>
      <c r="GQ178" s="10"/>
      <c r="GR178" s="10"/>
      <c r="GS178" s="10"/>
      <c r="GT178" s="10"/>
      <c r="GU178" s="10"/>
      <c r="GV178" s="10"/>
      <c r="GW178" s="10"/>
      <c r="GX178" s="10"/>
      <c r="GY178" s="10"/>
      <c r="GZ178" s="10"/>
      <c r="HA178" s="10"/>
      <c r="HB178" s="10"/>
      <c r="HC178" s="10"/>
      <c r="HD178" s="10"/>
      <c r="HE178" s="10"/>
      <c r="HF178" s="10"/>
      <c r="HG178" s="10"/>
      <c r="HH178" s="10"/>
      <c r="HI178" s="10"/>
      <c r="HJ178" s="10"/>
      <c r="HK178" s="10"/>
      <c r="HL178" s="10"/>
      <c r="HM178" s="10"/>
      <c r="HN178" s="10"/>
      <c r="HO178" s="10"/>
      <c r="HP178" s="10"/>
      <c r="HQ178" s="10"/>
      <c r="HR178" s="10"/>
      <c r="HS178" s="10"/>
      <c r="HT178" s="10"/>
    </row>
    <row r="179" spans="1:228" ht="21" customHeight="1" x14ac:dyDescent="0.2">
      <c r="B179" s="1122"/>
      <c r="C179" s="1122"/>
      <c r="D179" s="1122"/>
      <c r="E179" s="1122"/>
      <c r="F179" s="1122"/>
      <c r="G179" s="1122"/>
      <c r="H179" s="1122"/>
      <c r="I179" s="1122"/>
      <c r="J179" s="1122"/>
      <c r="K179" s="1006" t="s">
        <v>1828</v>
      </c>
      <c r="L179" s="1007"/>
      <c r="M179" s="1007"/>
      <c r="N179" s="1007"/>
      <c r="O179" s="1008"/>
      <c r="P179" s="245">
        <f>IF(O178="ERROR","ERROR",AB178)</f>
        <v>0</v>
      </c>
      <c r="R179" s="10"/>
      <c r="S179" s="10"/>
      <c r="T179" s="10"/>
      <c r="U179" s="10"/>
      <c r="V179" s="10"/>
      <c r="W179" s="10"/>
      <c r="X179" s="10"/>
      <c r="Y179" s="192">
        <f>IF(AND(O178&lt;0.01,O178&gt;0),0.01,ROUND(O178,2))</f>
        <v>0</v>
      </c>
      <c r="Z179" s="147">
        <f>LARGE($Y$177:$Y$179,3)</f>
        <v>0</v>
      </c>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0"/>
      <c r="EN179" s="10"/>
      <c r="EO179" s="10"/>
      <c r="EP179" s="10"/>
      <c r="EQ179" s="10"/>
      <c r="ER179" s="10"/>
      <c r="ES179" s="10"/>
      <c r="ET179" s="10"/>
      <c r="EU179" s="10"/>
      <c r="EV179" s="10"/>
      <c r="EW179" s="10"/>
      <c r="EX179" s="10"/>
      <c r="EY179" s="10"/>
      <c r="EZ179" s="10"/>
      <c r="FA179" s="10"/>
      <c r="FB179" s="10"/>
      <c r="FC179" s="10"/>
      <c r="FD179" s="10"/>
      <c r="FE179" s="10"/>
      <c r="FF179" s="10"/>
      <c r="FG179" s="10"/>
      <c r="FH179" s="10"/>
      <c r="FI179" s="10"/>
      <c r="FJ179" s="10"/>
      <c r="FK179" s="10"/>
      <c r="FL179" s="10"/>
      <c r="FM179" s="10"/>
      <c r="FN179" s="10"/>
      <c r="FO179" s="10"/>
      <c r="FP179" s="10"/>
      <c r="FQ179" s="10"/>
      <c r="FR179" s="10"/>
      <c r="FS179" s="10"/>
      <c r="FT179" s="10"/>
      <c r="FU179" s="10"/>
      <c r="FV179" s="10"/>
      <c r="FW179" s="10"/>
      <c r="FX179" s="10"/>
      <c r="FY179" s="10"/>
      <c r="FZ179" s="10"/>
      <c r="GA179" s="10"/>
      <c r="GB179" s="10"/>
      <c r="GC179" s="10"/>
      <c r="GD179" s="10"/>
      <c r="GE179" s="10"/>
      <c r="GF179" s="10"/>
      <c r="GG179" s="10"/>
      <c r="GH179" s="10"/>
      <c r="GI179" s="10"/>
      <c r="GJ179" s="10"/>
      <c r="GK179" s="10"/>
      <c r="GL179" s="10"/>
      <c r="GM179" s="10"/>
      <c r="GN179" s="10"/>
      <c r="GO179" s="10"/>
      <c r="GP179" s="10"/>
      <c r="GQ179" s="10"/>
      <c r="GR179" s="10"/>
      <c r="GS179" s="10"/>
      <c r="GT179" s="10"/>
      <c r="GU179" s="10"/>
      <c r="GV179" s="10"/>
      <c r="GW179" s="10"/>
      <c r="GX179" s="10"/>
      <c r="GY179" s="10"/>
      <c r="GZ179" s="10"/>
      <c r="HA179" s="10"/>
      <c r="HB179" s="10"/>
      <c r="HC179" s="10"/>
      <c r="HD179" s="10"/>
      <c r="HE179" s="10"/>
      <c r="HF179" s="10"/>
      <c r="HG179" s="10"/>
      <c r="HH179" s="10"/>
      <c r="HI179" s="10"/>
      <c r="HJ179" s="10"/>
      <c r="HK179" s="10"/>
      <c r="HL179" s="10"/>
      <c r="HM179" s="10"/>
      <c r="HN179" s="10"/>
      <c r="HO179" s="10"/>
      <c r="HP179" s="10"/>
      <c r="HQ179" s="10"/>
      <c r="HR179" s="10"/>
      <c r="HS179" s="10"/>
      <c r="HT179" s="10"/>
    </row>
    <row r="180" spans="1:228" ht="12" customHeight="1" x14ac:dyDescent="0.25">
      <c r="B180" s="1183"/>
      <c r="C180" s="1183"/>
      <c r="D180" s="1183"/>
      <c r="E180" s="1183"/>
      <c r="F180" s="1183"/>
      <c r="G180" s="1183"/>
      <c r="H180" s="1183"/>
      <c r="I180" s="1183"/>
      <c r="J180" s="1183"/>
      <c r="K180" s="1183"/>
      <c r="L180" s="1183"/>
      <c r="M180" s="1183"/>
      <c r="N180" s="1183"/>
      <c r="O180" s="1183"/>
      <c r="P180" s="379"/>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0"/>
      <c r="EN180" s="10"/>
      <c r="EO180" s="10"/>
      <c r="EP180" s="10"/>
      <c r="EQ180" s="10"/>
      <c r="ER180" s="10"/>
      <c r="ES180" s="10"/>
      <c r="ET180" s="10"/>
      <c r="EU180" s="10"/>
      <c r="EV180" s="10"/>
      <c r="EW180" s="10"/>
      <c r="EX180" s="10"/>
      <c r="EY180" s="10"/>
      <c r="EZ180" s="10"/>
      <c r="FA180" s="10"/>
      <c r="FB180" s="10"/>
      <c r="FC180" s="10"/>
      <c r="FD180" s="10"/>
      <c r="FE180" s="10"/>
      <c r="FF180" s="10"/>
      <c r="FG180" s="10"/>
      <c r="FH180" s="10"/>
      <c r="FI180" s="10"/>
      <c r="FJ180" s="10"/>
      <c r="FK180" s="10"/>
      <c r="FL180" s="10"/>
      <c r="FM180" s="10"/>
      <c r="FN180" s="10"/>
      <c r="FO180" s="10"/>
      <c r="FP180" s="10"/>
      <c r="FQ180" s="10"/>
      <c r="FR180" s="10"/>
      <c r="FS180" s="10"/>
      <c r="FT180" s="10"/>
      <c r="FU180" s="10"/>
      <c r="FV180" s="10"/>
      <c r="FW180" s="10"/>
      <c r="FX180" s="10"/>
      <c r="FY180" s="10"/>
      <c r="FZ180" s="10"/>
      <c r="GA180" s="10"/>
      <c r="GB180" s="10"/>
      <c r="GC180" s="10"/>
      <c r="GD180" s="10"/>
      <c r="GE180" s="10"/>
      <c r="GF180" s="10"/>
      <c r="GG180" s="10"/>
      <c r="GH180" s="10"/>
      <c r="GI180" s="10"/>
      <c r="GJ180" s="10"/>
      <c r="GK180" s="10"/>
      <c r="GL180" s="10"/>
      <c r="GM180" s="10"/>
      <c r="GN180" s="10"/>
      <c r="GO180" s="10"/>
      <c r="GP180" s="10"/>
      <c r="GQ180" s="10"/>
      <c r="GR180" s="10"/>
      <c r="GS180" s="10"/>
      <c r="GT180" s="10"/>
      <c r="GU180" s="10"/>
      <c r="GV180" s="10"/>
      <c r="GW180" s="10"/>
      <c r="GX180" s="10"/>
      <c r="GY180" s="10"/>
      <c r="GZ180" s="10"/>
      <c r="HA180" s="10"/>
      <c r="HB180" s="10"/>
      <c r="HC180" s="10"/>
      <c r="HD180" s="10"/>
      <c r="HE180" s="10"/>
      <c r="HF180" s="10"/>
      <c r="HG180" s="10"/>
      <c r="HH180" s="10"/>
      <c r="HI180" s="10"/>
      <c r="HJ180" s="10"/>
      <c r="HK180" s="10"/>
      <c r="HL180" s="10"/>
      <c r="HM180" s="10"/>
      <c r="HN180" s="10"/>
      <c r="HO180" s="10"/>
      <c r="HP180" s="10"/>
      <c r="HQ180" s="10"/>
      <c r="HR180" s="10"/>
      <c r="HS180" s="10"/>
      <c r="HT180" s="10"/>
    </row>
    <row r="181" spans="1:228" ht="15" customHeight="1" x14ac:dyDescent="0.25">
      <c r="B181" s="944" t="s">
        <v>1968</v>
      </c>
      <c r="C181" s="945"/>
      <c r="D181" s="945"/>
      <c r="E181" s="945"/>
      <c r="F181" s="945"/>
      <c r="G181" s="945"/>
      <c r="H181" s="945"/>
      <c r="I181" s="945"/>
      <c r="J181" s="945"/>
      <c r="K181" s="945"/>
      <c r="L181" s="945"/>
      <c r="M181" s="945"/>
      <c r="N181" s="945"/>
      <c r="O181" s="945"/>
      <c r="P181" s="38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c r="EM181" s="10"/>
      <c r="EN181" s="10"/>
      <c r="EO181" s="10"/>
      <c r="EP181" s="10"/>
      <c r="EQ181" s="10"/>
      <c r="ER181" s="10"/>
      <c r="ES181" s="10"/>
      <c r="ET181" s="10"/>
      <c r="EU181" s="10"/>
      <c r="EV181" s="10"/>
      <c r="EW181" s="10"/>
      <c r="EX181" s="10"/>
      <c r="EY181" s="10"/>
      <c r="EZ181" s="10"/>
      <c r="FA181" s="10"/>
      <c r="FB181" s="10"/>
      <c r="FC181" s="10"/>
      <c r="FD181" s="10"/>
      <c r="FE181" s="10"/>
      <c r="FF181" s="10"/>
      <c r="FG181" s="10"/>
      <c r="FH181" s="10"/>
      <c r="FI181" s="10"/>
      <c r="FJ181" s="10"/>
      <c r="FK181" s="10"/>
      <c r="FL181" s="10"/>
      <c r="FM181" s="10"/>
      <c r="FN181" s="10"/>
      <c r="FO181" s="10"/>
      <c r="FP181" s="10"/>
      <c r="FQ181" s="10"/>
      <c r="FR181" s="10"/>
      <c r="FS181" s="10"/>
      <c r="FT181" s="10"/>
      <c r="FU181" s="10"/>
      <c r="FV181" s="10"/>
      <c r="FW181" s="10"/>
      <c r="FX181" s="10"/>
      <c r="FY181" s="10"/>
      <c r="FZ181" s="10"/>
      <c r="GA181" s="10"/>
      <c r="GB181" s="10"/>
      <c r="GC181" s="10"/>
      <c r="GD181" s="10"/>
      <c r="GE181" s="10"/>
      <c r="GF181" s="10"/>
      <c r="GG181" s="10"/>
      <c r="GH181" s="10"/>
      <c r="GI181" s="10"/>
      <c r="GJ181" s="10"/>
      <c r="GK181" s="10"/>
      <c r="GL181" s="10"/>
      <c r="GM181" s="10"/>
      <c r="GN181" s="10"/>
      <c r="GO181" s="10"/>
      <c r="GP181" s="10"/>
      <c r="GQ181" s="10"/>
      <c r="GR181" s="10"/>
      <c r="GS181" s="10"/>
      <c r="GT181" s="10"/>
      <c r="GU181" s="10"/>
      <c r="GV181" s="10"/>
      <c r="GW181" s="10"/>
      <c r="GX181" s="10"/>
      <c r="GY181" s="10"/>
      <c r="GZ181" s="10"/>
      <c r="HA181" s="10"/>
      <c r="HB181" s="10"/>
      <c r="HC181" s="10"/>
      <c r="HD181" s="10"/>
      <c r="HE181" s="10"/>
      <c r="HF181" s="10"/>
      <c r="HG181" s="10"/>
      <c r="HH181" s="10"/>
      <c r="HI181" s="10"/>
      <c r="HJ181" s="10"/>
      <c r="HK181" s="10"/>
      <c r="HL181" s="10"/>
      <c r="HM181" s="10"/>
      <c r="HN181" s="10"/>
      <c r="HO181" s="10"/>
      <c r="HP181" s="10"/>
      <c r="HQ181" s="10"/>
      <c r="HR181" s="10"/>
      <c r="HS181" s="10"/>
      <c r="HT181" s="10"/>
    </row>
    <row r="182" spans="1:228" ht="15" customHeight="1" x14ac:dyDescent="0.2">
      <c r="B182" s="304" t="s">
        <v>1971</v>
      </c>
      <c r="C182" s="922"/>
      <c r="D182" s="922"/>
      <c r="E182" s="922"/>
      <c r="F182" s="922"/>
      <c r="G182" s="922"/>
      <c r="H182" s="922"/>
      <c r="I182" s="922"/>
      <c r="J182" s="922"/>
      <c r="K182" s="922"/>
      <c r="L182" s="922"/>
      <c r="M182" s="922"/>
      <c r="N182" s="922"/>
      <c r="O182" s="71"/>
      <c r="P182" s="21">
        <f>IF($W$239&gt;0,0,R182)</f>
        <v>0</v>
      </c>
      <c r="R182" s="147">
        <f>IF(C182=S182,0,IF(C182=T182,0.05,IF(C182=U182,0.1,0)))</f>
        <v>0</v>
      </c>
      <c r="S182" s="50" t="s">
        <v>1901</v>
      </c>
      <c r="T182" s="50" t="s">
        <v>1748</v>
      </c>
      <c r="U182" s="50" t="s">
        <v>1749</v>
      </c>
      <c r="V182" s="97"/>
      <c r="W182" s="96"/>
      <c r="X182" s="132"/>
      <c r="Y182" s="1234"/>
      <c r="Z182" s="61"/>
      <c r="AA182" s="61"/>
      <c r="AB182" s="62"/>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c r="FS182" s="10"/>
      <c r="FT182" s="10"/>
      <c r="FU182" s="10"/>
      <c r="FV182" s="10"/>
      <c r="FW182" s="10"/>
      <c r="FX182" s="10"/>
      <c r="FY182" s="10"/>
      <c r="FZ182" s="10"/>
      <c r="GA182" s="10"/>
      <c r="GB182" s="10"/>
      <c r="GC182" s="10"/>
      <c r="GD182" s="10"/>
      <c r="GE182" s="10"/>
      <c r="GF182" s="10"/>
      <c r="GG182" s="10"/>
      <c r="GH182" s="10"/>
      <c r="GI182" s="10"/>
      <c r="GJ182" s="10"/>
      <c r="GK182" s="10"/>
      <c r="GL182" s="10"/>
      <c r="GM182" s="10"/>
      <c r="GN182" s="10"/>
      <c r="GO182" s="10"/>
      <c r="GP182" s="10"/>
      <c r="GQ182" s="10"/>
      <c r="GR182" s="10"/>
      <c r="GS182" s="10"/>
      <c r="GT182" s="10"/>
      <c r="GU182" s="10"/>
      <c r="GV182" s="10"/>
      <c r="GW182" s="10"/>
      <c r="GX182" s="10"/>
      <c r="GY182" s="10"/>
      <c r="GZ182" s="10"/>
      <c r="HA182" s="10"/>
      <c r="HB182" s="10"/>
      <c r="HC182" s="10"/>
      <c r="HD182" s="10"/>
      <c r="HE182" s="10"/>
      <c r="HF182" s="10"/>
      <c r="HG182" s="10"/>
      <c r="HH182" s="10"/>
      <c r="HI182" s="10"/>
      <c r="HJ182" s="10"/>
      <c r="HK182" s="10"/>
      <c r="HL182" s="10"/>
      <c r="HM182" s="10"/>
      <c r="HN182" s="10"/>
      <c r="HO182" s="10"/>
      <c r="HP182" s="10"/>
      <c r="HQ182" s="10"/>
      <c r="HR182" s="10"/>
      <c r="HS182" s="10"/>
      <c r="HT182" s="10"/>
    </row>
    <row r="183" spans="1:228" ht="15" customHeight="1" x14ac:dyDescent="0.2">
      <c r="B183" s="304" t="s">
        <v>1972</v>
      </c>
      <c r="C183" s="922"/>
      <c r="D183" s="922"/>
      <c r="E183" s="922"/>
      <c r="F183" s="922"/>
      <c r="G183" s="922"/>
      <c r="H183" s="922"/>
      <c r="I183" s="922"/>
      <c r="J183" s="922"/>
      <c r="K183" s="922"/>
      <c r="L183" s="922"/>
      <c r="M183" s="922"/>
      <c r="N183" s="922"/>
      <c r="O183" s="71"/>
      <c r="P183" s="21">
        <f>IF($W$239&gt;0,0,R183)</f>
        <v>0</v>
      </c>
      <c r="R183" s="147">
        <f>IF(C183=S183,0,IF(C183=T183,0.05,IF(C183=U183,0.1,0)))</f>
        <v>0</v>
      </c>
      <c r="S183" s="50" t="s">
        <v>1901</v>
      </c>
      <c r="T183" s="50" t="s">
        <v>1956</v>
      </c>
      <c r="U183" s="50" t="s">
        <v>1957</v>
      </c>
      <c r="V183" s="97"/>
      <c r="W183" s="96"/>
      <c r="X183" s="132"/>
      <c r="Y183" s="1234"/>
      <c r="Z183" s="61"/>
      <c r="AA183" s="61"/>
      <c r="AB183" s="62"/>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c r="EM183" s="10"/>
      <c r="EN183" s="10"/>
      <c r="EO183" s="10"/>
      <c r="EP183" s="10"/>
      <c r="EQ183" s="10"/>
      <c r="ER183" s="10"/>
      <c r="ES183" s="10"/>
      <c r="ET183" s="10"/>
      <c r="EU183" s="10"/>
      <c r="EV183" s="10"/>
      <c r="EW183" s="10"/>
      <c r="EX183" s="10"/>
      <c r="EY183" s="10"/>
      <c r="EZ183" s="10"/>
      <c r="FA183" s="10"/>
      <c r="FB183" s="10"/>
      <c r="FC183" s="10"/>
      <c r="FD183" s="10"/>
      <c r="FE183" s="10"/>
      <c r="FF183" s="10"/>
      <c r="FG183" s="10"/>
      <c r="FH183" s="10"/>
      <c r="FI183" s="10"/>
      <c r="FJ183" s="10"/>
      <c r="FK183" s="10"/>
      <c r="FL183" s="10"/>
      <c r="FM183" s="10"/>
      <c r="FN183" s="10"/>
      <c r="FO183" s="10"/>
      <c r="FP183" s="10"/>
      <c r="FQ183" s="10"/>
      <c r="FR183" s="10"/>
      <c r="FS183" s="10"/>
      <c r="FT183" s="10"/>
      <c r="FU183" s="10"/>
      <c r="FV183" s="10"/>
      <c r="FW183" s="10"/>
      <c r="FX183" s="10"/>
      <c r="FY183" s="10"/>
      <c r="FZ183" s="10"/>
      <c r="GA183" s="10"/>
      <c r="GB183" s="10"/>
      <c r="GC183" s="10"/>
      <c r="GD183" s="10"/>
      <c r="GE183" s="10"/>
      <c r="GF183" s="10"/>
      <c r="GG183" s="10"/>
      <c r="GH183" s="10"/>
      <c r="GI183" s="10"/>
      <c r="GJ183" s="10"/>
      <c r="GK183" s="10"/>
      <c r="GL183" s="10"/>
      <c r="GM183" s="10"/>
      <c r="GN183" s="10"/>
      <c r="GO183" s="10"/>
      <c r="GP183" s="10"/>
      <c r="GQ183" s="10"/>
      <c r="GR183" s="10"/>
      <c r="GS183" s="10"/>
      <c r="GT183" s="10"/>
      <c r="GU183" s="10"/>
      <c r="GV183" s="10"/>
      <c r="GW183" s="10"/>
      <c r="GX183" s="10"/>
      <c r="GY183" s="10"/>
      <c r="GZ183" s="10"/>
      <c r="HA183" s="10"/>
      <c r="HB183" s="10"/>
      <c r="HC183" s="10"/>
      <c r="HD183" s="10"/>
      <c r="HE183" s="10"/>
      <c r="HF183" s="10"/>
      <c r="HG183" s="10"/>
      <c r="HH183" s="10"/>
      <c r="HI183" s="10"/>
      <c r="HJ183" s="10"/>
      <c r="HK183" s="10"/>
      <c r="HL183" s="10"/>
      <c r="HM183" s="10"/>
      <c r="HN183" s="10"/>
      <c r="HO183" s="10"/>
      <c r="HP183" s="10"/>
      <c r="HQ183" s="10"/>
      <c r="HR183" s="10"/>
      <c r="HS183" s="10"/>
      <c r="HT183" s="10"/>
    </row>
    <row r="184" spans="1:228" ht="26.25" customHeight="1" x14ac:dyDescent="0.2">
      <c r="B184" s="1085" t="str">
        <f>IF(AND(OR(R182&gt;0,R183&gt;0),$W$238&gt;0),"A value has been given for loss of sensation or hypersensitivity in the foot. No additional value is allowed for the toes.","")</f>
        <v/>
      </c>
      <c r="C184" s="1085"/>
      <c r="D184" s="1085"/>
      <c r="E184" s="1085"/>
      <c r="F184" s="1085"/>
      <c r="G184" s="1085"/>
      <c r="H184" s="1085"/>
      <c r="I184" s="1085"/>
      <c r="J184" s="1085"/>
      <c r="K184" s="1085"/>
      <c r="L184" s="1085"/>
      <c r="M184" s="1085"/>
      <c r="N184" s="1085"/>
      <c r="O184" s="1085"/>
      <c r="P184" s="523"/>
      <c r="R184" s="10"/>
      <c r="S184" s="14"/>
      <c r="T184" s="14"/>
      <c r="U184" s="14"/>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c r="EM184" s="10"/>
      <c r="EN184" s="10"/>
      <c r="EO184" s="10"/>
      <c r="EP184" s="10"/>
      <c r="EQ184" s="10"/>
      <c r="ER184" s="10"/>
      <c r="ES184" s="10"/>
      <c r="ET184" s="10"/>
      <c r="EU184" s="10"/>
      <c r="EV184" s="10"/>
      <c r="EW184" s="10"/>
      <c r="EX184" s="10"/>
      <c r="EY184" s="10"/>
      <c r="EZ184" s="10"/>
      <c r="FA184" s="10"/>
      <c r="FB184" s="10"/>
      <c r="FC184" s="10"/>
      <c r="FD184" s="10"/>
      <c r="FE184" s="10"/>
      <c r="FF184" s="10"/>
      <c r="FG184" s="10"/>
      <c r="FH184" s="10"/>
      <c r="FI184" s="10"/>
      <c r="FJ184" s="10"/>
      <c r="FK184" s="10"/>
      <c r="FL184" s="10"/>
      <c r="FM184" s="10"/>
      <c r="FN184" s="10"/>
      <c r="FO184" s="10"/>
      <c r="FP184" s="10"/>
      <c r="FQ184" s="10"/>
      <c r="FR184" s="10"/>
      <c r="FS184" s="10"/>
      <c r="FT184" s="10"/>
      <c r="FU184" s="10"/>
      <c r="FV184" s="10"/>
      <c r="FW184" s="10"/>
      <c r="FX184" s="10"/>
      <c r="FY184" s="10"/>
      <c r="FZ184" s="10"/>
      <c r="GA184" s="10"/>
      <c r="GB184" s="10"/>
      <c r="GC184" s="10"/>
      <c r="GD184" s="10"/>
      <c r="GE184" s="10"/>
      <c r="GF184" s="10"/>
      <c r="GG184" s="10"/>
      <c r="GH184" s="10"/>
      <c r="GI184" s="10"/>
      <c r="GJ184" s="10"/>
      <c r="GK184" s="10"/>
      <c r="GL184" s="10"/>
      <c r="GM184" s="10"/>
      <c r="GN184" s="10"/>
      <c r="GO184" s="10"/>
      <c r="GP184" s="10"/>
      <c r="GQ184" s="10"/>
      <c r="GR184" s="10"/>
      <c r="GS184" s="10"/>
      <c r="GT184" s="10"/>
      <c r="GU184" s="10"/>
      <c r="GV184" s="10"/>
      <c r="GW184" s="10"/>
      <c r="GX184" s="10"/>
      <c r="GY184" s="10"/>
      <c r="GZ184" s="10"/>
      <c r="HA184" s="10"/>
      <c r="HB184" s="10"/>
      <c r="HC184" s="10"/>
      <c r="HD184" s="10"/>
      <c r="HE184" s="10"/>
      <c r="HF184" s="10"/>
      <c r="HG184" s="10"/>
      <c r="HH184" s="10"/>
      <c r="HI184" s="10"/>
      <c r="HJ184" s="10"/>
      <c r="HK184" s="10"/>
      <c r="HL184" s="10"/>
      <c r="HM184" s="10"/>
      <c r="HN184" s="10"/>
      <c r="HO184" s="10"/>
      <c r="HP184" s="10"/>
      <c r="HQ184" s="10"/>
      <c r="HR184" s="10"/>
      <c r="HS184" s="10"/>
      <c r="HT184" s="10"/>
    </row>
    <row r="185" spans="1:228" s="6" customFormat="1" ht="12" customHeight="1" x14ac:dyDescent="0.25">
      <c r="A185" s="2"/>
      <c r="B185" s="697"/>
      <c r="C185" s="777"/>
      <c r="D185" s="777"/>
      <c r="E185" s="777"/>
      <c r="F185" s="777"/>
      <c r="G185" s="777"/>
      <c r="H185" s="777"/>
      <c r="I185" s="777"/>
      <c r="J185" s="777"/>
      <c r="K185" s="777"/>
      <c r="L185" s="777"/>
      <c r="M185" s="777"/>
      <c r="N185" s="777"/>
      <c r="O185" s="777"/>
      <c r="P185" s="63"/>
      <c r="Q185" s="2"/>
      <c r="R185" s="10"/>
      <c r="S185" s="10"/>
      <c r="Y185" s="10"/>
      <c r="Z185" s="724"/>
      <c r="AA185" s="724"/>
      <c r="AB185" s="724"/>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row>
    <row r="186" spans="1:228" s="6" customFormat="1" ht="15" customHeight="1" x14ac:dyDescent="0.2">
      <c r="A186" s="2"/>
      <c r="B186" s="761" t="s">
        <v>1975</v>
      </c>
      <c r="C186" s="761"/>
      <c r="D186" s="761"/>
      <c r="E186" s="761"/>
      <c r="F186" s="761"/>
      <c r="G186" s="761"/>
      <c r="H186" s="761"/>
      <c r="I186" s="761"/>
      <c r="J186" s="761"/>
      <c r="K186" s="761"/>
      <c r="L186" s="761"/>
      <c r="M186" s="761"/>
      <c r="N186" s="694"/>
      <c r="O186" s="694"/>
      <c r="P186" s="21">
        <f>IF(N186=T186,0.03,IF(N186=U186,0.15,IF(N186=V186,0.38,IF(N186=W186,0.68,IF(N186=X186,0.9,0)))))</f>
        <v>0</v>
      </c>
      <c r="Q186" s="2"/>
      <c r="R186" s="863" t="s">
        <v>2147</v>
      </c>
      <c r="S186" s="863"/>
      <c r="T186" s="50" t="s">
        <v>1928</v>
      </c>
      <c r="U186" s="50" t="s">
        <v>1929</v>
      </c>
      <c r="V186" s="147" t="s">
        <v>1931</v>
      </c>
      <c r="W186" s="50" t="s">
        <v>929</v>
      </c>
      <c r="X186" s="147" t="s">
        <v>545</v>
      </c>
      <c r="Y186" s="10"/>
      <c r="Z186" s="724"/>
      <c r="AA186" s="724"/>
      <c r="AB186" s="724"/>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row>
    <row r="187" spans="1:228" ht="12" customHeight="1" x14ac:dyDescent="0.25">
      <c r="B187" s="521"/>
      <c r="C187" s="521"/>
      <c r="D187" s="521"/>
      <c r="E187" s="521"/>
      <c r="F187" s="521"/>
      <c r="G187" s="521"/>
      <c r="H187" s="521"/>
      <c r="I187" s="521"/>
      <c r="J187" s="521"/>
      <c r="K187" s="521"/>
      <c r="L187" s="521"/>
      <c r="M187" s="521"/>
      <c r="N187" s="521"/>
      <c r="O187" s="521"/>
      <c r="P187" s="63"/>
      <c r="R187" s="10"/>
      <c r="S187" s="14"/>
      <c r="T187" s="14"/>
      <c r="U187" s="14"/>
      <c r="V187" s="14"/>
      <c r="W187" s="14"/>
      <c r="X187" s="14"/>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0"/>
      <c r="EN187" s="10"/>
      <c r="EO187" s="10"/>
      <c r="EP187" s="10"/>
      <c r="EQ187" s="10"/>
      <c r="ER187" s="10"/>
      <c r="ES187" s="10"/>
      <c r="ET187" s="10"/>
      <c r="EU187" s="10"/>
      <c r="EV187" s="10"/>
      <c r="EW187" s="10"/>
      <c r="EX187" s="10"/>
      <c r="EY187" s="10"/>
      <c r="EZ187" s="10"/>
      <c r="FA187" s="10"/>
      <c r="FB187" s="10"/>
      <c r="FC187" s="10"/>
      <c r="FD187" s="10"/>
      <c r="FE187" s="10"/>
      <c r="FF187" s="10"/>
      <c r="FG187" s="10"/>
      <c r="FH187" s="10"/>
      <c r="FI187" s="10"/>
      <c r="FJ187" s="10"/>
      <c r="FK187" s="10"/>
      <c r="FL187" s="10"/>
      <c r="FM187" s="10"/>
      <c r="FN187" s="10"/>
      <c r="FO187" s="10"/>
      <c r="FP187" s="10"/>
      <c r="FQ187" s="10"/>
      <c r="FR187" s="10"/>
      <c r="FS187" s="10"/>
      <c r="FT187" s="10"/>
      <c r="FU187" s="10"/>
      <c r="FV187" s="10"/>
      <c r="FW187" s="10"/>
      <c r="FX187" s="10"/>
      <c r="FY187" s="10"/>
      <c r="FZ187" s="10"/>
      <c r="GA187" s="10"/>
      <c r="GB187" s="10"/>
      <c r="GC187" s="10"/>
      <c r="GD187" s="10"/>
      <c r="GE187" s="10"/>
      <c r="GF187" s="10"/>
      <c r="GG187" s="10"/>
      <c r="GH187" s="10"/>
      <c r="GI187" s="10"/>
      <c r="GJ187" s="10"/>
      <c r="GK187" s="10"/>
      <c r="GL187" s="10"/>
      <c r="GM187" s="10"/>
      <c r="GN187" s="10"/>
      <c r="GO187" s="10"/>
      <c r="GP187" s="10"/>
      <c r="GQ187" s="10"/>
      <c r="GR187" s="10"/>
      <c r="GS187" s="10"/>
      <c r="GT187" s="10"/>
      <c r="GU187" s="10"/>
      <c r="GV187" s="10"/>
      <c r="GW187" s="10"/>
      <c r="GX187" s="10"/>
      <c r="GY187" s="10"/>
      <c r="GZ187" s="10"/>
      <c r="HA187" s="10"/>
      <c r="HB187" s="10"/>
      <c r="HC187" s="10"/>
      <c r="HD187" s="10"/>
      <c r="HE187" s="10"/>
      <c r="HF187" s="10"/>
      <c r="HG187" s="10"/>
      <c r="HH187" s="10"/>
      <c r="HI187" s="10"/>
      <c r="HJ187" s="10"/>
      <c r="HK187" s="10"/>
      <c r="HL187" s="10"/>
      <c r="HM187" s="10"/>
      <c r="HN187" s="10"/>
      <c r="HO187" s="10"/>
      <c r="HP187" s="10"/>
      <c r="HQ187" s="10"/>
      <c r="HR187" s="10"/>
      <c r="HS187" s="10"/>
      <c r="HT187" s="10"/>
    </row>
    <row r="188" spans="1:228" ht="18" customHeight="1" x14ac:dyDescent="0.2">
      <c r="A188" s="15"/>
      <c r="B188" s="256" t="s">
        <v>1676</v>
      </c>
      <c r="C188" s="995"/>
      <c r="D188" s="997"/>
      <c r="E188" s="742" t="s">
        <v>1677</v>
      </c>
      <c r="F188" s="743"/>
      <c r="G188" s="743"/>
      <c r="H188" s="743"/>
      <c r="I188" s="743"/>
      <c r="J188" s="743"/>
      <c r="K188" s="743"/>
      <c r="L188" s="743"/>
      <c r="M188" s="743"/>
      <c r="N188" s="743"/>
      <c r="O188" s="744"/>
      <c r="P188" s="245">
        <f>IF(T188=1,0.15,0)</f>
        <v>0</v>
      </c>
      <c r="R188" s="10"/>
      <c r="S188" s="561" t="b">
        <v>0</v>
      </c>
      <c r="T188" s="50">
        <f>IF(S188=TRUE,1,0)</f>
        <v>0</v>
      </c>
      <c r="U188" s="10"/>
      <c r="V188" s="10"/>
      <c r="W188" s="10">
        <v>1E-4</v>
      </c>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0"/>
      <c r="EN188" s="10"/>
      <c r="EO188" s="10"/>
      <c r="EP188" s="10"/>
      <c r="EQ188" s="10"/>
      <c r="ER188" s="10"/>
      <c r="ES188" s="10"/>
      <c r="ET188" s="10"/>
      <c r="EU188" s="10"/>
      <c r="EV188" s="10"/>
      <c r="EW188" s="10"/>
      <c r="EX188" s="10"/>
      <c r="EY188" s="10"/>
      <c r="EZ188" s="10"/>
      <c r="FA188" s="10"/>
      <c r="FB188" s="10"/>
      <c r="FC188" s="10"/>
      <c r="FD188" s="10"/>
      <c r="FE188" s="10"/>
      <c r="FF188" s="10"/>
      <c r="FG188" s="10"/>
      <c r="FH188" s="10"/>
      <c r="FI188" s="10"/>
      <c r="FJ188" s="10"/>
      <c r="FK188" s="10"/>
      <c r="FL188" s="10"/>
      <c r="FM188" s="10"/>
      <c r="FN188" s="10"/>
      <c r="FO188" s="10"/>
      <c r="FP188" s="10"/>
      <c r="FQ188" s="10"/>
      <c r="FR188" s="10"/>
      <c r="FS188" s="10"/>
      <c r="FT188" s="10"/>
      <c r="FU188" s="10"/>
      <c r="FV188" s="10"/>
      <c r="FW188" s="10"/>
      <c r="FX188" s="10"/>
      <c r="FY188" s="10"/>
      <c r="FZ188" s="10"/>
      <c r="GA188" s="10"/>
      <c r="GB188" s="10"/>
      <c r="GC188" s="10"/>
      <c r="GD188" s="10"/>
      <c r="GE188" s="10"/>
      <c r="GF188" s="10"/>
      <c r="GG188" s="10"/>
      <c r="GH188" s="10"/>
      <c r="GI188" s="10"/>
      <c r="GJ188" s="10"/>
      <c r="GK188" s="10"/>
      <c r="GL188" s="10"/>
      <c r="GM188" s="10"/>
      <c r="GN188" s="10"/>
      <c r="GO188" s="10"/>
      <c r="GP188" s="10"/>
      <c r="GQ188" s="10"/>
      <c r="GR188" s="10"/>
      <c r="GS188" s="10"/>
      <c r="GT188" s="10"/>
      <c r="GU188" s="10"/>
      <c r="GV188" s="10"/>
      <c r="GW188" s="10"/>
      <c r="GX188" s="10"/>
      <c r="GY188" s="10"/>
      <c r="GZ188" s="10"/>
      <c r="HA188" s="10"/>
      <c r="HB188" s="10"/>
      <c r="HC188" s="10"/>
      <c r="HD188" s="10"/>
      <c r="HE188" s="10"/>
      <c r="HF188" s="10"/>
      <c r="HG188" s="10"/>
      <c r="HH188" s="10"/>
      <c r="HI188" s="10"/>
      <c r="HJ188" s="10"/>
      <c r="HK188" s="10"/>
      <c r="HL188" s="10"/>
      <c r="HM188" s="10"/>
      <c r="HN188" s="10"/>
      <c r="HO188" s="10"/>
      <c r="HP188" s="10"/>
      <c r="HQ188" s="10"/>
      <c r="HR188" s="10"/>
      <c r="HS188" s="10"/>
      <c r="HT188" s="10"/>
    </row>
    <row r="189" spans="1:228" ht="18" customHeight="1" x14ac:dyDescent="0.2">
      <c r="B189" s="256" t="s">
        <v>1678</v>
      </c>
      <c r="C189" s="995"/>
      <c r="D189" s="997"/>
      <c r="E189" s="742" t="s">
        <v>1679</v>
      </c>
      <c r="F189" s="743"/>
      <c r="G189" s="743"/>
      <c r="H189" s="743"/>
      <c r="I189" s="743"/>
      <c r="J189" s="743"/>
      <c r="K189" s="743"/>
      <c r="L189" s="743"/>
      <c r="M189" s="743"/>
      <c r="N189" s="743"/>
      <c r="O189" s="744"/>
      <c r="P189" s="245">
        <f>IF(T189=1,0.25,0)</f>
        <v>0</v>
      </c>
      <c r="R189" s="10"/>
      <c r="S189" s="561" t="b">
        <v>0</v>
      </c>
      <c r="T189" s="50">
        <f>IF(S189=TRUE,1,0)</f>
        <v>0</v>
      </c>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0"/>
      <c r="EN189" s="10"/>
      <c r="EO189" s="10"/>
      <c r="EP189" s="10"/>
      <c r="EQ189" s="10"/>
      <c r="ER189" s="10"/>
      <c r="ES189" s="10"/>
      <c r="ET189" s="10"/>
      <c r="EU189" s="10"/>
      <c r="EV189" s="10"/>
      <c r="EW189" s="10"/>
      <c r="EX189" s="10"/>
      <c r="EY189" s="10"/>
      <c r="EZ189" s="10"/>
      <c r="FA189" s="10"/>
      <c r="FB189" s="10"/>
      <c r="FC189" s="10"/>
      <c r="FD189" s="10"/>
      <c r="FE189" s="10"/>
      <c r="FF189" s="10"/>
      <c r="FG189" s="10"/>
      <c r="FH189" s="10"/>
      <c r="FI189" s="10"/>
      <c r="FJ189" s="10"/>
      <c r="FK189" s="10"/>
      <c r="FL189" s="10"/>
      <c r="FM189" s="10"/>
      <c r="FN189" s="10"/>
      <c r="FO189" s="10"/>
      <c r="FP189" s="10"/>
      <c r="FQ189" s="10"/>
      <c r="FR189" s="10"/>
      <c r="FS189" s="10"/>
      <c r="FT189" s="10"/>
      <c r="FU189" s="10"/>
      <c r="FV189" s="10"/>
      <c r="FW189" s="10"/>
      <c r="FX189" s="10"/>
      <c r="FY189" s="10"/>
      <c r="FZ189" s="10"/>
      <c r="GA189" s="10"/>
      <c r="GB189" s="10"/>
      <c r="GC189" s="10"/>
      <c r="GD189" s="10"/>
      <c r="GE189" s="10"/>
      <c r="GF189" s="10"/>
      <c r="GG189" s="10"/>
      <c r="GH189" s="10"/>
      <c r="GI189" s="10"/>
      <c r="GJ189" s="10"/>
      <c r="GK189" s="10"/>
      <c r="GL189" s="10"/>
      <c r="GM189" s="10"/>
      <c r="GN189" s="10"/>
      <c r="GO189" s="10"/>
      <c r="GP189" s="10"/>
      <c r="GQ189" s="10"/>
      <c r="GR189" s="10"/>
      <c r="GS189" s="10"/>
      <c r="GT189" s="10"/>
      <c r="GU189" s="10"/>
      <c r="GV189" s="10"/>
      <c r="GW189" s="10"/>
      <c r="GX189" s="10"/>
      <c r="GY189" s="10"/>
      <c r="GZ189" s="10"/>
      <c r="HA189" s="10"/>
      <c r="HB189" s="10"/>
      <c r="HC189" s="10"/>
      <c r="HD189" s="10"/>
      <c r="HE189" s="10"/>
      <c r="HF189" s="10"/>
      <c r="HG189" s="10"/>
      <c r="HH189" s="10"/>
      <c r="HI189" s="10"/>
      <c r="HJ189" s="10"/>
      <c r="HK189" s="10"/>
      <c r="HL189" s="10"/>
      <c r="HM189" s="10"/>
      <c r="HN189" s="10"/>
      <c r="HO189" s="10"/>
      <c r="HP189" s="10"/>
      <c r="HQ189" s="10"/>
      <c r="HR189" s="10"/>
      <c r="HS189" s="10"/>
      <c r="HT189" s="10"/>
    </row>
    <row r="190" spans="1:228" ht="18" customHeight="1" x14ac:dyDescent="0.2">
      <c r="B190" s="381" t="s">
        <v>613</v>
      </c>
      <c r="C190" s="1018"/>
      <c r="D190" s="1018"/>
      <c r="E190" s="941" t="s">
        <v>614</v>
      </c>
      <c r="F190" s="942"/>
      <c r="G190" s="942"/>
      <c r="H190" s="942"/>
      <c r="I190" s="942"/>
      <c r="J190" s="942"/>
      <c r="K190" s="942"/>
      <c r="L190" s="942"/>
      <c r="M190" s="942"/>
      <c r="N190" s="942"/>
      <c r="O190" s="943"/>
      <c r="P190" s="275">
        <f>IF(T190=1,0.25,0)</f>
        <v>0</v>
      </c>
      <c r="R190" s="10"/>
      <c r="S190" s="561" t="b">
        <v>0</v>
      </c>
      <c r="T190" s="50">
        <f>IF(S190=TRUE,1,0)</f>
        <v>0</v>
      </c>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0"/>
      <c r="EN190" s="10"/>
      <c r="EO190" s="10"/>
      <c r="EP190" s="10"/>
      <c r="EQ190" s="10"/>
      <c r="ER190" s="10"/>
      <c r="ES190" s="10"/>
      <c r="ET190" s="10"/>
      <c r="EU190" s="10"/>
      <c r="EV190" s="10"/>
      <c r="EW190" s="10"/>
      <c r="EX190" s="10"/>
      <c r="EY190" s="10"/>
      <c r="EZ190" s="10"/>
      <c r="FA190" s="10"/>
      <c r="FB190" s="10"/>
      <c r="FC190" s="10"/>
      <c r="FD190" s="10"/>
      <c r="FE190" s="10"/>
      <c r="FF190" s="10"/>
      <c r="FG190" s="10"/>
      <c r="FH190" s="10"/>
      <c r="FI190" s="10"/>
      <c r="FJ190" s="10"/>
      <c r="FK190" s="10"/>
      <c r="FL190" s="10"/>
      <c r="FM190" s="10"/>
      <c r="FN190" s="10"/>
      <c r="FO190" s="10"/>
      <c r="FP190" s="10"/>
      <c r="FQ190" s="10"/>
      <c r="FR190" s="10"/>
      <c r="FS190" s="10"/>
      <c r="FT190" s="10"/>
      <c r="FU190" s="10"/>
      <c r="FV190" s="10"/>
      <c r="FW190" s="10"/>
      <c r="FX190" s="10"/>
      <c r="FY190" s="10"/>
      <c r="FZ190" s="10"/>
      <c r="GA190" s="10"/>
      <c r="GB190" s="10"/>
      <c r="GC190" s="10"/>
      <c r="GD190" s="10"/>
      <c r="GE190" s="10"/>
      <c r="GF190" s="10"/>
      <c r="GG190" s="10"/>
      <c r="GH190" s="10"/>
      <c r="GI190" s="10"/>
      <c r="GJ190" s="10"/>
      <c r="GK190" s="10"/>
      <c r="GL190" s="10"/>
      <c r="GM190" s="10"/>
      <c r="GN190" s="10"/>
      <c r="GO190" s="10"/>
      <c r="GP190" s="10"/>
      <c r="GQ190" s="10"/>
      <c r="GR190" s="10"/>
      <c r="GS190" s="10"/>
      <c r="GT190" s="10"/>
      <c r="GU190" s="10"/>
      <c r="GV190" s="10"/>
      <c r="GW190" s="10"/>
      <c r="GX190" s="10"/>
      <c r="GY190" s="10"/>
      <c r="GZ190" s="10"/>
      <c r="HA190" s="10"/>
      <c r="HB190" s="10"/>
      <c r="HC190" s="10"/>
      <c r="HD190" s="10"/>
      <c r="HE190" s="10"/>
      <c r="HF190" s="10"/>
      <c r="HG190" s="10"/>
      <c r="HH190" s="10"/>
      <c r="HI190" s="10"/>
      <c r="HJ190" s="10"/>
      <c r="HK190" s="10"/>
      <c r="HL190" s="10"/>
      <c r="HM190" s="10"/>
      <c r="HN190" s="10"/>
      <c r="HO190" s="10"/>
      <c r="HP190" s="10"/>
      <c r="HQ190" s="10"/>
      <c r="HR190" s="10"/>
      <c r="HS190" s="10"/>
      <c r="HT190" s="10"/>
    </row>
    <row r="191" spans="1:228" ht="12" customHeight="1" x14ac:dyDescent="0.2">
      <c r="B191" s="1221"/>
      <c r="C191" s="1221"/>
      <c r="D191" s="1221"/>
      <c r="E191" s="1221"/>
      <c r="F191" s="1221"/>
      <c r="G191" s="1221"/>
      <c r="H191" s="1221"/>
      <c r="I191" s="1221"/>
      <c r="J191" s="1221"/>
      <c r="K191" s="1221"/>
      <c r="L191" s="1221"/>
      <c r="M191" s="1221"/>
      <c r="N191" s="1221"/>
      <c r="O191" s="1221"/>
      <c r="R191" s="10"/>
      <c r="S191" s="10"/>
      <c r="T191" s="10"/>
      <c r="U191" s="10"/>
      <c r="V191" s="10"/>
      <c r="W191" s="6"/>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0"/>
      <c r="EN191" s="10"/>
      <c r="EO191" s="10"/>
      <c r="EP191" s="10"/>
      <c r="EQ191" s="10"/>
      <c r="ER191" s="10"/>
      <c r="ES191" s="10"/>
      <c r="ET191" s="10"/>
      <c r="EU191" s="10"/>
      <c r="EV191" s="10"/>
      <c r="EW191" s="10"/>
      <c r="EX191" s="10"/>
      <c r="EY191" s="10"/>
      <c r="EZ191" s="10"/>
      <c r="FA191" s="10"/>
      <c r="FB191" s="10"/>
      <c r="FC191" s="10"/>
      <c r="FD191" s="10"/>
      <c r="FE191" s="10"/>
      <c r="FF191" s="10"/>
      <c r="FG191" s="10"/>
      <c r="FH191" s="10"/>
      <c r="FI191" s="10"/>
      <c r="FJ191" s="10"/>
      <c r="FK191" s="10"/>
      <c r="FL191" s="10"/>
      <c r="FM191" s="10"/>
      <c r="FN191" s="10"/>
      <c r="FO191" s="10"/>
      <c r="FP191" s="10"/>
      <c r="FQ191" s="10"/>
      <c r="FR191" s="10"/>
      <c r="FS191" s="10"/>
      <c r="FT191" s="10"/>
      <c r="FU191" s="10"/>
      <c r="FV191" s="10"/>
      <c r="FW191" s="10"/>
      <c r="FX191" s="10"/>
      <c r="FY191" s="10"/>
      <c r="FZ191" s="10"/>
      <c r="GA191" s="10"/>
      <c r="GB191" s="10"/>
      <c r="GC191" s="10"/>
      <c r="GD191" s="10"/>
      <c r="GE191" s="10"/>
      <c r="GF191" s="10"/>
      <c r="GG191" s="10"/>
      <c r="GH191" s="10"/>
      <c r="GI191" s="10"/>
      <c r="GJ191" s="10"/>
      <c r="GK191" s="10"/>
      <c r="GL191" s="10"/>
      <c r="GM191" s="10"/>
      <c r="GN191" s="10"/>
      <c r="GO191" s="10"/>
      <c r="GP191" s="10"/>
      <c r="GQ191" s="10"/>
      <c r="GR191" s="10"/>
      <c r="GS191" s="10"/>
      <c r="GT191" s="10"/>
      <c r="GU191" s="10"/>
      <c r="GV191" s="10"/>
      <c r="GW191" s="10"/>
      <c r="GX191" s="10"/>
      <c r="GY191" s="10"/>
      <c r="GZ191" s="10"/>
      <c r="HA191" s="10"/>
      <c r="HB191" s="10"/>
      <c r="HC191" s="10"/>
      <c r="HD191" s="10"/>
      <c r="HE191" s="10"/>
      <c r="HF191" s="10"/>
      <c r="HG191" s="10"/>
      <c r="HH191" s="10"/>
      <c r="HI191" s="10"/>
      <c r="HJ191" s="10"/>
      <c r="HK191" s="10"/>
      <c r="HL191" s="10"/>
      <c r="HM191" s="10"/>
      <c r="HN191" s="10"/>
      <c r="HO191" s="10"/>
      <c r="HP191" s="10"/>
      <c r="HQ191" s="10"/>
      <c r="HR191" s="10"/>
      <c r="HS191" s="10"/>
      <c r="HT191" s="10"/>
    </row>
    <row r="192" spans="1:228" ht="27" customHeight="1" x14ac:dyDescent="0.2">
      <c r="B192" s="864" t="s">
        <v>903</v>
      </c>
      <c r="C192" s="865"/>
      <c r="D192" s="865"/>
      <c r="E192" s="865"/>
      <c r="F192" s="865"/>
      <c r="G192" s="912" t="s">
        <v>1495</v>
      </c>
      <c r="H192" s="910"/>
      <c r="I192" s="910"/>
      <c r="J192" s="910"/>
      <c r="K192" s="910"/>
      <c r="L192" s="1319"/>
      <c r="M192" s="1320"/>
      <c r="N192" s="1320"/>
      <c r="O192" s="1321"/>
      <c r="P192" s="857">
        <f>V199</f>
        <v>0</v>
      </c>
      <c r="R192" s="10"/>
      <c r="S192" s="50" t="s">
        <v>1826</v>
      </c>
      <c r="T192" s="50" t="s">
        <v>1285</v>
      </c>
      <c r="U192" s="50" t="s">
        <v>1286</v>
      </c>
      <c r="V192" s="50" t="s">
        <v>1287</v>
      </c>
      <c r="W192" s="50" t="s">
        <v>498</v>
      </c>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0"/>
      <c r="EN192" s="10"/>
      <c r="EO192" s="10"/>
      <c r="EP192" s="10"/>
      <c r="EQ192" s="10"/>
      <c r="ER192" s="10"/>
      <c r="ES192" s="10"/>
      <c r="ET192" s="10"/>
      <c r="EU192" s="10"/>
      <c r="EV192" s="10"/>
      <c r="EW192" s="10"/>
      <c r="EX192" s="10"/>
      <c r="EY192" s="10"/>
      <c r="EZ192" s="10"/>
      <c r="FA192" s="10"/>
      <c r="FB192" s="10"/>
      <c r="FC192" s="10"/>
      <c r="FD192" s="10"/>
      <c r="FE192" s="10"/>
      <c r="FF192" s="10"/>
      <c r="FG192" s="10"/>
      <c r="FH192" s="10"/>
      <c r="FI192" s="10"/>
      <c r="FJ192" s="10"/>
      <c r="FK192" s="10"/>
      <c r="FL192" s="10"/>
      <c r="FM192" s="10"/>
      <c r="FN192" s="10"/>
      <c r="FO192" s="10"/>
      <c r="FP192" s="10"/>
      <c r="FQ192" s="10"/>
      <c r="FR192" s="10"/>
      <c r="FS192" s="10"/>
      <c r="FT192" s="10"/>
      <c r="FU192" s="10"/>
      <c r="FV192" s="10"/>
      <c r="FW192" s="10"/>
      <c r="FX192" s="10"/>
      <c r="FY192" s="10"/>
      <c r="FZ192" s="10"/>
      <c r="GA192" s="10"/>
      <c r="GB192" s="10"/>
      <c r="GC192" s="10"/>
      <c r="GD192" s="10"/>
      <c r="GE192" s="10"/>
      <c r="GF192" s="10"/>
      <c r="GG192" s="10"/>
      <c r="GH192" s="10"/>
      <c r="GI192" s="10"/>
      <c r="GJ192" s="10"/>
      <c r="GK192" s="10"/>
      <c r="GL192" s="10"/>
      <c r="GM192" s="10"/>
      <c r="GN192" s="10"/>
      <c r="GO192" s="10"/>
      <c r="GP192" s="10"/>
      <c r="GQ192" s="10"/>
      <c r="GR192" s="10"/>
      <c r="GS192" s="10"/>
      <c r="GT192" s="10"/>
      <c r="GU192" s="10"/>
      <c r="GV192" s="10"/>
      <c r="GW192" s="10"/>
      <c r="GX192" s="10"/>
      <c r="GY192" s="10"/>
      <c r="GZ192" s="10"/>
      <c r="HA192" s="10"/>
      <c r="HB192" s="10"/>
      <c r="HC192" s="10"/>
      <c r="HD192" s="10"/>
      <c r="HE192" s="10"/>
      <c r="HF192" s="10"/>
      <c r="HG192" s="10"/>
      <c r="HH192" s="10"/>
      <c r="HI192" s="10"/>
      <c r="HJ192" s="10"/>
      <c r="HK192" s="10"/>
      <c r="HL192" s="10"/>
      <c r="HM192" s="10"/>
      <c r="HN192" s="10"/>
      <c r="HO192" s="10"/>
      <c r="HP192" s="10"/>
      <c r="HQ192" s="10"/>
      <c r="HR192" s="10"/>
      <c r="HS192" s="10"/>
      <c r="HT192" s="10"/>
    </row>
    <row r="193" spans="1:228" ht="18" customHeight="1" x14ac:dyDescent="0.2">
      <c r="B193" s="776" t="s">
        <v>615</v>
      </c>
      <c r="C193" s="776"/>
      <c r="D193" s="776"/>
      <c r="E193" s="962">
        <f>P166</f>
        <v>0</v>
      </c>
      <c r="F193" s="1054"/>
      <c r="G193" s="977"/>
      <c r="H193" s="977"/>
      <c r="I193" s="977"/>
      <c r="J193" s="1151">
        <f t="shared" ref="J193:J194" si="31">IF(AND(W193&lt;0.01,W193&gt;0),0.01,ROUND(W193,2))</f>
        <v>0</v>
      </c>
      <c r="K193" s="1151"/>
      <c r="L193" s="967"/>
      <c r="M193" s="968"/>
      <c r="N193" s="968"/>
      <c r="O193" s="969"/>
      <c r="P193" s="961"/>
      <c r="R193" s="10"/>
      <c r="S193" s="147">
        <f t="shared" ref="S193:S195" si="32">IF(J193&gt;0,J193,E193)</f>
        <v>0</v>
      </c>
      <c r="T193" s="147">
        <f>LARGE($S$193:$S$200,1)</f>
        <v>0</v>
      </c>
      <c r="U193" s="544">
        <f>T193+T194*(1-T193)</f>
        <v>0</v>
      </c>
      <c r="V193" s="610">
        <f t="shared" ref="V193:V199" si="33">ROUND(U193,2)</f>
        <v>0</v>
      </c>
      <c r="W193" s="21">
        <f t="shared" ref="W193:W194" si="34">G193*E193</f>
        <v>0</v>
      </c>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0"/>
      <c r="EN193" s="10"/>
      <c r="EO193" s="10"/>
      <c r="EP193" s="10"/>
      <c r="EQ193" s="10"/>
      <c r="ER193" s="10"/>
      <c r="ES193" s="10"/>
      <c r="ET193" s="10"/>
      <c r="EU193" s="10"/>
      <c r="EV193" s="10"/>
      <c r="EW193" s="10"/>
      <c r="EX193" s="10"/>
      <c r="EY193" s="10"/>
      <c r="EZ193" s="10"/>
      <c r="FA193" s="10"/>
      <c r="FB193" s="10"/>
      <c r="FC193" s="10"/>
      <c r="FD193" s="10"/>
      <c r="FE193" s="10"/>
      <c r="FF193" s="10"/>
      <c r="FG193" s="10"/>
      <c r="FH193" s="10"/>
      <c r="FI193" s="10"/>
      <c r="FJ193" s="10"/>
      <c r="FK193" s="10"/>
      <c r="FL193" s="10"/>
      <c r="FM193" s="10"/>
      <c r="FN193" s="10"/>
      <c r="FO193" s="10"/>
      <c r="FP193" s="10"/>
      <c r="FQ193" s="10"/>
      <c r="FR193" s="10"/>
      <c r="FS193" s="10"/>
      <c r="FT193" s="10"/>
      <c r="FU193" s="10"/>
      <c r="FV193" s="10"/>
      <c r="FW193" s="10"/>
      <c r="FX193" s="10"/>
      <c r="FY193" s="10"/>
      <c r="FZ193" s="10"/>
      <c r="GA193" s="10"/>
      <c r="GB193" s="10"/>
      <c r="GC193" s="10"/>
      <c r="GD193" s="10"/>
      <c r="GE193" s="10"/>
      <c r="GF193" s="10"/>
      <c r="GG193" s="10"/>
      <c r="GH193" s="10"/>
      <c r="GI193" s="10"/>
      <c r="GJ193" s="10"/>
      <c r="GK193" s="10"/>
      <c r="GL193" s="10"/>
      <c r="GM193" s="10"/>
      <c r="GN193" s="10"/>
      <c r="GO193" s="10"/>
      <c r="GP193" s="10"/>
      <c r="GQ193" s="10"/>
      <c r="GR193" s="10"/>
      <c r="GS193" s="10"/>
      <c r="GT193" s="10"/>
      <c r="GU193" s="10"/>
      <c r="GV193" s="10"/>
      <c r="GW193" s="10"/>
      <c r="GX193" s="10"/>
      <c r="GY193" s="10"/>
      <c r="GZ193" s="10"/>
      <c r="HA193" s="10"/>
      <c r="HB193" s="10"/>
      <c r="HC193" s="10"/>
      <c r="HD193" s="10"/>
      <c r="HE193" s="10"/>
      <c r="HF193" s="10"/>
      <c r="HG193" s="10"/>
      <c r="HH193" s="10"/>
      <c r="HI193" s="10"/>
      <c r="HJ193" s="10"/>
      <c r="HK193" s="10"/>
      <c r="HL193" s="10"/>
      <c r="HM193" s="10"/>
      <c r="HN193" s="10"/>
      <c r="HO193" s="10"/>
      <c r="HP193" s="10"/>
      <c r="HQ193" s="10"/>
      <c r="HR193" s="10"/>
      <c r="HS193" s="10"/>
      <c r="HT193" s="10"/>
    </row>
    <row r="194" spans="1:228" ht="18" customHeight="1" x14ac:dyDescent="0.2">
      <c r="B194" s="791" t="s">
        <v>1918</v>
      </c>
      <c r="C194" s="791"/>
      <c r="D194" s="791"/>
      <c r="E194" s="755">
        <f>IF(P426&gt;0,0,P179)</f>
        <v>0</v>
      </c>
      <c r="F194" s="731"/>
      <c r="G194" s="977"/>
      <c r="H194" s="977"/>
      <c r="I194" s="977"/>
      <c r="J194" s="1151">
        <f t="shared" si="31"/>
        <v>0</v>
      </c>
      <c r="K194" s="1151"/>
      <c r="L194" s="970"/>
      <c r="M194" s="971"/>
      <c r="N194" s="971"/>
      <c r="O194" s="972"/>
      <c r="P194" s="961"/>
      <c r="R194" s="10"/>
      <c r="S194" s="147">
        <f t="shared" si="32"/>
        <v>0</v>
      </c>
      <c r="T194" s="147">
        <f>LARGE($S$193:$S$200,2)</f>
        <v>0</v>
      </c>
      <c r="U194" s="544">
        <f t="shared" ref="U194:U199" si="35">V193+T195*(1-V193)</f>
        <v>0</v>
      </c>
      <c r="V194" s="610">
        <f t="shared" si="33"/>
        <v>0</v>
      </c>
      <c r="W194" s="21">
        <f t="shared" si="34"/>
        <v>0</v>
      </c>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0"/>
      <c r="EN194" s="10"/>
      <c r="EO194" s="10"/>
      <c r="EP194" s="10"/>
      <c r="EQ194" s="10"/>
      <c r="ER194" s="10"/>
      <c r="ES194" s="10"/>
      <c r="ET194" s="10"/>
      <c r="EU194" s="10"/>
      <c r="EV194" s="10"/>
      <c r="EW194" s="10"/>
      <c r="EX194" s="10"/>
      <c r="EY194" s="10"/>
      <c r="EZ194" s="10"/>
      <c r="FA194" s="10"/>
      <c r="FB194" s="10"/>
      <c r="FC194" s="10"/>
      <c r="FD194" s="10"/>
      <c r="FE194" s="10"/>
      <c r="FF194" s="10"/>
      <c r="FG194" s="10"/>
      <c r="FH194" s="10"/>
      <c r="FI194" s="10"/>
      <c r="FJ194" s="10"/>
      <c r="FK194" s="10"/>
      <c r="FL194" s="10"/>
      <c r="FM194" s="10"/>
      <c r="FN194" s="10"/>
      <c r="FO194" s="10"/>
      <c r="FP194" s="10"/>
      <c r="FQ194" s="10"/>
      <c r="FR194" s="10"/>
      <c r="FS194" s="10"/>
      <c r="FT194" s="10"/>
      <c r="FU194" s="10"/>
      <c r="FV194" s="10"/>
      <c r="FW194" s="10"/>
      <c r="FX194" s="10"/>
      <c r="FY194" s="10"/>
      <c r="FZ194" s="10"/>
      <c r="GA194" s="10"/>
      <c r="GB194" s="10"/>
      <c r="GC194" s="10"/>
      <c r="GD194" s="10"/>
      <c r="GE194" s="10"/>
      <c r="GF194" s="10"/>
      <c r="GG194" s="10"/>
      <c r="GH194" s="10"/>
      <c r="GI194" s="10"/>
      <c r="GJ194" s="10"/>
      <c r="GK194" s="10"/>
      <c r="GL194" s="10"/>
      <c r="GM194" s="10"/>
      <c r="GN194" s="10"/>
      <c r="GO194" s="10"/>
      <c r="GP194" s="10"/>
      <c r="GQ194" s="10"/>
      <c r="GR194" s="10"/>
      <c r="GS194" s="10"/>
      <c r="GT194" s="10"/>
      <c r="GU194" s="10"/>
      <c r="GV194" s="10"/>
      <c r="GW194" s="10"/>
      <c r="GX194" s="10"/>
      <c r="GY194" s="10"/>
      <c r="GZ194" s="10"/>
      <c r="HA194" s="10"/>
      <c r="HB194" s="10"/>
      <c r="HC194" s="10"/>
      <c r="HD194" s="10"/>
      <c r="HE194" s="10"/>
      <c r="HF194" s="10"/>
      <c r="HG194" s="10"/>
      <c r="HH194" s="10"/>
      <c r="HI194" s="10"/>
      <c r="HJ194" s="10"/>
      <c r="HK194" s="10"/>
      <c r="HL194" s="10"/>
      <c r="HM194" s="10"/>
      <c r="HN194" s="10"/>
      <c r="HO194" s="10"/>
      <c r="HP194" s="10"/>
      <c r="HQ194" s="10"/>
      <c r="HR194" s="10"/>
      <c r="HS194" s="10"/>
      <c r="HT194" s="10"/>
    </row>
    <row r="195" spans="1:228" ht="18" customHeight="1" x14ac:dyDescent="0.2">
      <c r="B195" s="791" t="s">
        <v>1976</v>
      </c>
      <c r="C195" s="791"/>
      <c r="D195" s="791"/>
      <c r="E195" s="755">
        <f>P182</f>
        <v>0</v>
      </c>
      <c r="F195" s="731"/>
      <c r="G195" s="977"/>
      <c r="H195" s="977"/>
      <c r="I195" s="977"/>
      <c r="J195" s="1151">
        <f>IF(AND(W195&lt;0.01,W195&gt;0),0.01,ROUND(W195,2))</f>
        <v>0</v>
      </c>
      <c r="K195" s="1151"/>
      <c r="L195" s="623"/>
      <c r="M195" s="624"/>
      <c r="N195" s="624"/>
      <c r="O195" s="625"/>
      <c r="P195" s="961"/>
      <c r="R195" s="10"/>
      <c r="S195" s="147">
        <f t="shared" si="32"/>
        <v>0</v>
      </c>
      <c r="T195" s="147">
        <f>LARGE($S$193:$S$200,3)</f>
        <v>0</v>
      </c>
      <c r="U195" s="544">
        <f t="shared" si="35"/>
        <v>0</v>
      </c>
      <c r="V195" s="610">
        <f t="shared" si="33"/>
        <v>0</v>
      </c>
      <c r="W195" s="21">
        <f>G195*E195</f>
        <v>0</v>
      </c>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c r="EM195" s="10"/>
      <c r="EN195" s="10"/>
      <c r="EO195" s="10"/>
      <c r="EP195" s="10"/>
      <c r="EQ195" s="10"/>
      <c r="ER195" s="10"/>
      <c r="ES195" s="10"/>
      <c r="ET195" s="10"/>
      <c r="EU195" s="10"/>
      <c r="EV195" s="10"/>
      <c r="EW195" s="10"/>
      <c r="EX195" s="10"/>
      <c r="EY195" s="10"/>
      <c r="EZ195" s="10"/>
      <c r="FA195" s="10"/>
      <c r="FB195" s="10"/>
      <c r="FC195" s="10"/>
      <c r="FD195" s="10"/>
      <c r="FE195" s="10"/>
      <c r="FF195" s="10"/>
      <c r="FG195" s="10"/>
      <c r="FH195" s="10"/>
      <c r="FI195" s="10"/>
      <c r="FJ195" s="10"/>
      <c r="FK195" s="10"/>
      <c r="FL195" s="10"/>
      <c r="FM195" s="10"/>
      <c r="FN195" s="10"/>
      <c r="FO195" s="10"/>
      <c r="FP195" s="10"/>
      <c r="FQ195" s="10"/>
      <c r="FR195" s="10"/>
      <c r="FS195" s="10"/>
      <c r="FT195" s="10"/>
      <c r="FU195" s="10"/>
      <c r="FV195" s="10"/>
      <c r="FW195" s="10"/>
      <c r="FX195" s="10"/>
      <c r="FY195" s="10"/>
      <c r="FZ195" s="10"/>
      <c r="GA195" s="10"/>
      <c r="GB195" s="10"/>
      <c r="GC195" s="10"/>
      <c r="GD195" s="10"/>
      <c r="GE195" s="10"/>
      <c r="GF195" s="10"/>
      <c r="GG195" s="10"/>
      <c r="GH195" s="10"/>
      <c r="GI195" s="10"/>
      <c r="GJ195" s="10"/>
      <c r="GK195" s="10"/>
      <c r="GL195" s="10"/>
      <c r="GM195" s="10"/>
      <c r="GN195" s="10"/>
      <c r="GO195" s="10"/>
      <c r="GP195" s="10"/>
      <c r="GQ195" s="10"/>
      <c r="GR195" s="10"/>
      <c r="GS195" s="10"/>
      <c r="GT195" s="10"/>
      <c r="GU195" s="10"/>
      <c r="GV195" s="10"/>
      <c r="GW195" s="10"/>
      <c r="GX195" s="10"/>
      <c r="GY195" s="10"/>
      <c r="GZ195" s="10"/>
      <c r="HA195" s="10"/>
      <c r="HB195" s="10"/>
      <c r="HC195" s="10"/>
      <c r="HD195" s="10"/>
      <c r="HE195" s="10"/>
      <c r="HF195" s="10"/>
      <c r="HG195" s="10"/>
      <c r="HH195" s="10"/>
      <c r="HI195" s="10"/>
      <c r="HJ195" s="10"/>
      <c r="HK195" s="10"/>
      <c r="HL195" s="10"/>
      <c r="HM195" s="10"/>
      <c r="HN195" s="10"/>
      <c r="HO195" s="10"/>
      <c r="HP195" s="10"/>
      <c r="HQ195" s="10"/>
      <c r="HR195" s="10"/>
      <c r="HS195" s="10"/>
      <c r="HT195" s="10"/>
    </row>
    <row r="196" spans="1:228" ht="18" customHeight="1" x14ac:dyDescent="0.2">
      <c r="B196" s="742" t="s">
        <v>1208</v>
      </c>
      <c r="C196" s="743"/>
      <c r="D196" s="744"/>
      <c r="E196" s="755">
        <f>P183</f>
        <v>0</v>
      </c>
      <c r="F196" s="731"/>
      <c r="G196" s="977"/>
      <c r="H196" s="977"/>
      <c r="I196" s="977"/>
      <c r="J196" s="1151">
        <f>IF(AND(W196&lt;0.01,W196&gt;0),0.01,ROUND(W196,2))</f>
        <v>0</v>
      </c>
      <c r="K196" s="1151"/>
      <c r="L196" s="623"/>
      <c r="M196" s="624"/>
      <c r="N196" s="624"/>
      <c r="O196" s="625"/>
      <c r="P196" s="961"/>
      <c r="R196" s="10"/>
      <c r="S196" s="147">
        <f>IF(J196&gt;0,J196,E196)</f>
        <v>0</v>
      </c>
      <c r="T196" s="147">
        <f>LARGE($S$193:$S$200,4)</f>
        <v>0</v>
      </c>
      <c r="U196" s="544">
        <f t="shared" si="35"/>
        <v>0</v>
      </c>
      <c r="V196" s="610">
        <f t="shared" si="33"/>
        <v>0</v>
      </c>
      <c r="W196" s="21">
        <f t="shared" ref="W196:W200" si="36">G196*E196</f>
        <v>0</v>
      </c>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c r="EM196" s="10"/>
      <c r="EN196" s="10"/>
      <c r="EO196" s="10"/>
      <c r="EP196" s="10"/>
      <c r="EQ196" s="10"/>
      <c r="ER196" s="10"/>
      <c r="ES196" s="10"/>
      <c r="ET196" s="10"/>
      <c r="EU196" s="10"/>
      <c r="EV196" s="10"/>
      <c r="EW196" s="10"/>
      <c r="EX196" s="10"/>
      <c r="EY196" s="10"/>
      <c r="EZ196" s="10"/>
      <c r="FA196" s="10"/>
      <c r="FB196" s="10"/>
      <c r="FC196" s="10"/>
      <c r="FD196" s="10"/>
      <c r="FE196" s="10"/>
      <c r="FF196" s="10"/>
      <c r="FG196" s="10"/>
      <c r="FH196" s="10"/>
      <c r="FI196" s="10"/>
      <c r="FJ196" s="10"/>
      <c r="FK196" s="10"/>
      <c r="FL196" s="10"/>
      <c r="FM196" s="10"/>
      <c r="FN196" s="10"/>
      <c r="FO196" s="10"/>
      <c r="FP196" s="10"/>
      <c r="FQ196" s="10"/>
      <c r="FR196" s="10"/>
      <c r="FS196" s="10"/>
      <c r="FT196" s="10"/>
      <c r="FU196" s="10"/>
      <c r="FV196" s="10"/>
      <c r="FW196" s="10"/>
      <c r="FX196" s="10"/>
      <c r="FY196" s="10"/>
      <c r="FZ196" s="10"/>
      <c r="GA196" s="10"/>
      <c r="GB196" s="10"/>
      <c r="GC196" s="10"/>
      <c r="GD196" s="10"/>
      <c r="GE196" s="10"/>
      <c r="GF196" s="10"/>
      <c r="GG196" s="10"/>
      <c r="GH196" s="10"/>
      <c r="GI196" s="10"/>
      <c r="GJ196" s="10"/>
      <c r="GK196" s="10"/>
      <c r="GL196" s="10"/>
      <c r="GM196" s="10"/>
      <c r="GN196" s="10"/>
      <c r="GO196" s="10"/>
      <c r="GP196" s="10"/>
      <c r="GQ196" s="10"/>
      <c r="GR196" s="10"/>
      <c r="GS196" s="10"/>
      <c r="GT196" s="10"/>
      <c r="GU196" s="10"/>
      <c r="GV196" s="10"/>
      <c r="GW196" s="10"/>
      <c r="GX196" s="10"/>
      <c r="GY196" s="10"/>
      <c r="GZ196" s="10"/>
      <c r="HA196" s="10"/>
      <c r="HB196" s="10"/>
      <c r="HC196" s="10"/>
      <c r="HD196" s="10"/>
      <c r="HE196" s="10"/>
      <c r="HF196" s="10"/>
      <c r="HG196" s="10"/>
      <c r="HH196" s="10"/>
      <c r="HI196" s="10"/>
      <c r="HJ196" s="10"/>
      <c r="HK196" s="10"/>
      <c r="HL196" s="10"/>
      <c r="HM196" s="10"/>
      <c r="HN196" s="10"/>
      <c r="HO196" s="10"/>
      <c r="HP196" s="10"/>
      <c r="HQ196" s="10"/>
      <c r="HR196" s="10"/>
      <c r="HS196" s="10"/>
      <c r="HT196" s="10"/>
    </row>
    <row r="197" spans="1:228" ht="18" customHeight="1" x14ac:dyDescent="0.2">
      <c r="B197" s="742" t="s">
        <v>1419</v>
      </c>
      <c r="C197" s="743"/>
      <c r="D197" s="744"/>
      <c r="E197" s="727">
        <f>P186</f>
        <v>0</v>
      </c>
      <c r="F197" s="729"/>
      <c r="G197" s="977"/>
      <c r="H197" s="977"/>
      <c r="I197" s="977"/>
      <c r="J197" s="1151">
        <f>IF(AND(W197&lt;0.01,W197&gt;0),0.01,ROUND(W197,2))</f>
        <v>0</v>
      </c>
      <c r="K197" s="1151"/>
      <c r="L197" s="915" t="str">
        <f>IF(AND(P179&gt;0,$P$426&gt;0),"The worker has motor loss impairment. No additional impairment value is allowed for reduced range of motion in the same extremity.","")</f>
        <v/>
      </c>
      <c r="M197" s="916"/>
      <c r="N197" s="916"/>
      <c r="O197" s="917"/>
      <c r="P197" s="961"/>
      <c r="R197" s="10"/>
      <c r="S197" s="147">
        <f t="shared" ref="S197:S200" si="37">IF(J197&gt;0,J197,E197)</f>
        <v>0</v>
      </c>
      <c r="T197" s="147">
        <f>LARGE($S$193:$S$200,5)</f>
        <v>0</v>
      </c>
      <c r="U197" s="544">
        <f t="shared" si="35"/>
        <v>0</v>
      </c>
      <c r="V197" s="610">
        <f t="shared" si="33"/>
        <v>0</v>
      </c>
      <c r="W197" s="21">
        <f t="shared" si="36"/>
        <v>0</v>
      </c>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c r="EM197" s="10"/>
      <c r="EN197" s="10"/>
      <c r="EO197" s="10"/>
      <c r="EP197" s="10"/>
      <c r="EQ197" s="10"/>
      <c r="ER197" s="10"/>
      <c r="ES197" s="10"/>
      <c r="ET197" s="10"/>
      <c r="EU197" s="10"/>
      <c r="EV197" s="10"/>
      <c r="EW197" s="10"/>
      <c r="EX197" s="10"/>
      <c r="EY197" s="10"/>
      <c r="EZ197" s="10"/>
      <c r="FA197" s="10"/>
      <c r="FB197" s="10"/>
      <c r="FC197" s="10"/>
      <c r="FD197" s="10"/>
      <c r="FE197" s="10"/>
      <c r="FF197" s="10"/>
      <c r="FG197" s="10"/>
      <c r="FH197" s="10"/>
      <c r="FI197" s="10"/>
      <c r="FJ197" s="10"/>
      <c r="FK197" s="10"/>
      <c r="FL197" s="10"/>
      <c r="FM197" s="10"/>
      <c r="FN197" s="10"/>
      <c r="FO197" s="10"/>
      <c r="FP197" s="10"/>
      <c r="FQ197" s="10"/>
      <c r="FR197" s="10"/>
      <c r="FS197" s="10"/>
      <c r="FT197" s="10"/>
      <c r="FU197" s="10"/>
      <c r="FV197" s="10"/>
      <c r="FW197" s="10"/>
      <c r="FX197" s="10"/>
      <c r="FY197" s="10"/>
      <c r="FZ197" s="10"/>
      <c r="GA197" s="10"/>
      <c r="GB197" s="10"/>
      <c r="GC197" s="10"/>
      <c r="GD197" s="10"/>
      <c r="GE197" s="10"/>
      <c r="GF197" s="10"/>
      <c r="GG197" s="10"/>
      <c r="GH197" s="10"/>
      <c r="GI197" s="10"/>
      <c r="GJ197" s="10"/>
      <c r="GK197" s="10"/>
      <c r="GL197" s="10"/>
      <c r="GM197" s="10"/>
      <c r="GN197" s="10"/>
      <c r="GO197" s="10"/>
      <c r="GP197" s="10"/>
      <c r="GQ197" s="10"/>
      <c r="GR197" s="10"/>
      <c r="GS197" s="10"/>
      <c r="GT197" s="10"/>
      <c r="GU197" s="10"/>
      <c r="GV197" s="10"/>
      <c r="GW197" s="10"/>
      <c r="GX197" s="10"/>
      <c r="GY197" s="10"/>
      <c r="GZ197" s="10"/>
      <c r="HA197" s="10"/>
      <c r="HB197" s="10"/>
      <c r="HC197" s="10"/>
      <c r="HD197" s="10"/>
      <c r="HE197" s="10"/>
      <c r="HF197" s="10"/>
      <c r="HG197" s="10"/>
      <c r="HH197" s="10"/>
      <c r="HI197" s="10"/>
      <c r="HJ197" s="10"/>
      <c r="HK197" s="10"/>
      <c r="HL197" s="10"/>
      <c r="HM197" s="10"/>
      <c r="HN197" s="10"/>
      <c r="HO197" s="10"/>
      <c r="HP197" s="10"/>
      <c r="HQ197" s="10"/>
      <c r="HR197" s="10"/>
      <c r="HS197" s="10"/>
      <c r="HT197" s="10"/>
    </row>
    <row r="198" spans="1:228" ht="18" customHeight="1" x14ac:dyDescent="0.2">
      <c r="B198" s="791" t="s">
        <v>1680</v>
      </c>
      <c r="C198" s="791"/>
      <c r="D198" s="791"/>
      <c r="E198" s="755">
        <f>P188</f>
        <v>0</v>
      </c>
      <c r="F198" s="731"/>
      <c r="G198" s="977"/>
      <c r="H198" s="977"/>
      <c r="I198" s="977"/>
      <c r="J198" s="1151">
        <f t="shared" ref="J198:J200" si="38">IF(AND(W198&lt;0.01,W198&gt;0),0.01,ROUND(W198,2))</f>
        <v>0</v>
      </c>
      <c r="K198" s="1151"/>
      <c r="L198" s="915"/>
      <c r="M198" s="916"/>
      <c r="N198" s="916"/>
      <c r="O198" s="917"/>
      <c r="P198" s="961"/>
      <c r="R198" s="10"/>
      <c r="S198" s="147">
        <f t="shared" si="37"/>
        <v>0</v>
      </c>
      <c r="T198" s="147">
        <f>LARGE($S$193:$S$200,6)</f>
        <v>0</v>
      </c>
      <c r="U198" s="544">
        <f t="shared" si="35"/>
        <v>0</v>
      </c>
      <c r="V198" s="610">
        <f t="shared" si="33"/>
        <v>0</v>
      </c>
      <c r="W198" s="21">
        <f t="shared" si="36"/>
        <v>0</v>
      </c>
      <c r="X198" s="10"/>
      <c r="Y198" s="10"/>
      <c r="Z198" s="6"/>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0"/>
      <c r="EV198" s="10"/>
      <c r="EW198" s="10"/>
      <c r="EX198" s="10"/>
      <c r="EY198" s="10"/>
      <c r="EZ198" s="10"/>
      <c r="FA198" s="10"/>
      <c r="FB198" s="10"/>
      <c r="FC198" s="10"/>
      <c r="FD198" s="10"/>
      <c r="FE198" s="10"/>
      <c r="FF198" s="10"/>
      <c r="FG198" s="10"/>
      <c r="FH198" s="10"/>
      <c r="FI198" s="10"/>
      <c r="FJ198" s="10"/>
      <c r="FK198" s="10"/>
      <c r="FL198" s="10"/>
      <c r="FM198" s="10"/>
      <c r="FN198" s="10"/>
      <c r="FO198" s="10"/>
      <c r="FP198" s="10"/>
      <c r="FQ198" s="10"/>
      <c r="FR198" s="10"/>
      <c r="FS198" s="10"/>
      <c r="FT198" s="10"/>
      <c r="FU198" s="10"/>
      <c r="FV198" s="10"/>
      <c r="FW198" s="10"/>
      <c r="FX198" s="10"/>
      <c r="FY198" s="10"/>
      <c r="FZ198" s="10"/>
      <c r="GA198" s="10"/>
      <c r="GB198" s="10"/>
      <c r="GC198" s="10"/>
      <c r="GD198" s="10"/>
      <c r="GE198" s="10"/>
      <c r="GF198" s="10"/>
      <c r="GG198" s="10"/>
      <c r="GH198" s="10"/>
      <c r="GI198" s="10"/>
      <c r="GJ198" s="10"/>
      <c r="GK198" s="10"/>
      <c r="GL198" s="10"/>
      <c r="GM198" s="10"/>
      <c r="GN198" s="10"/>
      <c r="GO198" s="10"/>
      <c r="GP198" s="10"/>
      <c r="GQ198" s="10"/>
      <c r="GR198" s="10"/>
      <c r="GS198" s="10"/>
      <c r="GT198" s="10"/>
      <c r="GU198" s="10"/>
      <c r="GV198" s="10"/>
      <c r="GW198" s="10"/>
      <c r="GX198" s="10"/>
      <c r="GY198" s="10"/>
      <c r="GZ198" s="10"/>
      <c r="HA198" s="10"/>
      <c r="HB198" s="10"/>
      <c r="HC198" s="10"/>
      <c r="HD198" s="10"/>
      <c r="HE198" s="10"/>
      <c r="HF198" s="10"/>
      <c r="HG198" s="10"/>
      <c r="HH198" s="10"/>
      <c r="HI198" s="10"/>
      <c r="HJ198" s="10"/>
      <c r="HK198" s="10"/>
      <c r="HL198" s="10"/>
      <c r="HM198" s="10"/>
      <c r="HN198" s="10"/>
      <c r="HO198" s="10"/>
      <c r="HP198" s="10"/>
      <c r="HQ198" s="10"/>
      <c r="HR198" s="10"/>
      <c r="HS198" s="10"/>
      <c r="HT198" s="10"/>
    </row>
    <row r="199" spans="1:228" ht="18" customHeight="1" x14ac:dyDescent="0.2">
      <c r="B199" s="742" t="s">
        <v>1681</v>
      </c>
      <c r="C199" s="743"/>
      <c r="D199" s="744"/>
      <c r="E199" s="727">
        <f>P189</f>
        <v>0</v>
      </c>
      <c r="F199" s="729"/>
      <c r="G199" s="977"/>
      <c r="H199" s="977"/>
      <c r="I199" s="977"/>
      <c r="J199" s="1151">
        <f t="shared" si="38"/>
        <v>0</v>
      </c>
      <c r="K199" s="1151"/>
      <c r="L199" s="915"/>
      <c r="M199" s="916"/>
      <c r="N199" s="916"/>
      <c r="O199" s="917"/>
      <c r="P199" s="961"/>
      <c r="R199" s="10"/>
      <c r="S199" s="147">
        <f t="shared" si="37"/>
        <v>0</v>
      </c>
      <c r="T199" s="147">
        <f>LARGE($S$193:$S$200,7)</f>
        <v>0</v>
      </c>
      <c r="U199" s="544">
        <f t="shared" si="35"/>
        <v>0</v>
      </c>
      <c r="V199" s="610">
        <f t="shared" si="33"/>
        <v>0</v>
      </c>
      <c r="W199" s="21">
        <f t="shared" si="36"/>
        <v>0</v>
      </c>
      <c r="X199" s="10"/>
      <c r="Y199" s="10"/>
      <c r="Z199" s="1"/>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0"/>
      <c r="FE199" s="10"/>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0"/>
      <c r="GL199" s="10"/>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0"/>
      <c r="HI199" s="10"/>
      <c r="HJ199" s="10"/>
      <c r="HK199" s="10"/>
      <c r="HL199" s="10"/>
      <c r="HM199" s="10"/>
      <c r="HN199" s="10"/>
      <c r="HO199" s="10"/>
      <c r="HP199" s="10"/>
      <c r="HQ199" s="10"/>
      <c r="HR199" s="10"/>
      <c r="HS199" s="10"/>
      <c r="HT199" s="10"/>
    </row>
    <row r="200" spans="1:228" ht="18" customHeight="1" x14ac:dyDescent="0.2">
      <c r="B200" s="789" t="s">
        <v>1110</v>
      </c>
      <c r="C200" s="789"/>
      <c r="D200" s="789"/>
      <c r="E200" s="1022">
        <f>P190</f>
        <v>0</v>
      </c>
      <c r="F200" s="1022"/>
      <c r="G200" s="977"/>
      <c r="H200" s="977"/>
      <c r="I200" s="977"/>
      <c r="J200" s="1151">
        <f t="shared" si="38"/>
        <v>0</v>
      </c>
      <c r="K200" s="1151"/>
      <c r="L200" s="915"/>
      <c r="M200" s="916"/>
      <c r="N200" s="916"/>
      <c r="O200" s="917"/>
      <c r="P200" s="961"/>
      <c r="R200" s="10"/>
      <c r="S200" s="147">
        <f t="shared" si="37"/>
        <v>0</v>
      </c>
      <c r="T200" s="147">
        <f>LARGE($S$193:$S$200,8)</f>
        <v>0</v>
      </c>
      <c r="U200" s="96"/>
      <c r="V200" s="128"/>
      <c r="W200" s="21">
        <f t="shared" si="36"/>
        <v>0</v>
      </c>
      <c r="X200" s="10"/>
      <c r="Y200" s="10"/>
      <c r="Z200" s="6"/>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0"/>
      <c r="EN200" s="10"/>
      <c r="EO200" s="10"/>
      <c r="EP200" s="10"/>
      <c r="EQ200" s="10"/>
      <c r="ER200" s="10"/>
      <c r="ES200" s="10"/>
      <c r="ET200" s="10"/>
      <c r="EU200" s="10"/>
      <c r="EV200" s="10"/>
      <c r="EW200" s="10"/>
      <c r="EX200" s="10"/>
      <c r="EY200" s="10"/>
      <c r="EZ200" s="10"/>
      <c r="FA200" s="10"/>
      <c r="FB200" s="10"/>
      <c r="FC200" s="10"/>
      <c r="FD200" s="10"/>
      <c r="FE200" s="10"/>
      <c r="FF200" s="10"/>
      <c r="FG200" s="10"/>
      <c r="FH200" s="10"/>
      <c r="FI200" s="10"/>
      <c r="FJ200" s="10"/>
      <c r="FK200" s="10"/>
      <c r="FL200" s="10"/>
      <c r="FM200" s="10"/>
      <c r="FN200" s="10"/>
      <c r="FO200" s="10"/>
      <c r="FP200" s="10"/>
      <c r="FQ200" s="10"/>
      <c r="FR200" s="10"/>
      <c r="FS200" s="10"/>
      <c r="FT200" s="10"/>
      <c r="FU200" s="10"/>
      <c r="FV200" s="10"/>
      <c r="FW200" s="10"/>
      <c r="FX200" s="10"/>
      <c r="FY200" s="10"/>
      <c r="FZ200" s="10"/>
      <c r="GA200" s="10"/>
      <c r="GB200" s="10"/>
      <c r="GC200" s="10"/>
      <c r="GD200" s="10"/>
      <c r="GE200" s="10"/>
      <c r="GF200" s="10"/>
      <c r="GG200" s="10"/>
      <c r="GH200" s="10"/>
      <c r="GI200" s="10"/>
      <c r="GJ200" s="10"/>
      <c r="GK200" s="10"/>
      <c r="GL200" s="10"/>
      <c r="GM200" s="10"/>
      <c r="GN200" s="10"/>
      <c r="GO200" s="10"/>
      <c r="GP200" s="10"/>
      <c r="GQ200" s="10"/>
      <c r="GR200" s="10"/>
      <c r="GS200" s="10"/>
      <c r="GT200" s="10"/>
      <c r="GU200" s="10"/>
      <c r="GV200" s="10"/>
      <c r="GW200" s="10"/>
      <c r="GX200" s="10"/>
      <c r="GY200" s="10"/>
      <c r="GZ200" s="10"/>
      <c r="HA200" s="10"/>
      <c r="HB200" s="10"/>
      <c r="HC200" s="10"/>
      <c r="HD200" s="10"/>
      <c r="HE200" s="10"/>
      <c r="HF200" s="10"/>
      <c r="HG200" s="10"/>
      <c r="HH200" s="10"/>
      <c r="HI200" s="10"/>
      <c r="HJ200" s="10"/>
      <c r="HK200" s="10"/>
      <c r="HL200" s="10"/>
      <c r="HM200" s="10"/>
      <c r="HN200" s="10"/>
      <c r="HO200" s="10"/>
      <c r="HP200" s="10"/>
      <c r="HQ200" s="10"/>
      <c r="HR200" s="10"/>
      <c r="HS200" s="10"/>
      <c r="HT200" s="10"/>
    </row>
    <row r="201" spans="1:228" ht="18" customHeight="1" x14ac:dyDescent="0.2">
      <c r="B201" s="957" t="s">
        <v>904</v>
      </c>
      <c r="C201" s="957"/>
      <c r="D201" s="957"/>
      <c r="E201" s="957"/>
      <c r="F201" s="957"/>
      <c r="G201" s="957"/>
      <c r="H201" s="957"/>
      <c r="I201" s="957"/>
      <c r="J201" s="957"/>
      <c r="K201" s="957"/>
      <c r="L201" s="957"/>
      <c r="M201" s="957"/>
      <c r="N201" s="957"/>
      <c r="O201" s="957"/>
      <c r="P201" s="962"/>
      <c r="R201" s="10"/>
      <c r="S201" s="14"/>
      <c r="T201" s="96"/>
      <c r="U201" s="128"/>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0"/>
      <c r="EN201" s="10"/>
      <c r="EO201" s="10"/>
      <c r="EP201" s="10"/>
      <c r="EQ201" s="10"/>
      <c r="ER201" s="10"/>
      <c r="ES201" s="10"/>
      <c r="ET201" s="10"/>
      <c r="EU201" s="10"/>
      <c r="EV201" s="10"/>
      <c r="EW201" s="10"/>
      <c r="EX201" s="10"/>
      <c r="EY201" s="10"/>
      <c r="EZ201" s="10"/>
      <c r="FA201" s="10"/>
      <c r="FB201" s="10"/>
      <c r="FC201" s="10"/>
      <c r="FD201" s="10"/>
      <c r="FE201" s="10"/>
      <c r="FF201" s="10"/>
      <c r="FG201" s="10"/>
      <c r="FH201" s="10"/>
      <c r="FI201" s="10"/>
      <c r="FJ201" s="10"/>
      <c r="FK201" s="10"/>
      <c r="FL201" s="10"/>
      <c r="FM201" s="10"/>
      <c r="FN201" s="10"/>
      <c r="FO201" s="10"/>
      <c r="FP201" s="10"/>
      <c r="FQ201" s="10"/>
      <c r="FR201" s="10"/>
      <c r="FS201" s="10"/>
      <c r="FT201" s="10"/>
      <c r="FU201" s="10"/>
      <c r="FV201" s="10"/>
      <c r="FW201" s="10"/>
      <c r="FX201" s="10"/>
      <c r="FY201" s="10"/>
      <c r="FZ201" s="10"/>
      <c r="GA201" s="10"/>
      <c r="GB201" s="10"/>
      <c r="GC201" s="10"/>
      <c r="GD201" s="10"/>
      <c r="GE201" s="10"/>
      <c r="GF201" s="10"/>
      <c r="GG201" s="10"/>
      <c r="GH201" s="10"/>
      <c r="GI201" s="10"/>
      <c r="GJ201" s="10"/>
      <c r="GK201" s="10"/>
      <c r="GL201" s="10"/>
      <c r="GM201" s="10"/>
      <c r="GN201" s="10"/>
      <c r="GO201" s="10"/>
      <c r="GP201" s="10"/>
      <c r="GQ201" s="10"/>
      <c r="GR201" s="10"/>
      <c r="GS201" s="10"/>
      <c r="GT201" s="10"/>
      <c r="GU201" s="10"/>
      <c r="GV201" s="10"/>
      <c r="GW201" s="10"/>
      <c r="GX201" s="10"/>
      <c r="GY201" s="10"/>
      <c r="GZ201" s="10"/>
      <c r="HA201" s="10"/>
      <c r="HB201" s="10"/>
      <c r="HC201" s="10"/>
      <c r="HD201" s="10"/>
      <c r="HE201" s="10"/>
      <c r="HF201" s="10"/>
      <c r="HG201" s="10"/>
      <c r="HH201" s="10"/>
      <c r="HI201" s="10"/>
      <c r="HJ201" s="10"/>
      <c r="HK201" s="10"/>
      <c r="HL201" s="10"/>
      <c r="HM201" s="10"/>
      <c r="HN201" s="10"/>
      <c r="HO201" s="10"/>
      <c r="HP201" s="10"/>
      <c r="HQ201" s="10"/>
      <c r="HR201" s="10"/>
      <c r="HS201" s="10"/>
      <c r="HT201" s="10"/>
    </row>
    <row r="202" spans="1:228" ht="15.75" x14ac:dyDescent="0.25">
      <c r="B202" s="1183"/>
      <c r="C202" s="1183"/>
      <c r="D202" s="1183"/>
      <c r="E202" s="1183"/>
      <c r="F202" s="1183"/>
      <c r="G202" s="1183"/>
      <c r="H202" s="1183"/>
      <c r="I202" s="1183"/>
      <c r="J202" s="1183"/>
      <c r="K202" s="1183"/>
      <c r="L202" s="1183"/>
      <c r="M202" s="1183"/>
      <c r="N202" s="1183"/>
      <c r="O202" s="1183"/>
      <c r="P202" s="29"/>
      <c r="R202" s="10"/>
      <c r="S202" s="10"/>
      <c r="T202" s="10"/>
      <c r="U202" s="10"/>
      <c r="V202" s="10"/>
      <c r="W202" s="10"/>
      <c r="X202" s="6"/>
      <c r="Y202" s="6"/>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c r="EM202" s="10"/>
      <c r="EN202" s="10"/>
      <c r="EO202" s="10"/>
      <c r="EP202" s="10"/>
      <c r="EQ202" s="10"/>
      <c r="ER202" s="10"/>
      <c r="ES202" s="10"/>
      <c r="ET202" s="10"/>
      <c r="EU202" s="10"/>
      <c r="EV202" s="10"/>
      <c r="EW202" s="10"/>
      <c r="EX202" s="10"/>
      <c r="EY202" s="10"/>
      <c r="EZ202" s="10"/>
      <c r="FA202" s="10"/>
      <c r="FB202" s="10"/>
      <c r="FC202" s="10"/>
      <c r="FD202" s="10"/>
      <c r="FE202" s="10"/>
      <c r="FF202" s="10"/>
      <c r="FG202" s="10"/>
      <c r="FH202" s="10"/>
      <c r="FI202" s="10"/>
      <c r="FJ202" s="10"/>
      <c r="FK202" s="10"/>
      <c r="FL202" s="10"/>
      <c r="FM202" s="10"/>
      <c r="FN202" s="10"/>
      <c r="FO202" s="10"/>
      <c r="FP202" s="10"/>
      <c r="FQ202" s="10"/>
      <c r="FR202" s="10"/>
      <c r="FS202" s="10"/>
      <c r="FT202" s="10"/>
      <c r="FU202" s="10"/>
      <c r="FV202" s="10"/>
      <c r="FW202" s="10"/>
      <c r="FX202" s="10"/>
      <c r="FY202" s="10"/>
      <c r="FZ202" s="10"/>
      <c r="GA202" s="10"/>
      <c r="GB202" s="10"/>
      <c r="GC202" s="10"/>
      <c r="GD202" s="10"/>
      <c r="GE202" s="10"/>
      <c r="GF202" s="10"/>
      <c r="GG202" s="10"/>
      <c r="GH202" s="10"/>
      <c r="GI202" s="10"/>
      <c r="GJ202" s="10"/>
      <c r="GK202" s="10"/>
      <c r="GL202" s="10"/>
      <c r="GM202" s="10"/>
      <c r="GN202" s="10"/>
      <c r="GO202" s="10"/>
      <c r="GP202" s="10"/>
      <c r="GQ202" s="10"/>
      <c r="GR202" s="10"/>
      <c r="GS202" s="10"/>
      <c r="GT202" s="10"/>
      <c r="GU202" s="10"/>
      <c r="GV202" s="10"/>
      <c r="GW202" s="10"/>
      <c r="GX202" s="10"/>
      <c r="GY202" s="10"/>
      <c r="GZ202" s="10"/>
      <c r="HA202" s="10"/>
      <c r="HB202" s="10"/>
      <c r="HC202" s="10"/>
      <c r="HD202" s="10"/>
      <c r="HE202" s="10"/>
      <c r="HF202" s="10"/>
      <c r="HG202" s="10"/>
      <c r="HH202" s="10"/>
      <c r="HI202" s="10"/>
      <c r="HJ202" s="10"/>
      <c r="HK202" s="10"/>
      <c r="HL202" s="10"/>
      <c r="HM202" s="10"/>
      <c r="HN202" s="10"/>
      <c r="HO202" s="10"/>
      <c r="HP202" s="10"/>
      <c r="HQ202" s="10"/>
      <c r="HR202" s="10"/>
      <c r="HS202" s="10"/>
      <c r="HT202" s="10"/>
    </row>
    <row r="203" spans="1:228" ht="12" customHeight="1" thickBot="1" x14ac:dyDescent="0.3">
      <c r="B203" s="1322"/>
      <c r="C203" s="1322"/>
      <c r="D203" s="1322"/>
      <c r="E203" s="1322"/>
      <c r="F203" s="1322"/>
      <c r="G203" s="1322"/>
      <c r="H203" s="1322"/>
      <c r="I203" s="1322"/>
      <c r="J203" s="1322"/>
      <c r="K203" s="1322"/>
      <c r="L203" s="1322"/>
      <c r="M203" s="1322"/>
      <c r="N203" s="1322"/>
      <c r="O203" s="1322"/>
      <c r="P203" s="29"/>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c r="EM203" s="10"/>
      <c r="EN203" s="10"/>
      <c r="EO203" s="10"/>
      <c r="EP203" s="10"/>
      <c r="EQ203" s="10"/>
      <c r="ER203" s="10"/>
      <c r="ES203" s="10"/>
      <c r="ET203" s="10"/>
      <c r="EU203" s="10"/>
      <c r="EV203" s="10"/>
      <c r="EW203" s="10"/>
      <c r="EX203" s="10"/>
      <c r="EY203" s="10"/>
      <c r="EZ203" s="10"/>
      <c r="FA203" s="10"/>
      <c r="FB203" s="10"/>
      <c r="FC203" s="10"/>
      <c r="FD203" s="10"/>
      <c r="FE203" s="10"/>
      <c r="FF203" s="10"/>
      <c r="FG203" s="10"/>
      <c r="FH203" s="10"/>
      <c r="FI203" s="10"/>
      <c r="FJ203" s="10"/>
      <c r="FK203" s="10"/>
      <c r="FL203" s="10"/>
      <c r="FM203" s="10"/>
      <c r="FN203" s="10"/>
      <c r="FO203" s="10"/>
      <c r="FP203" s="10"/>
      <c r="FQ203" s="10"/>
      <c r="FR203" s="10"/>
      <c r="FS203" s="10"/>
      <c r="FT203" s="10"/>
      <c r="FU203" s="10"/>
      <c r="FV203" s="10"/>
      <c r="FW203" s="10"/>
      <c r="FX203" s="10"/>
      <c r="FY203" s="10"/>
      <c r="FZ203" s="10"/>
      <c r="GA203" s="10"/>
      <c r="GB203" s="10"/>
      <c r="GC203" s="10"/>
      <c r="GD203" s="10"/>
      <c r="GE203" s="10"/>
      <c r="GF203" s="10"/>
      <c r="GG203" s="10"/>
      <c r="GH203" s="10"/>
      <c r="GI203" s="10"/>
      <c r="GJ203" s="10"/>
      <c r="GK203" s="10"/>
      <c r="GL203" s="10"/>
      <c r="GM203" s="10"/>
      <c r="GN203" s="10"/>
      <c r="GO203" s="10"/>
      <c r="GP203" s="10"/>
      <c r="GQ203" s="10"/>
      <c r="GR203" s="10"/>
      <c r="GS203" s="10"/>
      <c r="GT203" s="10"/>
      <c r="GU203" s="10"/>
      <c r="GV203" s="10"/>
      <c r="GW203" s="10"/>
      <c r="GX203" s="10"/>
      <c r="GY203" s="10"/>
      <c r="GZ203" s="10"/>
      <c r="HA203" s="10"/>
      <c r="HB203" s="10"/>
      <c r="HC203" s="10"/>
      <c r="HD203" s="10"/>
      <c r="HE203" s="10"/>
      <c r="HF203" s="10"/>
      <c r="HG203" s="10"/>
      <c r="HH203" s="10"/>
      <c r="HI203" s="10"/>
      <c r="HJ203" s="10"/>
      <c r="HK203" s="10"/>
      <c r="HL203" s="10"/>
      <c r="HM203" s="10"/>
      <c r="HN203" s="10"/>
      <c r="HO203" s="10"/>
      <c r="HP203" s="10"/>
      <c r="HQ203" s="10"/>
      <c r="HR203" s="10"/>
      <c r="HS203" s="10"/>
      <c r="HT203" s="10"/>
    </row>
    <row r="204" spans="1:228" ht="18" customHeight="1" thickBot="1" x14ac:dyDescent="0.25">
      <c r="B204" s="1315" t="s">
        <v>905</v>
      </c>
      <c r="C204" s="1316"/>
      <c r="D204" s="1316"/>
      <c r="E204" s="1316"/>
      <c r="F204" s="1316"/>
      <c r="G204" s="1316"/>
      <c r="H204" s="1316"/>
      <c r="I204" s="1316"/>
      <c r="J204" s="1316"/>
      <c r="K204" s="1316"/>
      <c r="L204" s="1316"/>
      <c r="M204" s="1316"/>
      <c r="N204" s="1316"/>
      <c r="O204" s="1316"/>
      <c r="P204" s="1317"/>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c r="EM204" s="10"/>
      <c r="EN204" s="10"/>
      <c r="EO204" s="10"/>
      <c r="EP204" s="10"/>
      <c r="EQ204" s="10"/>
      <c r="ER204" s="10"/>
      <c r="ES204" s="10"/>
      <c r="ET204" s="10"/>
      <c r="EU204" s="10"/>
      <c r="EV204" s="10"/>
      <c r="EW204" s="10"/>
      <c r="EX204" s="10"/>
      <c r="EY204" s="10"/>
      <c r="EZ204" s="10"/>
      <c r="FA204" s="10"/>
      <c r="FB204" s="10"/>
      <c r="FC204" s="10"/>
      <c r="FD204" s="10"/>
      <c r="FE204" s="10"/>
      <c r="FF204" s="10"/>
      <c r="FG204" s="10"/>
      <c r="FH204" s="10"/>
      <c r="FI204" s="10"/>
      <c r="FJ204" s="10"/>
      <c r="FK204" s="10"/>
      <c r="FL204" s="10"/>
      <c r="FM204" s="10"/>
      <c r="FN204" s="10"/>
      <c r="FO204" s="10"/>
      <c r="FP204" s="10"/>
      <c r="FQ204" s="10"/>
      <c r="FR204" s="10"/>
      <c r="FS204" s="10"/>
      <c r="FT204" s="10"/>
      <c r="FU204" s="10"/>
      <c r="FV204" s="10"/>
      <c r="FW204" s="10"/>
      <c r="FX204" s="10"/>
      <c r="FY204" s="10"/>
      <c r="FZ204" s="10"/>
      <c r="GA204" s="10"/>
      <c r="GB204" s="10"/>
      <c r="GC204" s="10"/>
      <c r="GD204" s="10"/>
      <c r="GE204" s="10"/>
      <c r="GF204" s="10"/>
      <c r="GG204" s="10"/>
      <c r="GH204" s="10"/>
      <c r="GI204" s="10"/>
      <c r="GJ204" s="10"/>
      <c r="GK204" s="10"/>
      <c r="GL204" s="10"/>
      <c r="GM204" s="10"/>
      <c r="GN204" s="10"/>
      <c r="GO204" s="10"/>
      <c r="GP204" s="10"/>
      <c r="GQ204" s="10"/>
      <c r="GR204" s="10"/>
      <c r="GS204" s="10"/>
      <c r="GT204" s="10"/>
      <c r="GU204" s="10"/>
      <c r="GV204" s="10"/>
      <c r="GW204" s="10"/>
      <c r="GX204" s="10"/>
      <c r="GY204" s="10"/>
      <c r="GZ204" s="10"/>
      <c r="HA204" s="10"/>
      <c r="HB204" s="10"/>
      <c r="HC204" s="10"/>
      <c r="HD204" s="10"/>
      <c r="HE204" s="10"/>
      <c r="HF204" s="10"/>
      <c r="HG204" s="10"/>
      <c r="HH204" s="10"/>
      <c r="HI204" s="10"/>
      <c r="HJ204" s="10"/>
      <c r="HK204" s="10"/>
      <c r="HL204" s="10"/>
      <c r="HM204" s="10"/>
      <c r="HN204" s="10"/>
      <c r="HO204" s="10"/>
      <c r="HP204" s="10"/>
      <c r="HQ204" s="10"/>
      <c r="HR204" s="10"/>
      <c r="HS204" s="10"/>
      <c r="HT204" s="10"/>
    </row>
    <row r="205" spans="1:228" ht="12" customHeight="1" x14ac:dyDescent="0.3">
      <c r="B205" s="1329"/>
      <c r="C205" s="1329"/>
      <c r="D205" s="1329"/>
      <c r="E205" s="1329"/>
      <c r="F205" s="1329"/>
      <c r="G205" s="1329"/>
      <c r="H205" s="1329"/>
      <c r="I205" s="1329"/>
      <c r="J205" s="1329"/>
      <c r="K205" s="1329"/>
      <c r="L205" s="1329"/>
      <c r="M205" s="1329"/>
      <c r="N205" s="1329"/>
      <c r="O205" s="1329"/>
      <c r="P205" s="393"/>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c r="EM205" s="10"/>
      <c r="EN205" s="10"/>
      <c r="EO205" s="10"/>
      <c r="EP205" s="10"/>
      <c r="EQ205" s="10"/>
      <c r="ER205" s="10"/>
      <c r="ES205" s="10"/>
      <c r="ET205" s="10"/>
      <c r="EU205" s="10"/>
      <c r="EV205" s="10"/>
      <c r="EW205" s="10"/>
      <c r="EX205" s="10"/>
      <c r="EY205" s="10"/>
      <c r="EZ205" s="10"/>
      <c r="FA205" s="10"/>
      <c r="FB205" s="10"/>
      <c r="FC205" s="10"/>
      <c r="FD205" s="10"/>
      <c r="FE205" s="10"/>
      <c r="FF205" s="10"/>
      <c r="FG205" s="10"/>
      <c r="FH205" s="10"/>
      <c r="FI205" s="10"/>
      <c r="FJ205" s="10"/>
      <c r="FK205" s="10"/>
      <c r="FL205" s="10"/>
      <c r="FM205" s="10"/>
      <c r="FN205" s="10"/>
      <c r="FO205" s="10"/>
      <c r="FP205" s="10"/>
      <c r="FQ205" s="10"/>
      <c r="FR205" s="10"/>
      <c r="FS205" s="10"/>
      <c r="FT205" s="10"/>
      <c r="FU205" s="10"/>
      <c r="FV205" s="10"/>
      <c r="FW205" s="10"/>
      <c r="FX205" s="10"/>
      <c r="FY205" s="10"/>
      <c r="FZ205" s="10"/>
      <c r="GA205" s="10"/>
      <c r="GB205" s="10"/>
      <c r="GC205" s="10"/>
      <c r="GD205" s="10"/>
      <c r="GE205" s="10"/>
      <c r="GF205" s="10"/>
      <c r="GG205" s="10"/>
      <c r="GH205" s="10"/>
      <c r="GI205" s="10"/>
      <c r="GJ205" s="10"/>
      <c r="GK205" s="10"/>
      <c r="GL205" s="10"/>
      <c r="GM205" s="10"/>
      <c r="GN205" s="10"/>
      <c r="GO205" s="10"/>
      <c r="GP205" s="10"/>
      <c r="GQ205" s="10"/>
      <c r="GR205" s="10"/>
      <c r="GS205" s="10"/>
      <c r="GT205" s="10"/>
      <c r="GU205" s="10"/>
      <c r="GV205" s="10"/>
      <c r="GW205" s="10"/>
      <c r="GX205" s="10"/>
      <c r="GY205" s="10"/>
      <c r="GZ205" s="10"/>
      <c r="HA205" s="10"/>
      <c r="HB205" s="10"/>
      <c r="HC205" s="10"/>
      <c r="HD205" s="10"/>
      <c r="HE205" s="10"/>
      <c r="HF205" s="10"/>
      <c r="HG205" s="10"/>
      <c r="HH205" s="10"/>
      <c r="HI205" s="10"/>
      <c r="HJ205" s="10"/>
      <c r="HK205" s="10"/>
      <c r="HL205" s="10"/>
      <c r="HM205" s="10"/>
      <c r="HN205" s="10"/>
      <c r="HO205" s="10"/>
      <c r="HP205" s="10"/>
      <c r="HQ205" s="10"/>
      <c r="HR205" s="10"/>
      <c r="HS205" s="10"/>
      <c r="HT205" s="10"/>
    </row>
    <row r="206" spans="1:228" ht="18" customHeight="1" x14ac:dyDescent="0.25">
      <c r="B206" s="944" t="s">
        <v>906</v>
      </c>
      <c r="C206" s="945"/>
      <c r="D206" s="945"/>
      <c r="E206" s="945"/>
      <c r="F206" s="945"/>
      <c r="G206" s="945"/>
      <c r="H206" s="945"/>
      <c r="I206" s="945"/>
      <c r="J206" s="945"/>
      <c r="K206" s="945"/>
      <c r="L206" s="945"/>
      <c r="M206" s="945"/>
      <c r="N206" s="945"/>
      <c r="O206" s="946"/>
      <c r="P206" s="383"/>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row>
    <row r="207" spans="1:228" ht="18" customHeight="1" x14ac:dyDescent="0.2">
      <c r="A207" s="15"/>
      <c r="B207" s="1256"/>
      <c r="C207" s="1256"/>
      <c r="D207" s="1256"/>
      <c r="E207" s="1256"/>
      <c r="F207" s="1256"/>
      <c r="G207" s="1256"/>
      <c r="H207" s="1256"/>
      <c r="I207" s="1256"/>
      <c r="J207" s="1256"/>
      <c r="K207" s="1256"/>
      <c r="L207" s="1256"/>
      <c r="M207" s="1256"/>
      <c r="N207" s="1256"/>
      <c r="O207" s="1245"/>
      <c r="P207" s="21">
        <f>IF(B207=S207,1,IF(B207=T207,0.75,IF(B207=U207,0.5,0)))</f>
        <v>0</v>
      </c>
      <c r="R207" s="605" t="s">
        <v>2147</v>
      </c>
      <c r="S207" s="50" t="s">
        <v>907</v>
      </c>
      <c r="T207" s="50" t="s">
        <v>908</v>
      </c>
      <c r="U207" s="50" t="s">
        <v>1590</v>
      </c>
      <c r="V207" s="14"/>
      <c r="W207" s="98">
        <v>1E-4</v>
      </c>
      <c r="X207" s="14"/>
      <c r="Y207" s="14"/>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c r="EM207" s="10"/>
      <c r="EN207" s="10"/>
      <c r="EO207" s="10"/>
      <c r="EP207" s="10"/>
      <c r="EQ207" s="10"/>
      <c r="ER207" s="10"/>
      <c r="ES207" s="10"/>
      <c r="ET207" s="10"/>
      <c r="EU207" s="10"/>
      <c r="EV207" s="10"/>
      <c r="EW207" s="10"/>
      <c r="EX207" s="10"/>
      <c r="EY207" s="10"/>
      <c r="EZ207" s="10"/>
      <c r="FA207" s="10"/>
      <c r="FB207" s="10"/>
      <c r="FC207" s="10"/>
      <c r="FD207" s="10"/>
      <c r="FE207" s="10"/>
      <c r="FF207" s="10"/>
      <c r="FG207" s="10"/>
      <c r="FH207" s="10"/>
      <c r="FI207" s="10"/>
      <c r="FJ207" s="10"/>
      <c r="FK207" s="10"/>
      <c r="FL207" s="10"/>
      <c r="FM207" s="10"/>
      <c r="FN207" s="10"/>
      <c r="FO207" s="10"/>
      <c r="FP207" s="10"/>
      <c r="FQ207" s="10"/>
      <c r="FR207" s="10"/>
      <c r="FS207" s="10"/>
      <c r="FT207" s="10"/>
      <c r="FU207" s="10"/>
      <c r="FV207" s="10"/>
      <c r="FW207" s="10"/>
      <c r="FX207" s="10"/>
      <c r="FY207" s="10"/>
      <c r="FZ207" s="10"/>
      <c r="GA207" s="10"/>
      <c r="GB207" s="10"/>
      <c r="GC207" s="10"/>
      <c r="GD207" s="10"/>
      <c r="GE207" s="10"/>
      <c r="GF207" s="10"/>
      <c r="GG207" s="10"/>
      <c r="GH207" s="10"/>
      <c r="GI207" s="10"/>
      <c r="GJ207" s="10"/>
      <c r="GK207" s="10"/>
      <c r="GL207" s="10"/>
      <c r="GM207" s="10"/>
      <c r="GN207" s="10"/>
      <c r="GO207" s="10"/>
      <c r="GP207" s="10"/>
      <c r="GQ207" s="10"/>
      <c r="GR207" s="10"/>
      <c r="GS207" s="10"/>
      <c r="GT207" s="10"/>
      <c r="GU207" s="10"/>
      <c r="GV207" s="10"/>
      <c r="GW207" s="10"/>
      <c r="GX207" s="10"/>
      <c r="GY207" s="10"/>
      <c r="GZ207" s="10"/>
      <c r="HA207" s="10"/>
      <c r="HB207" s="10"/>
      <c r="HC207" s="10"/>
      <c r="HD207" s="10"/>
      <c r="HE207" s="10"/>
      <c r="HF207" s="10"/>
      <c r="HG207" s="10"/>
      <c r="HH207" s="10"/>
      <c r="HI207" s="10"/>
      <c r="HJ207" s="10"/>
      <c r="HK207" s="10"/>
      <c r="HL207" s="10"/>
      <c r="HM207" s="10"/>
      <c r="HN207" s="10"/>
      <c r="HO207" s="10"/>
      <c r="HP207" s="10"/>
      <c r="HQ207" s="10"/>
      <c r="HR207" s="10"/>
      <c r="HS207" s="10"/>
      <c r="HT207" s="10"/>
    </row>
    <row r="208" spans="1:228" ht="18" customHeight="1" x14ac:dyDescent="0.2">
      <c r="A208" s="15"/>
      <c r="B208" s="742" t="s">
        <v>1591</v>
      </c>
      <c r="C208" s="743"/>
      <c r="D208" s="743"/>
      <c r="E208" s="744"/>
      <c r="F208" s="995"/>
      <c r="G208" s="997"/>
      <c r="H208" s="791" t="s">
        <v>1592</v>
      </c>
      <c r="I208" s="791"/>
      <c r="J208" s="791"/>
      <c r="K208" s="791"/>
      <c r="L208" s="791"/>
      <c r="M208" s="791"/>
      <c r="N208" s="791"/>
      <c r="O208" s="791"/>
      <c r="P208" s="21">
        <f>IF($P$207&gt;0,0,IF(S208=1,0.1,0))</f>
        <v>0</v>
      </c>
      <c r="R208" s="546" t="b">
        <v>0</v>
      </c>
      <c r="S208" s="571">
        <f>IF(R208=TRUE,1,0)</f>
        <v>0</v>
      </c>
      <c r="T208" s="10"/>
      <c r="U208" s="10"/>
      <c r="V208" s="10"/>
      <c r="W208" s="10">
        <v>1E-4</v>
      </c>
      <c r="X208" s="10"/>
      <c r="Y208" s="135"/>
      <c r="Z208" s="724"/>
      <c r="AA208" s="724"/>
      <c r="AB208" s="724"/>
      <c r="AC208" s="10"/>
      <c r="AD208" s="10"/>
      <c r="AE208" s="10"/>
      <c r="AF208" s="10"/>
      <c r="AG208" s="10"/>
      <c r="AH208" s="10"/>
      <c r="AI208" s="94"/>
      <c r="AJ208" s="724"/>
      <c r="AK208" s="724"/>
      <c r="AL208" s="724"/>
      <c r="AM208" s="724"/>
      <c r="AN208" s="724"/>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c r="EM208" s="10"/>
      <c r="EN208" s="10"/>
      <c r="EO208" s="10"/>
      <c r="EP208" s="10"/>
      <c r="EQ208" s="10"/>
      <c r="ER208" s="10"/>
      <c r="ES208" s="10"/>
      <c r="ET208" s="10"/>
      <c r="EU208" s="10"/>
      <c r="EV208" s="10"/>
      <c r="EW208" s="10"/>
      <c r="EX208" s="10"/>
      <c r="EY208" s="10"/>
      <c r="EZ208" s="10"/>
      <c r="FA208" s="10"/>
      <c r="FB208" s="10"/>
      <c r="FC208" s="10"/>
      <c r="FD208" s="10"/>
      <c r="FE208" s="10"/>
      <c r="FF208" s="10"/>
      <c r="FG208" s="10"/>
      <c r="FH208" s="10"/>
      <c r="FI208" s="10"/>
      <c r="FJ208" s="10"/>
      <c r="FK208" s="10"/>
      <c r="FL208" s="10"/>
      <c r="FM208" s="10"/>
      <c r="FN208" s="10"/>
      <c r="FO208" s="10"/>
      <c r="FP208" s="10"/>
      <c r="FQ208" s="10"/>
      <c r="FR208" s="10"/>
      <c r="FS208" s="10"/>
      <c r="FT208" s="10"/>
      <c r="FU208" s="10"/>
      <c r="FV208" s="10"/>
      <c r="FW208" s="10"/>
      <c r="FX208" s="10"/>
      <c r="FY208" s="10"/>
      <c r="FZ208" s="10"/>
      <c r="GA208" s="10"/>
      <c r="GB208" s="10"/>
      <c r="GC208" s="10"/>
      <c r="GD208" s="10"/>
      <c r="GE208" s="10"/>
      <c r="GF208" s="10"/>
      <c r="GG208" s="10"/>
      <c r="GH208" s="10"/>
      <c r="GI208" s="10"/>
      <c r="GJ208" s="10"/>
      <c r="GK208" s="10"/>
      <c r="GL208" s="10"/>
      <c r="GM208" s="10"/>
      <c r="GN208" s="10"/>
      <c r="GO208" s="10"/>
      <c r="GP208" s="10"/>
      <c r="GQ208" s="10"/>
      <c r="GR208" s="10"/>
      <c r="GS208" s="10"/>
      <c r="GT208" s="10"/>
      <c r="GU208" s="10"/>
      <c r="GV208" s="10"/>
      <c r="GW208" s="10"/>
      <c r="GX208" s="10"/>
      <c r="GY208" s="10"/>
      <c r="GZ208" s="10"/>
      <c r="HA208" s="10"/>
      <c r="HB208" s="10"/>
      <c r="HC208" s="10"/>
      <c r="HD208" s="10"/>
      <c r="HE208" s="10"/>
      <c r="HF208" s="10"/>
      <c r="HG208" s="10"/>
      <c r="HH208" s="10"/>
      <c r="HI208" s="10"/>
      <c r="HJ208" s="10"/>
      <c r="HK208" s="10"/>
      <c r="HL208" s="10"/>
      <c r="HM208" s="10"/>
      <c r="HN208" s="10"/>
      <c r="HO208" s="10"/>
      <c r="HP208" s="10"/>
      <c r="HQ208" s="10"/>
      <c r="HR208" s="10"/>
      <c r="HS208" s="10"/>
      <c r="HT208" s="10"/>
    </row>
    <row r="209" spans="1:228" ht="18" customHeight="1" x14ac:dyDescent="0.2">
      <c r="B209" s="1211" t="str">
        <f>IF(AND(P207=0.5,T211=1),"ERROR: Foot loss has occurred at the mid-metatarsal area and awarded a value of 50%; no additional value can be awarded for the metatarsals; uncheck boxes at right.",IF(AND(P207&gt;0,T211=1),"ERROR: Foot/lower leg loss is proximal to the metatarsals; uncheck boxes at right.",""))</f>
        <v/>
      </c>
      <c r="C209" s="1212"/>
      <c r="D209" s="1212"/>
      <c r="E209" s="1213"/>
      <c r="F209" s="995"/>
      <c r="G209" s="997"/>
      <c r="H209" s="791" t="s">
        <v>341</v>
      </c>
      <c r="I209" s="791"/>
      <c r="J209" s="791"/>
      <c r="K209" s="791"/>
      <c r="L209" s="791"/>
      <c r="M209" s="791"/>
      <c r="N209" s="791"/>
      <c r="O209" s="791"/>
      <c r="P209" s="21">
        <f>IF($P$207&gt;0,0,IF(S209=1,0.1,0))</f>
        <v>0</v>
      </c>
      <c r="R209" s="546" t="b">
        <v>0</v>
      </c>
      <c r="S209" s="571">
        <f>IF(R209=TRUE,1,0)</f>
        <v>0</v>
      </c>
      <c r="T209" s="50" t="s">
        <v>342</v>
      </c>
      <c r="U209" s="10"/>
      <c r="V209" s="10"/>
      <c r="W209" s="10"/>
      <c r="X209" s="10"/>
      <c r="Y209" s="135"/>
      <c r="Z209" s="10"/>
      <c r="AA209" s="10"/>
      <c r="AB209" s="10"/>
      <c r="AC209" s="10"/>
      <c r="AD209" s="10"/>
      <c r="AE209" s="10"/>
      <c r="AF209" s="10"/>
      <c r="AG209" s="10"/>
      <c r="AH209" s="10"/>
      <c r="AI209" s="94"/>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c r="EM209" s="10"/>
      <c r="EN209" s="10"/>
      <c r="EO209" s="10"/>
      <c r="EP209" s="10"/>
      <c r="EQ209" s="10"/>
      <c r="ER209" s="10"/>
      <c r="ES209" s="10"/>
      <c r="ET209" s="10"/>
      <c r="EU209" s="10"/>
      <c r="EV209" s="10"/>
      <c r="EW209" s="10"/>
      <c r="EX209" s="10"/>
      <c r="EY209" s="10"/>
      <c r="EZ209" s="10"/>
      <c r="FA209" s="10"/>
      <c r="FB209" s="10"/>
      <c r="FC209" s="10"/>
      <c r="FD209" s="10"/>
      <c r="FE209" s="10"/>
      <c r="FF209" s="10"/>
      <c r="FG209" s="10"/>
      <c r="FH209" s="10"/>
      <c r="FI209" s="10"/>
      <c r="FJ209" s="10"/>
      <c r="FK209" s="10"/>
      <c r="FL209" s="10"/>
      <c r="FM209" s="10"/>
      <c r="FN209" s="10"/>
      <c r="FO209" s="10"/>
      <c r="FP209" s="10"/>
      <c r="FQ209" s="10"/>
      <c r="FR209" s="10"/>
      <c r="FS209" s="10"/>
      <c r="FT209" s="10"/>
      <c r="FU209" s="10"/>
      <c r="FV209" s="10"/>
      <c r="FW209" s="10"/>
      <c r="FX209" s="10"/>
      <c r="FY209" s="10"/>
      <c r="FZ209" s="10"/>
      <c r="GA209" s="10"/>
      <c r="GB209" s="10"/>
      <c r="GC209" s="10"/>
      <c r="GD209" s="10"/>
      <c r="GE209" s="10"/>
      <c r="GF209" s="10"/>
      <c r="GG209" s="10"/>
      <c r="GH209" s="10"/>
      <c r="GI209" s="10"/>
      <c r="GJ209" s="10"/>
      <c r="GK209" s="10"/>
      <c r="GL209" s="10"/>
      <c r="GM209" s="10"/>
      <c r="GN209" s="10"/>
      <c r="GO209" s="10"/>
      <c r="GP209" s="10"/>
      <c r="GQ209" s="10"/>
      <c r="GR209" s="10"/>
      <c r="GS209" s="10"/>
      <c r="GT209" s="10"/>
      <c r="GU209" s="10"/>
      <c r="GV209" s="10"/>
      <c r="GW209" s="10"/>
      <c r="GX209" s="10"/>
      <c r="GY209" s="10"/>
      <c r="GZ209" s="10"/>
      <c r="HA209" s="10"/>
      <c r="HB209" s="10"/>
      <c r="HC209" s="10"/>
      <c r="HD209" s="10"/>
      <c r="HE209" s="10"/>
      <c r="HF209" s="10"/>
      <c r="HG209" s="10"/>
      <c r="HH209" s="10"/>
      <c r="HI209" s="10"/>
      <c r="HJ209" s="10"/>
      <c r="HK209" s="10"/>
      <c r="HL209" s="10"/>
      <c r="HM209" s="10"/>
      <c r="HN209" s="10"/>
      <c r="HO209" s="10"/>
      <c r="HP209" s="10"/>
      <c r="HQ209" s="10"/>
      <c r="HR209" s="10"/>
      <c r="HS209" s="10"/>
      <c r="HT209" s="10"/>
    </row>
    <row r="210" spans="1:228" ht="18" customHeight="1" x14ac:dyDescent="0.2">
      <c r="B210" s="1211"/>
      <c r="C210" s="1212"/>
      <c r="D210" s="1212"/>
      <c r="E210" s="1213"/>
      <c r="F210" s="995"/>
      <c r="G210" s="997"/>
      <c r="H210" s="791" t="s">
        <v>103</v>
      </c>
      <c r="I210" s="791"/>
      <c r="J210" s="791"/>
      <c r="K210" s="791"/>
      <c r="L210" s="791"/>
      <c r="M210" s="791"/>
      <c r="N210" s="791"/>
      <c r="O210" s="791"/>
      <c r="P210" s="21">
        <f>IF($P$207&gt;0,0,IF(S210=1,0.1,0))</f>
        <v>0</v>
      </c>
      <c r="R210" s="546" t="b">
        <v>0</v>
      </c>
      <c r="S210" s="571">
        <f>IF(R210=TRUE,1,0)</f>
        <v>0</v>
      </c>
      <c r="T210" s="50" t="s">
        <v>1052</v>
      </c>
      <c r="U210" s="10"/>
      <c r="V210" s="10"/>
      <c r="W210" s="10"/>
      <c r="X210" s="10"/>
      <c r="Y210" s="135"/>
      <c r="Z210" s="10"/>
      <c r="AA210" s="10"/>
      <c r="AB210" s="10"/>
      <c r="AC210" s="10"/>
      <c r="AD210" s="10"/>
      <c r="AE210" s="10"/>
      <c r="AF210" s="10"/>
      <c r="AG210" s="10"/>
      <c r="AH210" s="10"/>
      <c r="AI210" s="94"/>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c r="EM210" s="10"/>
      <c r="EN210" s="10"/>
      <c r="EO210" s="10"/>
      <c r="EP210" s="10"/>
      <c r="EQ210" s="10"/>
      <c r="ER210" s="10"/>
      <c r="ES210" s="10"/>
      <c r="ET210" s="10"/>
      <c r="EU210" s="10"/>
      <c r="EV210" s="10"/>
      <c r="EW210" s="10"/>
      <c r="EX210" s="10"/>
      <c r="EY210" s="10"/>
      <c r="EZ210" s="10"/>
      <c r="FA210" s="10"/>
      <c r="FB210" s="10"/>
      <c r="FC210" s="10"/>
      <c r="FD210" s="10"/>
      <c r="FE210" s="10"/>
      <c r="FF210" s="10"/>
      <c r="FG210" s="10"/>
      <c r="FH210" s="10"/>
      <c r="FI210" s="10"/>
      <c r="FJ210" s="10"/>
      <c r="FK210" s="10"/>
      <c r="FL210" s="10"/>
      <c r="FM210" s="10"/>
      <c r="FN210" s="10"/>
      <c r="FO210" s="10"/>
      <c r="FP210" s="10"/>
      <c r="FQ210" s="10"/>
      <c r="FR210" s="10"/>
      <c r="FS210" s="10"/>
      <c r="FT210" s="10"/>
      <c r="FU210" s="10"/>
      <c r="FV210" s="10"/>
      <c r="FW210" s="10"/>
      <c r="FX210" s="10"/>
      <c r="FY210" s="10"/>
      <c r="FZ210" s="10"/>
      <c r="GA210" s="10"/>
      <c r="GB210" s="10"/>
      <c r="GC210" s="10"/>
      <c r="GD210" s="10"/>
      <c r="GE210" s="10"/>
      <c r="GF210" s="10"/>
      <c r="GG210" s="10"/>
      <c r="GH210" s="10"/>
      <c r="GI210" s="10"/>
      <c r="GJ210" s="10"/>
      <c r="GK210" s="10"/>
      <c r="GL210" s="10"/>
      <c r="GM210" s="10"/>
      <c r="GN210" s="10"/>
      <c r="GO210" s="10"/>
      <c r="GP210" s="10"/>
      <c r="GQ210" s="10"/>
      <c r="GR210" s="10"/>
      <c r="GS210" s="10"/>
      <c r="GT210" s="10"/>
      <c r="GU210" s="10"/>
      <c r="GV210" s="10"/>
      <c r="GW210" s="10"/>
      <c r="GX210" s="10"/>
      <c r="GY210" s="10"/>
      <c r="GZ210" s="10"/>
      <c r="HA210" s="10"/>
      <c r="HB210" s="10"/>
      <c r="HC210" s="10"/>
      <c r="HD210" s="10"/>
      <c r="HE210" s="10"/>
      <c r="HF210" s="10"/>
      <c r="HG210" s="10"/>
      <c r="HH210" s="10"/>
      <c r="HI210" s="10"/>
      <c r="HJ210" s="10"/>
      <c r="HK210" s="10"/>
      <c r="HL210" s="10"/>
      <c r="HM210" s="10"/>
      <c r="HN210" s="10"/>
      <c r="HO210" s="10"/>
      <c r="HP210" s="10"/>
      <c r="HQ210" s="10"/>
      <c r="HR210" s="10"/>
      <c r="HS210" s="10"/>
      <c r="HT210" s="10"/>
    </row>
    <row r="211" spans="1:228" ht="18" customHeight="1" x14ac:dyDescent="0.2">
      <c r="B211" s="1211"/>
      <c r="C211" s="1212"/>
      <c r="D211" s="1212"/>
      <c r="E211" s="1213"/>
      <c r="F211" s="995"/>
      <c r="G211" s="997"/>
      <c r="H211" s="791" t="s">
        <v>1246</v>
      </c>
      <c r="I211" s="791"/>
      <c r="J211" s="791"/>
      <c r="K211" s="791"/>
      <c r="L211" s="791"/>
      <c r="M211" s="791"/>
      <c r="N211" s="791"/>
      <c r="O211" s="791"/>
      <c r="P211" s="21">
        <f>IF($P$207&gt;0,0,IF(S211=1,0.1,0))</f>
        <v>0</v>
      </c>
      <c r="R211" s="546" t="b">
        <v>0</v>
      </c>
      <c r="S211" s="571">
        <f>IF(R211=TRUE,1,0)</f>
        <v>0</v>
      </c>
      <c r="T211" s="50">
        <f>IF(OR(S208=1,S209=1,S210=1,S211=1,S212=1),1,0)</f>
        <v>0</v>
      </c>
      <c r="U211" s="10"/>
      <c r="V211" s="10"/>
      <c r="W211" s="10"/>
      <c r="X211" s="10"/>
      <c r="Y211" s="135"/>
      <c r="Z211" s="10"/>
      <c r="AA211" s="10"/>
      <c r="AB211" s="10"/>
      <c r="AC211" s="10"/>
      <c r="AD211" s="10"/>
      <c r="AE211" s="10"/>
      <c r="AF211" s="10"/>
      <c r="AG211" s="10"/>
      <c r="AH211" s="10"/>
      <c r="AI211" s="94"/>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c r="EM211" s="10"/>
      <c r="EN211" s="10"/>
      <c r="EO211" s="10"/>
      <c r="EP211" s="10"/>
      <c r="EQ211" s="10"/>
      <c r="ER211" s="10"/>
      <c r="ES211" s="10"/>
      <c r="ET211" s="10"/>
      <c r="EU211" s="10"/>
      <c r="EV211" s="10"/>
      <c r="EW211" s="10"/>
      <c r="EX211" s="10"/>
      <c r="EY211" s="10"/>
      <c r="EZ211" s="10"/>
      <c r="FA211" s="10"/>
      <c r="FB211" s="10"/>
      <c r="FC211" s="10"/>
      <c r="FD211" s="10"/>
      <c r="FE211" s="10"/>
      <c r="FF211" s="10"/>
      <c r="FG211" s="10"/>
      <c r="FH211" s="10"/>
      <c r="FI211" s="10"/>
      <c r="FJ211" s="10"/>
      <c r="FK211" s="10"/>
      <c r="FL211" s="10"/>
      <c r="FM211" s="10"/>
      <c r="FN211" s="10"/>
      <c r="FO211" s="10"/>
      <c r="FP211" s="10"/>
      <c r="FQ211" s="10"/>
      <c r="FR211" s="10"/>
      <c r="FS211" s="10"/>
      <c r="FT211" s="10"/>
      <c r="FU211" s="10"/>
      <c r="FV211" s="10"/>
      <c r="FW211" s="10"/>
      <c r="FX211" s="10"/>
      <c r="FY211" s="10"/>
      <c r="FZ211" s="10"/>
      <c r="GA211" s="10"/>
      <c r="GB211" s="10"/>
      <c r="GC211" s="10"/>
      <c r="GD211" s="10"/>
      <c r="GE211" s="10"/>
      <c r="GF211" s="10"/>
      <c r="GG211" s="10"/>
      <c r="GH211" s="10"/>
      <c r="GI211" s="10"/>
      <c r="GJ211" s="10"/>
      <c r="GK211" s="10"/>
      <c r="GL211" s="10"/>
      <c r="GM211" s="10"/>
      <c r="GN211" s="10"/>
      <c r="GO211" s="10"/>
      <c r="GP211" s="10"/>
      <c r="GQ211" s="10"/>
      <c r="GR211" s="10"/>
      <c r="GS211" s="10"/>
      <c r="GT211" s="10"/>
      <c r="GU211" s="10"/>
      <c r="GV211" s="10"/>
      <c r="GW211" s="10"/>
      <c r="GX211" s="10"/>
      <c r="GY211" s="10"/>
      <c r="GZ211" s="10"/>
      <c r="HA211" s="10"/>
      <c r="HB211" s="10"/>
      <c r="HC211" s="10"/>
      <c r="HD211" s="10"/>
      <c r="HE211" s="10"/>
      <c r="HF211" s="10"/>
      <c r="HG211" s="10"/>
      <c r="HH211" s="10"/>
      <c r="HI211" s="10"/>
      <c r="HJ211" s="10"/>
      <c r="HK211" s="10"/>
      <c r="HL211" s="10"/>
      <c r="HM211" s="10"/>
      <c r="HN211" s="10"/>
      <c r="HO211" s="10"/>
      <c r="HP211" s="10"/>
      <c r="HQ211" s="10"/>
      <c r="HR211" s="10"/>
      <c r="HS211" s="10"/>
      <c r="HT211" s="10"/>
    </row>
    <row r="212" spans="1:228" ht="18" customHeight="1" x14ac:dyDescent="0.2">
      <c r="B212" s="1214"/>
      <c r="C212" s="1215"/>
      <c r="D212" s="1215"/>
      <c r="E212" s="1216"/>
      <c r="F212" s="1017"/>
      <c r="G212" s="1018"/>
      <c r="H212" s="791" t="s">
        <v>651</v>
      </c>
      <c r="I212" s="791"/>
      <c r="J212" s="791"/>
      <c r="K212" s="791"/>
      <c r="L212" s="791"/>
      <c r="M212" s="791"/>
      <c r="N212" s="791"/>
      <c r="O212" s="791"/>
      <c r="P212" s="292">
        <f>IF($P$207&gt;0,0,IF(S212=1,0.1,0))</f>
        <v>0</v>
      </c>
      <c r="R212" s="546" t="b">
        <v>0</v>
      </c>
      <c r="S212" s="571">
        <f>IF(R212=TRUE,1,0)</f>
        <v>0</v>
      </c>
      <c r="T212" s="10"/>
      <c r="U212" s="10"/>
      <c r="V212" s="10"/>
      <c r="W212" s="10"/>
      <c r="X212" s="10"/>
      <c r="Y212" s="135"/>
      <c r="Z212" s="10"/>
      <c r="AA212" s="10"/>
      <c r="AB212" s="10"/>
      <c r="AC212" s="10"/>
      <c r="AD212" s="10"/>
      <c r="AE212" s="10"/>
      <c r="AF212" s="10"/>
      <c r="AG212" s="10"/>
      <c r="AH212" s="10"/>
      <c r="AI212" s="94"/>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c r="EM212" s="10"/>
      <c r="EN212" s="10"/>
      <c r="EO212" s="10"/>
      <c r="EP212" s="10"/>
      <c r="EQ212" s="10"/>
      <c r="ER212" s="10"/>
      <c r="ES212" s="10"/>
      <c r="ET212" s="10"/>
      <c r="EU212" s="10"/>
      <c r="EV212" s="10"/>
      <c r="EW212" s="10"/>
      <c r="EX212" s="10"/>
      <c r="EY212" s="10"/>
      <c r="EZ212" s="10"/>
      <c r="FA212" s="10"/>
      <c r="FB212" s="10"/>
      <c r="FC212" s="10"/>
      <c r="FD212" s="10"/>
      <c r="FE212" s="10"/>
      <c r="FF212" s="10"/>
      <c r="FG212" s="10"/>
      <c r="FH212" s="10"/>
      <c r="FI212" s="10"/>
      <c r="FJ212" s="10"/>
      <c r="FK212" s="10"/>
      <c r="FL212" s="10"/>
      <c r="FM212" s="10"/>
      <c r="FN212" s="10"/>
      <c r="FO212" s="10"/>
      <c r="FP212" s="10"/>
      <c r="FQ212" s="10"/>
      <c r="FR212" s="10"/>
      <c r="FS212" s="10"/>
      <c r="FT212" s="10"/>
      <c r="FU212" s="10"/>
      <c r="FV212" s="10"/>
      <c r="FW212" s="10"/>
      <c r="FX212" s="10"/>
      <c r="FY212" s="10"/>
      <c r="FZ212" s="10"/>
      <c r="GA212" s="10"/>
      <c r="GB212" s="10"/>
      <c r="GC212" s="10"/>
      <c r="GD212" s="10"/>
      <c r="GE212" s="10"/>
      <c r="GF212" s="10"/>
      <c r="GG212" s="10"/>
      <c r="GH212" s="10"/>
      <c r="GI212" s="10"/>
      <c r="GJ212" s="10"/>
      <c r="GK212" s="10"/>
      <c r="GL212" s="10"/>
      <c r="GM212" s="10"/>
      <c r="GN212" s="10"/>
      <c r="GO212" s="10"/>
      <c r="GP212" s="10"/>
      <c r="GQ212" s="10"/>
      <c r="GR212" s="10"/>
      <c r="GS212" s="10"/>
      <c r="GT212" s="10"/>
      <c r="GU212" s="10"/>
      <c r="GV212" s="10"/>
      <c r="GW212" s="10"/>
      <c r="GX212" s="10"/>
      <c r="GY212" s="10"/>
      <c r="GZ212" s="10"/>
      <c r="HA212" s="10"/>
      <c r="HB212" s="10"/>
      <c r="HC212" s="10"/>
      <c r="HD212" s="10"/>
      <c r="HE212" s="10"/>
      <c r="HF212" s="10"/>
      <c r="HG212" s="10"/>
      <c r="HH212" s="10"/>
      <c r="HI212" s="10"/>
      <c r="HJ212" s="10"/>
      <c r="HK212" s="10"/>
      <c r="HL212" s="10"/>
      <c r="HM212" s="10"/>
      <c r="HN212" s="10"/>
      <c r="HO212" s="10"/>
      <c r="HP212" s="10"/>
      <c r="HQ212" s="10"/>
      <c r="HR212" s="10"/>
      <c r="HS212" s="10"/>
      <c r="HT212" s="10"/>
    </row>
    <row r="213" spans="1:228" ht="15" customHeight="1" x14ac:dyDescent="0.25">
      <c r="B213" s="1137"/>
      <c r="C213" s="1137"/>
      <c r="D213" s="1137"/>
      <c r="E213" s="1137"/>
      <c r="F213" s="1137"/>
      <c r="G213" s="1137"/>
      <c r="H213" s="1137"/>
      <c r="I213" s="1137"/>
      <c r="J213" s="1137"/>
      <c r="K213" s="1137"/>
      <c r="L213" s="1137"/>
      <c r="M213" s="1137"/>
      <c r="N213" s="1137"/>
      <c r="O213" s="1137"/>
      <c r="R213" s="10"/>
      <c r="S213" s="14"/>
      <c r="T213" s="10"/>
      <c r="U213" s="10"/>
      <c r="V213" s="10"/>
      <c r="W213" s="10"/>
      <c r="X213" s="10"/>
      <c r="Y213" s="135"/>
      <c r="Z213" s="10"/>
      <c r="AA213" s="10"/>
      <c r="AB213" s="10"/>
      <c r="AC213" s="10"/>
      <c r="AD213" s="10"/>
      <c r="AE213" s="10"/>
      <c r="AF213" s="10"/>
      <c r="AG213" s="10"/>
      <c r="AH213" s="10"/>
      <c r="AI213" s="94"/>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c r="EM213" s="10"/>
      <c r="EN213" s="10"/>
      <c r="EO213" s="10"/>
      <c r="EP213" s="10"/>
      <c r="EQ213" s="10"/>
      <c r="ER213" s="10"/>
      <c r="ES213" s="10"/>
      <c r="ET213" s="10"/>
      <c r="EU213" s="10"/>
      <c r="EV213" s="10"/>
      <c r="EW213" s="10"/>
      <c r="EX213" s="10"/>
      <c r="EY213" s="10"/>
      <c r="EZ213" s="10"/>
      <c r="FA213" s="10"/>
      <c r="FB213" s="10"/>
      <c r="FC213" s="10"/>
      <c r="FD213" s="10"/>
      <c r="FE213" s="10"/>
      <c r="FF213" s="10"/>
      <c r="FG213" s="10"/>
      <c r="FH213" s="10"/>
      <c r="FI213" s="10"/>
      <c r="FJ213" s="10"/>
      <c r="FK213" s="10"/>
      <c r="FL213" s="10"/>
      <c r="FM213" s="10"/>
      <c r="FN213" s="10"/>
      <c r="FO213" s="10"/>
      <c r="FP213" s="10"/>
      <c r="FQ213" s="10"/>
      <c r="FR213" s="10"/>
      <c r="FS213" s="10"/>
      <c r="FT213" s="10"/>
      <c r="FU213" s="10"/>
      <c r="FV213" s="10"/>
      <c r="FW213" s="10"/>
      <c r="FX213" s="10"/>
      <c r="FY213" s="10"/>
      <c r="FZ213" s="10"/>
      <c r="GA213" s="10"/>
      <c r="GB213" s="10"/>
      <c r="GC213" s="10"/>
      <c r="GD213" s="10"/>
      <c r="GE213" s="10"/>
      <c r="GF213" s="10"/>
      <c r="GG213" s="10"/>
      <c r="GH213" s="10"/>
      <c r="GI213" s="10"/>
      <c r="GJ213" s="10"/>
      <c r="GK213" s="10"/>
      <c r="GL213" s="10"/>
      <c r="GM213" s="10"/>
      <c r="GN213" s="10"/>
      <c r="GO213" s="10"/>
      <c r="GP213" s="10"/>
      <c r="GQ213" s="10"/>
      <c r="GR213" s="10"/>
      <c r="GS213" s="10"/>
      <c r="GT213" s="10"/>
      <c r="GU213" s="10"/>
      <c r="GV213" s="10"/>
      <c r="GW213" s="10"/>
      <c r="GX213" s="10"/>
      <c r="GY213" s="10"/>
      <c r="GZ213" s="10"/>
      <c r="HA213" s="10"/>
      <c r="HB213" s="10"/>
      <c r="HC213" s="10"/>
      <c r="HD213" s="10"/>
      <c r="HE213" s="10"/>
      <c r="HF213" s="10"/>
      <c r="HG213" s="10"/>
      <c r="HH213" s="10"/>
      <c r="HI213" s="10"/>
      <c r="HJ213" s="10"/>
      <c r="HK213" s="10"/>
      <c r="HL213" s="10"/>
      <c r="HM213" s="10"/>
      <c r="HN213" s="10"/>
      <c r="HO213" s="10"/>
      <c r="HP213" s="10"/>
      <c r="HQ213" s="10"/>
      <c r="HR213" s="10"/>
      <c r="HS213" s="10"/>
      <c r="HT213" s="10"/>
    </row>
    <row r="214" spans="1:228" ht="18" customHeight="1" x14ac:dyDescent="0.25">
      <c r="B214" s="944" t="s">
        <v>652</v>
      </c>
      <c r="C214" s="945"/>
      <c r="D214" s="945"/>
      <c r="E214" s="945"/>
      <c r="F214" s="945"/>
      <c r="G214" s="945"/>
      <c r="H214" s="945"/>
      <c r="I214" s="945"/>
      <c r="J214" s="945"/>
      <c r="K214" s="945"/>
      <c r="L214" s="945"/>
      <c r="M214" s="945"/>
      <c r="N214" s="945"/>
      <c r="O214" s="945"/>
      <c r="P214" s="297"/>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c r="EM214" s="10"/>
      <c r="EN214" s="10"/>
      <c r="EO214" s="10"/>
      <c r="EP214" s="10"/>
      <c r="EQ214" s="10"/>
      <c r="ER214" s="10"/>
      <c r="ES214" s="10"/>
      <c r="ET214" s="10"/>
      <c r="EU214" s="10"/>
      <c r="EV214" s="10"/>
      <c r="EW214" s="10"/>
      <c r="EX214" s="10"/>
      <c r="EY214" s="10"/>
      <c r="EZ214" s="10"/>
      <c r="FA214" s="10"/>
      <c r="FB214" s="10"/>
      <c r="FC214" s="10"/>
      <c r="FD214" s="10"/>
      <c r="FE214" s="10"/>
      <c r="FF214" s="10"/>
      <c r="FG214" s="10"/>
      <c r="FH214" s="10"/>
      <c r="FI214" s="10"/>
      <c r="FJ214" s="10"/>
      <c r="FK214" s="10"/>
      <c r="FL214" s="10"/>
      <c r="FM214" s="10"/>
      <c r="FN214" s="10"/>
      <c r="FO214" s="10"/>
      <c r="FP214" s="10"/>
      <c r="FQ214" s="10"/>
      <c r="FR214" s="10"/>
      <c r="FS214" s="10"/>
      <c r="FT214" s="10"/>
      <c r="FU214" s="10"/>
      <c r="FV214" s="10"/>
      <c r="FW214" s="10"/>
      <c r="FX214" s="10"/>
      <c r="FY214" s="10"/>
      <c r="FZ214" s="10"/>
      <c r="GA214" s="10"/>
      <c r="GB214" s="10"/>
      <c r="GC214" s="10"/>
      <c r="GD214" s="10"/>
      <c r="GE214" s="10"/>
      <c r="GF214" s="10"/>
      <c r="GG214" s="10"/>
      <c r="GH214" s="10"/>
      <c r="GI214" s="10"/>
      <c r="GJ214" s="10"/>
      <c r="GK214" s="10"/>
      <c r="GL214" s="10"/>
      <c r="GM214" s="10"/>
      <c r="GN214" s="10"/>
      <c r="GO214" s="10"/>
      <c r="GP214" s="10"/>
      <c r="GQ214" s="10"/>
      <c r="GR214" s="10"/>
      <c r="GS214" s="10"/>
      <c r="GT214" s="10"/>
      <c r="GU214" s="10"/>
      <c r="GV214" s="10"/>
      <c r="GW214" s="10"/>
      <c r="GX214" s="10"/>
      <c r="GY214" s="10"/>
      <c r="GZ214" s="10"/>
      <c r="HA214" s="10"/>
      <c r="HB214" s="10"/>
      <c r="HC214" s="10"/>
      <c r="HD214" s="10"/>
      <c r="HE214" s="10"/>
      <c r="HF214" s="10"/>
      <c r="HG214" s="10"/>
      <c r="HH214" s="10"/>
      <c r="HI214" s="10"/>
      <c r="HJ214" s="10"/>
      <c r="HK214" s="10"/>
      <c r="HL214" s="10"/>
      <c r="HM214" s="10"/>
      <c r="HN214" s="10"/>
      <c r="HO214" s="10"/>
      <c r="HP214" s="10"/>
      <c r="HQ214" s="10"/>
      <c r="HR214" s="10"/>
      <c r="HS214" s="10"/>
      <c r="HT214" s="10"/>
    </row>
    <row r="215" spans="1:228" ht="18" customHeight="1" x14ac:dyDescent="0.2">
      <c r="A215" s="15"/>
      <c r="B215" s="1208" t="str">
        <f>IF(AND(P207&gt;0.5,T218=1),"ERROR: Foot/lower leg loss has occurred at or proximal to the tarsometatarsal joints; uncheck boxes at right.","")</f>
        <v/>
      </c>
      <c r="C215" s="1209"/>
      <c r="D215" s="1209"/>
      <c r="E215" s="1210"/>
      <c r="F215" s="995"/>
      <c r="G215" s="996"/>
      <c r="H215" s="791" t="s">
        <v>653</v>
      </c>
      <c r="I215" s="791"/>
      <c r="J215" s="791"/>
      <c r="K215" s="791"/>
      <c r="L215" s="791"/>
      <c r="M215" s="791"/>
      <c r="N215" s="791"/>
      <c r="O215" s="791"/>
      <c r="P215" s="21">
        <f>IF($P$207&gt;0.5,0,IF(S215=1,0.1,0))</f>
        <v>0</v>
      </c>
      <c r="R215" s="546" t="b">
        <v>0</v>
      </c>
      <c r="S215" s="571">
        <f>IF(R215=TRUE,1,0)</f>
        <v>0</v>
      </c>
      <c r="T215" s="10"/>
      <c r="U215" s="10"/>
      <c r="V215" s="10"/>
      <c r="W215" s="10">
        <v>1E-4</v>
      </c>
      <c r="X215" s="10"/>
      <c r="Y215" s="135"/>
      <c r="Z215" s="724"/>
      <c r="AA215" s="724"/>
      <c r="AB215" s="724"/>
      <c r="AC215" s="10"/>
      <c r="AD215" s="10"/>
      <c r="AE215" s="10"/>
      <c r="AF215" s="10"/>
      <c r="AG215" s="10"/>
      <c r="AH215" s="10"/>
      <c r="AI215" s="94"/>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c r="EM215" s="10"/>
      <c r="EN215" s="10"/>
      <c r="EO215" s="10"/>
      <c r="EP215" s="10"/>
      <c r="EQ215" s="10"/>
      <c r="ER215" s="10"/>
      <c r="ES215" s="10"/>
      <c r="ET215" s="10"/>
      <c r="EU215" s="10"/>
      <c r="EV215" s="10"/>
      <c r="EW215" s="10"/>
      <c r="EX215" s="10"/>
      <c r="EY215" s="10"/>
      <c r="EZ215" s="10"/>
      <c r="FA215" s="10"/>
      <c r="FB215" s="10"/>
      <c r="FC215" s="10"/>
      <c r="FD215" s="10"/>
      <c r="FE215" s="10"/>
      <c r="FF215" s="10"/>
      <c r="FG215" s="10"/>
      <c r="FH215" s="10"/>
      <c r="FI215" s="10"/>
      <c r="FJ215" s="10"/>
      <c r="FK215" s="10"/>
      <c r="FL215" s="10"/>
      <c r="FM215" s="10"/>
      <c r="FN215" s="10"/>
      <c r="FO215" s="10"/>
      <c r="FP215" s="10"/>
      <c r="FQ215" s="10"/>
      <c r="FR215" s="10"/>
      <c r="FS215" s="10"/>
      <c r="FT215" s="10"/>
      <c r="FU215" s="10"/>
      <c r="FV215" s="10"/>
      <c r="FW215" s="10"/>
      <c r="FX215" s="10"/>
      <c r="FY215" s="10"/>
      <c r="FZ215" s="10"/>
      <c r="GA215" s="10"/>
      <c r="GB215" s="10"/>
      <c r="GC215" s="10"/>
      <c r="GD215" s="10"/>
      <c r="GE215" s="10"/>
      <c r="GF215" s="10"/>
      <c r="GG215" s="10"/>
      <c r="GH215" s="10"/>
      <c r="GI215" s="10"/>
      <c r="GJ215" s="10"/>
      <c r="GK215" s="10"/>
      <c r="GL215" s="10"/>
      <c r="GM215" s="10"/>
      <c r="GN215" s="10"/>
      <c r="GO215" s="10"/>
      <c r="GP215" s="10"/>
      <c r="GQ215" s="10"/>
      <c r="GR215" s="10"/>
      <c r="GS215" s="10"/>
      <c r="GT215" s="10"/>
      <c r="GU215" s="10"/>
      <c r="GV215" s="10"/>
      <c r="GW215" s="10"/>
      <c r="GX215" s="10"/>
      <c r="GY215" s="10"/>
      <c r="GZ215" s="10"/>
      <c r="HA215" s="10"/>
      <c r="HB215" s="10"/>
      <c r="HC215" s="10"/>
      <c r="HD215" s="10"/>
      <c r="HE215" s="10"/>
      <c r="HF215" s="10"/>
      <c r="HG215" s="10"/>
      <c r="HH215" s="10"/>
      <c r="HI215" s="10"/>
      <c r="HJ215" s="10"/>
      <c r="HK215" s="10"/>
      <c r="HL215" s="10"/>
      <c r="HM215" s="10"/>
      <c r="HN215" s="10"/>
      <c r="HO215" s="10"/>
      <c r="HP215" s="10"/>
      <c r="HQ215" s="10"/>
      <c r="HR215" s="10"/>
      <c r="HS215" s="10"/>
      <c r="HT215" s="10"/>
    </row>
    <row r="216" spans="1:228" ht="18" customHeight="1" x14ac:dyDescent="0.2">
      <c r="B216" s="1211"/>
      <c r="C216" s="1212"/>
      <c r="D216" s="1212"/>
      <c r="E216" s="1213"/>
      <c r="F216" s="995"/>
      <c r="G216" s="996"/>
      <c r="H216" s="791" t="s">
        <v>654</v>
      </c>
      <c r="I216" s="791"/>
      <c r="J216" s="791"/>
      <c r="K216" s="791"/>
      <c r="L216" s="791"/>
      <c r="M216" s="791"/>
      <c r="N216" s="791"/>
      <c r="O216" s="791"/>
      <c r="P216" s="21">
        <f>IF($P$207&gt;0.5,0,IF(S216=1,0.1,0))</f>
        <v>0</v>
      </c>
      <c r="R216" s="546" t="b">
        <v>0</v>
      </c>
      <c r="S216" s="571">
        <f>IF(R216=TRUE,1,0)</f>
        <v>0</v>
      </c>
      <c r="T216" s="50" t="s">
        <v>655</v>
      </c>
      <c r="U216" s="10"/>
      <c r="V216" s="10"/>
      <c r="W216" s="10"/>
      <c r="X216" s="10"/>
      <c r="Y216" s="10"/>
      <c r="Z216" s="10"/>
      <c r="AA216" s="10"/>
      <c r="AB216" s="10"/>
      <c r="AC216" s="10"/>
      <c r="AD216" s="10"/>
      <c r="AE216" s="10"/>
      <c r="AF216" s="10"/>
      <c r="AG216" s="10"/>
      <c r="AH216" s="10"/>
      <c r="AI216" s="94"/>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c r="EM216" s="10"/>
      <c r="EN216" s="10"/>
      <c r="EO216" s="10"/>
      <c r="EP216" s="10"/>
      <c r="EQ216" s="10"/>
      <c r="ER216" s="10"/>
      <c r="ES216" s="10"/>
      <c r="ET216" s="10"/>
      <c r="EU216" s="10"/>
      <c r="EV216" s="10"/>
      <c r="EW216" s="10"/>
      <c r="EX216" s="10"/>
      <c r="EY216" s="10"/>
      <c r="EZ216" s="10"/>
      <c r="FA216" s="10"/>
      <c r="FB216" s="10"/>
      <c r="FC216" s="10"/>
      <c r="FD216" s="10"/>
      <c r="FE216" s="10"/>
      <c r="FF216" s="10"/>
      <c r="FG216" s="10"/>
      <c r="FH216" s="10"/>
      <c r="FI216" s="10"/>
      <c r="FJ216" s="10"/>
      <c r="FK216" s="10"/>
      <c r="FL216" s="10"/>
      <c r="FM216" s="10"/>
      <c r="FN216" s="10"/>
      <c r="FO216" s="10"/>
      <c r="FP216" s="10"/>
      <c r="FQ216" s="10"/>
      <c r="FR216" s="10"/>
      <c r="FS216" s="10"/>
      <c r="FT216" s="10"/>
      <c r="FU216" s="10"/>
      <c r="FV216" s="10"/>
      <c r="FW216" s="10"/>
      <c r="FX216" s="10"/>
      <c r="FY216" s="10"/>
      <c r="FZ216" s="10"/>
      <c r="GA216" s="10"/>
      <c r="GB216" s="10"/>
      <c r="GC216" s="10"/>
      <c r="GD216" s="10"/>
      <c r="GE216" s="10"/>
      <c r="GF216" s="10"/>
      <c r="GG216" s="10"/>
      <c r="GH216" s="10"/>
      <c r="GI216" s="10"/>
      <c r="GJ216" s="10"/>
      <c r="GK216" s="10"/>
      <c r="GL216" s="10"/>
      <c r="GM216" s="10"/>
      <c r="GN216" s="10"/>
      <c r="GO216" s="10"/>
      <c r="GP216" s="10"/>
      <c r="GQ216" s="10"/>
      <c r="GR216" s="10"/>
      <c r="GS216" s="10"/>
      <c r="GT216" s="10"/>
      <c r="GU216" s="10"/>
      <c r="GV216" s="10"/>
      <c r="GW216" s="10"/>
      <c r="GX216" s="10"/>
      <c r="GY216" s="10"/>
      <c r="GZ216" s="10"/>
      <c r="HA216" s="10"/>
      <c r="HB216" s="10"/>
      <c r="HC216" s="10"/>
      <c r="HD216" s="10"/>
      <c r="HE216" s="10"/>
      <c r="HF216" s="10"/>
      <c r="HG216" s="10"/>
      <c r="HH216" s="10"/>
      <c r="HI216" s="10"/>
      <c r="HJ216" s="10"/>
      <c r="HK216" s="10"/>
      <c r="HL216" s="10"/>
      <c r="HM216" s="10"/>
      <c r="HN216" s="10"/>
      <c r="HO216" s="10"/>
      <c r="HP216" s="10"/>
      <c r="HQ216" s="10"/>
      <c r="HR216" s="10"/>
      <c r="HS216" s="10"/>
      <c r="HT216" s="10"/>
    </row>
    <row r="217" spans="1:228" ht="18" customHeight="1" x14ac:dyDescent="0.2">
      <c r="B217" s="1211"/>
      <c r="C217" s="1212"/>
      <c r="D217" s="1212"/>
      <c r="E217" s="1213"/>
      <c r="F217" s="995"/>
      <c r="G217" s="996"/>
      <c r="H217" s="791" t="s">
        <v>60</v>
      </c>
      <c r="I217" s="791"/>
      <c r="J217" s="791"/>
      <c r="K217" s="791"/>
      <c r="L217" s="791"/>
      <c r="M217" s="791"/>
      <c r="N217" s="791"/>
      <c r="O217" s="791"/>
      <c r="P217" s="21">
        <f>IF($P$207&gt;0.5,0,IF(S217=1,0.1,0))</f>
        <v>0</v>
      </c>
      <c r="R217" s="546" t="b">
        <v>0</v>
      </c>
      <c r="S217" s="571">
        <f>IF(R217=TRUE,1,0)</f>
        <v>0</v>
      </c>
      <c r="T217" s="50" t="s">
        <v>1052</v>
      </c>
      <c r="U217" s="10"/>
      <c r="V217" s="10"/>
      <c r="W217" s="10"/>
      <c r="X217" s="10"/>
      <c r="Y217" s="10"/>
      <c r="Z217" s="10"/>
      <c r="AA217" s="10"/>
      <c r="AB217" s="10"/>
      <c r="AC217" s="10"/>
      <c r="AD217" s="10"/>
      <c r="AE217" s="10"/>
      <c r="AF217" s="10"/>
      <c r="AG217" s="10"/>
      <c r="AH217" s="10"/>
      <c r="AI217" s="94"/>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c r="EM217" s="10"/>
      <c r="EN217" s="10"/>
      <c r="EO217" s="10"/>
      <c r="EP217" s="10"/>
      <c r="EQ217" s="10"/>
      <c r="ER217" s="10"/>
      <c r="ES217" s="10"/>
      <c r="ET217" s="10"/>
      <c r="EU217" s="10"/>
      <c r="EV217" s="10"/>
      <c r="EW217" s="10"/>
      <c r="EX217" s="10"/>
      <c r="EY217" s="10"/>
      <c r="EZ217" s="10"/>
      <c r="FA217" s="10"/>
      <c r="FB217" s="10"/>
      <c r="FC217" s="10"/>
      <c r="FD217" s="10"/>
      <c r="FE217" s="10"/>
      <c r="FF217" s="10"/>
      <c r="FG217" s="10"/>
      <c r="FH217" s="10"/>
      <c r="FI217" s="10"/>
      <c r="FJ217" s="10"/>
      <c r="FK217" s="10"/>
      <c r="FL217" s="10"/>
      <c r="FM217" s="10"/>
      <c r="FN217" s="10"/>
      <c r="FO217" s="10"/>
      <c r="FP217" s="10"/>
      <c r="FQ217" s="10"/>
      <c r="FR217" s="10"/>
      <c r="FS217" s="10"/>
      <c r="FT217" s="10"/>
      <c r="FU217" s="10"/>
      <c r="FV217" s="10"/>
      <c r="FW217" s="10"/>
      <c r="FX217" s="10"/>
      <c r="FY217" s="10"/>
      <c r="FZ217" s="10"/>
      <c r="GA217" s="10"/>
      <c r="GB217" s="10"/>
      <c r="GC217" s="10"/>
      <c r="GD217" s="10"/>
      <c r="GE217" s="10"/>
      <c r="GF217" s="10"/>
      <c r="GG217" s="10"/>
      <c r="GH217" s="10"/>
      <c r="GI217" s="10"/>
      <c r="GJ217" s="10"/>
      <c r="GK217" s="10"/>
      <c r="GL217" s="10"/>
      <c r="GM217" s="10"/>
      <c r="GN217" s="10"/>
      <c r="GO217" s="10"/>
      <c r="GP217" s="10"/>
      <c r="GQ217" s="10"/>
      <c r="GR217" s="10"/>
      <c r="GS217" s="10"/>
      <c r="GT217" s="10"/>
      <c r="GU217" s="10"/>
      <c r="GV217" s="10"/>
      <c r="GW217" s="10"/>
      <c r="GX217" s="10"/>
      <c r="GY217" s="10"/>
      <c r="GZ217" s="10"/>
      <c r="HA217" s="10"/>
      <c r="HB217" s="10"/>
      <c r="HC217" s="10"/>
      <c r="HD217" s="10"/>
      <c r="HE217" s="10"/>
      <c r="HF217" s="10"/>
      <c r="HG217" s="10"/>
      <c r="HH217" s="10"/>
      <c r="HI217" s="10"/>
      <c r="HJ217" s="10"/>
      <c r="HK217" s="10"/>
      <c r="HL217" s="10"/>
      <c r="HM217" s="10"/>
      <c r="HN217" s="10"/>
      <c r="HO217" s="10"/>
      <c r="HP217" s="10"/>
      <c r="HQ217" s="10"/>
      <c r="HR217" s="10"/>
      <c r="HS217" s="10"/>
      <c r="HT217" s="10"/>
    </row>
    <row r="218" spans="1:228" ht="18" customHeight="1" x14ac:dyDescent="0.2">
      <c r="B218" s="1211"/>
      <c r="C218" s="1212"/>
      <c r="D218" s="1212"/>
      <c r="E218" s="1213"/>
      <c r="F218" s="995"/>
      <c r="G218" s="996"/>
      <c r="H218" s="791" t="s">
        <v>416</v>
      </c>
      <c r="I218" s="791"/>
      <c r="J218" s="791"/>
      <c r="K218" s="791"/>
      <c r="L218" s="791"/>
      <c r="M218" s="791"/>
      <c r="N218" s="791"/>
      <c r="O218" s="791"/>
      <c r="P218" s="21">
        <f>IF($P$207&gt;0.5,0,IF(S218=1,0.1,0))</f>
        <v>0</v>
      </c>
      <c r="R218" s="546" t="b">
        <v>0</v>
      </c>
      <c r="S218" s="571">
        <f>IF(R218=TRUE,1,0)</f>
        <v>0</v>
      </c>
      <c r="T218" s="50">
        <f>IF(OR(S215=1,S216=1,S217=1,S218=1,S219=1),1,0)</f>
        <v>0</v>
      </c>
      <c r="U218" s="10"/>
      <c r="V218" s="10"/>
      <c r="W218" s="10"/>
      <c r="X218" s="10"/>
      <c r="Y218" s="10"/>
      <c r="Z218" s="10"/>
      <c r="AA218" s="10"/>
      <c r="AB218" s="10"/>
      <c r="AC218" s="10"/>
      <c r="AD218" s="10"/>
      <c r="AE218" s="10"/>
      <c r="AF218" s="10"/>
      <c r="AG218" s="10"/>
      <c r="AH218" s="10"/>
      <c r="AI218" s="94"/>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EZ218" s="10"/>
      <c r="FA218" s="10"/>
      <c r="FB218" s="10"/>
      <c r="FC218" s="10"/>
      <c r="FD218" s="10"/>
      <c r="FE218" s="10"/>
      <c r="FF218" s="10"/>
      <c r="FG218" s="10"/>
      <c r="FH218" s="10"/>
      <c r="FI218" s="10"/>
      <c r="FJ218" s="10"/>
      <c r="FK218" s="10"/>
      <c r="FL218" s="10"/>
      <c r="FM218" s="10"/>
      <c r="FN218" s="10"/>
      <c r="FO218" s="10"/>
      <c r="FP218" s="10"/>
      <c r="FQ218" s="10"/>
      <c r="FR218" s="10"/>
      <c r="FS218" s="10"/>
      <c r="FT218" s="10"/>
      <c r="FU218" s="10"/>
      <c r="FV218" s="10"/>
      <c r="FW218" s="10"/>
      <c r="FX218" s="10"/>
      <c r="FY218" s="10"/>
      <c r="FZ218" s="10"/>
      <c r="GA218" s="10"/>
      <c r="GB218" s="10"/>
      <c r="GC218" s="10"/>
      <c r="GD218" s="10"/>
      <c r="GE218" s="10"/>
      <c r="GF218" s="10"/>
      <c r="GG218" s="10"/>
      <c r="GH218" s="10"/>
      <c r="GI218" s="10"/>
      <c r="GJ218" s="10"/>
      <c r="GK218" s="10"/>
      <c r="GL218" s="10"/>
      <c r="GM218" s="10"/>
      <c r="GN218" s="10"/>
      <c r="GO218" s="10"/>
      <c r="GP218" s="10"/>
      <c r="GQ218" s="10"/>
      <c r="GR218" s="10"/>
      <c r="GS218" s="10"/>
      <c r="GT218" s="10"/>
      <c r="GU218" s="10"/>
      <c r="GV218" s="10"/>
      <c r="GW218" s="10"/>
      <c r="GX218" s="10"/>
      <c r="GY218" s="10"/>
      <c r="GZ218" s="10"/>
      <c r="HA218" s="10"/>
      <c r="HB218" s="10"/>
      <c r="HC218" s="10"/>
      <c r="HD218" s="10"/>
      <c r="HE218" s="10"/>
      <c r="HF218" s="10"/>
      <c r="HG218" s="10"/>
      <c r="HH218" s="10"/>
      <c r="HI218" s="10"/>
      <c r="HJ218" s="10"/>
      <c r="HK218" s="10"/>
      <c r="HL218" s="10"/>
      <c r="HM218" s="10"/>
      <c r="HN218" s="10"/>
      <c r="HO218" s="10"/>
      <c r="HP218" s="10"/>
      <c r="HQ218" s="10"/>
      <c r="HR218" s="10"/>
      <c r="HS218" s="10"/>
      <c r="HT218" s="10"/>
    </row>
    <row r="219" spans="1:228" ht="18" customHeight="1" x14ac:dyDescent="0.2">
      <c r="B219" s="1214"/>
      <c r="C219" s="1215"/>
      <c r="D219" s="1215"/>
      <c r="E219" s="1216"/>
      <c r="F219" s="995"/>
      <c r="G219" s="996"/>
      <c r="H219" s="791" t="s">
        <v>462</v>
      </c>
      <c r="I219" s="791"/>
      <c r="J219" s="791"/>
      <c r="K219" s="791"/>
      <c r="L219" s="791"/>
      <c r="M219" s="791"/>
      <c r="N219" s="791"/>
      <c r="O219" s="791"/>
      <c r="P219" s="21">
        <f>IF($P$207&gt;0.5,0,IF(S219=1,0.1,0))</f>
        <v>0</v>
      </c>
      <c r="R219" s="546" t="b">
        <v>0</v>
      </c>
      <c r="S219" s="571">
        <f>IF(R219=TRUE,1,0)</f>
        <v>0</v>
      </c>
      <c r="T219" s="10"/>
      <c r="U219" s="10"/>
      <c r="V219" s="10"/>
      <c r="W219" s="10"/>
      <c r="X219" s="10"/>
      <c r="Y219" s="135"/>
      <c r="Z219" s="10"/>
      <c r="AA219" s="10"/>
      <c r="AB219" s="10"/>
      <c r="AC219" s="10"/>
      <c r="AD219" s="10"/>
      <c r="AE219" s="10"/>
      <c r="AF219" s="10"/>
      <c r="AG219" s="10"/>
      <c r="AH219" s="10"/>
      <c r="AI219" s="94"/>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c r="EM219" s="10"/>
      <c r="EN219" s="10"/>
      <c r="EO219" s="10"/>
      <c r="EP219" s="10"/>
      <c r="EQ219" s="10"/>
      <c r="ER219" s="10"/>
      <c r="ES219" s="10"/>
      <c r="ET219" s="10"/>
      <c r="EU219" s="10"/>
      <c r="EV219" s="10"/>
      <c r="EW219" s="10"/>
      <c r="EX219" s="10"/>
      <c r="EY219" s="10"/>
      <c r="EZ219" s="10"/>
      <c r="FA219" s="10"/>
      <c r="FB219" s="10"/>
      <c r="FC219" s="10"/>
      <c r="FD219" s="10"/>
      <c r="FE219" s="10"/>
      <c r="FF219" s="10"/>
      <c r="FG219" s="10"/>
      <c r="FH219" s="10"/>
      <c r="FI219" s="10"/>
      <c r="FJ219" s="10"/>
      <c r="FK219" s="10"/>
      <c r="FL219" s="10"/>
      <c r="FM219" s="10"/>
      <c r="FN219" s="10"/>
      <c r="FO219" s="10"/>
      <c r="FP219" s="10"/>
      <c r="FQ219" s="10"/>
      <c r="FR219" s="10"/>
      <c r="FS219" s="10"/>
      <c r="FT219" s="10"/>
      <c r="FU219" s="10"/>
      <c r="FV219" s="10"/>
      <c r="FW219" s="10"/>
      <c r="FX219" s="10"/>
      <c r="FY219" s="10"/>
      <c r="FZ219" s="10"/>
      <c r="GA219" s="10"/>
      <c r="GB219" s="10"/>
      <c r="GC219" s="10"/>
      <c r="GD219" s="10"/>
      <c r="GE219" s="10"/>
      <c r="GF219" s="10"/>
      <c r="GG219" s="10"/>
      <c r="GH219" s="10"/>
      <c r="GI219" s="10"/>
      <c r="GJ219" s="10"/>
      <c r="GK219" s="10"/>
      <c r="GL219" s="10"/>
      <c r="GM219" s="10"/>
      <c r="GN219" s="10"/>
      <c r="GO219" s="10"/>
      <c r="GP219" s="10"/>
      <c r="GQ219" s="10"/>
      <c r="GR219" s="10"/>
      <c r="GS219" s="10"/>
      <c r="GT219" s="10"/>
      <c r="GU219" s="10"/>
      <c r="GV219" s="10"/>
      <c r="GW219" s="10"/>
      <c r="GX219" s="10"/>
      <c r="GY219" s="10"/>
      <c r="GZ219" s="10"/>
      <c r="HA219" s="10"/>
      <c r="HB219" s="10"/>
      <c r="HC219" s="10"/>
      <c r="HD219" s="10"/>
      <c r="HE219" s="10"/>
      <c r="HF219" s="10"/>
      <c r="HG219" s="10"/>
      <c r="HH219" s="10"/>
      <c r="HI219" s="10"/>
      <c r="HJ219" s="10"/>
      <c r="HK219" s="10"/>
      <c r="HL219" s="10"/>
      <c r="HM219" s="10"/>
      <c r="HN219" s="10"/>
      <c r="HO219" s="10"/>
      <c r="HP219" s="10"/>
      <c r="HQ219" s="10"/>
      <c r="HR219" s="10"/>
      <c r="HS219" s="10"/>
      <c r="HT219" s="10"/>
    </row>
    <row r="220" spans="1:228" ht="27" customHeight="1" x14ac:dyDescent="0.25">
      <c r="B220" s="910" t="s">
        <v>1563</v>
      </c>
      <c r="C220" s="910"/>
      <c r="D220" s="910"/>
      <c r="E220" s="910"/>
      <c r="F220" s="910"/>
      <c r="G220" s="910"/>
      <c r="H220" s="910"/>
      <c r="I220" s="910"/>
      <c r="J220" s="910"/>
      <c r="K220" s="910"/>
      <c r="L220" s="910"/>
      <c r="M220" s="910"/>
      <c r="N220" s="910"/>
      <c r="O220" s="910"/>
      <c r="P220" s="636"/>
      <c r="S220" s="10"/>
      <c r="T220" s="912" t="s">
        <v>1238</v>
      </c>
      <c r="U220" s="912"/>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c r="FF220" s="10"/>
      <c r="FG220" s="10"/>
      <c r="FH220" s="10"/>
      <c r="FI220" s="10"/>
      <c r="FJ220" s="10"/>
      <c r="FK220" s="10"/>
      <c r="FL220" s="10"/>
      <c r="FM220" s="10"/>
      <c r="FN220" s="10"/>
      <c r="FO220" s="10"/>
      <c r="FP220" s="10"/>
      <c r="FQ220" s="10"/>
      <c r="FR220" s="10"/>
      <c r="FS220" s="10"/>
      <c r="FT220" s="10"/>
      <c r="FU220" s="10"/>
      <c r="FV220" s="10"/>
      <c r="FW220" s="10"/>
      <c r="FX220" s="10"/>
      <c r="FY220" s="10"/>
      <c r="FZ220" s="10"/>
      <c r="GA220" s="10"/>
      <c r="GB220" s="10"/>
      <c r="GC220" s="10"/>
      <c r="GD220" s="10"/>
      <c r="GE220" s="10"/>
      <c r="GF220" s="10"/>
      <c r="GG220" s="10"/>
      <c r="GH220" s="10"/>
      <c r="GI220" s="10"/>
      <c r="GJ220" s="10"/>
      <c r="GK220" s="10"/>
      <c r="GL220" s="10"/>
      <c r="GM220" s="10"/>
      <c r="GN220" s="10"/>
      <c r="GO220" s="10"/>
      <c r="GP220" s="10"/>
      <c r="GQ220" s="10"/>
      <c r="GR220" s="10"/>
      <c r="GS220" s="10"/>
      <c r="GT220" s="10"/>
      <c r="GU220" s="10"/>
      <c r="GV220" s="10"/>
      <c r="GW220" s="10"/>
      <c r="GX220" s="10"/>
      <c r="GY220" s="10"/>
      <c r="GZ220" s="10"/>
      <c r="HA220" s="10"/>
      <c r="HB220" s="10"/>
      <c r="HC220" s="10"/>
      <c r="HD220" s="10"/>
      <c r="HE220" s="10"/>
      <c r="HF220" s="10"/>
      <c r="HG220" s="10"/>
      <c r="HH220" s="10"/>
      <c r="HI220" s="10"/>
      <c r="HJ220" s="10"/>
      <c r="HK220" s="10"/>
      <c r="HL220" s="10"/>
      <c r="HM220" s="10"/>
      <c r="HN220" s="10"/>
      <c r="HO220" s="10"/>
      <c r="HP220" s="10"/>
      <c r="HQ220" s="10"/>
      <c r="HR220" s="10"/>
      <c r="HS220" s="10"/>
      <c r="HT220" s="10"/>
    </row>
    <row r="221" spans="1:228" ht="27" customHeight="1" x14ac:dyDescent="0.2">
      <c r="B221" s="18" t="s">
        <v>463</v>
      </c>
      <c r="C221" s="1134" t="s">
        <v>1564</v>
      </c>
      <c r="D221" s="1129"/>
      <c r="E221" s="1129"/>
      <c r="F221" s="1129"/>
      <c r="G221" s="907" t="s">
        <v>1064</v>
      </c>
      <c r="H221" s="945"/>
      <c r="I221" s="945"/>
      <c r="J221" s="945"/>
      <c r="K221" s="946"/>
      <c r="L221" s="1251"/>
      <c r="M221" s="1252"/>
      <c r="N221" s="1252"/>
      <c r="O221" s="1252"/>
      <c r="P221" s="1199"/>
      <c r="S221" s="50" t="s">
        <v>1541</v>
      </c>
      <c r="T221" s="256" t="s">
        <v>1564</v>
      </c>
      <c r="U221" s="256" t="s">
        <v>1565</v>
      </c>
      <c r="V221" s="910" t="s">
        <v>1066</v>
      </c>
      <c r="W221" s="910"/>
      <c r="X221" s="10"/>
      <c r="Y221" s="304" t="s">
        <v>2182</v>
      </c>
      <c r="Z221" s="146" t="s">
        <v>2183</v>
      </c>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c r="EM221" s="10"/>
      <c r="EN221" s="10"/>
      <c r="EO221" s="10"/>
      <c r="EP221" s="10"/>
      <c r="EQ221" s="10"/>
      <c r="ER221" s="10"/>
      <c r="ES221" s="10"/>
      <c r="ET221" s="10"/>
      <c r="EU221" s="10"/>
      <c r="EV221" s="10"/>
      <c r="EW221" s="10"/>
      <c r="EX221" s="10"/>
      <c r="EY221" s="10"/>
      <c r="EZ221" s="10"/>
      <c r="FA221" s="10"/>
      <c r="FB221" s="10"/>
      <c r="FC221" s="10"/>
      <c r="FD221" s="10"/>
      <c r="FE221" s="10"/>
      <c r="FF221" s="10"/>
      <c r="FG221" s="10"/>
      <c r="FH221" s="10"/>
      <c r="FI221" s="10"/>
      <c r="FJ221" s="10"/>
      <c r="FK221" s="10"/>
      <c r="FL221" s="10"/>
      <c r="FM221" s="10"/>
      <c r="FN221" s="10"/>
      <c r="FO221" s="10"/>
      <c r="FP221" s="10"/>
      <c r="FQ221" s="10"/>
      <c r="FR221" s="10"/>
      <c r="FS221" s="10"/>
      <c r="FT221" s="10"/>
      <c r="FU221" s="10"/>
      <c r="FV221" s="10"/>
      <c r="FW221" s="10"/>
      <c r="FX221" s="10"/>
      <c r="FY221" s="10"/>
      <c r="FZ221" s="10"/>
      <c r="GA221" s="10"/>
      <c r="GB221" s="10"/>
      <c r="GC221" s="10"/>
      <c r="GD221" s="10"/>
      <c r="GE221" s="10"/>
      <c r="GF221" s="10"/>
      <c r="GG221" s="10"/>
      <c r="GH221" s="10"/>
      <c r="GI221" s="10"/>
      <c r="GJ221" s="10"/>
      <c r="GK221" s="10"/>
      <c r="GL221" s="10"/>
      <c r="GM221" s="10"/>
      <c r="GN221" s="10"/>
      <c r="GO221" s="10"/>
      <c r="GP221" s="10"/>
      <c r="GQ221" s="10"/>
      <c r="GR221" s="10"/>
      <c r="GS221" s="10"/>
      <c r="GT221" s="10"/>
      <c r="GU221" s="10"/>
      <c r="GV221" s="10"/>
      <c r="GW221" s="10"/>
      <c r="GX221" s="10"/>
      <c r="GY221" s="10"/>
      <c r="GZ221" s="10"/>
      <c r="HA221" s="10"/>
      <c r="HB221" s="10"/>
      <c r="HC221" s="10"/>
      <c r="HD221" s="10"/>
      <c r="HE221" s="10"/>
      <c r="HF221" s="10"/>
      <c r="HG221" s="10"/>
      <c r="HH221" s="10"/>
      <c r="HI221" s="10"/>
      <c r="HJ221" s="10"/>
      <c r="HK221" s="10"/>
      <c r="HL221" s="10"/>
      <c r="HM221" s="10"/>
      <c r="HN221" s="10"/>
      <c r="HO221" s="10"/>
      <c r="HP221" s="10"/>
      <c r="HQ221" s="10"/>
      <c r="HR221" s="10"/>
      <c r="HS221" s="10"/>
      <c r="HT221" s="10"/>
    </row>
    <row r="222" spans="1:228" ht="15" customHeight="1" x14ac:dyDescent="0.2">
      <c r="B222" s="290" t="s">
        <v>585</v>
      </c>
      <c r="C222" s="694"/>
      <c r="D222" s="694"/>
      <c r="E222" s="921">
        <f>LETable!AT36</f>
        <v>0</v>
      </c>
      <c r="F222" s="921"/>
      <c r="G222" s="1035"/>
      <c r="H222" s="1035"/>
      <c r="I222" s="1035"/>
      <c r="J222" s="1178">
        <f>IF(C222="",0,IF(OR(C222&lt;=0,G222&lt;=0),E222,IF(G222&lt;C222,0,LETable!AY36)))</f>
        <v>0</v>
      </c>
      <c r="K222" s="1178"/>
      <c r="L222" s="1232" t="str">
        <f>IF(OR(C222="NA",G222="NA"),"",IF(AND(C222&lt;&gt;"",G222=""),"Enter contralateral or NA.",IF(AND(C222="",G222&lt;&gt;""),"Need data","")))</f>
        <v/>
      </c>
      <c r="M222" s="1232"/>
      <c r="N222" s="1232"/>
      <c r="O222" s="1233"/>
      <c r="P222" s="1199"/>
      <c r="S222" s="50">
        <v>30</v>
      </c>
      <c r="T222" s="50" t="str">
        <f>IF(OR(C222="",C222="NA"),"",IF(C222&gt;S222,S222,IF(C222&lt;0,0,C222)))</f>
        <v/>
      </c>
      <c r="U222" s="50" t="str">
        <f>IF(OR(G222="",G222="NA"),"",IF(G222&gt;S222,S222,IF(G222&lt;0,0,G222)))</f>
        <v/>
      </c>
      <c r="V222" s="553" t="str">
        <f>IF(W222="","",ROUND(W222,0))</f>
        <v/>
      </c>
      <c r="W222" s="554" t="str">
        <f>IF(T222="","",IF(OR(U222="",U222=0,U222&lt;T222),T222,(T222*S222)/U222))</f>
        <v/>
      </c>
      <c r="Y222" s="50">
        <f>COUNTIF(Y223:Y224,1)</f>
        <v>0</v>
      </c>
      <c r="Z222" s="50">
        <f>COUNTIF(Z223:Z224,2)</f>
        <v>0</v>
      </c>
      <c r="AB222" s="10"/>
      <c r="AC222" s="10"/>
      <c r="AD222" s="10"/>
      <c r="AE222" s="10"/>
      <c r="AF222" s="10"/>
      <c r="AG222" s="10"/>
      <c r="AH222" s="10"/>
      <c r="AI222" s="94"/>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c r="EM222" s="10"/>
      <c r="EN222" s="10"/>
      <c r="EO222" s="10"/>
      <c r="EP222" s="10"/>
      <c r="EQ222" s="10"/>
      <c r="ER222" s="10"/>
      <c r="ES222" s="10"/>
      <c r="ET222" s="10"/>
      <c r="EU222" s="10"/>
      <c r="EV222" s="10"/>
      <c r="EW222" s="10"/>
      <c r="EX222" s="10"/>
      <c r="EY222" s="10"/>
      <c r="EZ222" s="10"/>
      <c r="FA222" s="10"/>
      <c r="FB222" s="10"/>
      <c r="FC222" s="10"/>
      <c r="FD222" s="10"/>
      <c r="FE222" s="10"/>
      <c r="FF222" s="10"/>
      <c r="FG222" s="10"/>
      <c r="FH222" s="10"/>
      <c r="FI222" s="10"/>
      <c r="FJ222" s="10"/>
      <c r="FK222" s="10"/>
      <c r="FL222" s="10"/>
      <c r="FM222" s="10"/>
      <c r="FN222" s="10"/>
      <c r="FO222" s="10"/>
      <c r="FP222" s="10"/>
      <c r="FQ222" s="10"/>
      <c r="FR222" s="10"/>
      <c r="FS222" s="10"/>
      <c r="FT222" s="10"/>
      <c r="FU222" s="10"/>
      <c r="FV222" s="10"/>
      <c r="FW222" s="10"/>
      <c r="FX222" s="10"/>
      <c r="FY222" s="10"/>
      <c r="FZ222" s="10"/>
      <c r="GA222" s="10"/>
      <c r="GB222" s="10"/>
      <c r="GC222" s="10"/>
      <c r="GD222" s="10"/>
      <c r="GE222" s="10"/>
      <c r="GF222" s="10"/>
      <c r="GG222" s="10"/>
      <c r="GH222" s="10"/>
      <c r="GI222" s="10"/>
      <c r="GJ222" s="10"/>
      <c r="GK222" s="10"/>
      <c r="GL222" s="10"/>
      <c r="GM222" s="10"/>
      <c r="GN222" s="10"/>
      <c r="GO222" s="10"/>
      <c r="GP222" s="10"/>
      <c r="GQ222" s="10"/>
      <c r="GR222" s="10"/>
      <c r="GS222" s="10"/>
      <c r="GT222" s="10"/>
      <c r="GU222" s="10"/>
      <c r="GV222" s="10"/>
      <c r="GW222" s="10"/>
      <c r="GX222" s="10"/>
      <c r="GY222" s="10"/>
      <c r="GZ222" s="10"/>
      <c r="HA222" s="10"/>
      <c r="HB222" s="10"/>
      <c r="HC222" s="10"/>
      <c r="HD222" s="10"/>
      <c r="HE222" s="10"/>
      <c r="HF222" s="10"/>
      <c r="HG222" s="10"/>
      <c r="HH222" s="10"/>
      <c r="HI222" s="10"/>
      <c r="HJ222" s="10"/>
      <c r="HK222" s="10"/>
      <c r="HL222" s="10"/>
      <c r="HM222" s="10"/>
      <c r="HN222" s="10"/>
      <c r="HO222" s="10"/>
      <c r="HP222" s="10"/>
      <c r="HQ222" s="10"/>
      <c r="HR222" s="10"/>
      <c r="HS222" s="10"/>
      <c r="HT222" s="10"/>
    </row>
    <row r="223" spans="1:228" ht="15" customHeight="1" x14ac:dyDescent="0.2">
      <c r="B223" s="272" t="s">
        <v>472</v>
      </c>
      <c r="C223" s="694"/>
      <c r="D223" s="694"/>
      <c r="E223" s="921">
        <f>IF(AND($Y$222&gt;0,$Z$222&gt;0),"ERROR",LETable!AT37)</f>
        <v>0</v>
      </c>
      <c r="F223" s="921"/>
      <c r="G223" s="1232" t="str">
        <f>IF(AND($Y$222&gt;0,$Z$222&gt;0),"Cannot rate ROM and ankylosis in the foot.",IF(AND(C223&lt;&gt;"",C223&lt;&gt;"NA",C225&lt;&gt;"",C225&lt;&gt;"NA"),"Multiple ankylosis values; use higher value only.",""))</f>
        <v/>
      </c>
      <c r="H223" s="1232"/>
      <c r="I223" s="1232"/>
      <c r="J223" s="1232"/>
      <c r="K223" s="1232"/>
      <c r="L223" s="1232"/>
      <c r="M223" s="1232"/>
      <c r="N223" s="1232"/>
      <c r="O223" s="1233"/>
      <c r="P223" s="1199"/>
      <c r="S223" s="50">
        <v>30</v>
      </c>
      <c r="T223" s="50" t="str">
        <f>IF(OR(C223="",C223="NA"),"",IF(C223&gt;S223,S223,IF(C223&lt;0,0,C223)))</f>
        <v/>
      </c>
      <c r="U223" s="10"/>
      <c r="Y223" s="50">
        <f>IF(AND(C222&lt;&gt;"",C222&lt;&gt;"NA"),1,0)</f>
        <v>0</v>
      </c>
      <c r="Z223" s="50">
        <f>IF(AND(C223&lt;&gt;"",C223&lt;&gt;"NA"),2,0)</f>
        <v>0</v>
      </c>
      <c r="AB223" s="61"/>
      <c r="AC223" s="192">
        <f>MAX(E223,E225)</f>
        <v>0</v>
      </c>
      <c r="AD223" s="791" t="s">
        <v>1902</v>
      </c>
      <c r="AE223" s="791"/>
      <c r="AF223" s="791"/>
      <c r="AG223" s="791"/>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c r="EM223" s="10"/>
      <c r="EN223" s="10"/>
      <c r="EO223" s="10"/>
      <c r="EP223" s="10"/>
      <c r="EQ223" s="10"/>
      <c r="ER223" s="10"/>
      <c r="ES223" s="10"/>
      <c r="ET223" s="10"/>
      <c r="EU223" s="10"/>
      <c r="EV223" s="10"/>
      <c r="EW223" s="10"/>
      <c r="EX223" s="10"/>
      <c r="EY223" s="10"/>
      <c r="EZ223" s="10"/>
      <c r="FA223" s="10"/>
      <c r="FB223" s="10"/>
      <c r="FC223" s="10"/>
      <c r="FD223" s="10"/>
      <c r="FE223" s="10"/>
      <c r="FF223" s="10"/>
      <c r="FG223" s="10"/>
      <c r="FH223" s="10"/>
      <c r="FI223" s="10"/>
      <c r="FJ223" s="10"/>
      <c r="FK223" s="10"/>
      <c r="FL223" s="10"/>
      <c r="FM223" s="10"/>
      <c r="FN223" s="10"/>
      <c r="FO223" s="10"/>
      <c r="FP223" s="10"/>
      <c r="FQ223" s="10"/>
      <c r="FR223" s="10"/>
      <c r="FS223" s="10"/>
      <c r="FT223" s="10"/>
      <c r="FU223" s="10"/>
      <c r="FV223" s="10"/>
      <c r="FW223" s="10"/>
      <c r="FX223" s="10"/>
      <c r="FY223" s="10"/>
      <c r="FZ223" s="10"/>
      <c r="GA223" s="10"/>
      <c r="GB223" s="10"/>
      <c r="GC223" s="10"/>
      <c r="GD223" s="10"/>
      <c r="GE223" s="10"/>
      <c r="GF223" s="10"/>
      <c r="GG223" s="10"/>
      <c r="GH223" s="10"/>
      <c r="GI223" s="10"/>
      <c r="GJ223" s="10"/>
      <c r="GK223" s="10"/>
      <c r="GL223" s="10"/>
      <c r="GM223" s="10"/>
      <c r="GN223" s="10"/>
      <c r="GO223" s="10"/>
      <c r="GP223" s="10"/>
      <c r="GQ223" s="10"/>
      <c r="GR223" s="10"/>
      <c r="GS223" s="10"/>
      <c r="GT223" s="10"/>
      <c r="GU223" s="10"/>
      <c r="GV223" s="10"/>
      <c r="GW223" s="10"/>
      <c r="GX223" s="10"/>
      <c r="GY223" s="10"/>
      <c r="GZ223" s="10"/>
      <c r="HA223" s="10"/>
      <c r="HB223" s="10"/>
      <c r="HC223" s="10"/>
      <c r="HD223" s="10"/>
      <c r="HE223" s="10"/>
      <c r="HF223" s="10"/>
      <c r="HG223" s="10"/>
      <c r="HH223" s="10"/>
      <c r="HI223" s="10"/>
      <c r="HJ223" s="10"/>
      <c r="HK223" s="10"/>
      <c r="HL223" s="10"/>
      <c r="HM223" s="10"/>
      <c r="HN223" s="10"/>
      <c r="HO223" s="10"/>
      <c r="HP223" s="10"/>
      <c r="HQ223" s="10"/>
      <c r="HR223" s="10"/>
      <c r="HS223" s="10"/>
      <c r="HT223" s="10"/>
    </row>
    <row r="224" spans="1:228" ht="15" customHeight="1" x14ac:dyDescent="0.2">
      <c r="B224" s="272" t="s">
        <v>473</v>
      </c>
      <c r="C224" s="694"/>
      <c r="D224" s="694"/>
      <c r="E224" s="921">
        <f>LETable!AT38</f>
        <v>0</v>
      </c>
      <c r="F224" s="921"/>
      <c r="G224" s="1035"/>
      <c r="H224" s="1035"/>
      <c r="I224" s="1035"/>
      <c r="J224" s="1178">
        <f>IF(C224="",0,IF(OR(C224&lt;=0,G224&lt;=0),E224,IF(G224&lt;C224,0,LETable!AY38)))</f>
        <v>0</v>
      </c>
      <c r="K224" s="1178"/>
      <c r="L224" s="1232" t="str">
        <f>IF(OR(C224="NA",G224="NA"),"",IF(AND(C224&lt;&gt;"",G224=""),"Enter contralateral or NA.",IF(AND(C224="",G224&lt;&gt;""),"Need data","")))</f>
        <v/>
      </c>
      <c r="M224" s="1232"/>
      <c r="N224" s="1232"/>
      <c r="O224" s="1233"/>
      <c r="P224" s="1199"/>
      <c r="S224" s="50">
        <v>20</v>
      </c>
      <c r="T224" s="50" t="str">
        <f>IF(OR(C224="",C224="NA"),"",IF(C224&gt;S224,S224,IF(C224&lt;0,0,C224)))</f>
        <v/>
      </c>
      <c r="U224" s="50" t="str">
        <f>IF(OR(G224="",G224="NA"),"",IF(G224&gt;S224,S224,IF(G224&lt;0,0,G224)))</f>
        <v/>
      </c>
      <c r="V224" s="553" t="str">
        <f>IF(W224="","",ROUND(W224,0))</f>
        <v/>
      </c>
      <c r="W224" s="554" t="str">
        <f>IF(T224="","",IF(OR(U224="",U224=0,U224&lt;T224),T224,(T224*S224)/U224))</f>
        <v/>
      </c>
      <c r="X224" s="10"/>
      <c r="Y224" s="50">
        <f>IF(AND(C224&lt;&gt;"",C224&lt;&gt;"NA"),1,0)</f>
        <v>0</v>
      </c>
      <c r="Z224" s="50">
        <f>IF(AND(C225&lt;&gt;"",C225&lt;&gt;"NA"),2,0)</f>
        <v>0</v>
      </c>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c r="EM224" s="10"/>
      <c r="EN224" s="10"/>
      <c r="EO224" s="10"/>
      <c r="EP224" s="10"/>
      <c r="EQ224" s="10"/>
      <c r="ER224" s="10"/>
      <c r="ES224" s="10"/>
      <c r="ET224" s="10"/>
      <c r="EU224" s="10"/>
      <c r="EV224" s="10"/>
      <c r="EW224" s="10"/>
      <c r="EX224" s="10"/>
      <c r="EY224" s="10"/>
      <c r="EZ224" s="10"/>
      <c r="FA224" s="10"/>
      <c r="FB224" s="10"/>
      <c r="FC224" s="10"/>
      <c r="FD224" s="10"/>
      <c r="FE224" s="10"/>
      <c r="FF224" s="10"/>
      <c r="FG224" s="10"/>
      <c r="FH224" s="10"/>
      <c r="FI224" s="10"/>
      <c r="FJ224" s="10"/>
      <c r="FK224" s="10"/>
      <c r="FL224" s="10"/>
      <c r="FM224" s="10"/>
      <c r="FN224" s="10"/>
      <c r="FO224" s="10"/>
      <c r="FP224" s="10"/>
      <c r="FQ224" s="10"/>
      <c r="FR224" s="10"/>
      <c r="FS224" s="10"/>
      <c r="FT224" s="10"/>
      <c r="FU224" s="10"/>
      <c r="FV224" s="10"/>
      <c r="FW224" s="10"/>
      <c r="FX224" s="10"/>
      <c r="FY224" s="10"/>
      <c r="FZ224" s="10"/>
      <c r="GA224" s="10"/>
      <c r="GB224" s="10"/>
      <c r="GC224" s="10"/>
      <c r="GD224" s="10"/>
      <c r="GE224" s="10"/>
      <c r="GF224" s="10"/>
      <c r="GG224" s="10"/>
      <c r="GH224" s="10"/>
      <c r="GI224" s="10"/>
      <c r="GJ224" s="10"/>
      <c r="GK224" s="10"/>
      <c r="GL224" s="10"/>
      <c r="GM224" s="10"/>
      <c r="GN224" s="10"/>
      <c r="GO224" s="10"/>
      <c r="GP224" s="10"/>
      <c r="GQ224" s="10"/>
      <c r="GR224" s="10"/>
      <c r="GS224" s="10"/>
      <c r="GT224" s="10"/>
      <c r="GU224" s="10"/>
      <c r="GV224" s="10"/>
      <c r="GW224" s="10"/>
      <c r="GX224" s="10"/>
      <c r="GY224" s="10"/>
      <c r="GZ224" s="10"/>
      <c r="HA224" s="10"/>
      <c r="HB224" s="10"/>
      <c r="HC224" s="10"/>
      <c r="HD224" s="10"/>
      <c r="HE224" s="10"/>
      <c r="HF224" s="10"/>
      <c r="HG224" s="10"/>
      <c r="HH224" s="10"/>
      <c r="HI224" s="10"/>
      <c r="HJ224" s="10"/>
      <c r="HK224" s="10"/>
      <c r="HL224" s="10"/>
      <c r="HM224" s="10"/>
      <c r="HN224" s="10"/>
      <c r="HO224" s="10"/>
      <c r="HP224" s="10"/>
      <c r="HQ224" s="10"/>
      <c r="HR224" s="10"/>
      <c r="HS224" s="10"/>
      <c r="HT224" s="10"/>
    </row>
    <row r="225" spans="1:228" ht="15" customHeight="1" x14ac:dyDescent="0.2">
      <c r="B225" s="272" t="s">
        <v>474</v>
      </c>
      <c r="C225" s="694"/>
      <c r="D225" s="694"/>
      <c r="E225" s="921">
        <f>IF(AND($Y$222&gt;0,$Z$222&gt;0),"ERROR",LETable!AT39)</f>
        <v>0</v>
      </c>
      <c r="F225" s="921"/>
      <c r="G225" s="1232" t="str">
        <f>IF(AND($Y$222&gt;0,$Z$222&gt;0),"Cannot rate ROM and ankylosis in the foot.",IF(AND(C223&lt;&gt;"",C223&lt;&gt;"NA",C225&lt;&gt;"",C225&lt;&gt;"NA"),"Multiple ankylosis values; use higher value only.",""))</f>
        <v/>
      </c>
      <c r="H225" s="1232"/>
      <c r="I225" s="1232"/>
      <c r="J225" s="1232"/>
      <c r="K225" s="1232"/>
      <c r="L225" s="1232"/>
      <c r="M225" s="1232"/>
      <c r="N225" s="1232"/>
      <c r="O225" s="1233"/>
      <c r="P225" s="1199"/>
      <c r="S225" s="50">
        <v>20</v>
      </c>
      <c r="T225" s="50" t="str">
        <f>IF(OR(C225="",C225="NA"),"",IF(C225&gt;S225,S225,IF(C225&lt;0,0,C225)))</f>
        <v/>
      </c>
      <c r="U225" s="10"/>
      <c r="V225" s="10"/>
      <c r="W225" s="10"/>
      <c r="X225" s="10"/>
      <c r="Y225" s="10"/>
      <c r="Z225" s="10"/>
      <c r="AA225" s="10"/>
      <c r="AB225" s="10"/>
      <c r="AC225" s="742" t="s">
        <v>2291</v>
      </c>
      <c r="AD225" s="743"/>
      <c r="AE225" s="744"/>
      <c r="AF225" s="10"/>
      <c r="AG225" s="10"/>
      <c r="AH225" s="10"/>
      <c r="AI225" s="10"/>
      <c r="AJ225" s="39"/>
      <c r="AK225" s="39"/>
      <c r="AL225" s="39"/>
      <c r="AM225" s="39"/>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c r="EM225" s="10"/>
      <c r="EN225" s="10"/>
      <c r="EO225" s="10"/>
      <c r="EP225" s="10"/>
      <c r="EQ225" s="10"/>
      <c r="ER225" s="10"/>
      <c r="ES225" s="10"/>
      <c r="ET225" s="10"/>
      <c r="EU225" s="10"/>
      <c r="EV225" s="10"/>
      <c r="EW225" s="10"/>
      <c r="EX225" s="10"/>
      <c r="EY225" s="10"/>
      <c r="EZ225" s="10"/>
      <c r="FA225" s="10"/>
      <c r="FB225" s="10"/>
      <c r="FC225" s="10"/>
      <c r="FD225" s="10"/>
      <c r="FE225" s="10"/>
      <c r="FF225" s="10"/>
      <c r="FG225" s="10"/>
      <c r="FH225" s="10"/>
      <c r="FI225" s="10"/>
      <c r="FJ225" s="10"/>
      <c r="FK225" s="10"/>
      <c r="FL225" s="10"/>
      <c r="FM225" s="10"/>
      <c r="FN225" s="10"/>
      <c r="FO225" s="10"/>
      <c r="FP225" s="10"/>
      <c r="FQ225" s="10"/>
      <c r="FR225" s="10"/>
      <c r="FS225" s="10"/>
      <c r="FT225" s="10"/>
      <c r="FU225" s="10"/>
      <c r="FV225" s="10"/>
      <c r="FW225" s="10"/>
      <c r="FX225" s="10"/>
      <c r="FY225" s="10"/>
      <c r="FZ225" s="10"/>
      <c r="GA225" s="10"/>
      <c r="GB225" s="10"/>
      <c r="GC225" s="10"/>
      <c r="GD225" s="10"/>
      <c r="GE225" s="10"/>
      <c r="GF225" s="10"/>
      <c r="GG225" s="10"/>
      <c r="GH225" s="10"/>
      <c r="GI225" s="10"/>
      <c r="GJ225" s="10"/>
      <c r="GK225" s="10"/>
      <c r="GL225" s="10"/>
      <c r="GM225" s="10"/>
      <c r="GN225" s="10"/>
      <c r="GO225" s="10"/>
      <c r="GP225" s="10"/>
      <c r="GQ225" s="10"/>
      <c r="GR225" s="10"/>
      <c r="GS225" s="10"/>
      <c r="GT225" s="10"/>
      <c r="GU225" s="10"/>
      <c r="GV225" s="10"/>
      <c r="GW225" s="10"/>
      <c r="GX225" s="10"/>
      <c r="GY225" s="10"/>
      <c r="GZ225" s="10"/>
      <c r="HA225" s="10"/>
      <c r="HB225" s="10"/>
      <c r="HC225" s="10"/>
      <c r="HD225" s="10"/>
      <c r="HE225" s="10"/>
      <c r="HF225" s="10"/>
      <c r="HG225" s="10"/>
      <c r="HH225" s="10"/>
      <c r="HI225" s="10"/>
      <c r="HJ225" s="10"/>
      <c r="HK225" s="10"/>
      <c r="HL225" s="10"/>
      <c r="HM225" s="10"/>
      <c r="HN225" s="10"/>
      <c r="HO225" s="10"/>
      <c r="HP225" s="10"/>
      <c r="HQ225" s="10"/>
      <c r="HR225" s="10"/>
      <c r="HS225" s="10"/>
      <c r="HT225" s="10"/>
    </row>
    <row r="226" spans="1:228" ht="18" customHeight="1" x14ac:dyDescent="0.2">
      <c r="B226" s="1248" t="s">
        <v>2203</v>
      </c>
      <c r="C226" s="1249"/>
      <c r="D226" s="1249"/>
      <c r="E226" s="1249"/>
      <c r="F226" s="1249"/>
      <c r="G226" s="1249"/>
      <c r="H226" s="1249"/>
      <c r="I226" s="1249"/>
      <c r="J226" s="1249"/>
      <c r="K226" s="1249"/>
      <c r="L226" s="1249"/>
      <c r="M226" s="1249"/>
      <c r="N226" s="1250"/>
      <c r="O226" s="281">
        <f>J222+J224+AC223</f>
        <v>0</v>
      </c>
      <c r="P226" s="1199"/>
      <c r="R226" s="57"/>
      <c r="S226" s="10"/>
      <c r="T226" s="10"/>
      <c r="U226" s="10"/>
      <c r="V226" s="10"/>
      <c r="W226" s="10"/>
      <c r="X226" s="10"/>
      <c r="Y226" s="304" t="s">
        <v>2182</v>
      </c>
      <c r="Z226" s="146" t="s">
        <v>2183</v>
      </c>
      <c r="AA226" s="10"/>
      <c r="AB226" s="10"/>
      <c r="AC226" s="10"/>
      <c r="AD226" s="10"/>
      <c r="AE226" s="10"/>
      <c r="AF226" s="10"/>
      <c r="AG226" s="10"/>
      <c r="AH226" s="10"/>
      <c r="AI226" s="10"/>
      <c r="AJ226" s="39"/>
      <c r="AK226" s="39"/>
      <c r="AL226" s="39"/>
      <c r="AM226" s="39"/>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c r="EM226" s="10"/>
      <c r="EN226" s="10"/>
      <c r="EO226" s="10"/>
      <c r="EP226" s="10"/>
      <c r="EQ226" s="10"/>
      <c r="ER226" s="10"/>
      <c r="ES226" s="10"/>
      <c r="ET226" s="10"/>
      <c r="EU226" s="10"/>
      <c r="EV226" s="10"/>
      <c r="EW226" s="10"/>
      <c r="EX226" s="10"/>
      <c r="EY226" s="10"/>
      <c r="EZ226" s="10"/>
      <c r="FA226" s="10"/>
      <c r="FB226" s="10"/>
      <c r="FC226" s="10"/>
      <c r="FD226" s="10"/>
      <c r="FE226" s="10"/>
      <c r="FF226" s="10"/>
      <c r="FG226" s="10"/>
      <c r="FH226" s="10"/>
      <c r="FI226" s="10"/>
      <c r="FJ226" s="10"/>
      <c r="FK226" s="10"/>
      <c r="FL226" s="10"/>
      <c r="FM226" s="10"/>
      <c r="FN226" s="10"/>
      <c r="FO226" s="10"/>
      <c r="FP226" s="10"/>
      <c r="FQ226" s="10"/>
      <c r="FR226" s="10"/>
      <c r="FS226" s="10"/>
      <c r="FT226" s="10"/>
      <c r="FU226" s="10"/>
      <c r="FV226" s="10"/>
      <c r="FW226" s="10"/>
      <c r="FX226" s="10"/>
      <c r="FY226" s="10"/>
      <c r="FZ226" s="10"/>
      <c r="GA226" s="10"/>
      <c r="GB226" s="10"/>
      <c r="GC226" s="10"/>
      <c r="GD226" s="10"/>
      <c r="GE226" s="10"/>
      <c r="GF226" s="10"/>
      <c r="GG226" s="10"/>
      <c r="GH226" s="10"/>
      <c r="GI226" s="10"/>
      <c r="GJ226" s="10"/>
      <c r="GK226" s="10"/>
      <c r="GL226" s="10"/>
      <c r="GM226" s="10"/>
      <c r="GN226" s="10"/>
      <c r="GO226" s="10"/>
      <c r="GP226" s="10"/>
      <c r="GQ226" s="10"/>
      <c r="GR226" s="10"/>
      <c r="GS226" s="10"/>
      <c r="GT226" s="10"/>
      <c r="GU226" s="10"/>
      <c r="GV226" s="10"/>
      <c r="GW226" s="10"/>
      <c r="GX226" s="10"/>
      <c r="GY226" s="10"/>
      <c r="GZ226" s="10"/>
      <c r="HA226" s="10"/>
      <c r="HB226" s="10"/>
      <c r="HC226" s="10"/>
      <c r="HD226" s="10"/>
      <c r="HE226" s="10"/>
      <c r="HF226" s="10"/>
      <c r="HG226" s="10"/>
      <c r="HH226" s="10"/>
      <c r="HI226" s="10"/>
      <c r="HJ226" s="10"/>
      <c r="HK226" s="10"/>
      <c r="HL226" s="10"/>
      <c r="HM226" s="10"/>
      <c r="HN226" s="10"/>
      <c r="HO226" s="10"/>
      <c r="HP226" s="10"/>
      <c r="HQ226" s="10"/>
      <c r="HR226" s="10"/>
      <c r="HS226" s="10"/>
      <c r="HT226" s="10"/>
    </row>
    <row r="227" spans="1:228" ht="26.25" customHeight="1" x14ac:dyDescent="0.2">
      <c r="B227" s="384" t="s">
        <v>475</v>
      </c>
      <c r="C227" s="1134" t="s">
        <v>1564</v>
      </c>
      <c r="D227" s="1129"/>
      <c r="E227" s="1129"/>
      <c r="F227" s="1129"/>
      <c r="G227" s="907" t="s">
        <v>1064</v>
      </c>
      <c r="H227" s="945"/>
      <c r="I227" s="945"/>
      <c r="J227" s="945"/>
      <c r="K227" s="946"/>
      <c r="L227" s="944"/>
      <c r="M227" s="945"/>
      <c r="N227" s="945"/>
      <c r="O227" s="946"/>
      <c r="P227" s="1199"/>
      <c r="S227" s="10"/>
      <c r="T227" s="10"/>
      <c r="U227" s="10"/>
      <c r="V227" s="10"/>
      <c r="W227" s="10"/>
      <c r="X227" s="10"/>
      <c r="Y227" s="304"/>
      <c r="Z227" s="146"/>
      <c r="AA227" s="10"/>
      <c r="AB227" s="10"/>
      <c r="AC227" s="10"/>
      <c r="AD227" s="10"/>
      <c r="AE227" s="10"/>
      <c r="AF227" s="10"/>
      <c r="AG227" s="10"/>
      <c r="AH227" s="10"/>
      <c r="AI227" s="10"/>
      <c r="AJ227" s="39"/>
      <c r="AK227" s="39"/>
      <c r="AL227" s="39"/>
      <c r="AM227" s="39"/>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c r="EM227" s="10"/>
      <c r="EN227" s="10"/>
      <c r="EO227" s="10"/>
      <c r="EP227" s="10"/>
      <c r="EQ227" s="10"/>
      <c r="ER227" s="10"/>
      <c r="ES227" s="10"/>
      <c r="ET227" s="10"/>
      <c r="EU227" s="10"/>
      <c r="EV227" s="10"/>
      <c r="EW227" s="10"/>
      <c r="EX227" s="10"/>
      <c r="EY227" s="10"/>
      <c r="EZ227" s="10"/>
      <c r="FA227" s="10"/>
      <c r="FB227" s="10"/>
      <c r="FC227" s="10"/>
      <c r="FD227" s="10"/>
      <c r="FE227" s="10"/>
      <c r="FF227" s="10"/>
      <c r="FG227" s="10"/>
      <c r="FH227" s="10"/>
      <c r="FI227" s="10"/>
      <c r="FJ227" s="10"/>
      <c r="FK227" s="10"/>
      <c r="FL227" s="10"/>
      <c r="FM227" s="10"/>
      <c r="FN227" s="10"/>
      <c r="FO227" s="10"/>
      <c r="FP227" s="10"/>
      <c r="FQ227" s="10"/>
      <c r="FR227" s="10"/>
      <c r="FS227" s="10"/>
      <c r="FT227" s="10"/>
      <c r="FU227" s="10"/>
      <c r="FV227" s="10"/>
      <c r="FW227" s="10"/>
      <c r="FX227" s="10"/>
      <c r="FY227" s="10"/>
      <c r="FZ227" s="10"/>
      <c r="GA227" s="10"/>
      <c r="GB227" s="10"/>
      <c r="GC227" s="10"/>
      <c r="GD227" s="10"/>
      <c r="GE227" s="10"/>
      <c r="GF227" s="10"/>
      <c r="GG227" s="10"/>
      <c r="GH227" s="10"/>
      <c r="GI227" s="10"/>
      <c r="GJ227" s="10"/>
      <c r="GK227" s="10"/>
      <c r="GL227" s="10"/>
      <c r="GM227" s="10"/>
      <c r="GN227" s="10"/>
      <c r="GO227" s="10"/>
      <c r="GP227" s="10"/>
      <c r="GQ227" s="10"/>
      <c r="GR227" s="10"/>
      <c r="GS227" s="10"/>
      <c r="GT227" s="10"/>
      <c r="GU227" s="10"/>
      <c r="GV227" s="10"/>
      <c r="GW227" s="10"/>
      <c r="GX227" s="10"/>
      <c r="GY227" s="10"/>
      <c r="GZ227" s="10"/>
      <c r="HA227" s="10"/>
      <c r="HB227" s="10"/>
      <c r="HC227" s="10"/>
      <c r="HD227" s="10"/>
      <c r="HE227" s="10"/>
      <c r="HF227" s="10"/>
      <c r="HG227" s="10"/>
      <c r="HH227" s="10"/>
      <c r="HI227" s="10"/>
      <c r="HJ227" s="10"/>
      <c r="HK227" s="10"/>
      <c r="HL227" s="10"/>
      <c r="HM227" s="10"/>
      <c r="HN227" s="10"/>
      <c r="HO227" s="10"/>
      <c r="HP227" s="10"/>
      <c r="HQ227" s="10"/>
      <c r="HR227" s="10"/>
      <c r="HS227" s="10"/>
      <c r="HT227" s="10"/>
    </row>
    <row r="228" spans="1:228" ht="15" customHeight="1" x14ac:dyDescent="0.2">
      <c r="B228" s="127" t="s">
        <v>1312</v>
      </c>
      <c r="C228" s="694"/>
      <c r="D228" s="694"/>
      <c r="E228" s="921">
        <f>LETable!AT42</f>
        <v>0</v>
      </c>
      <c r="F228" s="921"/>
      <c r="G228" s="1035"/>
      <c r="H228" s="1035"/>
      <c r="I228" s="1035"/>
      <c r="J228" s="1178">
        <f>IF(C228="",0,IF(OR(C228&lt;=0,G228&lt;=0),E228,IF(G228&lt;C228,0,LETable!AY42)))</f>
        <v>0</v>
      </c>
      <c r="K228" s="1178"/>
      <c r="L228" s="1232" t="str">
        <f>IF(OR(C228="NA",G228="NA"),"",IF(AND(C228&lt;&gt;"",G228=""),"Enter contralateral or NA.",IF(AND(C228="",G228&lt;&gt;""),"Need data","")))</f>
        <v/>
      </c>
      <c r="M228" s="1232"/>
      <c r="N228" s="1232"/>
      <c r="O228" s="1233"/>
      <c r="P228" s="1199"/>
      <c r="S228" s="50">
        <v>20</v>
      </c>
      <c r="T228" s="50" t="str">
        <f>IF(OR(C228="",C228="NA"),"",IF(C228&gt;S228,S228,IF(C228&lt;0,0,C228)))</f>
        <v/>
      </c>
      <c r="U228" s="50" t="str">
        <f>IF(OR(G228="",G228="NA"),"",IF(G228&gt;S228,S228,IF(G228&lt;0,0,G228)))</f>
        <v/>
      </c>
      <c r="V228" s="553" t="str">
        <f>IF(W228="","",ROUND(W228,0))</f>
        <v/>
      </c>
      <c r="W228" s="554" t="str">
        <f>IF(T228="","",IF(OR(U228="",U228=0,U228&lt;T228),T228,(T228*S228)/U228))</f>
        <v/>
      </c>
      <c r="X228" s="10"/>
      <c r="Y228" s="50">
        <f>COUNTIF(Y229:Y230,1)</f>
        <v>0</v>
      </c>
      <c r="Z228" s="50">
        <f>COUNTIF(Z229:Z230,2)</f>
        <v>0</v>
      </c>
      <c r="AA228" s="10"/>
      <c r="AB228" s="10"/>
      <c r="AC228" s="10"/>
      <c r="AD228" s="10"/>
      <c r="AE228" s="10"/>
      <c r="AF228" s="10"/>
      <c r="AG228" s="10"/>
      <c r="AH228" s="39"/>
      <c r="AI228" s="10"/>
      <c r="AJ228" s="39"/>
      <c r="AK228" s="39"/>
      <c r="AL228" s="39"/>
      <c r="AM228" s="39"/>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c r="EM228" s="10"/>
      <c r="EN228" s="10"/>
      <c r="EO228" s="10"/>
      <c r="EP228" s="10"/>
      <c r="EQ228" s="10"/>
      <c r="ER228" s="10"/>
      <c r="ES228" s="10"/>
      <c r="ET228" s="10"/>
      <c r="EU228" s="10"/>
      <c r="EV228" s="10"/>
      <c r="EW228" s="10"/>
      <c r="EX228" s="10"/>
      <c r="EY228" s="10"/>
      <c r="EZ228" s="10"/>
      <c r="FA228" s="10"/>
      <c r="FB228" s="10"/>
      <c r="FC228" s="10"/>
      <c r="FD228" s="10"/>
      <c r="FE228" s="10"/>
      <c r="FF228" s="10"/>
      <c r="FG228" s="10"/>
      <c r="FH228" s="10"/>
      <c r="FI228" s="10"/>
      <c r="FJ228" s="10"/>
      <c r="FK228" s="10"/>
      <c r="FL228" s="10"/>
      <c r="FM228" s="10"/>
      <c r="FN228" s="10"/>
      <c r="FO228" s="10"/>
      <c r="FP228" s="10"/>
      <c r="FQ228" s="10"/>
      <c r="FR228" s="10"/>
      <c r="FS228" s="10"/>
      <c r="FT228" s="10"/>
      <c r="FU228" s="10"/>
      <c r="FV228" s="10"/>
      <c r="FW228" s="10"/>
      <c r="FX228" s="10"/>
      <c r="FY228" s="10"/>
      <c r="FZ228" s="10"/>
      <c r="GA228" s="10"/>
      <c r="GB228" s="10"/>
      <c r="GC228" s="10"/>
      <c r="GD228" s="10"/>
      <c r="GE228" s="10"/>
      <c r="GF228" s="10"/>
      <c r="GG228" s="10"/>
      <c r="GH228" s="10"/>
      <c r="GI228" s="10"/>
      <c r="GJ228" s="10"/>
      <c r="GK228" s="10"/>
      <c r="GL228" s="10"/>
      <c r="GM228" s="10"/>
      <c r="GN228" s="10"/>
      <c r="GO228" s="10"/>
      <c r="GP228" s="10"/>
      <c r="GQ228" s="10"/>
      <c r="GR228" s="10"/>
      <c r="GS228" s="10"/>
      <c r="GT228" s="10"/>
      <c r="GU228" s="10"/>
      <c r="GV228" s="10"/>
      <c r="GW228" s="10"/>
      <c r="GX228" s="10"/>
      <c r="GY228" s="10"/>
      <c r="GZ228" s="10"/>
      <c r="HA228" s="10"/>
      <c r="HB228" s="10"/>
      <c r="HC228" s="10"/>
      <c r="HD228" s="10"/>
      <c r="HE228" s="10"/>
      <c r="HF228" s="10"/>
      <c r="HG228" s="10"/>
      <c r="HH228" s="10"/>
      <c r="HI228" s="10"/>
      <c r="HJ228" s="10"/>
      <c r="HK228" s="10"/>
      <c r="HL228" s="10"/>
      <c r="HM228" s="10"/>
      <c r="HN228" s="10"/>
      <c r="HO228" s="10"/>
      <c r="HP228" s="10"/>
      <c r="HQ228" s="10"/>
      <c r="HR228" s="10"/>
      <c r="HS228" s="10"/>
      <c r="HT228" s="10"/>
    </row>
    <row r="229" spans="1:228" ht="15" customHeight="1" x14ac:dyDescent="0.2">
      <c r="B229" s="127" t="s">
        <v>1313</v>
      </c>
      <c r="C229" s="694"/>
      <c r="D229" s="694"/>
      <c r="E229" s="921">
        <f>IF(AND($Y$228&gt;0,$Z$228&gt;0),"ERROR",LETable!AT43)</f>
        <v>0</v>
      </c>
      <c r="F229" s="921"/>
      <c r="G229" s="1232" t="str">
        <f>IF(AND($Y$228&gt;0,$Z$228&gt;0),"Cannot rate ROM and ankylosis in the ankle.",IF(AND(C229&lt;&gt;"",C229&lt;&gt;"NA",C231&lt;&gt;"",C231&lt;&gt;"NA"),"Multiple ankylosis values; use higher value only.",""))</f>
        <v/>
      </c>
      <c r="H229" s="1232"/>
      <c r="I229" s="1232"/>
      <c r="J229" s="1232"/>
      <c r="K229" s="1232"/>
      <c r="L229" s="1232"/>
      <c r="M229" s="1232"/>
      <c r="N229" s="1232"/>
      <c r="O229" s="1233"/>
      <c r="P229" s="1199"/>
      <c r="S229" s="50">
        <v>20</v>
      </c>
      <c r="T229" s="50" t="str">
        <f>IF(OR(C229="",C229="NA"),"",IF(C229&gt;S229,S229,IF(C229&lt;0,0,C229)))</f>
        <v/>
      </c>
      <c r="U229" s="10"/>
      <c r="Y229" s="50">
        <f>IF(AND(C228&lt;&gt;"",C228&lt;&gt;"NA"),1,0)</f>
        <v>0</v>
      </c>
      <c r="Z229" s="50">
        <f>IF(AND(C229&lt;&gt;"",C229&lt;&gt;"NA"),2,0)</f>
        <v>0</v>
      </c>
      <c r="AB229" s="10"/>
      <c r="AC229" s="192">
        <f>MAX(E229,E231)</f>
        <v>0</v>
      </c>
      <c r="AD229" s="791" t="s">
        <v>1902</v>
      </c>
      <c r="AE229" s="791"/>
      <c r="AF229" s="791"/>
      <c r="AG229" s="791"/>
      <c r="AH229" s="39"/>
      <c r="AI229" s="10"/>
      <c r="AJ229" s="39"/>
      <c r="AK229" s="39"/>
      <c r="AL229" s="39"/>
      <c r="AM229" s="39"/>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c r="EM229" s="10"/>
      <c r="EN229" s="10"/>
      <c r="EO229" s="10"/>
      <c r="EP229" s="10"/>
      <c r="EQ229" s="10"/>
      <c r="ER229" s="10"/>
      <c r="ES229" s="10"/>
      <c r="ET229" s="10"/>
      <c r="EU229" s="10"/>
      <c r="EV229" s="10"/>
      <c r="EW229" s="10"/>
      <c r="EX229" s="10"/>
      <c r="EY229" s="10"/>
      <c r="EZ229" s="10"/>
      <c r="FA229" s="10"/>
      <c r="FB229" s="10"/>
      <c r="FC229" s="10"/>
      <c r="FD229" s="10"/>
      <c r="FE229" s="10"/>
      <c r="FF229" s="10"/>
      <c r="FG229" s="10"/>
      <c r="FH229" s="10"/>
      <c r="FI229" s="10"/>
      <c r="FJ229" s="10"/>
      <c r="FK229" s="10"/>
      <c r="FL229" s="10"/>
      <c r="FM229" s="10"/>
      <c r="FN229" s="10"/>
      <c r="FO229" s="10"/>
      <c r="FP229" s="10"/>
      <c r="FQ229" s="10"/>
      <c r="FR229" s="10"/>
      <c r="FS229" s="10"/>
      <c r="FT229" s="10"/>
      <c r="FU229" s="10"/>
      <c r="FV229" s="10"/>
      <c r="FW229" s="10"/>
      <c r="FX229" s="10"/>
      <c r="FY229" s="10"/>
      <c r="FZ229" s="10"/>
      <c r="GA229" s="10"/>
      <c r="GB229" s="10"/>
      <c r="GC229" s="10"/>
      <c r="GD229" s="10"/>
      <c r="GE229" s="10"/>
      <c r="GF229" s="10"/>
      <c r="GG229" s="10"/>
      <c r="GH229" s="10"/>
      <c r="GI229" s="10"/>
      <c r="GJ229" s="10"/>
      <c r="GK229" s="10"/>
      <c r="GL229" s="10"/>
      <c r="GM229" s="10"/>
      <c r="GN229" s="10"/>
      <c r="GO229" s="10"/>
      <c r="GP229" s="10"/>
      <c r="GQ229" s="10"/>
      <c r="GR229" s="10"/>
      <c r="GS229" s="10"/>
      <c r="GT229" s="10"/>
      <c r="GU229" s="10"/>
      <c r="GV229" s="10"/>
      <c r="GW229" s="10"/>
      <c r="GX229" s="10"/>
      <c r="GY229" s="10"/>
      <c r="GZ229" s="10"/>
      <c r="HA229" s="10"/>
      <c r="HB229" s="10"/>
      <c r="HC229" s="10"/>
      <c r="HD229" s="10"/>
      <c r="HE229" s="10"/>
      <c r="HF229" s="10"/>
      <c r="HG229" s="10"/>
      <c r="HH229" s="10"/>
      <c r="HI229" s="10"/>
      <c r="HJ229" s="10"/>
      <c r="HK229" s="10"/>
      <c r="HL229" s="10"/>
      <c r="HM229" s="10"/>
      <c r="HN229" s="10"/>
      <c r="HO229" s="10"/>
      <c r="HP229" s="10"/>
      <c r="HQ229" s="10"/>
      <c r="HR229" s="10"/>
      <c r="HS229" s="10"/>
      <c r="HT229" s="10"/>
    </row>
    <row r="230" spans="1:228" ht="15" customHeight="1" x14ac:dyDescent="0.2">
      <c r="B230" s="293" t="s">
        <v>1237</v>
      </c>
      <c r="C230" s="694"/>
      <c r="D230" s="694"/>
      <c r="E230" s="921">
        <f>LETable!AT44</f>
        <v>0</v>
      </c>
      <c r="F230" s="921"/>
      <c r="G230" s="1222"/>
      <c r="H230" s="1238"/>
      <c r="I230" s="1223"/>
      <c r="J230" s="1178">
        <f>IF(C230="",0,IF(OR(C230&lt;=0,G230&lt;=0),E230,IF(G230&lt;C230,0,LETable!AY44)))</f>
        <v>0</v>
      </c>
      <c r="K230" s="1178"/>
      <c r="L230" s="1232" t="str">
        <f>IF(OR(C230="NA",G230="NA"),"",IF(AND(C230&lt;&gt;"",G230=""),"Enter contralateral or NA.",IF(AND(C230="",G230&lt;&gt;""),"Need data","")))</f>
        <v/>
      </c>
      <c r="M230" s="1232"/>
      <c r="N230" s="1232"/>
      <c r="O230" s="1233"/>
      <c r="P230" s="1199"/>
      <c r="R230" s="50" t="s">
        <v>682</v>
      </c>
      <c r="S230" s="50">
        <v>40</v>
      </c>
      <c r="T230" s="50" t="str">
        <f>IF(OR(C230="",C230="NA"),"",IF(C230&gt;S230,S230,IF(C230&lt;0,0,C230)))</f>
        <v/>
      </c>
      <c r="U230" s="50" t="str">
        <f>IF(OR(G230="",G230="NA"),"",IF(G230&gt;S230,S230,IF(G230&lt;0,0,G230)))</f>
        <v/>
      </c>
      <c r="V230" s="553" t="str">
        <f>IF(W230="","",ROUND(W230,0))</f>
        <v/>
      </c>
      <c r="W230" s="554" t="str">
        <f>IF(T230="","",IF(OR(U230="",U230=0,U230&lt;T230),T230,(T230*S230)/U230))</f>
        <v/>
      </c>
      <c r="X230" s="10"/>
      <c r="Y230" s="50">
        <f>IF(AND(C230&lt;&gt;"",C230&lt;&gt;"NA"),1,0)</f>
        <v>0</v>
      </c>
      <c r="Z230" s="50">
        <f>IF(AND(C231&lt;&gt;"",C231&lt;&gt;"NA"),2,0)</f>
        <v>0</v>
      </c>
      <c r="AA230" s="10"/>
      <c r="AB230" s="10"/>
      <c r="AC230" s="10"/>
      <c r="AD230" s="10"/>
      <c r="AE230" s="10"/>
      <c r="AF230" s="10"/>
      <c r="AG230" s="10"/>
      <c r="AH230" s="39"/>
      <c r="AI230" s="10"/>
      <c r="AJ230" s="39"/>
      <c r="AK230" s="39"/>
      <c r="AL230" s="39"/>
      <c r="AM230" s="39"/>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0"/>
      <c r="EU230" s="10"/>
      <c r="EV230" s="10"/>
      <c r="EW230" s="10"/>
      <c r="EX230" s="10"/>
      <c r="EY230" s="10"/>
      <c r="EZ230" s="10"/>
      <c r="FA230" s="10"/>
      <c r="FB230" s="10"/>
      <c r="FC230" s="10"/>
      <c r="FD230" s="10"/>
      <c r="FE230" s="10"/>
      <c r="FF230" s="10"/>
      <c r="FG230" s="10"/>
      <c r="FH230" s="10"/>
      <c r="FI230" s="10"/>
      <c r="FJ230" s="10"/>
      <c r="FK230" s="10"/>
      <c r="FL230" s="10"/>
      <c r="FM230" s="10"/>
      <c r="FN230" s="10"/>
      <c r="FO230" s="10"/>
      <c r="FP230" s="10"/>
      <c r="FQ230" s="10"/>
      <c r="FR230" s="10"/>
      <c r="FS230" s="10"/>
      <c r="FT230" s="10"/>
      <c r="FU230" s="10"/>
      <c r="FV230" s="10"/>
      <c r="FW230" s="10"/>
      <c r="FX230" s="10"/>
      <c r="FY230" s="10"/>
      <c r="FZ230" s="10"/>
      <c r="GA230" s="10"/>
      <c r="GB230" s="10"/>
      <c r="GC230" s="10"/>
      <c r="GD230" s="10"/>
      <c r="GE230" s="10"/>
      <c r="GF230" s="10"/>
      <c r="GG230" s="10"/>
      <c r="GH230" s="10"/>
      <c r="GI230" s="10"/>
      <c r="GJ230" s="10"/>
      <c r="GK230" s="10"/>
      <c r="GL230" s="10"/>
      <c r="GM230" s="10"/>
      <c r="GN230" s="10"/>
      <c r="GO230" s="10"/>
      <c r="GP230" s="10"/>
      <c r="GQ230" s="10"/>
      <c r="GR230" s="10"/>
      <c r="GS230" s="10"/>
      <c r="GT230" s="10"/>
      <c r="GU230" s="10"/>
      <c r="GV230" s="10"/>
      <c r="GW230" s="10"/>
      <c r="GX230" s="10"/>
      <c r="GY230" s="10"/>
      <c r="GZ230" s="10"/>
      <c r="HA230" s="10"/>
      <c r="HB230" s="10"/>
      <c r="HC230" s="10"/>
      <c r="HD230" s="10"/>
      <c r="HE230" s="10"/>
      <c r="HF230" s="10"/>
      <c r="HG230" s="10"/>
      <c r="HH230" s="10"/>
      <c r="HI230" s="10"/>
      <c r="HJ230" s="10"/>
      <c r="HK230" s="10"/>
      <c r="HL230" s="10"/>
      <c r="HM230" s="10"/>
      <c r="HN230" s="10"/>
      <c r="HO230" s="10"/>
      <c r="HP230" s="10"/>
      <c r="HQ230" s="10"/>
      <c r="HR230" s="10"/>
      <c r="HS230" s="10"/>
      <c r="HT230" s="10"/>
    </row>
    <row r="231" spans="1:228" ht="15" customHeight="1" x14ac:dyDescent="0.2">
      <c r="B231" s="127" t="s">
        <v>1801</v>
      </c>
      <c r="C231" s="694"/>
      <c r="D231" s="694"/>
      <c r="E231" s="921">
        <f>IF(AND($Y$228&gt;0,$Z$228&gt;0),"ERROR",LETable!AT45)</f>
        <v>0</v>
      </c>
      <c r="F231" s="921"/>
      <c r="G231" s="1232" t="str">
        <f>IF(AND($Y$228&gt;0,$Z$228&gt;0),"Cannot rate ROM and ankylosis in the ankle.",IF(AND(C229&lt;&gt;"",C229&lt;&gt;"NA",C231&lt;&gt;"",C231&lt;&gt;"NA"),"Multiple ankylosis values; use higher value only.",""))</f>
        <v/>
      </c>
      <c r="H231" s="1232"/>
      <c r="I231" s="1232"/>
      <c r="J231" s="1232"/>
      <c r="K231" s="1232"/>
      <c r="L231" s="1232"/>
      <c r="M231" s="1232"/>
      <c r="N231" s="1232"/>
      <c r="O231" s="1233"/>
      <c r="P231" s="1199"/>
      <c r="R231" s="50" t="s">
        <v>684</v>
      </c>
      <c r="S231" s="50">
        <v>40</v>
      </c>
      <c r="T231" s="50" t="str">
        <f>IF(OR(C231="",C231="NA"),"",IF(C231&gt;S231,S231,IF(C231&lt;0,0,C231)))</f>
        <v/>
      </c>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0"/>
      <c r="ES231" s="10"/>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0"/>
      <c r="FX231" s="10"/>
      <c r="FY231" s="10"/>
      <c r="FZ231" s="10"/>
      <c r="GA231" s="10"/>
      <c r="GB231" s="10"/>
      <c r="GC231" s="10"/>
      <c r="GD231" s="10"/>
      <c r="GE231" s="10"/>
      <c r="GF231" s="10"/>
      <c r="GG231" s="10"/>
      <c r="GH231" s="10"/>
      <c r="GI231" s="10"/>
      <c r="GJ231" s="10"/>
      <c r="GK231" s="10"/>
      <c r="GL231" s="10"/>
      <c r="GM231" s="10"/>
      <c r="GN231" s="10"/>
      <c r="GO231" s="10"/>
      <c r="GP231" s="10"/>
      <c r="GQ231" s="10"/>
      <c r="GR231" s="10"/>
      <c r="GS231" s="10"/>
      <c r="GT231" s="10"/>
      <c r="GU231" s="10"/>
      <c r="GV231" s="10"/>
      <c r="GW231" s="10"/>
      <c r="GX231" s="10"/>
      <c r="GY231" s="10"/>
      <c r="GZ231" s="10"/>
      <c r="HA231" s="10"/>
      <c r="HB231" s="10"/>
      <c r="HC231" s="10"/>
      <c r="HD231" s="10"/>
      <c r="HE231" s="10"/>
      <c r="HF231" s="10"/>
      <c r="HG231" s="10"/>
      <c r="HH231" s="10"/>
      <c r="HI231" s="10"/>
      <c r="HJ231" s="10"/>
      <c r="HK231" s="10"/>
      <c r="HL231" s="10"/>
      <c r="HM231" s="10"/>
      <c r="HN231" s="10"/>
      <c r="HO231" s="10"/>
      <c r="HP231" s="10"/>
      <c r="HQ231" s="10"/>
      <c r="HR231" s="10"/>
      <c r="HS231" s="10"/>
      <c r="HT231" s="10"/>
    </row>
    <row r="232" spans="1:228" ht="18" customHeight="1" x14ac:dyDescent="0.2">
      <c r="B232" s="1122"/>
      <c r="C232" s="1122"/>
      <c r="D232" s="1122"/>
      <c r="E232" s="1122"/>
      <c r="F232" s="1122"/>
      <c r="G232" s="1122"/>
      <c r="H232" s="1122"/>
      <c r="I232" s="1122"/>
      <c r="J232" s="1122"/>
      <c r="K232" s="1122"/>
      <c r="L232" s="1249" t="s">
        <v>2203</v>
      </c>
      <c r="M232" s="1249"/>
      <c r="N232" s="1250"/>
      <c r="O232" s="281">
        <f>J228+J230+AC229</f>
        <v>0</v>
      </c>
      <c r="P232" s="1199"/>
      <c r="R232" s="50">
        <f>IF(OR(E223="ERROR",E225="ERROR",E229="ERROR",E231="ERROR"),1,0)</f>
        <v>0</v>
      </c>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0"/>
      <c r="ES232" s="10"/>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0"/>
      <c r="FX232" s="10"/>
      <c r="FY232" s="10"/>
      <c r="FZ232" s="10"/>
      <c r="GA232" s="10"/>
      <c r="GB232" s="10"/>
      <c r="GC232" s="10"/>
      <c r="GD232" s="10"/>
      <c r="GE232" s="10"/>
      <c r="GF232" s="10"/>
      <c r="GG232" s="10"/>
      <c r="GH232" s="10"/>
      <c r="GI232" s="10"/>
      <c r="GJ232" s="10"/>
      <c r="GK232" s="10"/>
      <c r="GL232" s="10"/>
      <c r="GM232" s="10"/>
      <c r="GN232" s="10"/>
      <c r="GO232" s="10"/>
      <c r="GP232" s="10"/>
      <c r="GQ232" s="10"/>
      <c r="GR232" s="10"/>
      <c r="GS232" s="10"/>
      <c r="GT232" s="10"/>
      <c r="GU232" s="10"/>
      <c r="GV232" s="10"/>
      <c r="GW232" s="10"/>
      <c r="GX232" s="10"/>
      <c r="GY232" s="10"/>
      <c r="GZ232" s="10"/>
      <c r="HA232" s="10"/>
      <c r="HB232" s="10"/>
      <c r="HC232" s="10"/>
      <c r="HD232" s="10"/>
      <c r="HE232" s="10"/>
      <c r="HF232" s="10"/>
      <c r="HG232" s="10"/>
      <c r="HH232" s="10"/>
      <c r="HI232" s="10"/>
      <c r="HJ232" s="10"/>
      <c r="HK232" s="10"/>
      <c r="HL232" s="10"/>
      <c r="HM232" s="10"/>
      <c r="HN232" s="10"/>
      <c r="HO232" s="10"/>
      <c r="HP232" s="10"/>
      <c r="HQ232" s="10"/>
      <c r="HR232" s="10"/>
      <c r="HS232" s="10"/>
      <c r="HT232" s="10"/>
    </row>
    <row r="233" spans="1:228" ht="21.75" customHeight="1" x14ac:dyDescent="0.2">
      <c r="B233" s="1122"/>
      <c r="C233" s="1122"/>
      <c r="D233" s="1122"/>
      <c r="E233" s="1122"/>
      <c r="F233" s="1122"/>
      <c r="G233" s="1122"/>
      <c r="H233" s="1122"/>
      <c r="I233" s="1122"/>
      <c r="J233" s="1122"/>
      <c r="K233" s="1122"/>
      <c r="L233" s="1007" t="s">
        <v>1011</v>
      </c>
      <c r="M233" s="1007"/>
      <c r="N233" s="1007"/>
      <c r="O233" s="1008"/>
      <c r="P233" s="296">
        <f>IF(R232=1,"ERROR",IF(AND(R233&gt;0,R233&lt;0.01),0.01,IF(R233&gt;1,1,ROUND(R233,2))))</f>
        <v>0</v>
      </c>
      <c r="R233" s="544">
        <f>O226+O232</f>
        <v>0</v>
      </c>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c r="EM233" s="10"/>
      <c r="EN233" s="10"/>
      <c r="EO233" s="10"/>
      <c r="EP233" s="10"/>
      <c r="EQ233" s="10"/>
      <c r="ER233" s="10"/>
      <c r="ES233" s="10"/>
      <c r="ET233" s="10"/>
      <c r="EU233" s="10"/>
      <c r="EV233" s="10"/>
      <c r="EW233" s="10"/>
      <c r="EX233" s="10"/>
      <c r="EY233" s="10"/>
      <c r="EZ233" s="10"/>
      <c r="FA233" s="10"/>
      <c r="FB233" s="10"/>
      <c r="FC233" s="10"/>
      <c r="FD233" s="10"/>
      <c r="FE233" s="10"/>
      <c r="FF233" s="10"/>
      <c r="FG233" s="10"/>
      <c r="FH233" s="10"/>
      <c r="FI233" s="10"/>
      <c r="FJ233" s="10"/>
      <c r="FK233" s="10"/>
      <c r="FL233" s="10"/>
      <c r="FM233" s="10"/>
      <c r="FN233" s="10"/>
      <c r="FO233" s="10"/>
      <c r="FP233" s="10"/>
      <c r="FQ233" s="10"/>
      <c r="FR233" s="10"/>
      <c r="FS233" s="10"/>
      <c r="FT233" s="10"/>
      <c r="FU233" s="10"/>
      <c r="FV233" s="10"/>
      <c r="FW233" s="10"/>
      <c r="FX233" s="10"/>
      <c r="FY233" s="10"/>
      <c r="FZ233" s="10"/>
      <c r="GA233" s="10"/>
      <c r="GB233" s="10"/>
      <c r="GC233" s="10"/>
      <c r="GD233" s="10"/>
      <c r="GE233" s="10"/>
      <c r="GF233" s="10"/>
      <c r="GG233" s="10"/>
      <c r="GH233" s="10"/>
      <c r="GI233" s="10"/>
      <c r="GJ233" s="10"/>
      <c r="GK233" s="10"/>
      <c r="GL233" s="10"/>
      <c r="GM233" s="10"/>
      <c r="GN233" s="10"/>
      <c r="GO233" s="10"/>
      <c r="GP233" s="10"/>
      <c r="GQ233" s="10"/>
      <c r="GR233" s="10"/>
      <c r="GS233" s="10"/>
      <c r="GT233" s="10"/>
      <c r="GU233" s="10"/>
      <c r="GV233" s="10"/>
      <c r="GW233" s="10"/>
      <c r="GX233" s="10"/>
      <c r="GY233" s="10"/>
      <c r="GZ233" s="10"/>
      <c r="HA233" s="10"/>
      <c r="HB233" s="10"/>
      <c r="HC233" s="10"/>
      <c r="HD233" s="10"/>
      <c r="HE233" s="10"/>
      <c r="HF233" s="10"/>
      <c r="HG233" s="10"/>
      <c r="HH233" s="10"/>
      <c r="HI233" s="10"/>
      <c r="HJ233" s="10"/>
      <c r="HK233" s="10"/>
      <c r="HL233" s="10"/>
      <c r="HM233" s="10"/>
      <c r="HN233" s="10"/>
      <c r="HO233" s="10"/>
      <c r="HP233" s="10"/>
      <c r="HQ233" s="10"/>
      <c r="HR233" s="10"/>
      <c r="HS233" s="10"/>
      <c r="HT233" s="10"/>
    </row>
    <row r="234" spans="1:228" ht="15" customHeight="1" x14ac:dyDescent="0.25">
      <c r="B234" s="1183"/>
      <c r="C234" s="1183"/>
      <c r="D234" s="1183"/>
      <c r="E234" s="1183"/>
      <c r="F234" s="1183"/>
      <c r="G234" s="1183"/>
      <c r="H234" s="1183"/>
      <c r="I234" s="1183"/>
      <c r="J234" s="1183"/>
      <c r="K234" s="1183"/>
      <c r="L234" s="1183"/>
      <c r="M234" s="1183"/>
      <c r="N234" s="1183"/>
      <c r="O234" s="1183"/>
      <c r="P234" s="29"/>
      <c r="R234" s="131"/>
      <c r="S234" s="136"/>
      <c r="T234" s="128"/>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c r="EM234" s="10"/>
      <c r="EN234" s="10"/>
      <c r="EO234" s="10"/>
      <c r="EP234" s="10"/>
      <c r="EQ234" s="10"/>
      <c r="ER234" s="10"/>
      <c r="ES234" s="10"/>
      <c r="ET234" s="10"/>
      <c r="EU234" s="10"/>
      <c r="EV234" s="10"/>
      <c r="EW234" s="10"/>
      <c r="EX234" s="10"/>
      <c r="EY234" s="10"/>
      <c r="EZ234" s="10"/>
      <c r="FA234" s="10"/>
      <c r="FB234" s="10"/>
      <c r="FC234" s="10"/>
      <c r="FD234" s="10"/>
      <c r="FE234" s="10"/>
      <c r="FF234" s="10"/>
      <c r="FG234" s="10"/>
      <c r="FH234" s="10"/>
      <c r="FI234" s="10"/>
      <c r="FJ234" s="10"/>
      <c r="FK234" s="10"/>
      <c r="FL234" s="10"/>
      <c r="FM234" s="10"/>
      <c r="FN234" s="10"/>
      <c r="FO234" s="10"/>
      <c r="FP234" s="10"/>
      <c r="FQ234" s="10"/>
      <c r="FR234" s="10"/>
      <c r="FS234" s="10"/>
      <c r="FT234" s="10"/>
      <c r="FU234" s="10"/>
      <c r="FV234" s="10"/>
      <c r="FW234" s="10"/>
      <c r="FX234" s="10"/>
      <c r="FY234" s="10"/>
      <c r="FZ234" s="10"/>
      <c r="GA234" s="10"/>
      <c r="GB234" s="10"/>
      <c r="GC234" s="10"/>
      <c r="GD234" s="10"/>
      <c r="GE234" s="10"/>
      <c r="GF234" s="10"/>
      <c r="GG234" s="10"/>
      <c r="GH234" s="10"/>
      <c r="GI234" s="10"/>
      <c r="GJ234" s="10"/>
      <c r="GK234" s="10"/>
      <c r="GL234" s="10"/>
      <c r="GM234" s="10"/>
      <c r="GN234" s="10"/>
      <c r="GO234" s="10"/>
      <c r="GP234" s="10"/>
      <c r="GQ234" s="10"/>
      <c r="GR234" s="10"/>
      <c r="GS234" s="10"/>
      <c r="GT234" s="10"/>
      <c r="GU234" s="10"/>
      <c r="GV234" s="10"/>
      <c r="GW234" s="10"/>
      <c r="GX234" s="10"/>
      <c r="GY234" s="10"/>
      <c r="GZ234" s="10"/>
      <c r="HA234" s="10"/>
      <c r="HB234" s="10"/>
      <c r="HC234" s="10"/>
      <c r="HD234" s="10"/>
      <c r="HE234" s="10"/>
      <c r="HF234" s="10"/>
      <c r="HG234" s="10"/>
      <c r="HH234" s="10"/>
      <c r="HI234" s="10"/>
      <c r="HJ234" s="10"/>
      <c r="HK234" s="10"/>
      <c r="HL234" s="10"/>
      <c r="HM234" s="10"/>
      <c r="HN234" s="10"/>
      <c r="HO234" s="10"/>
      <c r="HP234" s="10"/>
      <c r="HQ234" s="10"/>
      <c r="HR234" s="10"/>
      <c r="HS234" s="10"/>
      <c r="HT234" s="10"/>
    </row>
    <row r="235" spans="1:228" ht="21" customHeight="1" x14ac:dyDescent="0.2">
      <c r="B235" s="944" t="s">
        <v>1969</v>
      </c>
      <c r="C235" s="945"/>
      <c r="D235" s="945"/>
      <c r="E235" s="945"/>
      <c r="F235" s="945"/>
      <c r="G235" s="945"/>
      <c r="H235" s="945"/>
      <c r="I235" s="945"/>
      <c r="J235" s="945"/>
      <c r="K235" s="945"/>
      <c r="L235" s="945"/>
      <c r="M235" s="945"/>
      <c r="N235" s="945"/>
      <c r="O235" s="945"/>
      <c r="P235" s="127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c r="EM235" s="10"/>
      <c r="EN235" s="10"/>
      <c r="EO235" s="10"/>
      <c r="EP235" s="10"/>
      <c r="EQ235" s="10"/>
      <c r="ER235" s="10"/>
      <c r="ES235" s="10"/>
      <c r="ET235" s="10"/>
      <c r="EU235" s="10"/>
      <c r="EV235" s="10"/>
      <c r="EW235" s="10"/>
      <c r="EX235" s="10"/>
      <c r="EY235" s="10"/>
      <c r="EZ235" s="10"/>
      <c r="FA235" s="10"/>
      <c r="FB235" s="10"/>
      <c r="FC235" s="10"/>
      <c r="FD235" s="10"/>
      <c r="FE235" s="10"/>
      <c r="FF235" s="10"/>
      <c r="FG235" s="10"/>
      <c r="FH235" s="10"/>
      <c r="FI235" s="10"/>
      <c r="FJ235" s="10"/>
      <c r="FK235" s="10"/>
      <c r="FL235" s="10"/>
      <c r="FM235" s="10"/>
      <c r="FN235" s="10"/>
      <c r="FO235" s="10"/>
      <c r="FP235" s="10"/>
      <c r="FQ235" s="10"/>
      <c r="FR235" s="10"/>
      <c r="FS235" s="10"/>
      <c r="FT235" s="10"/>
      <c r="FU235" s="10"/>
      <c r="FV235" s="10"/>
      <c r="FW235" s="10"/>
      <c r="FX235" s="10"/>
      <c r="FY235" s="10"/>
      <c r="FZ235" s="10"/>
      <c r="GA235" s="10"/>
      <c r="GB235" s="10"/>
      <c r="GC235" s="10"/>
      <c r="GD235" s="10"/>
      <c r="GE235" s="10"/>
      <c r="GF235" s="10"/>
      <c r="GG235" s="10"/>
      <c r="GH235" s="10"/>
      <c r="GI235" s="10"/>
      <c r="GJ235" s="10"/>
      <c r="GK235" s="10"/>
      <c r="GL235" s="10"/>
      <c r="GM235" s="10"/>
      <c r="GN235" s="10"/>
      <c r="GO235" s="10"/>
      <c r="GP235" s="10"/>
      <c r="GQ235" s="10"/>
      <c r="GR235" s="10"/>
      <c r="GS235" s="10"/>
      <c r="GT235" s="10"/>
      <c r="GU235" s="10"/>
      <c r="GV235" s="10"/>
      <c r="GW235" s="10"/>
      <c r="GX235" s="10"/>
      <c r="GY235" s="10"/>
      <c r="GZ235" s="10"/>
      <c r="HA235" s="10"/>
      <c r="HB235" s="10"/>
      <c r="HC235" s="10"/>
      <c r="HD235" s="10"/>
      <c r="HE235" s="10"/>
      <c r="HF235" s="10"/>
      <c r="HG235" s="10"/>
      <c r="HH235" s="10"/>
      <c r="HI235" s="10"/>
      <c r="HJ235" s="10"/>
      <c r="HK235" s="10"/>
      <c r="HL235" s="10"/>
      <c r="HM235" s="10"/>
      <c r="HN235" s="10"/>
      <c r="HO235" s="10"/>
      <c r="HP235" s="10"/>
      <c r="HQ235" s="10"/>
      <c r="HR235" s="10"/>
      <c r="HS235" s="10"/>
      <c r="HT235" s="10"/>
    </row>
    <row r="236" spans="1:228" ht="18" customHeight="1" x14ac:dyDescent="0.2">
      <c r="B236" s="944" t="s">
        <v>1970</v>
      </c>
      <c r="C236" s="945"/>
      <c r="D236" s="945"/>
      <c r="E236" s="945"/>
      <c r="F236" s="945"/>
      <c r="G236" s="945"/>
      <c r="H236" s="945"/>
      <c r="I236" s="945"/>
      <c r="J236" s="945"/>
      <c r="K236" s="945"/>
      <c r="L236" s="945"/>
      <c r="M236" s="945"/>
      <c r="N236" s="945"/>
      <c r="O236" s="945"/>
      <c r="P236" s="1271"/>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c r="EM236" s="10"/>
      <c r="EN236" s="10"/>
      <c r="EO236" s="10"/>
      <c r="EP236" s="10"/>
      <c r="EQ236" s="10"/>
      <c r="ER236" s="10"/>
      <c r="ES236" s="10"/>
      <c r="ET236" s="10"/>
      <c r="EU236" s="10"/>
      <c r="EV236" s="10"/>
      <c r="EW236" s="10"/>
      <c r="EX236" s="10"/>
      <c r="EY236" s="10"/>
      <c r="EZ236" s="10"/>
      <c r="FA236" s="10"/>
      <c r="FB236" s="10"/>
      <c r="FC236" s="10"/>
      <c r="FD236" s="10"/>
      <c r="FE236" s="10"/>
      <c r="FF236" s="10"/>
      <c r="FG236" s="10"/>
      <c r="FH236" s="10"/>
      <c r="FI236" s="10"/>
      <c r="FJ236" s="10"/>
      <c r="FK236" s="10"/>
      <c r="FL236" s="10"/>
      <c r="FM236" s="10"/>
      <c r="FN236" s="10"/>
      <c r="FO236" s="10"/>
      <c r="FP236" s="10"/>
      <c r="FQ236" s="10"/>
      <c r="FR236" s="10"/>
      <c r="FS236" s="10"/>
      <c r="FT236" s="10"/>
      <c r="FU236" s="10"/>
      <c r="FV236" s="10"/>
      <c r="FW236" s="10"/>
      <c r="FX236" s="10"/>
      <c r="FY236" s="10"/>
      <c r="FZ236" s="10"/>
      <c r="GA236" s="10"/>
      <c r="GB236" s="10"/>
      <c r="GC236" s="10"/>
      <c r="GD236" s="10"/>
      <c r="GE236" s="10"/>
      <c r="GF236" s="10"/>
      <c r="GG236" s="10"/>
      <c r="GH236" s="10"/>
      <c r="GI236" s="10"/>
      <c r="GJ236" s="10"/>
      <c r="GK236" s="10"/>
      <c r="GL236" s="10"/>
      <c r="GM236" s="10"/>
      <c r="GN236" s="10"/>
      <c r="GO236" s="10"/>
      <c r="GP236" s="10"/>
      <c r="GQ236" s="10"/>
      <c r="GR236" s="10"/>
      <c r="GS236" s="10"/>
      <c r="GT236" s="10"/>
      <c r="GU236" s="10"/>
      <c r="GV236" s="10"/>
      <c r="GW236" s="10"/>
      <c r="GX236" s="10"/>
      <c r="GY236" s="10"/>
      <c r="GZ236" s="10"/>
      <c r="HA236" s="10"/>
      <c r="HB236" s="10"/>
      <c r="HC236" s="10"/>
      <c r="HD236" s="10"/>
      <c r="HE236" s="10"/>
      <c r="HF236" s="10"/>
      <c r="HG236" s="10"/>
      <c r="HH236" s="10"/>
      <c r="HI236" s="10"/>
      <c r="HJ236" s="10"/>
      <c r="HK236" s="10"/>
      <c r="HL236" s="10"/>
      <c r="HM236" s="10"/>
      <c r="HN236" s="10"/>
      <c r="HO236" s="10"/>
      <c r="HP236" s="10"/>
      <c r="HQ236" s="10"/>
      <c r="HR236" s="10"/>
      <c r="HS236" s="10"/>
      <c r="HT236" s="10"/>
    </row>
    <row r="237" spans="1:228" ht="15" customHeight="1" x14ac:dyDescent="0.2">
      <c r="B237" s="146" t="s">
        <v>1973</v>
      </c>
      <c r="C237" s="1185"/>
      <c r="D237" s="1185"/>
      <c r="E237" s="1185"/>
      <c r="F237" s="1185"/>
      <c r="G237" s="1185"/>
      <c r="H237" s="1185"/>
      <c r="I237" s="1185"/>
      <c r="J237" s="1185"/>
      <c r="K237" s="1185"/>
      <c r="L237" s="1185"/>
      <c r="M237" s="1185"/>
      <c r="N237" s="1185"/>
      <c r="O237" s="66"/>
      <c r="P237" s="82">
        <f>IF(C237=S237,0,IF(C237=T237,0.05,IF(C237=U237,0.1,0)))</f>
        <v>0</v>
      </c>
      <c r="R237" s="947" t="s">
        <v>2147</v>
      </c>
      <c r="S237" s="50" t="s">
        <v>1901</v>
      </c>
      <c r="T237" s="50" t="s">
        <v>1748</v>
      </c>
      <c r="U237" s="50" t="s">
        <v>1749</v>
      </c>
      <c r="V237" s="97"/>
      <c r="W237" s="544" t="s">
        <v>2172</v>
      </c>
      <c r="X237" s="132"/>
      <c r="Z237" s="61"/>
      <c r="AA237" s="61"/>
      <c r="AB237" s="62"/>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c r="EM237" s="10"/>
      <c r="EN237" s="10"/>
      <c r="EO237" s="10"/>
      <c r="EP237" s="10"/>
      <c r="EQ237" s="10"/>
      <c r="ER237" s="10"/>
      <c r="ES237" s="10"/>
      <c r="ET237" s="10"/>
      <c r="EU237" s="10"/>
      <c r="EV237" s="10"/>
      <c r="EW237" s="10"/>
      <c r="EX237" s="10"/>
      <c r="EY237" s="10"/>
      <c r="EZ237" s="10"/>
      <c r="FA237" s="10"/>
      <c r="FB237" s="10"/>
      <c r="FC237" s="10"/>
      <c r="FD237" s="10"/>
      <c r="FE237" s="10"/>
      <c r="FF237" s="10"/>
      <c r="FG237" s="10"/>
      <c r="FH237" s="10"/>
      <c r="FI237" s="10"/>
      <c r="FJ237" s="10"/>
      <c r="FK237" s="10"/>
      <c r="FL237" s="10"/>
      <c r="FM237" s="10"/>
      <c r="FN237" s="10"/>
      <c r="FO237" s="10"/>
      <c r="FP237" s="10"/>
      <c r="FQ237" s="10"/>
      <c r="FR237" s="10"/>
      <c r="FS237" s="10"/>
      <c r="FT237" s="10"/>
      <c r="FU237" s="10"/>
      <c r="FV237" s="10"/>
      <c r="FW237" s="10"/>
      <c r="FX237" s="10"/>
      <c r="FY237" s="10"/>
      <c r="FZ237" s="10"/>
      <c r="GA237" s="10"/>
      <c r="GB237" s="10"/>
      <c r="GC237" s="10"/>
      <c r="GD237" s="10"/>
      <c r="GE237" s="10"/>
      <c r="GF237" s="10"/>
      <c r="GG237" s="10"/>
      <c r="GH237" s="10"/>
      <c r="GI237" s="10"/>
      <c r="GJ237" s="10"/>
      <c r="GK237" s="10"/>
      <c r="GL237" s="10"/>
      <c r="GM237" s="10"/>
      <c r="GN237" s="10"/>
      <c r="GO237" s="10"/>
      <c r="GP237" s="10"/>
      <c r="GQ237" s="10"/>
      <c r="GR237" s="10"/>
      <c r="GS237" s="10"/>
      <c r="GT237" s="10"/>
      <c r="GU237" s="10"/>
      <c r="GV237" s="10"/>
      <c r="GW237" s="10"/>
      <c r="GX237" s="10"/>
      <c r="GY237" s="10"/>
      <c r="GZ237" s="10"/>
      <c r="HA237" s="10"/>
      <c r="HB237" s="10"/>
      <c r="HC237" s="10"/>
      <c r="HD237" s="10"/>
      <c r="HE237" s="10"/>
      <c r="HF237" s="10"/>
      <c r="HG237" s="10"/>
      <c r="HH237" s="10"/>
      <c r="HI237" s="10"/>
      <c r="HJ237" s="10"/>
      <c r="HK237" s="10"/>
      <c r="HL237" s="10"/>
      <c r="HM237" s="10"/>
      <c r="HN237" s="10"/>
      <c r="HO237" s="10"/>
      <c r="HP237" s="10"/>
      <c r="HQ237" s="10"/>
      <c r="HR237" s="10"/>
      <c r="HS237" s="10"/>
      <c r="HT237" s="10"/>
    </row>
    <row r="238" spans="1:228" ht="15" customHeight="1" x14ac:dyDescent="0.2">
      <c r="B238" s="230" t="s">
        <v>1972</v>
      </c>
      <c r="C238" s="1246"/>
      <c r="D238" s="1246"/>
      <c r="E238" s="1246"/>
      <c r="F238" s="1246"/>
      <c r="G238" s="1246"/>
      <c r="H238" s="1246"/>
      <c r="I238" s="1246"/>
      <c r="J238" s="1246"/>
      <c r="K238" s="1246"/>
      <c r="L238" s="1246"/>
      <c r="M238" s="1246"/>
      <c r="N238" s="1246"/>
      <c r="O238" s="251"/>
      <c r="P238" s="82">
        <f>IF(C238=S238,0,IF(C238=T238,0.05,IF(C238=U238,0.1,0)))</f>
        <v>0</v>
      </c>
      <c r="R238" s="947"/>
      <c r="S238" s="50" t="s">
        <v>1901</v>
      </c>
      <c r="T238" s="50" t="s">
        <v>1956</v>
      </c>
      <c r="U238" s="50" t="s">
        <v>1957</v>
      </c>
      <c r="V238" s="97"/>
      <c r="W238" s="128">
        <f>MAX(P237,P238)</f>
        <v>0</v>
      </c>
      <c r="X238" s="132"/>
      <c r="Y238" s="10"/>
      <c r="Z238" s="61"/>
      <c r="AA238" s="61"/>
      <c r="AB238" s="62"/>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c r="EM238" s="10"/>
      <c r="EN238" s="10"/>
      <c r="EO238" s="10"/>
      <c r="EP238" s="10"/>
      <c r="EQ238" s="10"/>
      <c r="ER238" s="10"/>
      <c r="ES238" s="10"/>
      <c r="ET238" s="10"/>
      <c r="EU238" s="10"/>
      <c r="EV238" s="10"/>
      <c r="EW238" s="10"/>
      <c r="EX238" s="10"/>
      <c r="EY238" s="10"/>
      <c r="EZ238" s="10"/>
      <c r="FA238" s="10"/>
      <c r="FB238" s="10"/>
      <c r="FC238" s="10"/>
      <c r="FD238" s="10"/>
      <c r="FE238" s="10"/>
      <c r="FF238" s="10"/>
      <c r="FG238" s="10"/>
      <c r="FH238" s="10"/>
      <c r="FI238" s="10"/>
      <c r="FJ238" s="10"/>
      <c r="FK238" s="10"/>
      <c r="FL238" s="10"/>
      <c r="FM238" s="10"/>
      <c r="FN238" s="10"/>
      <c r="FO238" s="10"/>
      <c r="FP238" s="10"/>
      <c r="FQ238" s="10"/>
      <c r="FR238" s="10"/>
      <c r="FS238" s="10"/>
      <c r="FT238" s="10"/>
      <c r="FU238" s="10"/>
      <c r="FV238" s="10"/>
      <c r="FW238" s="10"/>
      <c r="FX238" s="10"/>
      <c r="FY238" s="10"/>
      <c r="FZ238" s="10"/>
      <c r="GA238" s="10"/>
      <c r="GB238" s="10"/>
      <c r="GC238" s="10"/>
      <c r="GD238" s="10"/>
      <c r="GE238" s="10"/>
      <c r="GF238" s="10"/>
      <c r="GG238" s="10"/>
      <c r="GH238" s="10"/>
      <c r="GI238" s="10"/>
      <c r="GJ238" s="10"/>
      <c r="GK238" s="10"/>
      <c r="GL238" s="10"/>
      <c r="GM238" s="10"/>
      <c r="GN238" s="10"/>
      <c r="GO238" s="10"/>
      <c r="GP238" s="10"/>
      <c r="GQ238" s="10"/>
      <c r="GR238" s="10"/>
      <c r="GS238" s="10"/>
      <c r="GT238" s="10"/>
      <c r="GU238" s="10"/>
      <c r="GV238" s="10"/>
      <c r="GW238" s="10"/>
      <c r="GX238" s="10"/>
      <c r="GY238" s="10"/>
      <c r="GZ238" s="10"/>
      <c r="HA238" s="10"/>
      <c r="HB238" s="10"/>
      <c r="HC238" s="10"/>
      <c r="HD238" s="10"/>
      <c r="HE238" s="10"/>
      <c r="HF238" s="10"/>
      <c r="HG238" s="10"/>
      <c r="HH238" s="10"/>
      <c r="HI238" s="10"/>
      <c r="HJ238" s="10"/>
      <c r="HK238" s="10"/>
      <c r="HL238" s="10"/>
      <c r="HM238" s="10"/>
      <c r="HN238" s="10"/>
      <c r="HO238" s="10"/>
      <c r="HP238" s="10"/>
      <c r="HQ238" s="10"/>
      <c r="HR238" s="10"/>
      <c r="HS238" s="10"/>
      <c r="HT238" s="10"/>
    </row>
    <row r="239" spans="1:228" ht="15" x14ac:dyDescent="0.25">
      <c r="B239" s="1137"/>
      <c r="C239" s="1137"/>
      <c r="D239" s="1137"/>
      <c r="E239" s="1137"/>
      <c r="F239" s="1137"/>
      <c r="G239" s="1137"/>
      <c r="H239" s="1137"/>
      <c r="I239" s="1137"/>
      <c r="J239" s="1137"/>
      <c r="K239" s="1137"/>
      <c r="L239" s="1137"/>
      <c r="M239" s="1137"/>
      <c r="N239" s="1137"/>
      <c r="O239" s="1137"/>
      <c r="P239" s="63"/>
      <c r="R239" s="10"/>
      <c r="S239" s="97"/>
      <c r="T239" s="97"/>
      <c r="U239" s="97"/>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c r="EM239" s="10"/>
      <c r="EN239" s="10"/>
      <c r="EO239" s="10"/>
      <c r="EP239" s="10"/>
      <c r="EQ239" s="10"/>
      <c r="ER239" s="10"/>
      <c r="ES239" s="10"/>
      <c r="ET239" s="10"/>
      <c r="EU239" s="10"/>
      <c r="EV239" s="10"/>
      <c r="EW239" s="10"/>
      <c r="EX239" s="10"/>
      <c r="EY239" s="10"/>
      <c r="EZ239" s="10"/>
      <c r="FA239" s="10"/>
      <c r="FB239" s="10"/>
      <c r="FC239" s="10"/>
      <c r="FD239" s="10"/>
      <c r="FE239" s="10"/>
      <c r="FF239" s="10"/>
      <c r="FG239" s="10"/>
      <c r="FH239" s="10"/>
      <c r="FI239" s="10"/>
      <c r="FJ239" s="10"/>
      <c r="FK239" s="10"/>
      <c r="FL239" s="10"/>
      <c r="FM239" s="10"/>
      <c r="FN239" s="10"/>
      <c r="FO239" s="10"/>
      <c r="FP239" s="10"/>
      <c r="FQ239" s="10"/>
      <c r="FR239" s="10"/>
      <c r="FS239" s="10"/>
      <c r="FT239" s="10"/>
      <c r="FU239" s="10"/>
      <c r="FV239" s="10"/>
      <c r="FW239" s="10"/>
      <c r="FX239" s="10"/>
      <c r="FY239" s="10"/>
      <c r="FZ239" s="10"/>
      <c r="GA239" s="10"/>
      <c r="GB239" s="10"/>
      <c r="GC239" s="10"/>
      <c r="GD239" s="10"/>
      <c r="GE239" s="10"/>
      <c r="GF239" s="10"/>
      <c r="GG239" s="10"/>
      <c r="GH239" s="10"/>
      <c r="GI239" s="10"/>
      <c r="GJ239" s="10"/>
      <c r="GK239" s="10"/>
      <c r="GL239" s="10"/>
      <c r="GM239" s="10"/>
      <c r="GN239" s="10"/>
      <c r="GO239" s="10"/>
      <c r="GP239" s="10"/>
      <c r="GQ239" s="10"/>
      <c r="GR239" s="10"/>
      <c r="GS239" s="10"/>
      <c r="GT239" s="10"/>
      <c r="GU239" s="10"/>
      <c r="GV239" s="10"/>
      <c r="GW239" s="10"/>
      <c r="GX239" s="10"/>
      <c r="GY239" s="10"/>
      <c r="GZ239" s="10"/>
      <c r="HA239" s="10"/>
      <c r="HB239" s="10"/>
      <c r="HC239" s="10"/>
      <c r="HD239" s="10"/>
      <c r="HE239" s="10"/>
      <c r="HF239" s="10"/>
      <c r="HG239" s="10"/>
      <c r="HH239" s="10"/>
      <c r="HI239" s="10"/>
      <c r="HJ239" s="10"/>
      <c r="HK239" s="10"/>
      <c r="HL239" s="10"/>
      <c r="HM239" s="10"/>
      <c r="HN239" s="10"/>
      <c r="HO239" s="10"/>
      <c r="HP239" s="10"/>
      <c r="HQ239" s="10"/>
      <c r="HR239" s="10"/>
      <c r="HS239" s="10"/>
      <c r="HT239" s="10"/>
    </row>
    <row r="240" spans="1:228" ht="20.25" customHeight="1" x14ac:dyDescent="0.25">
      <c r="A240" s="15"/>
      <c r="B240" s="907" t="s">
        <v>557</v>
      </c>
      <c r="C240" s="911"/>
      <c r="D240" s="911"/>
      <c r="E240" s="911"/>
      <c r="F240" s="911"/>
      <c r="G240" s="911"/>
      <c r="H240" s="911"/>
      <c r="I240" s="911"/>
      <c r="J240" s="911"/>
      <c r="K240" s="911"/>
      <c r="L240" s="911"/>
      <c r="M240" s="911"/>
      <c r="N240" s="911"/>
      <c r="O240" s="911"/>
      <c r="P240" s="380"/>
      <c r="R240" s="10"/>
      <c r="S240" s="10"/>
      <c r="T240" s="10"/>
      <c r="U240" s="10"/>
      <c r="V240" s="10"/>
      <c r="W240" s="10">
        <v>1E-4</v>
      </c>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c r="EM240" s="10"/>
      <c r="EN240" s="10"/>
      <c r="EO240" s="10"/>
      <c r="EP240" s="10"/>
      <c r="EQ240" s="10"/>
      <c r="ER240" s="10"/>
      <c r="ES240" s="10"/>
      <c r="ET240" s="10"/>
      <c r="EU240" s="10"/>
      <c r="EV240" s="10"/>
      <c r="EW240" s="10"/>
      <c r="EX240" s="10"/>
      <c r="EY240" s="10"/>
      <c r="EZ240" s="10"/>
      <c r="FA240" s="10"/>
      <c r="FB240" s="10"/>
      <c r="FC240" s="10"/>
      <c r="FD240" s="10"/>
      <c r="FE240" s="10"/>
      <c r="FF240" s="10"/>
      <c r="FG240" s="10"/>
      <c r="FH240" s="10"/>
      <c r="FI240" s="10"/>
      <c r="FJ240" s="10"/>
      <c r="FK240" s="10"/>
      <c r="FL240" s="10"/>
      <c r="FM240" s="10"/>
      <c r="FN240" s="10"/>
      <c r="FO240" s="10"/>
      <c r="FP240" s="10"/>
      <c r="FQ240" s="10"/>
      <c r="FR240" s="10"/>
      <c r="FS240" s="10"/>
      <c r="FT240" s="10"/>
      <c r="FU240" s="10"/>
      <c r="FV240" s="10"/>
      <c r="FW240" s="10"/>
      <c r="FX240" s="10"/>
      <c r="FY240" s="10"/>
      <c r="FZ240" s="10"/>
      <c r="GA240" s="10"/>
      <c r="GB240" s="10"/>
      <c r="GC240" s="10"/>
      <c r="GD240" s="10"/>
      <c r="GE240" s="10"/>
      <c r="GF240" s="10"/>
      <c r="GG240" s="10"/>
      <c r="GH240" s="10"/>
      <c r="GI240" s="10"/>
      <c r="GJ240" s="10"/>
      <c r="GK240" s="10"/>
      <c r="GL240" s="10"/>
      <c r="GM240" s="10"/>
      <c r="GN240" s="10"/>
      <c r="GO240" s="10"/>
      <c r="GP240" s="10"/>
      <c r="GQ240" s="10"/>
      <c r="GR240" s="10"/>
      <c r="GS240" s="10"/>
      <c r="GT240" s="10"/>
      <c r="GU240" s="10"/>
      <c r="GV240" s="10"/>
      <c r="GW240" s="10"/>
      <c r="GX240" s="10"/>
      <c r="GY240" s="10"/>
      <c r="GZ240" s="10"/>
      <c r="HA240" s="10"/>
      <c r="HB240" s="10"/>
      <c r="HC240" s="10"/>
      <c r="HD240" s="10"/>
      <c r="HE240" s="10"/>
      <c r="HF240" s="10"/>
      <c r="HG240" s="10"/>
      <c r="HH240" s="10"/>
      <c r="HI240" s="10"/>
      <c r="HJ240" s="10"/>
      <c r="HK240" s="10"/>
      <c r="HL240" s="10"/>
      <c r="HM240" s="10"/>
      <c r="HN240" s="10"/>
      <c r="HO240" s="10"/>
      <c r="HP240" s="10"/>
      <c r="HQ240" s="10"/>
      <c r="HR240" s="10"/>
      <c r="HS240" s="10"/>
      <c r="HT240" s="10"/>
    </row>
    <row r="241" spans="1:228" ht="15" customHeight="1" x14ac:dyDescent="0.2">
      <c r="B241" s="986" t="s">
        <v>1010</v>
      </c>
      <c r="C241" s="1306"/>
      <c r="D241" s="1306"/>
      <c r="E241" s="1306"/>
      <c r="F241" s="1306"/>
      <c r="G241" s="1254"/>
      <c r="H241" s="1255"/>
      <c r="I241" s="1255"/>
      <c r="J241" s="1255"/>
      <c r="K241" s="1255"/>
      <c r="L241" s="1255"/>
      <c r="M241" s="1255"/>
      <c r="N241" s="1255"/>
      <c r="O241" s="1255"/>
      <c r="P241" s="91">
        <f>IF(G241=$T$241,0.09,IF(G241=$U$241,0.18,IF(G241=$V$241,0.28,0)))</f>
        <v>0</v>
      </c>
      <c r="R241" s="947" t="s">
        <v>2147</v>
      </c>
      <c r="S241" s="50" t="s">
        <v>1901</v>
      </c>
      <c r="T241" s="50" t="s">
        <v>899</v>
      </c>
      <c r="U241" s="50" t="s">
        <v>1764</v>
      </c>
      <c r="V241" s="50" t="s">
        <v>900</v>
      </c>
      <c r="W241" s="5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c r="EM241" s="10"/>
      <c r="EN241" s="10"/>
      <c r="EO241" s="10"/>
      <c r="EP241" s="10"/>
      <c r="EQ241" s="10"/>
      <c r="ER241" s="10"/>
      <c r="ES241" s="10"/>
      <c r="ET241" s="10"/>
      <c r="EU241" s="10"/>
      <c r="EV241" s="10"/>
      <c r="EW241" s="10"/>
      <c r="EX241" s="10"/>
      <c r="EY241" s="10"/>
      <c r="EZ241" s="10"/>
      <c r="FA241" s="10"/>
      <c r="FB241" s="10"/>
      <c r="FC241" s="10"/>
      <c r="FD241" s="10"/>
      <c r="FE241" s="10"/>
      <c r="FF241" s="10"/>
      <c r="FG241" s="10"/>
      <c r="FH241" s="10"/>
      <c r="FI241" s="10"/>
      <c r="FJ241" s="10"/>
      <c r="FK241" s="10"/>
      <c r="FL241" s="10"/>
      <c r="FM241" s="10"/>
      <c r="FN241" s="10"/>
      <c r="FO241" s="10"/>
      <c r="FP241" s="10"/>
      <c r="FQ241" s="10"/>
      <c r="FR241" s="10"/>
      <c r="FS241" s="10"/>
      <c r="FT241" s="10"/>
      <c r="FU241" s="10"/>
      <c r="FV241" s="10"/>
      <c r="FW241" s="10"/>
      <c r="FX241" s="10"/>
      <c r="FY241" s="10"/>
      <c r="FZ241" s="10"/>
      <c r="GA241" s="10"/>
      <c r="GB241" s="10"/>
      <c r="GC241" s="10"/>
      <c r="GD241" s="10"/>
      <c r="GE241" s="10"/>
      <c r="GF241" s="10"/>
      <c r="GG241" s="10"/>
      <c r="GH241" s="10"/>
      <c r="GI241" s="10"/>
      <c r="GJ241" s="10"/>
      <c r="GK241" s="10"/>
      <c r="GL241" s="10"/>
      <c r="GM241" s="10"/>
      <c r="GN241" s="10"/>
      <c r="GO241" s="10"/>
      <c r="GP241" s="10"/>
      <c r="GQ241" s="10"/>
      <c r="GR241" s="10"/>
      <c r="GS241" s="10"/>
      <c r="GT241" s="10"/>
      <c r="GU241" s="10"/>
      <c r="GV241" s="10"/>
      <c r="GW241" s="10"/>
      <c r="GX241" s="10"/>
      <c r="GY241" s="10"/>
      <c r="GZ241" s="10"/>
      <c r="HA241" s="10"/>
      <c r="HB241" s="10"/>
      <c r="HC241" s="10"/>
      <c r="HD241" s="10"/>
      <c r="HE241" s="10"/>
      <c r="HF241" s="10"/>
      <c r="HG241" s="10"/>
      <c r="HH241" s="10"/>
      <c r="HI241" s="10"/>
      <c r="HJ241" s="10"/>
      <c r="HK241" s="10"/>
      <c r="HL241" s="10"/>
      <c r="HM241" s="10"/>
      <c r="HN241" s="10"/>
      <c r="HO241" s="10"/>
      <c r="HP241" s="10"/>
      <c r="HQ241" s="10"/>
      <c r="HR241" s="10"/>
      <c r="HS241" s="10"/>
      <c r="HT241" s="10"/>
    </row>
    <row r="242" spans="1:228" ht="15" customHeight="1" x14ac:dyDescent="0.2">
      <c r="B242" s="1257" t="s">
        <v>901</v>
      </c>
      <c r="C242" s="1258"/>
      <c r="D242" s="1258"/>
      <c r="E242" s="1258"/>
      <c r="F242" s="1259"/>
      <c r="G242" s="1262"/>
      <c r="H242" s="1263"/>
      <c r="I242" s="1263"/>
      <c r="J242" s="1263"/>
      <c r="K242" s="1263"/>
      <c r="L242" s="1263"/>
      <c r="M242" s="1263"/>
      <c r="N242" s="1263"/>
      <c r="O242" s="1264"/>
      <c r="P242" s="82">
        <f>IF(G242=$T$241,0.06,IF(G242=$U$241,0.11,IF(G242=$V$241,0.17,0)))</f>
        <v>0</v>
      </c>
      <c r="R242" s="947"/>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c r="EM242" s="10"/>
      <c r="EN242" s="10"/>
      <c r="EO242" s="10"/>
      <c r="EP242" s="10"/>
      <c r="EQ242" s="10"/>
      <c r="ER242" s="10"/>
      <c r="ES242" s="10"/>
      <c r="ET242" s="10"/>
      <c r="EU242" s="10"/>
      <c r="EV242" s="10"/>
      <c r="EW242" s="10"/>
      <c r="EX242" s="10"/>
      <c r="EY242" s="10"/>
      <c r="EZ242" s="10"/>
      <c r="FA242" s="10"/>
      <c r="FB242" s="10"/>
      <c r="FC242" s="10"/>
      <c r="FD242" s="10"/>
      <c r="FE242" s="10"/>
      <c r="FF242" s="10"/>
      <c r="FG242" s="10"/>
      <c r="FH242" s="10"/>
      <c r="FI242" s="10"/>
      <c r="FJ242" s="10"/>
      <c r="FK242" s="10"/>
      <c r="FL242" s="10"/>
      <c r="FM242" s="10"/>
      <c r="FN242" s="10"/>
      <c r="FO242" s="10"/>
      <c r="FP242" s="10"/>
      <c r="FQ242" s="10"/>
      <c r="FR242" s="10"/>
      <c r="FS242" s="10"/>
      <c r="FT242" s="10"/>
      <c r="FU242" s="10"/>
      <c r="FV242" s="10"/>
      <c r="FW242" s="10"/>
      <c r="FX242" s="10"/>
      <c r="FY242" s="10"/>
      <c r="FZ242" s="10"/>
      <c r="GA242" s="10"/>
      <c r="GB242" s="10"/>
      <c r="GC242" s="10"/>
      <c r="GD242" s="10"/>
      <c r="GE242" s="10"/>
      <c r="GF242" s="10"/>
      <c r="GG242" s="10"/>
      <c r="GH242" s="10"/>
      <c r="GI242" s="10"/>
      <c r="GJ242" s="10"/>
      <c r="GK242" s="10"/>
      <c r="GL242" s="10"/>
      <c r="GM242" s="10"/>
      <c r="GN242" s="10"/>
      <c r="GO242" s="10"/>
      <c r="GP242" s="10"/>
      <c r="GQ242" s="10"/>
      <c r="GR242" s="10"/>
      <c r="GS242" s="10"/>
      <c r="GT242" s="10"/>
      <c r="GU242" s="10"/>
      <c r="GV242" s="10"/>
      <c r="GW242" s="10"/>
      <c r="GX242" s="10"/>
      <c r="GY242" s="10"/>
      <c r="GZ242" s="10"/>
      <c r="HA242" s="10"/>
      <c r="HB242" s="10"/>
      <c r="HC242" s="10"/>
      <c r="HD242" s="10"/>
      <c r="HE242" s="10"/>
      <c r="HF242" s="10"/>
      <c r="HG242" s="10"/>
      <c r="HH242" s="10"/>
      <c r="HI242" s="10"/>
      <c r="HJ242" s="10"/>
      <c r="HK242" s="10"/>
      <c r="HL242" s="10"/>
      <c r="HM242" s="10"/>
      <c r="HN242" s="10"/>
      <c r="HO242" s="10"/>
      <c r="HP242" s="10"/>
      <c r="HQ242" s="10"/>
      <c r="HR242" s="10"/>
      <c r="HS242" s="10"/>
      <c r="HT242" s="10"/>
    </row>
    <row r="243" spans="1:228" ht="19.5" customHeight="1" x14ac:dyDescent="0.2">
      <c r="B243" s="1307" t="s">
        <v>2093</v>
      </c>
      <c r="C243" s="1308"/>
      <c r="D243" s="1308"/>
      <c r="E243" s="1308"/>
      <c r="F243" s="1308"/>
      <c r="G243" s="1308"/>
      <c r="H243" s="1308"/>
      <c r="I243" s="1308"/>
      <c r="J243" s="1308"/>
      <c r="K243" s="1308"/>
      <c r="L243" s="1308"/>
      <c r="M243" s="1308"/>
      <c r="N243" s="1308"/>
      <c r="O243" s="1309"/>
      <c r="P243" s="91">
        <f>IF(S243=1,0.1,0)</f>
        <v>0</v>
      </c>
      <c r="R243" s="546" t="b">
        <v>0</v>
      </c>
      <c r="S243" s="50">
        <f>IF(R243=TRUE,1,0)</f>
        <v>0</v>
      </c>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c r="EM243" s="10"/>
      <c r="EN243" s="10"/>
      <c r="EO243" s="10"/>
      <c r="EP243" s="10"/>
      <c r="EQ243" s="10"/>
      <c r="ER243" s="10"/>
      <c r="ES243" s="10"/>
      <c r="ET243" s="10"/>
      <c r="EU243" s="10"/>
      <c r="EV243" s="10"/>
      <c r="EW243" s="10"/>
      <c r="EX243" s="10"/>
      <c r="EY243" s="10"/>
      <c r="EZ243" s="10"/>
      <c r="FA243" s="10"/>
      <c r="FB243" s="10"/>
      <c r="FC243" s="10"/>
      <c r="FD243" s="10"/>
      <c r="FE243" s="10"/>
      <c r="FF243" s="10"/>
      <c r="FG243" s="10"/>
      <c r="FH243" s="10"/>
      <c r="FI243" s="10"/>
      <c r="FJ243" s="10"/>
      <c r="FK243" s="10"/>
      <c r="FL243" s="10"/>
      <c r="FM243" s="10"/>
      <c r="FN243" s="10"/>
      <c r="FO243" s="10"/>
      <c r="FP243" s="10"/>
      <c r="FQ243" s="10"/>
      <c r="FR243" s="10"/>
      <c r="FS243" s="10"/>
      <c r="FT243" s="10"/>
      <c r="FU243" s="10"/>
      <c r="FV243" s="10"/>
      <c r="FW243" s="10"/>
      <c r="FX243" s="10"/>
      <c r="FY243" s="10"/>
      <c r="FZ243" s="10"/>
      <c r="GA243" s="10"/>
      <c r="GB243" s="10"/>
      <c r="GC243" s="10"/>
      <c r="GD243" s="10"/>
      <c r="GE243" s="10"/>
      <c r="GF243" s="10"/>
      <c r="GG243" s="10"/>
      <c r="GH243" s="10"/>
      <c r="GI243" s="10"/>
      <c r="GJ243" s="10"/>
      <c r="GK243" s="10"/>
      <c r="GL243" s="10"/>
      <c r="GM243" s="10"/>
      <c r="GN243" s="10"/>
      <c r="GO243" s="10"/>
      <c r="GP243" s="10"/>
      <c r="GQ243" s="10"/>
      <c r="GR243" s="10"/>
      <c r="GS243" s="10"/>
      <c r="GT243" s="10"/>
      <c r="GU243" s="10"/>
      <c r="GV243" s="10"/>
      <c r="GW243" s="10"/>
      <c r="GX243" s="10"/>
      <c r="GY243" s="10"/>
      <c r="GZ243" s="10"/>
      <c r="HA243" s="10"/>
      <c r="HB243" s="10"/>
      <c r="HC243" s="10"/>
      <c r="HD243" s="10"/>
      <c r="HE243" s="10"/>
      <c r="HF243" s="10"/>
      <c r="HG243" s="10"/>
      <c r="HH243" s="10"/>
      <c r="HI243" s="10"/>
      <c r="HJ243" s="10"/>
      <c r="HK243" s="10"/>
      <c r="HL243" s="10"/>
      <c r="HM243" s="10"/>
      <c r="HN243" s="10"/>
      <c r="HO243" s="10"/>
      <c r="HP243" s="10"/>
      <c r="HQ243" s="10"/>
      <c r="HR243" s="10"/>
      <c r="HS243" s="10"/>
      <c r="HT243" s="10"/>
    </row>
    <row r="244" spans="1:228" ht="12" customHeight="1" x14ac:dyDescent="0.2">
      <c r="B244" s="1196"/>
      <c r="C244" s="1196"/>
      <c r="D244" s="1196"/>
      <c r="E244" s="1196"/>
      <c r="F244" s="1196"/>
      <c r="G244" s="1196"/>
      <c r="H244" s="1196"/>
      <c r="I244" s="1196"/>
      <c r="J244" s="1196"/>
      <c r="K244" s="1196"/>
      <c r="L244" s="1196"/>
      <c r="M244" s="1196"/>
      <c r="N244" s="1196"/>
      <c r="O244" s="1196"/>
      <c r="P244" s="73"/>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c r="DY244" s="10"/>
      <c r="DZ244" s="10"/>
      <c r="EA244" s="10"/>
      <c r="EB244" s="10"/>
      <c r="EC244" s="10"/>
      <c r="ED244" s="10"/>
      <c r="EE244" s="10"/>
      <c r="EF244" s="10"/>
      <c r="EG244" s="10"/>
      <c r="EH244" s="10"/>
      <c r="EI244" s="10"/>
      <c r="EJ244" s="10"/>
      <c r="EK244" s="10"/>
      <c r="EL244" s="10"/>
      <c r="EM244" s="10"/>
      <c r="EN244" s="10"/>
      <c r="EO244" s="10"/>
      <c r="EP244" s="10"/>
      <c r="EQ244" s="10"/>
      <c r="ER244" s="10"/>
      <c r="ES244" s="10"/>
      <c r="ET244" s="10"/>
      <c r="EU244" s="10"/>
      <c r="EV244" s="10"/>
      <c r="EW244" s="10"/>
      <c r="EX244" s="10"/>
      <c r="EY244" s="10"/>
      <c r="EZ244" s="10"/>
      <c r="FA244" s="10"/>
      <c r="FB244" s="10"/>
      <c r="FC244" s="10"/>
      <c r="FD244" s="10"/>
      <c r="FE244" s="10"/>
      <c r="FF244" s="10"/>
      <c r="FG244" s="10"/>
      <c r="FH244" s="10"/>
      <c r="FI244" s="10"/>
      <c r="FJ244" s="10"/>
      <c r="FK244" s="10"/>
      <c r="FL244" s="10"/>
      <c r="FM244" s="10"/>
      <c r="FN244" s="10"/>
      <c r="FO244" s="10"/>
      <c r="FP244" s="10"/>
      <c r="FQ244" s="10"/>
      <c r="FR244" s="10"/>
      <c r="FS244" s="10"/>
      <c r="FT244" s="10"/>
      <c r="FU244" s="10"/>
      <c r="FV244" s="10"/>
      <c r="FW244" s="10"/>
      <c r="FX244" s="10"/>
      <c r="FY244" s="10"/>
      <c r="FZ244" s="10"/>
      <c r="GA244" s="10"/>
      <c r="GB244" s="10"/>
      <c r="GC244" s="10"/>
      <c r="GD244" s="10"/>
      <c r="GE244" s="10"/>
      <c r="GF244" s="10"/>
      <c r="GG244" s="10"/>
      <c r="GH244" s="10"/>
      <c r="GI244" s="10"/>
      <c r="GJ244" s="10"/>
      <c r="GK244" s="10"/>
      <c r="GL244" s="10"/>
      <c r="GM244" s="10"/>
      <c r="GN244" s="10"/>
      <c r="GO244" s="10"/>
      <c r="GP244" s="10"/>
      <c r="GQ244" s="10"/>
      <c r="GR244" s="10"/>
      <c r="GS244" s="10"/>
      <c r="GT244" s="10"/>
      <c r="GU244" s="10"/>
      <c r="GV244" s="10"/>
      <c r="GW244" s="10"/>
      <c r="GX244" s="10"/>
      <c r="GY244" s="10"/>
      <c r="GZ244" s="10"/>
      <c r="HA244" s="10"/>
      <c r="HB244" s="10"/>
      <c r="HC244" s="10"/>
      <c r="HD244" s="10"/>
      <c r="HE244" s="10"/>
      <c r="HF244" s="10"/>
      <c r="HG244" s="10"/>
      <c r="HH244" s="10"/>
      <c r="HI244" s="10"/>
      <c r="HJ244" s="10"/>
      <c r="HK244" s="10"/>
      <c r="HL244" s="10"/>
      <c r="HM244" s="10"/>
      <c r="HN244" s="10"/>
      <c r="HO244" s="10"/>
      <c r="HP244" s="10"/>
      <c r="HQ244" s="10"/>
      <c r="HR244" s="10"/>
      <c r="HS244" s="10"/>
      <c r="HT244" s="10"/>
    </row>
    <row r="245" spans="1:228" ht="12" customHeight="1" x14ac:dyDescent="0.25">
      <c r="B245" s="1137"/>
      <c r="C245" s="1137"/>
      <c r="D245" s="1137"/>
      <c r="E245" s="1137"/>
      <c r="F245" s="1137"/>
      <c r="G245" s="1137"/>
      <c r="H245" s="1137"/>
      <c r="I245" s="1137"/>
      <c r="J245" s="1137"/>
      <c r="K245" s="1137"/>
      <c r="L245" s="1137"/>
      <c r="M245" s="1137"/>
      <c r="N245" s="1137"/>
      <c r="O245" s="1137"/>
      <c r="P245" s="63"/>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c r="DY245" s="10"/>
      <c r="DZ245" s="10"/>
      <c r="EA245" s="10"/>
      <c r="EB245" s="10"/>
      <c r="EC245" s="10"/>
      <c r="ED245" s="10"/>
      <c r="EE245" s="10"/>
      <c r="EF245" s="10"/>
      <c r="EG245" s="10"/>
      <c r="EH245" s="10"/>
      <c r="EI245" s="10"/>
      <c r="EJ245" s="10"/>
      <c r="EK245" s="10"/>
      <c r="EL245" s="10"/>
      <c r="EM245" s="10"/>
      <c r="EN245" s="10"/>
      <c r="EO245" s="10"/>
      <c r="EP245" s="10"/>
      <c r="EQ245" s="10"/>
      <c r="ER245" s="10"/>
      <c r="ES245" s="10"/>
      <c r="ET245" s="10"/>
      <c r="EU245" s="10"/>
      <c r="EV245" s="10"/>
      <c r="EW245" s="10"/>
      <c r="EX245" s="10"/>
      <c r="EY245" s="10"/>
      <c r="EZ245" s="10"/>
      <c r="FA245" s="10"/>
      <c r="FB245" s="10"/>
      <c r="FC245" s="10"/>
      <c r="FD245" s="10"/>
      <c r="FE245" s="10"/>
      <c r="FF245" s="10"/>
      <c r="FG245" s="10"/>
      <c r="FH245" s="10"/>
      <c r="FI245" s="10"/>
      <c r="FJ245" s="10"/>
      <c r="FK245" s="10"/>
      <c r="FL245" s="10"/>
      <c r="FM245" s="10"/>
      <c r="FN245" s="10"/>
      <c r="FO245" s="10"/>
      <c r="FP245" s="10"/>
      <c r="FQ245" s="10"/>
      <c r="FR245" s="10"/>
      <c r="FS245" s="10"/>
      <c r="FT245" s="10"/>
      <c r="FU245" s="10"/>
      <c r="FV245" s="10"/>
      <c r="FW245" s="10"/>
      <c r="FX245" s="10"/>
      <c r="FY245" s="10"/>
      <c r="FZ245" s="10"/>
      <c r="GA245" s="10"/>
      <c r="GB245" s="10"/>
      <c r="GC245" s="10"/>
      <c r="GD245" s="10"/>
      <c r="GE245" s="10"/>
      <c r="GF245" s="10"/>
      <c r="GG245" s="10"/>
      <c r="GH245" s="10"/>
      <c r="GI245" s="10"/>
      <c r="GJ245" s="10"/>
      <c r="GK245" s="10"/>
      <c r="GL245" s="10"/>
      <c r="GM245" s="10"/>
      <c r="GN245" s="10"/>
      <c r="GO245" s="10"/>
      <c r="GP245" s="10"/>
      <c r="GQ245" s="10"/>
      <c r="GR245" s="10"/>
      <c r="GS245" s="10"/>
      <c r="GT245" s="10"/>
      <c r="GU245" s="10"/>
      <c r="GV245" s="10"/>
      <c r="GW245" s="10"/>
      <c r="GX245" s="10"/>
      <c r="GY245" s="10"/>
      <c r="GZ245" s="10"/>
      <c r="HA245" s="10"/>
      <c r="HB245" s="10"/>
      <c r="HC245" s="10"/>
      <c r="HD245" s="10"/>
      <c r="HE245" s="10"/>
      <c r="HF245" s="10"/>
      <c r="HG245" s="10"/>
      <c r="HH245" s="10"/>
      <c r="HI245" s="10"/>
      <c r="HJ245" s="10"/>
      <c r="HK245" s="10"/>
      <c r="HL245" s="10"/>
      <c r="HM245" s="10"/>
      <c r="HN245" s="10"/>
      <c r="HO245" s="10"/>
      <c r="HP245" s="10"/>
      <c r="HQ245" s="10"/>
      <c r="HR245" s="10"/>
      <c r="HS245" s="10"/>
      <c r="HT245" s="10"/>
    </row>
    <row r="246" spans="1:228" ht="19.5" customHeight="1" x14ac:dyDescent="0.2">
      <c r="A246" s="15"/>
      <c r="B246" s="304" t="s">
        <v>1917</v>
      </c>
      <c r="C246" s="1261"/>
      <c r="D246" s="1261"/>
      <c r="E246" s="1261"/>
      <c r="F246" s="1261"/>
      <c r="G246" s="1261"/>
      <c r="H246" s="1261"/>
      <c r="I246" s="1261"/>
      <c r="J246" s="1261"/>
      <c r="K246" s="1261"/>
      <c r="L246" s="1261"/>
      <c r="M246" s="1261"/>
      <c r="N246" s="1261"/>
      <c r="O246" s="1261"/>
      <c r="P246" s="82">
        <f>IF(S246=1,0,IF(S246=2,0.1,IF(S246=3,0.1,0)))</f>
        <v>0</v>
      </c>
      <c r="R246" s="50" t="s">
        <v>2173</v>
      </c>
      <c r="S246" s="546">
        <v>1</v>
      </c>
      <c r="T246" s="10"/>
      <c r="U246" s="10"/>
      <c r="V246" s="10"/>
      <c r="W246" s="10">
        <v>1E-4</v>
      </c>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c r="EM246" s="10"/>
      <c r="EN246" s="10"/>
      <c r="EO246" s="10"/>
      <c r="EP246" s="10"/>
      <c r="EQ246" s="10"/>
      <c r="ER246" s="10"/>
      <c r="ES246" s="10"/>
      <c r="ET246" s="10"/>
      <c r="EU246" s="10"/>
      <c r="EV246" s="10"/>
      <c r="EW246" s="10"/>
      <c r="EX246" s="10"/>
      <c r="EY246" s="10"/>
      <c r="EZ246" s="10"/>
      <c r="FA246" s="10"/>
      <c r="FB246" s="10"/>
      <c r="FC246" s="10"/>
      <c r="FD246" s="10"/>
      <c r="FE246" s="10"/>
      <c r="FF246" s="10"/>
      <c r="FG246" s="10"/>
      <c r="FH246" s="10"/>
      <c r="FI246" s="10"/>
      <c r="FJ246" s="10"/>
      <c r="FK246" s="10"/>
      <c r="FL246" s="10"/>
      <c r="FM246" s="10"/>
      <c r="FN246" s="10"/>
      <c r="FO246" s="10"/>
      <c r="FP246" s="10"/>
      <c r="FQ246" s="10"/>
      <c r="FR246" s="10"/>
      <c r="FS246" s="10"/>
      <c r="FT246" s="10"/>
      <c r="FU246" s="10"/>
      <c r="FV246" s="10"/>
      <c r="FW246" s="10"/>
      <c r="FX246" s="10"/>
      <c r="FY246" s="10"/>
      <c r="FZ246" s="10"/>
      <c r="GA246" s="10"/>
      <c r="GB246" s="10"/>
      <c r="GC246" s="10"/>
      <c r="GD246" s="10"/>
      <c r="GE246" s="10"/>
      <c r="GF246" s="10"/>
      <c r="GG246" s="10"/>
      <c r="GH246" s="10"/>
      <c r="GI246" s="10"/>
      <c r="GJ246" s="10"/>
      <c r="GK246" s="10"/>
      <c r="GL246" s="10"/>
      <c r="GM246" s="10"/>
      <c r="GN246" s="10"/>
      <c r="GO246" s="10"/>
      <c r="GP246" s="10"/>
      <c r="GQ246" s="10"/>
      <c r="GR246" s="10"/>
      <c r="GS246" s="10"/>
      <c r="GT246" s="10"/>
      <c r="GU246" s="10"/>
      <c r="GV246" s="10"/>
      <c r="GW246" s="10"/>
      <c r="GX246" s="10"/>
      <c r="GY246" s="10"/>
      <c r="GZ246" s="10"/>
      <c r="HA246" s="10"/>
      <c r="HB246" s="10"/>
      <c r="HC246" s="10"/>
      <c r="HD246" s="10"/>
      <c r="HE246" s="10"/>
      <c r="HF246" s="10"/>
      <c r="HG246" s="10"/>
      <c r="HH246" s="10"/>
      <c r="HI246" s="10"/>
      <c r="HJ246" s="10"/>
      <c r="HK246" s="10"/>
      <c r="HL246" s="10"/>
      <c r="HM246" s="10"/>
      <c r="HN246" s="10"/>
      <c r="HO246" s="10"/>
      <c r="HP246" s="10"/>
      <c r="HQ246" s="10"/>
      <c r="HR246" s="10"/>
      <c r="HS246" s="10"/>
      <c r="HT246" s="10"/>
    </row>
    <row r="247" spans="1:228" ht="18" customHeight="1" x14ac:dyDescent="0.2">
      <c r="A247" s="15"/>
      <c r="B247" s="1017" t="s">
        <v>1831</v>
      </c>
      <c r="C247" s="1018"/>
      <c r="D247" s="1018"/>
      <c r="E247" s="1018"/>
      <c r="F247" s="1018"/>
      <c r="G247" s="1018"/>
      <c r="H247" s="1018"/>
      <c r="I247" s="1018"/>
      <c r="J247" s="1018"/>
      <c r="K247" s="1018"/>
      <c r="L247" s="1018"/>
      <c r="M247" s="1018"/>
      <c r="N247" s="1018"/>
      <c r="O247" s="1018"/>
      <c r="P247" s="91">
        <f>IF(S247=1,0.14,0)</f>
        <v>0</v>
      </c>
      <c r="R247" s="546" t="b">
        <v>0</v>
      </c>
      <c r="S247" s="50">
        <f>IF(R247=TRUE,1,0)</f>
        <v>0</v>
      </c>
      <c r="T247" s="10"/>
      <c r="U247" s="10"/>
      <c r="V247" s="10"/>
      <c r="W247" s="10">
        <v>1E-4</v>
      </c>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c r="DY247" s="10"/>
      <c r="DZ247" s="10"/>
      <c r="EA247" s="10"/>
      <c r="EB247" s="10"/>
      <c r="EC247" s="10"/>
      <c r="ED247" s="10"/>
      <c r="EE247" s="10"/>
      <c r="EF247" s="10"/>
      <c r="EG247" s="10"/>
      <c r="EH247" s="10"/>
      <c r="EI247" s="10"/>
      <c r="EJ247" s="10"/>
      <c r="EK247" s="10"/>
      <c r="EL247" s="10"/>
      <c r="EM247" s="10"/>
      <c r="EN247" s="10"/>
      <c r="EO247" s="10"/>
      <c r="EP247" s="10"/>
      <c r="EQ247" s="10"/>
      <c r="ER247" s="10"/>
      <c r="ES247" s="10"/>
      <c r="ET247" s="10"/>
      <c r="EU247" s="10"/>
      <c r="EV247" s="10"/>
      <c r="EW247" s="10"/>
      <c r="EX247" s="10"/>
      <c r="EY247" s="10"/>
      <c r="EZ247" s="10"/>
      <c r="FA247" s="10"/>
      <c r="FB247" s="10"/>
      <c r="FC247" s="10"/>
      <c r="FD247" s="10"/>
      <c r="FE247" s="10"/>
      <c r="FF247" s="10"/>
      <c r="FG247" s="10"/>
      <c r="FH247" s="10"/>
      <c r="FI247" s="10"/>
      <c r="FJ247" s="10"/>
      <c r="FK247" s="10"/>
      <c r="FL247" s="10"/>
      <c r="FM247" s="10"/>
      <c r="FN247" s="10"/>
      <c r="FO247" s="10"/>
      <c r="FP247" s="10"/>
      <c r="FQ247" s="10"/>
      <c r="FR247" s="10"/>
      <c r="FS247" s="10"/>
      <c r="FT247" s="10"/>
      <c r="FU247" s="10"/>
      <c r="FV247" s="10"/>
      <c r="FW247" s="10"/>
      <c r="FX247" s="10"/>
      <c r="FY247" s="10"/>
      <c r="FZ247" s="10"/>
      <c r="GA247" s="10"/>
      <c r="GB247" s="10"/>
      <c r="GC247" s="10"/>
      <c r="GD247" s="10"/>
      <c r="GE247" s="10"/>
      <c r="GF247" s="10"/>
      <c r="GG247" s="10"/>
      <c r="GH247" s="10"/>
      <c r="GI247" s="10"/>
      <c r="GJ247" s="10"/>
      <c r="GK247" s="10"/>
      <c r="GL247" s="10"/>
      <c r="GM247" s="10"/>
      <c r="GN247" s="10"/>
      <c r="GO247" s="10"/>
      <c r="GP247" s="10"/>
      <c r="GQ247" s="10"/>
      <c r="GR247" s="10"/>
      <c r="GS247" s="10"/>
      <c r="GT247" s="10"/>
      <c r="GU247" s="10"/>
      <c r="GV247" s="10"/>
      <c r="GW247" s="10"/>
      <c r="GX247" s="10"/>
      <c r="GY247" s="10"/>
      <c r="GZ247" s="10"/>
      <c r="HA247" s="10"/>
      <c r="HB247" s="10"/>
      <c r="HC247" s="10"/>
      <c r="HD247" s="10"/>
      <c r="HE247" s="10"/>
      <c r="HF247" s="10"/>
      <c r="HG247" s="10"/>
      <c r="HH247" s="10"/>
      <c r="HI247" s="10"/>
      <c r="HJ247" s="10"/>
      <c r="HK247" s="10"/>
      <c r="HL247" s="10"/>
      <c r="HM247" s="10"/>
      <c r="HN247" s="10"/>
      <c r="HO247" s="10"/>
      <c r="HP247" s="10"/>
      <c r="HQ247" s="10"/>
      <c r="HR247" s="10"/>
      <c r="HS247" s="10"/>
      <c r="HT247" s="10"/>
    </row>
    <row r="248" spans="1:228" ht="12" customHeight="1" x14ac:dyDescent="0.25">
      <c r="B248" s="1137"/>
      <c r="C248" s="1137"/>
      <c r="D248" s="1137"/>
      <c r="E248" s="1137"/>
      <c r="F248" s="1137"/>
      <c r="G248" s="1137"/>
      <c r="H248" s="1137"/>
      <c r="I248" s="1137"/>
      <c r="J248" s="1137"/>
      <c r="K248" s="1137"/>
      <c r="L248" s="1137"/>
      <c r="M248" s="1137"/>
      <c r="N248" s="1137"/>
      <c r="O248" s="1137"/>
      <c r="P248" s="63"/>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c r="EM248" s="10"/>
      <c r="EN248" s="10"/>
      <c r="EO248" s="10"/>
      <c r="EP248" s="10"/>
      <c r="EQ248" s="10"/>
      <c r="ER248" s="10"/>
      <c r="ES248" s="10"/>
      <c r="ET248" s="10"/>
      <c r="EU248" s="10"/>
      <c r="EV248" s="10"/>
      <c r="EW248" s="10"/>
      <c r="EX248" s="10"/>
      <c r="EY248" s="10"/>
      <c r="EZ248" s="10"/>
      <c r="FA248" s="10"/>
      <c r="FB248" s="10"/>
      <c r="FC248" s="10"/>
      <c r="FD248" s="10"/>
      <c r="FE248" s="10"/>
      <c r="FF248" s="10"/>
      <c r="FG248" s="10"/>
      <c r="FH248" s="10"/>
      <c r="FI248" s="10"/>
      <c r="FJ248" s="10"/>
      <c r="FK248" s="10"/>
      <c r="FL248" s="10"/>
      <c r="FM248" s="10"/>
      <c r="FN248" s="10"/>
      <c r="FO248" s="10"/>
      <c r="FP248" s="10"/>
      <c r="FQ248" s="10"/>
      <c r="FR248" s="10"/>
      <c r="FS248" s="10"/>
      <c r="FT248" s="10"/>
      <c r="FU248" s="10"/>
      <c r="FV248" s="10"/>
      <c r="FW248" s="10"/>
      <c r="FX248" s="10"/>
      <c r="FY248" s="10"/>
      <c r="FZ248" s="10"/>
      <c r="GA248" s="10"/>
      <c r="GB248" s="10"/>
      <c r="GC248" s="10"/>
      <c r="GD248" s="10"/>
      <c r="GE248" s="10"/>
      <c r="GF248" s="10"/>
      <c r="GG248" s="10"/>
      <c r="GH248" s="10"/>
      <c r="GI248" s="10"/>
      <c r="GJ248" s="10"/>
      <c r="GK248" s="10"/>
      <c r="GL248" s="10"/>
      <c r="GM248" s="10"/>
      <c r="GN248" s="10"/>
      <c r="GO248" s="10"/>
      <c r="GP248" s="10"/>
      <c r="GQ248" s="10"/>
      <c r="GR248" s="10"/>
      <c r="GS248" s="10"/>
      <c r="GT248" s="10"/>
      <c r="GU248" s="10"/>
      <c r="GV248" s="10"/>
      <c r="GW248" s="10"/>
      <c r="GX248" s="10"/>
      <c r="GY248" s="10"/>
      <c r="GZ248" s="10"/>
      <c r="HA248" s="10"/>
      <c r="HB248" s="10"/>
      <c r="HC248" s="10"/>
      <c r="HD248" s="10"/>
      <c r="HE248" s="10"/>
      <c r="HF248" s="10"/>
      <c r="HG248" s="10"/>
      <c r="HH248" s="10"/>
      <c r="HI248" s="10"/>
      <c r="HJ248" s="10"/>
      <c r="HK248" s="10"/>
      <c r="HL248" s="10"/>
      <c r="HM248" s="10"/>
      <c r="HN248" s="10"/>
      <c r="HO248" s="10"/>
      <c r="HP248" s="10"/>
      <c r="HQ248" s="10"/>
      <c r="HR248" s="10"/>
      <c r="HS248" s="10"/>
      <c r="HT248" s="10"/>
    </row>
    <row r="249" spans="1:228" ht="18" customHeight="1" x14ac:dyDescent="0.2">
      <c r="A249" s="15"/>
      <c r="B249" s="1143" t="s">
        <v>584</v>
      </c>
      <c r="C249" s="1143"/>
      <c r="D249" s="1143"/>
      <c r="E249" s="1143"/>
      <c r="F249" s="1002"/>
      <c r="G249" s="1002"/>
      <c r="H249" s="791"/>
      <c r="I249" s="791"/>
      <c r="J249" s="791"/>
      <c r="K249" s="791"/>
      <c r="L249" s="791"/>
      <c r="M249" s="791"/>
      <c r="N249" s="791"/>
      <c r="O249" s="791"/>
      <c r="P249" s="21">
        <f>IF(S249=1,0.25,0)</f>
        <v>0</v>
      </c>
      <c r="R249" s="546" t="b">
        <v>0</v>
      </c>
      <c r="S249" s="50">
        <f>IF(R249=TRUE,1,0)</f>
        <v>0</v>
      </c>
      <c r="T249" s="10"/>
      <c r="U249" s="10"/>
      <c r="V249" s="10"/>
      <c r="W249" s="10">
        <v>1E-4</v>
      </c>
      <c r="X249" s="10"/>
      <c r="Y249" s="135"/>
      <c r="Z249" s="10"/>
      <c r="AA249" s="10"/>
      <c r="AB249" s="10"/>
      <c r="AC249" s="10"/>
      <c r="AD249" s="10"/>
      <c r="AE249" s="10"/>
      <c r="AF249" s="10"/>
      <c r="AG249" s="10"/>
      <c r="AH249" s="10"/>
      <c r="AI249" s="94"/>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c r="EM249" s="10"/>
      <c r="EN249" s="10"/>
      <c r="EO249" s="10"/>
      <c r="EP249" s="10"/>
      <c r="EQ249" s="10"/>
      <c r="ER249" s="10"/>
      <c r="ES249" s="10"/>
      <c r="ET249" s="10"/>
      <c r="EU249" s="10"/>
      <c r="EV249" s="10"/>
      <c r="EW249" s="10"/>
      <c r="EX249" s="10"/>
      <c r="EY249" s="10"/>
      <c r="EZ249" s="10"/>
      <c r="FA249" s="10"/>
      <c r="FB249" s="10"/>
      <c r="FC249" s="10"/>
      <c r="FD249" s="10"/>
      <c r="FE249" s="10"/>
      <c r="FF249" s="10"/>
      <c r="FG249" s="10"/>
      <c r="FH249" s="10"/>
      <c r="FI249" s="10"/>
      <c r="FJ249" s="10"/>
      <c r="FK249" s="10"/>
      <c r="FL249" s="10"/>
      <c r="FM249" s="10"/>
      <c r="FN249" s="10"/>
      <c r="FO249" s="10"/>
      <c r="FP249" s="10"/>
      <c r="FQ249" s="10"/>
      <c r="FR249" s="10"/>
      <c r="FS249" s="10"/>
      <c r="FT249" s="10"/>
      <c r="FU249" s="10"/>
      <c r="FV249" s="10"/>
      <c r="FW249" s="10"/>
      <c r="FX249" s="10"/>
      <c r="FY249" s="10"/>
      <c r="FZ249" s="10"/>
      <c r="GA249" s="10"/>
      <c r="GB249" s="10"/>
      <c r="GC249" s="10"/>
      <c r="GD249" s="10"/>
      <c r="GE249" s="10"/>
      <c r="GF249" s="10"/>
      <c r="GG249" s="10"/>
      <c r="GH249" s="10"/>
      <c r="GI249" s="10"/>
      <c r="GJ249" s="10"/>
      <c r="GK249" s="10"/>
      <c r="GL249" s="10"/>
      <c r="GM249" s="10"/>
      <c r="GN249" s="10"/>
      <c r="GO249" s="10"/>
      <c r="GP249" s="10"/>
      <c r="GQ249" s="10"/>
      <c r="GR249" s="10"/>
      <c r="GS249" s="10"/>
      <c r="GT249" s="10"/>
      <c r="GU249" s="10"/>
      <c r="GV249" s="10"/>
      <c r="GW249" s="10"/>
      <c r="GX249" s="10"/>
      <c r="GY249" s="10"/>
      <c r="GZ249" s="10"/>
      <c r="HA249" s="10"/>
      <c r="HB249" s="10"/>
      <c r="HC249" s="10"/>
      <c r="HD249" s="10"/>
      <c r="HE249" s="10"/>
      <c r="HF249" s="10"/>
      <c r="HG249" s="10"/>
      <c r="HH249" s="10"/>
      <c r="HI249" s="10"/>
      <c r="HJ249" s="10"/>
      <c r="HK249" s="10"/>
      <c r="HL249" s="10"/>
      <c r="HM249" s="10"/>
      <c r="HN249" s="10"/>
      <c r="HO249" s="10"/>
      <c r="HP249" s="10"/>
      <c r="HQ249" s="10"/>
      <c r="HR249" s="10"/>
      <c r="HS249" s="10"/>
      <c r="HT249" s="10"/>
    </row>
    <row r="250" spans="1:228" ht="12" customHeight="1" x14ac:dyDescent="0.25">
      <c r="B250" s="1137"/>
      <c r="C250" s="1137"/>
      <c r="D250" s="1137"/>
      <c r="E250" s="1137"/>
      <c r="F250" s="1137"/>
      <c r="G250" s="1137"/>
      <c r="H250" s="1137"/>
      <c r="I250" s="1137"/>
      <c r="J250" s="1137"/>
      <c r="K250" s="1137"/>
      <c r="L250" s="1137"/>
      <c r="M250" s="1137"/>
      <c r="N250" s="1137"/>
      <c r="O250" s="1137"/>
      <c r="P250" s="63"/>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0"/>
      <c r="GA250" s="10"/>
      <c r="GB250" s="10"/>
      <c r="GC250" s="10"/>
      <c r="GD250" s="10"/>
      <c r="GE250" s="10"/>
      <c r="GF250" s="10"/>
      <c r="GG250" s="10"/>
      <c r="GH250" s="10"/>
      <c r="GI250" s="10"/>
      <c r="GJ250" s="10"/>
      <c r="GK250" s="10"/>
      <c r="GL250" s="10"/>
      <c r="GM250" s="10"/>
      <c r="GN250" s="10"/>
      <c r="GO250" s="10"/>
      <c r="GP250" s="10"/>
      <c r="GQ250" s="10"/>
      <c r="GR250" s="10"/>
      <c r="GS250" s="10"/>
      <c r="GT250" s="10"/>
      <c r="GU250" s="10"/>
      <c r="GV250" s="10"/>
      <c r="GW250" s="10"/>
      <c r="GX250" s="10"/>
      <c r="GY250" s="10"/>
      <c r="GZ250" s="10"/>
      <c r="HA250" s="10"/>
      <c r="HB250" s="10"/>
      <c r="HC250" s="10"/>
      <c r="HD250" s="10"/>
      <c r="HE250" s="10"/>
      <c r="HF250" s="10"/>
      <c r="HG250" s="10"/>
      <c r="HH250" s="10"/>
      <c r="HI250" s="10"/>
      <c r="HJ250" s="10"/>
      <c r="HK250" s="10"/>
      <c r="HL250" s="10"/>
      <c r="HM250" s="10"/>
      <c r="HN250" s="10"/>
      <c r="HO250" s="10"/>
      <c r="HP250" s="10"/>
      <c r="HQ250" s="10"/>
      <c r="HR250" s="10"/>
      <c r="HS250" s="10"/>
      <c r="HT250" s="10"/>
    </row>
    <row r="251" spans="1:228" ht="18" customHeight="1" x14ac:dyDescent="0.25">
      <c r="B251" s="912" t="s">
        <v>544</v>
      </c>
      <c r="C251" s="910"/>
      <c r="D251" s="910"/>
      <c r="E251" s="910"/>
      <c r="F251" s="910"/>
      <c r="G251" s="910"/>
      <c r="H251" s="910"/>
      <c r="I251" s="910"/>
      <c r="J251" s="910"/>
      <c r="K251" s="910"/>
      <c r="L251" s="910"/>
      <c r="M251" s="910"/>
      <c r="N251" s="910"/>
      <c r="O251" s="910"/>
      <c r="P251" s="297"/>
      <c r="R251" s="10"/>
      <c r="S251" s="10"/>
      <c r="Y251" s="10"/>
      <c r="Z251" s="724"/>
      <c r="AA251" s="724"/>
      <c r="AB251" s="724"/>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0"/>
      <c r="ET251" s="10"/>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0"/>
      <c r="GA251" s="10"/>
      <c r="GB251" s="10"/>
      <c r="GC251" s="10"/>
      <c r="GD251" s="10"/>
      <c r="GE251" s="10"/>
      <c r="GF251" s="10"/>
      <c r="GG251" s="10"/>
      <c r="GH251" s="10"/>
      <c r="GI251" s="10"/>
      <c r="GJ251" s="10"/>
      <c r="GK251" s="10"/>
      <c r="GL251" s="10"/>
      <c r="GM251" s="10"/>
      <c r="GN251" s="10"/>
      <c r="GO251" s="10"/>
      <c r="GP251" s="10"/>
      <c r="GQ251" s="10"/>
      <c r="GR251" s="10"/>
      <c r="GS251" s="10"/>
      <c r="GT251" s="10"/>
      <c r="GU251" s="10"/>
      <c r="GV251" s="10"/>
      <c r="GW251" s="10"/>
      <c r="GX251" s="10"/>
      <c r="GY251" s="10"/>
      <c r="GZ251" s="10"/>
      <c r="HA251" s="10"/>
      <c r="HB251" s="10"/>
      <c r="HC251" s="10"/>
      <c r="HD251" s="10"/>
      <c r="HE251" s="10"/>
      <c r="HF251" s="10"/>
      <c r="HG251" s="10"/>
      <c r="HH251" s="10"/>
      <c r="HI251" s="10"/>
      <c r="HJ251" s="10"/>
      <c r="HK251" s="10"/>
      <c r="HL251" s="10"/>
      <c r="HM251" s="10"/>
      <c r="HN251" s="10"/>
      <c r="HO251" s="10"/>
      <c r="HP251" s="10"/>
      <c r="HQ251" s="10"/>
      <c r="HR251" s="10"/>
      <c r="HS251" s="10"/>
      <c r="HT251" s="10"/>
    </row>
    <row r="252" spans="1:228" ht="21" customHeight="1" x14ac:dyDescent="0.2">
      <c r="B252" s="761" t="s">
        <v>546</v>
      </c>
      <c r="C252" s="761"/>
      <c r="D252" s="761"/>
      <c r="E252" s="761"/>
      <c r="F252" s="761"/>
      <c r="G252" s="761"/>
      <c r="H252" s="761"/>
      <c r="I252" s="761"/>
      <c r="J252" s="761"/>
      <c r="K252" s="761"/>
      <c r="L252" s="761"/>
      <c r="M252" s="761"/>
      <c r="N252" s="694"/>
      <c r="O252" s="694"/>
      <c r="P252" s="21">
        <f>IF(N252=T252,0.03,IF(N252=U252,0.15,IF(N252=V252,0.38,IF(N252=W252,0.68,IF(N252=X252,0.9,0)))))</f>
        <v>0</v>
      </c>
      <c r="R252" s="50">
        <f>IF(OR(N252=U252,N252=V252,N252=W252,N252=X252),1,0)</f>
        <v>0</v>
      </c>
      <c r="S252" s="10"/>
      <c r="T252" s="50" t="s">
        <v>1928</v>
      </c>
      <c r="U252" s="50" t="s">
        <v>1929</v>
      </c>
      <c r="V252" s="147" t="s">
        <v>1931</v>
      </c>
      <c r="W252" s="50" t="s">
        <v>929</v>
      </c>
      <c r="X252" s="147" t="s">
        <v>545</v>
      </c>
      <c r="Y252" s="10"/>
      <c r="Z252" s="724"/>
      <c r="AA252" s="724"/>
      <c r="AB252" s="724"/>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0"/>
      <c r="EC252" s="10"/>
      <c r="ED252" s="10"/>
      <c r="EE252" s="10"/>
      <c r="EF252" s="10"/>
      <c r="EG252" s="10"/>
      <c r="EH252" s="10"/>
      <c r="EI252" s="10"/>
      <c r="EJ252" s="10"/>
      <c r="EK252" s="10"/>
      <c r="EL252" s="10"/>
      <c r="EM252" s="10"/>
      <c r="EN252" s="10"/>
      <c r="EO252" s="10"/>
      <c r="EP252" s="10"/>
      <c r="EQ252" s="10"/>
      <c r="ER252" s="10"/>
      <c r="ES252" s="10"/>
      <c r="ET252" s="10"/>
      <c r="EU252" s="10"/>
      <c r="EV252" s="10"/>
      <c r="EW252" s="10"/>
      <c r="EX252" s="10"/>
      <c r="EY252" s="10"/>
      <c r="EZ252" s="10"/>
      <c r="FA252" s="10"/>
      <c r="FB252" s="10"/>
      <c r="FC252" s="10"/>
      <c r="FD252" s="10"/>
      <c r="FE252" s="10"/>
      <c r="FF252" s="10"/>
      <c r="FG252" s="10"/>
      <c r="FH252" s="10"/>
      <c r="FI252" s="10"/>
      <c r="FJ252" s="10"/>
      <c r="FK252" s="10"/>
      <c r="FL252" s="10"/>
      <c r="FM252" s="10"/>
      <c r="FN252" s="10"/>
      <c r="FO252" s="10"/>
      <c r="FP252" s="10"/>
      <c r="FQ252" s="10"/>
      <c r="FR252" s="10"/>
      <c r="FS252" s="10"/>
      <c r="FT252" s="10"/>
      <c r="FU252" s="10"/>
      <c r="FV252" s="10"/>
      <c r="FW252" s="10"/>
      <c r="FX252" s="10"/>
      <c r="FY252" s="10"/>
      <c r="FZ252" s="10"/>
      <c r="GA252" s="10"/>
      <c r="GB252" s="10"/>
      <c r="GC252" s="10"/>
      <c r="GD252" s="10"/>
      <c r="GE252" s="10"/>
      <c r="GF252" s="10"/>
      <c r="GG252" s="10"/>
      <c r="GH252" s="10"/>
      <c r="GI252" s="10"/>
      <c r="GJ252" s="10"/>
      <c r="GK252" s="10"/>
      <c r="GL252" s="10"/>
      <c r="GM252" s="10"/>
      <c r="GN252" s="10"/>
      <c r="GO252" s="10"/>
      <c r="GP252" s="10"/>
      <c r="GQ252" s="10"/>
      <c r="GR252" s="10"/>
      <c r="GS252" s="10"/>
      <c r="GT252" s="10"/>
      <c r="GU252" s="10"/>
      <c r="GV252" s="10"/>
      <c r="GW252" s="10"/>
      <c r="GX252" s="10"/>
      <c r="GY252" s="10"/>
      <c r="GZ252" s="10"/>
      <c r="HA252" s="10"/>
      <c r="HB252" s="10"/>
      <c r="HC252" s="10"/>
      <c r="HD252" s="10"/>
      <c r="HE252" s="10"/>
      <c r="HF252" s="10"/>
      <c r="HG252" s="10"/>
      <c r="HH252" s="10"/>
      <c r="HI252" s="10"/>
      <c r="HJ252" s="10"/>
      <c r="HK252" s="10"/>
      <c r="HL252" s="10"/>
      <c r="HM252" s="10"/>
      <c r="HN252" s="10"/>
      <c r="HO252" s="10"/>
      <c r="HP252" s="10"/>
      <c r="HQ252" s="10"/>
      <c r="HR252" s="10"/>
      <c r="HS252" s="10"/>
      <c r="HT252" s="10"/>
    </row>
    <row r="253" spans="1:228" ht="21" customHeight="1" x14ac:dyDescent="0.2">
      <c r="A253" s="15"/>
      <c r="B253" s="924" t="s">
        <v>547</v>
      </c>
      <c r="C253" s="924"/>
      <c r="D253" s="924"/>
      <c r="E253" s="924"/>
      <c r="F253" s="924"/>
      <c r="G253" s="924"/>
      <c r="H253" s="924"/>
      <c r="I253" s="924"/>
      <c r="J253" s="924"/>
      <c r="K253" s="924"/>
      <c r="L253" s="924"/>
      <c r="M253" s="924"/>
      <c r="N253" s="1002"/>
      <c r="O253" s="1002"/>
      <c r="P253" s="82">
        <f>IF(S253=1,0.1,0)</f>
        <v>0</v>
      </c>
      <c r="R253" s="50" t="s">
        <v>2173</v>
      </c>
      <c r="S253" s="546">
        <v>2</v>
      </c>
      <c r="T253" s="14"/>
      <c r="U253" s="14"/>
      <c r="V253" s="14"/>
      <c r="W253" s="14"/>
      <c r="X253" s="14"/>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c r="EM253" s="10"/>
      <c r="EN253" s="10"/>
      <c r="EO253" s="10"/>
      <c r="EP253" s="10"/>
      <c r="EQ253" s="10"/>
      <c r="ER253" s="10"/>
      <c r="ES253" s="10"/>
      <c r="ET253" s="10"/>
      <c r="EU253" s="10"/>
      <c r="EV253" s="10"/>
      <c r="EW253" s="10"/>
      <c r="EX253" s="10"/>
      <c r="EY253" s="10"/>
      <c r="EZ253" s="10"/>
      <c r="FA253" s="10"/>
      <c r="FB253" s="10"/>
      <c r="FC253" s="10"/>
      <c r="FD253" s="10"/>
      <c r="FE253" s="10"/>
      <c r="FF253" s="10"/>
      <c r="FG253" s="10"/>
      <c r="FH253" s="10"/>
      <c r="FI253" s="10"/>
      <c r="FJ253" s="10"/>
      <c r="FK253" s="10"/>
      <c r="FL253" s="10"/>
      <c r="FM253" s="10"/>
      <c r="FN253" s="10"/>
      <c r="FO253" s="10"/>
      <c r="FP253" s="10"/>
      <c r="FQ253" s="10"/>
      <c r="FR253" s="10"/>
      <c r="FS253" s="10"/>
      <c r="FT253" s="10"/>
      <c r="FU253" s="10"/>
      <c r="FV253" s="10"/>
      <c r="FW253" s="10"/>
      <c r="FX253" s="10"/>
      <c r="FY253" s="10"/>
      <c r="FZ253" s="10"/>
      <c r="GA253" s="10"/>
      <c r="GB253" s="10"/>
      <c r="GC253" s="10"/>
      <c r="GD253" s="10"/>
      <c r="GE253" s="10"/>
      <c r="GF253" s="10"/>
      <c r="GG253" s="10"/>
      <c r="GH253" s="10"/>
      <c r="GI253" s="10"/>
      <c r="GJ253" s="10"/>
      <c r="GK253" s="10"/>
      <c r="GL253" s="10"/>
      <c r="GM253" s="10"/>
      <c r="GN253" s="10"/>
      <c r="GO253" s="10"/>
      <c r="GP253" s="10"/>
      <c r="GQ253" s="10"/>
      <c r="GR253" s="10"/>
      <c r="GS253" s="10"/>
      <c r="GT253" s="10"/>
      <c r="GU253" s="10"/>
      <c r="GV253" s="10"/>
      <c r="GW253" s="10"/>
      <c r="GX253" s="10"/>
      <c r="GY253" s="10"/>
      <c r="GZ253" s="10"/>
      <c r="HA253" s="10"/>
      <c r="HB253" s="10"/>
      <c r="HC253" s="10"/>
      <c r="HD253" s="10"/>
      <c r="HE253" s="10"/>
      <c r="HF253" s="10"/>
      <c r="HG253" s="10"/>
      <c r="HH253" s="10"/>
      <c r="HI253" s="10"/>
      <c r="HJ253" s="10"/>
      <c r="HK253" s="10"/>
      <c r="HL253" s="10"/>
      <c r="HM253" s="10"/>
      <c r="HN253" s="10"/>
      <c r="HO253" s="10"/>
      <c r="HP253" s="10"/>
      <c r="HQ253" s="10"/>
      <c r="HR253" s="10"/>
      <c r="HS253" s="10"/>
      <c r="HT253" s="10"/>
    </row>
    <row r="254" spans="1:228" ht="12" customHeight="1" x14ac:dyDescent="0.25">
      <c r="B254" s="1137"/>
      <c r="C254" s="1137"/>
      <c r="D254" s="1137"/>
      <c r="E254" s="1137"/>
      <c r="F254" s="1137"/>
      <c r="G254" s="1137"/>
      <c r="H254" s="1137"/>
      <c r="I254" s="1137"/>
      <c r="J254" s="1137"/>
      <c r="K254" s="1137"/>
      <c r="L254" s="1137"/>
      <c r="M254" s="1137"/>
      <c r="N254" s="1137"/>
      <c r="O254" s="1137"/>
      <c r="P254" s="63"/>
      <c r="R254" s="10"/>
      <c r="S254" s="10"/>
      <c r="T254" s="10"/>
      <c r="U254" s="10"/>
      <c r="V254" s="10"/>
      <c r="W254" s="10">
        <v>1E-4</v>
      </c>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c r="EM254" s="10"/>
      <c r="EN254" s="10"/>
      <c r="EO254" s="10"/>
      <c r="EP254" s="10"/>
      <c r="EQ254" s="10"/>
      <c r="ER254" s="10"/>
      <c r="ES254" s="10"/>
      <c r="ET254" s="10"/>
      <c r="EU254" s="10"/>
      <c r="EV254" s="10"/>
      <c r="EW254" s="10"/>
      <c r="EX254" s="10"/>
      <c r="EY254" s="10"/>
      <c r="EZ254" s="10"/>
      <c r="FA254" s="10"/>
      <c r="FB254" s="10"/>
      <c r="FC254" s="10"/>
      <c r="FD254" s="10"/>
      <c r="FE254" s="10"/>
      <c r="FF254" s="10"/>
      <c r="FG254" s="10"/>
      <c r="FH254" s="10"/>
      <c r="FI254" s="10"/>
      <c r="FJ254" s="10"/>
      <c r="FK254" s="10"/>
      <c r="FL254" s="10"/>
      <c r="FM254" s="10"/>
      <c r="FN254" s="10"/>
      <c r="FO254" s="10"/>
      <c r="FP254" s="10"/>
      <c r="FQ254" s="10"/>
      <c r="FR254" s="10"/>
      <c r="FS254" s="10"/>
      <c r="FT254" s="10"/>
      <c r="FU254" s="10"/>
      <c r="FV254" s="10"/>
      <c r="FW254" s="10"/>
      <c r="FX254" s="10"/>
      <c r="FY254" s="10"/>
      <c r="FZ254" s="10"/>
      <c r="GA254" s="10"/>
      <c r="GB254" s="10"/>
      <c r="GC254" s="10"/>
      <c r="GD254" s="10"/>
      <c r="GE254" s="10"/>
      <c r="GF254" s="10"/>
      <c r="GG254" s="10"/>
      <c r="GH254" s="10"/>
      <c r="GI254" s="10"/>
      <c r="GJ254" s="10"/>
      <c r="GK254" s="10"/>
      <c r="GL254" s="10"/>
      <c r="GM254" s="10"/>
      <c r="GN254" s="10"/>
      <c r="GO254" s="10"/>
      <c r="GP254" s="10"/>
      <c r="GQ254" s="10"/>
      <c r="GR254" s="10"/>
      <c r="GS254" s="10"/>
      <c r="GT254" s="10"/>
      <c r="GU254" s="10"/>
      <c r="GV254" s="10"/>
      <c r="GW254" s="10"/>
      <c r="GX254" s="10"/>
      <c r="GY254" s="10"/>
      <c r="GZ254" s="10"/>
      <c r="HA254" s="10"/>
      <c r="HB254" s="10"/>
      <c r="HC254" s="10"/>
      <c r="HD254" s="10"/>
      <c r="HE254" s="10"/>
      <c r="HF254" s="10"/>
      <c r="HG254" s="10"/>
      <c r="HH254" s="10"/>
      <c r="HI254" s="10"/>
      <c r="HJ254" s="10"/>
      <c r="HK254" s="10"/>
      <c r="HL254" s="10"/>
      <c r="HM254" s="10"/>
      <c r="HN254" s="10"/>
      <c r="HO254" s="10"/>
      <c r="HP254" s="10"/>
      <c r="HQ254" s="10"/>
      <c r="HR254" s="10"/>
      <c r="HS254" s="10"/>
      <c r="HT254" s="10"/>
    </row>
    <row r="255" spans="1:228" ht="18" customHeight="1" x14ac:dyDescent="0.25">
      <c r="B255" s="1161" t="s">
        <v>754</v>
      </c>
      <c r="C255" s="1161"/>
      <c r="D255" s="1161"/>
      <c r="E255" s="1161"/>
      <c r="F255" s="1161"/>
      <c r="G255" s="1170"/>
      <c r="H255" s="1170"/>
      <c r="I255" s="1170"/>
      <c r="J255" s="1170"/>
      <c r="K255" s="1170"/>
      <c r="L255" s="1170"/>
      <c r="M255" s="1170"/>
      <c r="N255" s="1170"/>
      <c r="O255" s="1170"/>
      <c r="P255" s="297"/>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0"/>
      <c r="EC255" s="10"/>
      <c r="ED255" s="10"/>
      <c r="EE255" s="10"/>
      <c r="EF255" s="10"/>
      <c r="EG255" s="10"/>
      <c r="EH255" s="10"/>
      <c r="EI255" s="10"/>
      <c r="EJ255" s="10"/>
      <c r="EK255" s="10"/>
      <c r="EL255" s="10"/>
      <c r="EM255" s="10"/>
      <c r="EN255" s="10"/>
      <c r="EO255" s="10"/>
      <c r="EP255" s="10"/>
      <c r="EQ255" s="10"/>
      <c r="ER255" s="10"/>
      <c r="ES255" s="10"/>
      <c r="ET255" s="10"/>
      <c r="EU255" s="10"/>
      <c r="EV255" s="10"/>
      <c r="EW255" s="10"/>
      <c r="EX255" s="10"/>
      <c r="EY255" s="10"/>
      <c r="EZ255" s="10"/>
      <c r="FA255" s="10"/>
      <c r="FB255" s="10"/>
      <c r="FC255" s="10"/>
      <c r="FD255" s="10"/>
      <c r="FE255" s="10"/>
      <c r="FF255" s="10"/>
      <c r="FG255" s="10"/>
      <c r="FH255" s="10"/>
      <c r="FI255" s="10"/>
      <c r="FJ255" s="10"/>
      <c r="FK255" s="10"/>
      <c r="FL255" s="10"/>
      <c r="FM255" s="10"/>
      <c r="FN255" s="10"/>
      <c r="FO255" s="10"/>
      <c r="FP255" s="10"/>
      <c r="FQ255" s="10"/>
      <c r="FR255" s="10"/>
      <c r="FS255" s="10"/>
      <c r="FT255" s="10"/>
      <c r="FU255" s="10"/>
      <c r="FV255" s="10"/>
      <c r="FW255" s="10"/>
      <c r="FX255" s="10"/>
      <c r="FY255" s="10"/>
      <c r="FZ255" s="10"/>
      <c r="GA255" s="10"/>
      <c r="GB255" s="10"/>
      <c r="GC255" s="10"/>
      <c r="GD255" s="10"/>
      <c r="GE255" s="10"/>
      <c r="GF255" s="10"/>
      <c r="GG255" s="10"/>
      <c r="GH255" s="10"/>
      <c r="GI255" s="10"/>
      <c r="GJ255" s="10"/>
      <c r="GK255" s="10"/>
      <c r="GL255" s="10"/>
      <c r="GM255" s="10"/>
      <c r="GN255" s="10"/>
      <c r="GO255" s="10"/>
      <c r="GP255" s="10"/>
      <c r="GQ255" s="10"/>
      <c r="GR255" s="10"/>
      <c r="GS255" s="10"/>
      <c r="GT255" s="10"/>
      <c r="GU255" s="10"/>
      <c r="GV255" s="10"/>
      <c r="GW255" s="10"/>
      <c r="GX255" s="10"/>
      <c r="GY255" s="10"/>
      <c r="GZ255" s="10"/>
      <c r="HA255" s="10"/>
      <c r="HB255" s="10"/>
      <c r="HC255" s="10"/>
      <c r="HD255" s="10"/>
      <c r="HE255" s="10"/>
      <c r="HF255" s="10"/>
      <c r="HG255" s="10"/>
      <c r="HH255" s="10"/>
      <c r="HI255" s="10"/>
      <c r="HJ255" s="10"/>
      <c r="HK255" s="10"/>
      <c r="HL255" s="10"/>
      <c r="HM255" s="10"/>
      <c r="HN255" s="10"/>
      <c r="HO255" s="10"/>
      <c r="HP255" s="10"/>
      <c r="HQ255" s="10"/>
      <c r="HR255" s="10"/>
      <c r="HS255" s="10"/>
      <c r="HT255" s="10"/>
    </row>
    <row r="256" spans="1:228" ht="18" customHeight="1" x14ac:dyDescent="0.2">
      <c r="A256" s="15"/>
      <c r="B256" s="1279" t="s">
        <v>2184</v>
      </c>
      <c r="C256" s="1279"/>
      <c r="D256" s="1279"/>
      <c r="E256" s="1002"/>
      <c r="F256" s="995"/>
      <c r="G256" s="749" t="s">
        <v>959</v>
      </c>
      <c r="H256" s="750"/>
      <c r="I256" s="750"/>
      <c r="J256" s="750"/>
      <c r="K256" s="750"/>
      <c r="L256" s="750"/>
      <c r="M256" s="750"/>
      <c r="N256" s="750"/>
      <c r="O256" s="751"/>
      <c r="P256" s="729">
        <f>IF(AND(T258&gt;0,T262&gt;0),0.05,0)</f>
        <v>0</v>
      </c>
      <c r="R256" s="546" t="b">
        <v>0</v>
      </c>
      <c r="S256" s="50">
        <f t="shared" ref="S256:S262" si="39">IF(R256=TRUE,1,0)</f>
        <v>0</v>
      </c>
      <c r="T256" s="10"/>
      <c r="U256" s="10"/>
      <c r="V256" s="10"/>
      <c r="W256" s="10">
        <v>1E-4</v>
      </c>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c r="EM256" s="10"/>
      <c r="EN256" s="10"/>
      <c r="EO256" s="10"/>
      <c r="EP256" s="10"/>
      <c r="EQ256" s="10"/>
      <c r="ER256" s="10"/>
      <c r="ES256" s="10"/>
      <c r="ET256" s="10"/>
      <c r="EU256" s="10"/>
      <c r="EV256" s="10"/>
      <c r="EW256" s="10"/>
      <c r="EX256" s="10"/>
      <c r="EY256" s="10"/>
      <c r="EZ256" s="10"/>
      <c r="FA256" s="10"/>
      <c r="FB256" s="10"/>
      <c r="FC256" s="10"/>
      <c r="FD256" s="10"/>
      <c r="FE256" s="10"/>
      <c r="FF256" s="10"/>
      <c r="FG256" s="10"/>
      <c r="FH256" s="10"/>
      <c r="FI256" s="10"/>
      <c r="FJ256" s="10"/>
      <c r="FK256" s="10"/>
      <c r="FL256" s="10"/>
      <c r="FM256" s="10"/>
      <c r="FN256" s="10"/>
      <c r="FO256" s="10"/>
      <c r="FP256" s="10"/>
      <c r="FQ256" s="10"/>
      <c r="FR256" s="10"/>
      <c r="FS256" s="10"/>
      <c r="FT256" s="10"/>
      <c r="FU256" s="10"/>
      <c r="FV256" s="10"/>
      <c r="FW256" s="10"/>
      <c r="FX256" s="10"/>
      <c r="FY256" s="10"/>
      <c r="FZ256" s="10"/>
      <c r="GA256" s="10"/>
      <c r="GB256" s="10"/>
      <c r="GC256" s="10"/>
      <c r="GD256" s="10"/>
      <c r="GE256" s="10"/>
      <c r="GF256" s="10"/>
      <c r="GG256" s="10"/>
      <c r="GH256" s="10"/>
      <c r="GI256" s="10"/>
      <c r="GJ256" s="10"/>
      <c r="GK256" s="10"/>
      <c r="GL256" s="10"/>
      <c r="GM256" s="10"/>
      <c r="GN256" s="10"/>
      <c r="GO256" s="10"/>
      <c r="GP256" s="10"/>
      <c r="GQ256" s="10"/>
      <c r="GR256" s="10"/>
      <c r="GS256" s="10"/>
      <c r="GT256" s="10"/>
      <c r="GU256" s="10"/>
      <c r="GV256" s="10"/>
      <c r="GW256" s="10"/>
      <c r="GX256" s="10"/>
      <c r="GY256" s="10"/>
      <c r="GZ256" s="10"/>
      <c r="HA256" s="10"/>
      <c r="HB256" s="10"/>
      <c r="HC256" s="10"/>
      <c r="HD256" s="10"/>
      <c r="HE256" s="10"/>
      <c r="HF256" s="10"/>
      <c r="HG256" s="10"/>
      <c r="HH256" s="10"/>
      <c r="HI256" s="10"/>
      <c r="HJ256" s="10"/>
      <c r="HK256" s="10"/>
      <c r="HL256" s="10"/>
      <c r="HM256" s="10"/>
      <c r="HN256" s="10"/>
      <c r="HO256" s="10"/>
      <c r="HP256" s="10"/>
      <c r="HQ256" s="10"/>
      <c r="HR256" s="10"/>
      <c r="HS256" s="10"/>
      <c r="HT256" s="10"/>
    </row>
    <row r="257" spans="1:228" ht="18" customHeight="1" x14ac:dyDescent="0.2">
      <c r="B257" s="1279"/>
      <c r="C257" s="1279"/>
      <c r="D257" s="1279"/>
      <c r="E257" s="1002"/>
      <c r="F257" s="995"/>
      <c r="G257" s="818" t="s">
        <v>960</v>
      </c>
      <c r="H257" s="698"/>
      <c r="I257" s="698"/>
      <c r="J257" s="698"/>
      <c r="K257" s="698"/>
      <c r="L257" s="698"/>
      <c r="M257" s="698"/>
      <c r="N257" s="698"/>
      <c r="O257" s="819"/>
      <c r="P257" s="737"/>
      <c r="R257" s="546" t="b">
        <v>0</v>
      </c>
      <c r="S257" s="50">
        <f t="shared" si="39"/>
        <v>0</v>
      </c>
      <c r="T257" s="50" t="s">
        <v>1006</v>
      </c>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c r="EM257" s="10"/>
      <c r="EN257" s="10"/>
      <c r="EO257" s="10"/>
      <c r="EP257" s="10"/>
      <c r="EQ257" s="10"/>
      <c r="ER257" s="10"/>
      <c r="ES257" s="10"/>
      <c r="ET257" s="10"/>
      <c r="EU257" s="10"/>
      <c r="EV257" s="10"/>
      <c r="EW257" s="10"/>
      <c r="EX257" s="10"/>
      <c r="EY257" s="10"/>
      <c r="EZ257" s="10"/>
      <c r="FA257" s="10"/>
      <c r="FB257" s="10"/>
      <c r="FC257" s="10"/>
      <c r="FD257" s="10"/>
      <c r="FE257" s="10"/>
      <c r="FF257" s="10"/>
      <c r="FG257" s="10"/>
      <c r="FH257" s="10"/>
      <c r="FI257" s="10"/>
      <c r="FJ257" s="10"/>
      <c r="FK257" s="10"/>
      <c r="FL257" s="10"/>
      <c r="FM257" s="10"/>
      <c r="FN257" s="10"/>
      <c r="FO257" s="10"/>
      <c r="FP257" s="10"/>
      <c r="FQ257" s="10"/>
      <c r="FR257" s="10"/>
      <c r="FS257" s="10"/>
      <c r="FT257" s="10"/>
      <c r="FU257" s="10"/>
      <c r="FV257" s="10"/>
      <c r="FW257" s="10"/>
      <c r="FX257" s="10"/>
      <c r="FY257" s="10"/>
      <c r="FZ257" s="10"/>
      <c r="GA257" s="10"/>
      <c r="GB257" s="10"/>
      <c r="GC257" s="10"/>
      <c r="GD257" s="10"/>
      <c r="GE257" s="10"/>
      <c r="GF257" s="10"/>
      <c r="GG257" s="10"/>
      <c r="GH257" s="10"/>
      <c r="GI257" s="10"/>
      <c r="GJ257" s="10"/>
      <c r="GK257" s="10"/>
      <c r="GL257" s="10"/>
      <c r="GM257" s="10"/>
      <c r="GN257" s="10"/>
      <c r="GO257" s="10"/>
      <c r="GP257" s="10"/>
      <c r="GQ257" s="10"/>
      <c r="GR257" s="10"/>
      <c r="GS257" s="10"/>
      <c r="GT257" s="10"/>
      <c r="GU257" s="10"/>
      <c r="GV257" s="10"/>
      <c r="GW257" s="10"/>
      <c r="GX257" s="10"/>
      <c r="GY257" s="10"/>
      <c r="GZ257" s="10"/>
      <c r="HA257" s="10"/>
      <c r="HB257" s="10"/>
      <c r="HC257" s="10"/>
      <c r="HD257" s="10"/>
      <c r="HE257" s="10"/>
      <c r="HF257" s="10"/>
      <c r="HG257" s="10"/>
      <c r="HH257" s="10"/>
      <c r="HI257" s="10"/>
      <c r="HJ257" s="10"/>
      <c r="HK257" s="10"/>
      <c r="HL257" s="10"/>
      <c r="HM257" s="10"/>
      <c r="HN257" s="10"/>
      <c r="HO257" s="10"/>
      <c r="HP257" s="10"/>
      <c r="HQ257" s="10"/>
      <c r="HR257" s="10"/>
      <c r="HS257" s="10"/>
      <c r="HT257" s="10"/>
    </row>
    <row r="258" spans="1:228" ht="18" customHeight="1" x14ac:dyDescent="0.2">
      <c r="B258" s="1279"/>
      <c r="C258" s="1279"/>
      <c r="D258" s="1279"/>
      <c r="E258" s="1002"/>
      <c r="F258" s="995"/>
      <c r="G258" s="818" t="s">
        <v>961</v>
      </c>
      <c r="H258" s="698"/>
      <c r="I258" s="698"/>
      <c r="J258" s="698"/>
      <c r="K258" s="698"/>
      <c r="L258" s="698"/>
      <c r="M258" s="698"/>
      <c r="N258" s="698"/>
      <c r="O258" s="819"/>
      <c r="P258" s="737"/>
      <c r="R258" s="546" t="b">
        <v>0</v>
      </c>
      <c r="S258" s="50">
        <f t="shared" si="39"/>
        <v>0</v>
      </c>
      <c r="T258" s="50">
        <f>SUM(S256:S258)</f>
        <v>0</v>
      </c>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c r="EM258" s="10"/>
      <c r="EN258" s="10"/>
      <c r="EO258" s="10"/>
      <c r="EP258" s="10"/>
      <c r="EQ258" s="10"/>
      <c r="ER258" s="10"/>
      <c r="ES258" s="10"/>
      <c r="ET258" s="10"/>
      <c r="EU258" s="10"/>
      <c r="EV258" s="10"/>
      <c r="EW258" s="10"/>
      <c r="EX258" s="10"/>
      <c r="EY258" s="10"/>
      <c r="EZ258" s="10"/>
      <c r="FA258" s="10"/>
      <c r="FB258" s="10"/>
      <c r="FC258" s="10"/>
      <c r="FD258" s="10"/>
      <c r="FE258" s="10"/>
      <c r="FF258" s="10"/>
      <c r="FG258" s="10"/>
      <c r="FH258" s="10"/>
      <c r="FI258" s="10"/>
      <c r="FJ258" s="10"/>
      <c r="FK258" s="10"/>
      <c r="FL258" s="10"/>
      <c r="FM258" s="10"/>
      <c r="FN258" s="10"/>
      <c r="FO258" s="10"/>
      <c r="FP258" s="10"/>
      <c r="FQ258" s="10"/>
      <c r="FR258" s="10"/>
      <c r="FS258" s="10"/>
      <c r="FT258" s="10"/>
      <c r="FU258" s="10"/>
      <c r="FV258" s="10"/>
      <c r="FW258" s="10"/>
      <c r="FX258" s="10"/>
      <c r="FY258" s="10"/>
      <c r="FZ258" s="10"/>
      <c r="GA258" s="10"/>
      <c r="GB258" s="10"/>
      <c r="GC258" s="10"/>
      <c r="GD258" s="10"/>
      <c r="GE258" s="10"/>
      <c r="GF258" s="10"/>
      <c r="GG258" s="10"/>
      <c r="GH258" s="10"/>
      <c r="GI258" s="10"/>
      <c r="GJ258" s="10"/>
      <c r="GK258" s="10"/>
      <c r="GL258" s="10"/>
      <c r="GM258" s="10"/>
      <c r="GN258" s="10"/>
      <c r="GO258" s="10"/>
      <c r="GP258" s="10"/>
      <c r="GQ258" s="10"/>
      <c r="GR258" s="10"/>
      <c r="GS258" s="10"/>
      <c r="GT258" s="10"/>
      <c r="GU258" s="10"/>
      <c r="GV258" s="10"/>
      <c r="GW258" s="10"/>
      <c r="GX258" s="10"/>
      <c r="GY258" s="10"/>
      <c r="GZ258" s="10"/>
      <c r="HA258" s="10"/>
      <c r="HB258" s="10"/>
      <c r="HC258" s="10"/>
      <c r="HD258" s="10"/>
      <c r="HE258" s="10"/>
      <c r="HF258" s="10"/>
      <c r="HG258" s="10"/>
      <c r="HH258" s="10"/>
      <c r="HI258" s="10"/>
      <c r="HJ258" s="10"/>
      <c r="HK258" s="10"/>
      <c r="HL258" s="10"/>
      <c r="HM258" s="10"/>
      <c r="HN258" s="10"/>
      <c r="HO258" s="10"/>
      <c r="HP258" s="10"/>
      <c r="HQ258" s="10"/>
      <c r="HR258" s="10"/>
      <c r="HS258" s="10"/>
      <c r="HT258" s="10"/>
    </row>
    <row r="259" spans="1:228" ht="18" customHeight="1" x14ac:dyDescent="0.2">
      <c r="B259" s="1279"/>
      <c r="C259" s="1279"/>
      <c r="D259" s="1279"/>
      <c r="E259" s="1260"/>
      <c r="F259" s="1017"/>
      <c r="G259" s="1296" t="s">
        <v>962</v>
      </c>
      <c r="H259" s="1297"/>
      <c r="I259" s="1297"/>
      <c r="J259" s="1297"/>
      <c r="K259" s="1297"/>
      <c r="L259" s="1297"/>
      <c r="M259" s="1297"/>
      <c r="N259" s="1297"/>
      <c r="O259" s="1298"/>
      <c r="P259" s="737"/>
      <c r="R259" s="546" t="b">
        <v>0</v>
      </c>
      <c r="S259" s="50">
        <f t="shared" si="39"/>
        <v>0</v>
      </c>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c r="EM259" s="10"/>
      <c r="EN259" s="10"/>
      <c r="EO259" s="10"/>
      <c r="EP259" s="10"/>
      <c r="EQ259" s="10"/>
      <c r="ER259" s="10"/>
      <c r="ES259" s="10"/>
      <c r="ET259" s="10"/>
      <c r="EU259" s="10"/>
      <c r="EV259" s="10"/>
      <c r="EW259" s="10"/>
      <c r="EX259" s="10"/>
      <c r="EY259" s="10"/>
      <c r="EZ259" s="10"/>
      <c r="FA259" s="10"/>
      <c r="FB259" s="10"/>
      <c r="FC259" s="10"/>
      <c r="FD259" s="10"/>
      <c r="FE259" s="10"/>
      <c r="FF259" s="10"/>
      <c r="FG259" s="10"/>
      <c r="FH259" s="10"/>
      <c r="FI259" s="10"/>
      <c r="FJ259" s="10"/>
      <c r="FK259" s="10"/>
      <c r="FL259" s="10"/>
      <c r="FM259" s="10"/>
      <c r="FN259" s="10"/>
      <c r="FO259" s="10"/>
      <c r="FP259" s="10"/>
      <c r="FQ259" s="10"/>
      <c r="FR259" s="10"/>
      <c r="FS259" s="10"/>
      <c r="FT259" s="10"/>
      <c r="FU259" s="10"/>
      <c r="FV259" s="10"/>
      <c r="FW259" s="10"/>
      <c r="FX259" s="10"/>
      <c r="FY259" s="10"/>
      <c r="FZ259" s="10"/>
      <c r="GA259" s="10"/>
      <c r="GB259" s="10"/>
      <c r="GC259" s="10"/>
      <c r="GD259" s="10"/>
      <c r="GE259" s="10"/>
      <c r="GF259" s="10"/>
      <c r="GG259" s="10"/>
      <c r="GH259" s="10"/>
      <c r="GI259" s="10"/>
      <c r="GJ259" s="10"/>
      <c r="GK259" s="10"/>
      <c r="GL259" s="10"/>
      <c r="GM259" s="10"/>
      <c r="GN259" s="10"/>
      <c r="GO259" s="10"/>
      <c r="GP259" s="10"/>
      <c r="GQ259" s="10"/>
      <c r="GR259" s="10"/>
      <c r="GS259" s="10"/>
      <c r="GT259" s="10"/>
      <c r="GU259" s="10"/>
      <c r="GV259" s="10"/>
      <c r="GW259" s="10"/>
      <c r="GX259" s="10"/>
      <c r="GY259" s="10"/>
      <c r="GZ259" s="10"/>
      <c r="HA259" s="10"/>
      <c r="HB259" s="10"/>
      <c r="HC259" s="10"/>
      <c r="HD259" s="10"/>
      <c r="HE259" s="10"/>
      <c r="HF259" s="10"/>
      <c r="HG259" s="10"/>
      <c r="HH259" s="10"/>
      <c r="HI259" s="10"/>
      <c r="HJ259" s="10"/>
      <c r="HK259" s="10"/>
      <c r="HL259" s="10"/>
      <c r="HM259" s="10"/>
      <c r="HN259" s="10"/>
      <c r="HO259" s="10"/>
      <c r="HP259" s="10"/>
      <c r="HQ259" s="10"/>
      <c r="HR259" s="10"/>
      <c r="HS259" s="10"/>
      <c r="HT259" s="10"/>
    </row>
    <row r="260" spans="1:228" ht="18" customHeight="1" x14ac:dyDescent="0.2">
      <c r="B260" s="1279"/>
      <c r="C260" s="1279"/>
      <c r="D260" s="1279"/>
      <c r="E260" s="1002"/>
      <c r="F260" s="995"/>
      <c r="G260" s="1138" t="s">
        <v>963</v>
      </c>
      <c r="H260" s="1139"/>
      <c r="I260" s="1139"/>
      <c r="J260" s="1139"/>
      <c r="K260" s="1139"/>
      <c r="L260" s="1139"/>
      <c r="M260" s="1139"/>
      <c r="N260" s="1139"/>
      <c r="O260" s="1140"/>
      <c r="P260" s="737"/>
      <c r="R260" s="546" t="b">
        <v>0</v>
      </c>
      <c r="S260" s="50">
        <f t="shared" si="39"/>
        <v>0</v>
      </c>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0"/>
      <c r="ED260" s="10"/>
      <c r="EE260" s="10"/>
      <c r="EF260" s="10"/>
      <c r="EG260" s="10"/>
      <c r="EH260" s="10"/>
      <c r="EI260" s="10"/>
      <c r="EJ260" s="10"/>
      <c r="EK260" s="10"/>
      <c r="EL260" s="10"/>
      <c r="EM260" s="10"/>
      <c r="EN260" s="10"/>
      <c r="EO260" s="10"/>
      <c r="EP260" s="10"/>
      <c r="EQ260" s="10"/>
      <c r="ER260" s="10"/>
      <c r="ES260" s="10"/>
      <c r="ET260" s="10"/>
      <c r="EU260" s="10"/>
      <c r="EV260" s="10"/>
      <c r="EW260" s="10"/>
      <c r="EX260" s="10"/>
      <c r="EY260" s="10"/>
      <c r="EZ260" s="10"/>
      <c r="FA260" s="10"/>
      <c r="FB260" s="10"/>
      <c r="FC260" s="10"/>
      <c r="FD260" s="10"/>
      <c r="FE260" s="10"/>
      <c r="FF260" s="10"/>
      <c r="FG260" s="10"/>
      <c r="FH260" s="10"/>
      <c r="FI260" s="10"/>
      <c r="FJ260" s="10"/>
      <c r="FK260" s="10"/>
      <c r="FL260" s="10"/>
      <c r="FM260" s="10"/>
      <c r="FN260" s="10"/>
      <c r="FO260" s="10"/>
      <c r="FP260" s="10"/>
      <c r="FQ260" s="10"/>
      <c r="FR260" s="10"/>
      <c r="FS260" s="10"/>
      <c r="FT260" s="10"/>
      <c r="FU260" s="10"/>
      <c r="FV260" s="10"/>
      <c r="FW260" s="10"/>
      <c r="FX260" s="10"/>
      <c r="FY260" s="10"/>
      <c r="FZ260" s="10"/>
      <c r="GA260" s="10"/>
      <c r="GB260" s="10"/>
      <c r="GC260" s="10"/>
      <c r="GD260" s="10"/>
      <c r="GE260" s="10"/>
      <c r="GF260" s="10"/>
      <c r="GG260" s="10"/>
      <c r="GH260" s="10"/>
      <c r="GI260" s="10"/>
      <c r="GJ260" s="10"/>
      <c r="GK260" s="10"/>
      <c r="GL260" s="10"/>
      <c r="GM260" s="10"/>
      <c r="GN260" s="10"/>
      <c r="GO260" s="10"/>
      <c r="GP260" s="10"/>
      <c r="GQ260" s="10"/>
      <c r="GR260" s="10"/>
      <c r="GS260" s="10"/>
      <c r="GT260" s="10"/>
      <c r="GU260" s="10"/>
      <c r="GV260" s="10"/>
      <c r="GW260" s="10"/>
      <c r="GX260" s="10"/>
      <c r="GY260" s="10"/>
      <c r="GZ260" s="10"/>
      <c r="HA260" s="10"/>
      <c r="HB260" s="10"/>
      <c r="HC260" s="10"/>
      <c r="HD260" s="10"/>
      <c r="HE260" s="10"/>
      <c r="HF260" s="10"/>
      <c r="HG260" s="10"/>
      <c r="HH260" s="10"/>
      <c r="HI260" s="10"/>
      <c r="HJ260" s="10"/>
      <c r="HK260" s="10"/>
      <c r="HL260" s="10"/>
      <c r="HM260" s="10"/>
      <c r="HN260" s="10"/>
      <c r="HO260" s="10"/>
      <c r="HP260" s="10"/>
      <c r="HQ260" s="10"/>
      <c r="HR260" s="10"/>
      <c r="HS260" s="10"/>
      <c r="HT260" s="10"/>
    </row>
    <row r="261" spans="1:228" ht="18" customHeight="1" x14ac:dyDescent="0.2">
      <c r="B261" s="1279"/>
      <c r="C261" s="1279"/>
      <c r="D261" s="1279"/>
      <c r="E261" s="1002"/>
      <c r="F261" s="995"/>
      <c r="G261" s="1138" t="s">
        <v>964</v>
      </c>
      <c r="H261" s="1139"/>
      <c r="I261" s="1139"/>
      <c r="J261" s="1139"/>
      <c r="K261" s="1139"/>
      <c r="L261" s="1139"/>
      <c r="M261" s="1139"/>
      <c r="N261" s="1139"/>
      <c r="O261" s="1140"/>
      <c r="P261" s="737"/>
      <c r="R261" s="546" t="b">
        <v>0</v>
      </c>
      <c r="S261" s="50">
        <f t="shared" si="39"/>
        <v>0</v>
      </c>
      <c r="T261" s="50" t="s">
        <v>1006</v>
      </c>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c r="EM261" s="10"/>
      <c r="EN261" s="10"/>
      <c r="EO261" s="10"/>
      <c r="EP261" s="10"/>
      <c r="EQ261" s="10"/>
      <c r="ER261" s="10"/>
      <c r="ES261" s="10"/>
      <c r="ET261" s="10"/>
      <c r="EU261" s="10"/>
      <c r="EV261" s="10"/>
      <c r="EW261" s="10"/>
      <c r="EX261" s="10"/>
      <c r="EY261" s="10"/>
      <c r="EZ261" s="10"/>
      <c r="FA261" s="10"/>
      <c r="FB261" s="10"/>
      <c r="FC261" s="10"/>
      <c r="FD261" s="10"/>
      <c r="FE261" s="10"/>
      <c r="FF261" s="10"/>
      <c r="FG261" s="10"/>
      <c r="FH261" s="10"/>
      <c r="FI261" s="10"/>
      <c r="FJ261" s="10"/>
      <c r="FK261" s="10"/>
      <c r="FL261" s="10"/>
      <c r="FM261" s="10"/>
      <c r="FN261" s="10"/>
      <c r="FO261" s="10"/>
      <c r="FP261" s="10"/>
      <c r="FQ261" s="10"/>
      <c r="FR261" s="10"/>
      <c r="FS261" s="10"/>
      <c r="FT261" s="10"/>
      <c r="FU261" s="10"/>
      <c r="FV261" s="10"/>
      <c r="FW261" s="10"/>
      <c r="FX261" s="10"/>
      <c r="FY261" s="10"/>
      <c r="FZ261" s="10"/>
      <c r="GA261" s="10"/>
      <c r="GB261" s="10"/>
      <c r="GC261" s="10"/>
      <c r="GD261" s="10"/>
      <c r="GE261" s="10"/>
      <c r="GF261" s="10"/>
      <c r="GG261" s="10"/>
      <c r="GH261" s="10"/>
      <c r="GI261" s="10"/>
      <c r="GJ261" s="10"/>
      <c r="GK261" s="10"/>
      <c r="GL261" s="10"/>
      <c r="GM261" s="10"/>
      <c r="GN261" s="10"/>
      <c r="GO261" s="10"/>
      <c r="GP261" s="10"/>
      <c r="GQ261" s="10"/>
      <c r="GR261" s="10"/>
      <c r="GS261" s="10"/>
      <c r="GT261" s="10"/>
      <c r="GU261" s="10"/>
      <c r="GV261" s="10"/>
      <c r="GW261" s="10"/>
      <c r="GX261" s="10"/>
      <c r="GY261" s="10"/>
      <c r="GZ261" s="10"/>
      <c r="HA261" s="10"/>
      <c r="HB261" s="10"/>
      <c r="HC261" s="10"/>
      <c r="HD261" s="10"/>
      <c r="HE261" s="10"/>
      <c r="HF261" s="10"/>
      <c r="HG261" s="10"/>
      <c r="HH261" s="10"/>
      <c r="HI261" s="10"/>
      <c r="HJ261" s="10"/>
      <c r="HK261" s="10"/>
      <c r="HL261" s="10"/>
      <c r="HM261" s="10"/>
      <c r="HN261" s="10"/>
      <c r="HO261" s="10"/>
      <c r="HP261" s="10"/>
      <c r="HQ261" s="10"/>
      <c r="HR261" s="10"/>
      <c r="HS261" s="10"/>
      <c r="HT261" s="10"/>
    </row>
    <row r="262" spans="1:228" ht="18" customHeight="1" x14ac:dyDescent="0.2">
      <c r="B262" s="1279"/>
      <c r="C262" s="1279"/>
      <c r="D262" s="1279"/>
      <c r="E262" s="1002"/>
      <c r="F262" s="995"/>
      <c r="G262" s="1168" t="s">
        <v>656</v>
      </c>
      <c r="H262" s="1169"/>
      <c r="I262" s="1169"/>
      <c r="J262" s="1169"/>
      <c r="K262" s="1169"/>
      <c r="L262" s="1169"/>
      <c r="M262" s="1169"/>
      <c r="N262" s="1169"/>
      <c r="O262" s="1200"/>
      <c r="P262" s="737"/>
      <c r="R262" s="546" t="b">
        <v>0</v>
      </c>
      <c r="S262" s="50">
        <f t="shared" si="39"/>
        <v>0</v>
      </c>
      <c r="T262" s="50">
        <f>SUM(S259:S262)</f>
        <v>0</v>
      </c>
      <c r="U262" s="97"/>
      <c r="V262" s="97"/>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c r="EM262" s="10"/>
      <c r="EN262" s="10"/>
      <c r="EO262" s="10"/>
      <c r="EP262" s="10"/>
      <c r="EQ262" s="10"/>
      <c r="ER262" s="10"/>
      <c r="ES262" s="10"/>
      <c r="ET262" s="10"/>
      <c r="EU262" s="10"/>
      <c r="EV262" s="10"/>
      <c r="EW262" s="10"/>
      <c r="EX262" s="10"/>
      <c r="EY262" s="10"/>
      <c r="EZ262" s="10"/>
      <c r="FA262" s="10"/>
      <c r="FB262" s="10"/>
      <c r="FC262" s="10"/>
      <c r="FD262" s="10"/>
      <c r="FE262" s="10"/>
      <c r="FF262" s="10"/>
      <c r="FG262" s="10"/>
      <c r="FH262" s="10"/>
      <c r="FI262" s="10"/>
      <c r="FJ262" s="10"/>
      <c r="FK262" s="10"/>
      <c r="FL262" s="10"/>
      <c r="FM262" s="10"/>
      <c r="FN262" s="10"/>
      <c r="FO262" s="10"/>
      <c r="FP262" s="10"/>
      <c r="FQ262" s="10"/>
      <c r="FR262" s="10"/>
      <c r="FS262" s="10"/>
      <c r="FT262" s="10"/>
      <c r="FU262" s="10"/>
      <c r="FV262" s="10"/>
      <c r="FW262" s="10"/>
      <c r="FX262" s="10"/>
      <c r="FY262" s="10"/>
      <c r="FZ262" s="10"/>
      <c r="GA262" s="10"/>
      <c r="GB262" s="10"/>
      <c r="GC262" s="10"/>
      <c r="GD262" s="10"/>
      <c r="GE262" s="10"/>
      <c r="GF262" s="10"/>
      <c r="GG262" s="10"/>
      <c r="GH262" s="10"/>
      <c r="GI262" s="10"/>
      <c r="GJ262" s="10"/>
      <c r="GK262" s="10"/>
      <c r="GL262" s="10"/>
      <c r="GM262" s="10"/>
      <c r="GN262" s="10"/>
      <c r="GO262" s="10"/>
      <c r="GP262" s="10"/>
      <c r="GQ262" s="10"/>
      <c r="GR262" s="10"/>
      <c r="GS262" s="10"/>
      <c r="GT262" s="10"/>
      <c r="GU262" s="10"/>
      <c r="GV262" s="10"/>
      <c r="GW262" s="10"/>
      <c r="GX262" s="10"/>
      <c r="GY262" s="10"/>
      <c r="GZ262" s="10"/>
      <c r="HA262" s="10"/>
      <c r="HB262" s="10"/>
      <c r="HC262" s="10"/>
      <c r="HD262" s="10"/>
      <c r="HE262" s="10"/>
      <c r="HF262" s="10"/>
      <c r="HG262" s="10"/>
      <c r="HH262" s="10"/>
      <c r="HI262" s="10"/>
      <c r="HJ262" s="10"/>
      <c r="HK262" s="10"/>
      <c r="HL262" s="10"/>
      <c r="HM262" s="10"/>
      <c r="HN262" s="10"/>
      <c r="HO262" s="10"/>
      <c r="HP262" s="10"/>
      <c r="HQ262" s="10"/>
      <c r="HR262" s="10"/>
      <c r="HS262" s="10"/>
      <c r="HT262" s="10"/>
    </row>
    <row r="263" spans="1:228" ht="12" customHeight="1" x14ac:dyDescent="0.25">
      <c r="B263" s="1137"/>
      <c r="C263" s="1137"/>
      <c r="D263" s="1137"/>
      <c r="E263" s="1137"/>
      <c r="F263" s="1137"/>
      <c r="G263" s="1137"/>
      <c r="H263" s="1137"/>
      <c r="I263" s="1137"/>
      <c r="J263" s="1137"/>
      <c r="K263" s="1137"/>
      <c r="L263" s="1137"/>
      <c r="M263" s="1137"/>
      <c r="N263" s="1137"/>
      <c r="O263" s="1137"/>
      <c r="P263" s="63"/>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c r="DY263" s="10"/>
      <c r="DZ263" s="10"/>
      <c r="EA263" s="10"/>
      <c r="EB263" s="10"/>
      <c r="EC263" s="10"/>
      <c r="ED263" s="10"/>
      <c r="EE263" s="10"/>
      <c r="EF263" s="10"/>
      <c r="EG263" s="10"/>
      <c r="EH263" s="10"/>
      <c r="EI263" s="10"/>
      <c r="EJ263" s="10"/>
      <c r="EK263" s="10"/>
      <c r="EL263" s="10"/>
      <c r="EM263" s="10"/>
      <c r="EN263" s="10"/>
      <c r="EO263" s="10"/>
      <c r="EP263" s="10"/>
      <c r="EQ263" s="10"/>
      <c r="ER263" s="10"/>
      <c r="ES263" s="10"/>
      <c r="ET263" s="10"/>
      <c r="EU263" s="10"/>
      <c r="EV263" s="10"/>
      <c r="EW263" s="10"/>
      <c r="EX263" s="10"/>
      <c r="EY263" s="10"/>
      <c r="EZ263" s="10"/>
      <c r="FA263" s="10"/>
      <c r="FB263" s="10"/>
      <c r="FC263" s="10"/>
      <c r="FD263" s="10"/>
      <c r="FE263" s="10"/>
      <c r="FF263" s="10"/>
      <c r="FG263" s="10"/>
      <c r="FH263" s="10"/>
      <c r="FI263" s="10"/>
      <c r="FJ263" s="10"/>
      <c r="FK263" s="10"/>
      <c r="FL263" s="10"/>
      <c r="FM263" s="10"/>
      <c r="FN263" s="10"/>
      <c r="FO263" s="10"/>
      <c r="FP263" s="10"/>
      <c r="FQ263" s="10"/>
      <c r="FR263" s="10"/>
      <c r="FS263" s="10"/>
      <c r="FT263" s="10"/>
      <c r="FU263" s="10"/>
      <c r="FV263" s="10"/>
      <c r="FW263" s="10"/>
      <c r="FX263" s="10"/>
      <c r="FY263" s="10"/>
      <c r="FZ263" s="10"/>
      <c r="GA263" s="10"/>
      <c r="GB263" s="10"/>
      <c r="GC263" s="10"/>
      <c r="GD263" s="10"/>
      <c r="GE263" s="10"/>
      <c r="GF263" s="10"/>
      <c r="GG263" s="10"/>
      <c r="GH263" s="10"/>
      <c r="GI263" s="10"/>
      <c r="GJ263" s="10"/>
      <c r="GK263" s="10"/>
      <c r="GL263" s="10"/>
      <c r="GM263" s="10"/>
      <c r="GN263" s="10"/>
      <c r="GO263" s="10"/>
      <c r="GP263" s="10"/>
      <c r="GQ263" s="10"/>
      <c r="GR263" s="10"/>
      <c r="GS263" s="10"/>
      <c r="GT263" s="10"/>
      <c r="GU263" s="10"/>
      <c r="GV263" s="10"/>
      <c r="GW263" s="10"/>
      <c r="GX263" s="10"/>
      <c r="GY263" s="10"/>
      <c r="GZ263" s="10"/>
      <c r="HA263" s="10"/>
      <c r="HB263" s="10"/>
      <c r="HC263" s="10"/>
      <c r="HD263" s="10"/>
      <c r="HE263" s="10"/>
      <c r="HF263" s="10"/>
      <c r="HG263" s="10"/>
      <c r="HH263" s="10"/>
      <c r="HI263" s="10"/>
      <c r="HJ263" s="10"/>
      <c r="HK263" s="10"/>
      <c r="HL263" s="10"/>
      <c r="HM263" s="10"/>
      <c r="HN263" s="10"/>
      <c r="HO263" s="10"/>
      <c r="HP263" s="10"/>
      <c r="HQ263" s="10"/>
      <c r="HR263" s="10"/>
      <c r="HS263" s="10"/>
      <c r="HT263" s="10"/>
    </row>
    <row r="264" spans="1:228" ht="20.25" customHeight="1" x14ac:dyDescent="0.2">
      <c r="B264" s="1197" t="s">
        <v>1143</v>
      </c>
      <c r="C264" s="1129"/>
      <c r="D264" s="1129"/>
      <c r="E264" s="1129"/>
      <c r="F264" s="1129"/>
      <c r="G264" s="1129"/>
      <c r="H264" s="1129"/>
      <c r="I264" s="1129"/>
      <c r="J264" s="1129"/>
      <c r="K264" s="1129"/>
      <c r="L264" s="1129"/>
      <c r="M264" s="1129"/>
      <c r="N264" s="1129"/>
      <c r="O264" s="1129"/>
      <c r="P264" s="231"/>
      <c r="R264" s="97"/>
      <c r="S264" s="128"/>
      <c r="T264" s="97"/>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c r="DY264" s="10"/>
      <c r="DZ264" s="10"/>
      <c r="EA264" s="10"/>
      <c r="EB264" s="10"/>
      <c r="EC264" s="10"/>
      <c r="ED264" s="10"/>
      <c r="EE264" s="10"/>
      <c r="EF264" s="10"/>
      <c r="EG264" s="10"/>
      <c r="EH264" s="10"/>
      <c r="EI264" s="10"/>
      <c r="EJ264" s="10"/>
      <c r="EK264" s="10"/>
      <c r="EL264" s="10"/>
      <c r="EM264" s="10"/>
      <c r="EN264" s="10"/>
      <c r="EO264" s="10"/>
      <c r="EP264" s="10"/>
      <c r="EQ264" s="10"/>
      <c r="ER264" s="10"/>
      <c r="ES264" s="10"/>
      <c r="ET264" s="10"/>
      <c r="EU264" s="10"/>
      <c r="EV264" s="10"/>
      <c r="EW264" s="10"/>
      <c r="EX264" s="10"/>
      <c r="EY264" s="10"/>
      <c r="EZ264" s="10"/>
      <c r="FA264" s="10"/>
      <c r="FB264" s="10"/>
      <c r="FC264" s="10"/>
      <c r="FD264" s="10"/>
      <c r="FE264" s="10"/>
      <c r="FF264" s="10"/>
      <c r="FG264" s="10"/>
      <c r="FH264" s="10"/>
      <c r="FI264" s="10"/>
      <c r="FJ264" s="10"/>
      <c r="FK264" s="10"/>
      <c r="FL264" s="10"/>
      <c r="FM264" s="10"/>
      <c r="FN264" s="10"/>
      <c r="FO264" s="10"/>
      <c r="FP264" s="10"/>
      <c r="FQ264" s="10"/>
      <c r="FR264" s="10"/>
      <c r="FS264" s="10"/>
      <c r="FT264" s="10"/>
      <c r="FU264" s="10"/>
      <c r="FV264" s="10"/>
      <c r="FW264" s="10"/>
      <c r="FX264" s="10"/>
      <c r="FY264" s="10"/>
      <c r="FZ264" s="10"/>
      <c r="GA264" s="10"/>
      <c r="GB264" s="10"/>
      <c r="GC264" s="10"/>
      <c r="GD264" s="10"/>
      <c r="GE264" s="10"/>
      <c r="GF264" s="10"/>
      <c r="GG264" s="10"/>
      <c r="GH264" s="10"/>
      <c r="GI264" s="10"/>
      <c r="GJ264" s="10"/>
      <c r="GK264" s="10"/>
      <c r="GL264" s="10"/>
      <c r="GM264" s="10"/>
      <c r="GN264" s="10"/>
      <c r="GO264" s="10"/>
      <c r="GP264" s="10"/>
      <c r="GQ264" s="10"/>
      <c r="GR264" s="10"/>
      <c r="GS264" s="10"/>
      <c r="GT264" s="10"/>
      <c r="GU264" s="10"/>
      <c r="GV264" s="10"/>
      <c r="GW264" s="10"/>
      <c r="GX264" s="10"/>
      <c r="GY264" s="10"/>
      <c r="GZ264" s="10"/>
      <c r="HA264" s="10"/>
      <c r="HB264" s="10"/>
      <c r="HC264" s="10"/>
      <c r="HD264" s="10"/>
      <c r="HE264" s="10"/>
      <c r="HF264" s="10"/>
      <c r="HG264" s="10"/>
      <c r="HH264" s="10"/>
      <c r="HI264" s="10"/>
      <c r="HJ264" s="10"/>
      <c r="HK264" s="10"/>
      <c r="HL264" s="10"/>
      <c r="HM264" s="10"/>
      <c r="HN264" s="10"/>
      <c r="HO264" s="10"/>
      <c r="HP264" s="10"/>
      <c r="HQ264" s="10"/>
      <c r="HR264" s="10"/>
      <c r="HS264" s="10"/>
      <c r="HT264" s="10"/>
    </row>
    <row r="265" spans="1:228" ht="40.5" customHeight="1" x14ac:dyDescent="0.2">
      <c r="B265" s="752" t="s">
        <v>137</v>
      </c>
      <c r="C265" s="753"/>
      <c r="D265" s="753"/>
      <c r="E265" s="753"/>
      <c r="F265" s="753"/>
      <c r="G265" s="753"/>
      <c r="H265" s="753"/>
      <c r="I265" s="753"/>
      <c r="J265" s="753"/>
      <c r="K265" s="753"/>
      <c r="L265" s="753"/>
      <c r="M265" s="753"/>
      <c r="N265" s="753"/>
      <c r="O265" s="753"/>
      <c r="P265" s="23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c r="DY265" s="10"/>
      <c r="DZ265" s="10"/>
      <c r="EA265" s="10"/>
      <c r="EB265" s="10"/>
      <c r="EC265" s="10"/>
      <c r="ED265" s="10"/>
      <c r="EE265" s="10"/>
      <c r="EF265" s="10"/>
      <c r="EG265" s="10"/>
      <c r="EH265" s="10"/>
      <c r="EI265" s="10"/>
      <c r="EJ265" s="10"/>
      <c r="EK265" s="10"/>
      <c r="EL265" s="10"/>
      <c r="EM265" s="10"/>
      <c r="EN265" s="10"/>
      <c r="EO265" s="10"/>
      <c r="EP265" s="10"/>
      <c r="EQ265" s="10"/>
      <c r="ER265" s="10"/>
      <c r="ES265" s="10"/>
      <c r="ET265" s="10"/>
      <c r="EU265" s="10"/>
      <c r="EV265" s="10"/>
      <c r="EW265" s="10"/>
      <c r="EX265" s="10"/>
      <c r="EY265" s="10"/>
      <c r="EZ265" s="10"/>
      <c r="FA265" s="10"/>
      <c r="FB265" s="10"/>
      <c r="FC265" s="10"/>
      <c r="FD265" s="10"/>
      <c r="FE265" s="10"/>
      <c r="FF265" s="10"/>
      <c r="FG265" s="10"/>
      <c r="FH265" s="10"/>
      <c r="FI265" s="10"/>
      <c r="FJ265" s="10"/>
      <c r="FK265" s="10"/>
      <c r="FL265" s="10"/>
      <c r="FM265" s="10"/>
      <c r="FN265" s="10"/>
      <c r="FO265" s="10"/>
      <c r="FP265" s="10"/>
      <c r="FQ265" s="10"/>
      <c r="FR265" s="10"/>
      <c r="FS265" s="10"/>
      <c r="FT265" s="10"/>
      <c r="FU265" s="10"/>
      <c r="FV265" s="10"/>
      <c r="FW265" s="10"/>
      <c r="FX265" s="10"/>
      <c r="FY265" s="10"/>
      <c r="FZ265" s="10"/>
      <c r="GA265" s="10"/>
      <c r="GB265" s="10"/>
      <c r="GC265" s="10"/>
      <c r="GD265" s="10"/>
      <c r="GE265" s="10"/>
      <c r="GF265" s="10"/>
      <c r="GG265" s="10"/>
      <c r="GH265" s="10"/>
      <c r="GI265" s="10"/>
      <c r="GJ265" s="10"/>
      <c r="GK265" s="10"/>
      <c r="GL265" s="10"/>
      <c r="GM265" s="10"/>
      <c r="GN265" s="10"/>
      <c r="GO265" s="10"/>
      <c r="GP265" s="10"/>
      <c r="GQ265" s="10"/>
      <c r="GR265" s="10"/>
      <c r="GS265" s="10"/>
      <c r="GT265" s="10"/>
      <c r="GU265" s="10"/>
      <c r="GV265" s="10"/>
      <c r="GW265" s="10"/>
      <c r="GX265" s="10"/>
      <c r="GY265" s="10"/>
      <c r="GZ265" s="10"/>
      <c r="HA265" s="10"/>
      <c r="HB265" s="10"/>
      <c r="HC265" s="10"/>
      <c r="HD265" s="10"/>
      <c r="HE265" s="10"/>
      <c r="HF265" s="10"/>
      <c r="HG265" s="10"/>
      <c r="HH265" s="10"/>
      <c r="HI265" s="10"/>
      <c r="HJ265" s="10"/>
      <c r="HK265" s="10"/>
      <c r="HL265" s="10"/>
      <c r="HM265" s="10"/>
      <c r="HN265" s="10"/>
      <c r="HO265" s="10"/>
      <c r="HP265" s="10"/>
      <c r="HQ265" s="10"/>
      <c r="HR265" s="10"/>
      <c r="HS265" s="10"/>
      <c r="HT265" s="10"/>
    </row>
    <row r="266" spans="1:228" ht="18" customHeight="1" x14ac:dyDescent="0.2">
      <c r="A266" s="15"/>
      <c r="B266" s="1168" t="s">
        <v>932</v>
      </c>
      <c r="C266" s="1169"/>
      <c r="D266" s="1169"/>
      <c r="E266" s="1169"/>
      <c r="F266" s="1169"/>
      <c r="G266" s="1169"/>
      <c r="H266" s="1169"/>
      <c r="I266" s="1169"/>
      <c r="J266" s="1169"/>
      <c r="K266" s="1169"/>
      <c r="L266" s="1169"/>
      <c r="M266" s="1169"/>
      <c r="N266" s="1331"/>
      <c r="O266" s="1331"/>
      <c r="P266" s="21">
        <f>IF(S266=1,0.05,0)</f>
        <v>0</v>
      </c>
      <c r="R266" s="146" t="s">
        <v>2185</v>
      </c>
      <c r="S266" s="546">
        <v>2</v>
      </c>
      <c r="T266" s="10"/>
      <c r="U266" s="10"/>
      <c r="V266" s="10"/>
      <c r="W266" s="10">
        <v>1E-4</v>
      </c>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c r="DY266" s="10"/>
      <c r="DZ266" s="10"/>
      <c r="EA266" s="10"/>
      <c r="EB266" s="10"/>
      <c r="EC266" s="10"/>
      <c r="ED266" s="10"/>
      <c r="EE266" s="10"/>
      <c r="EF266" s="10"/>
      <c r="EG266" s="10"/>
      <c r="EH266" s="10"/>
      <c r="EI266" s="10"/>
      <c r="EJ266" s="10"/>
      <c r="EK266" s="10"/>
      <c r="EL266" s="10"/>
      <c r="EM266" s="10"/>
      <c r="EN266" s="10"/>
      <c r="EO266" s="10"/>
      <c r="EP266" s="10"/>
      <c r="EQ266" s="10"/>
      <c r="ER266" s="10"/>
      <c r="ES266" s="10"/>
      <c r="ET266" s="10"/>
      <c r="EU266" s="10"/>
      <c r="EV266" s="10"/>
      <c r="EW266" s="10"/>
      <c r="EX266" s="10"/>
      <c r="EY266" s="10"/>
      <c r="EZ266" s="10"/>
      <c r="FA266" s="10"/>
      <c r="FB266" s="10"/>
      <c r="FC266" s="10"/>
      <c r="FD266" s="10"/>
      <c r="FE266" s="10"/>
      <c r="FF266" s="10"/>
      <c r="FG266" s="10"/>
      <c r="FH266" s="10"/>
      <c r="FI266" s="10"/>
      <c r="FJ266" s="10"/>
      <c r="FK266" s="10"/>
      <c r="FL266" s="10"/>
      <c r="FM266" s="10"/>
      <c r="FN266" s="10"/>
      <c r="FO266" s="10"/>
      <c r="FP266" s="10"/>
      <c r="FQ266" s="10"/>
      <c r="FR266" s="10"/>
      <c r="FS266" s="10"/>
      <c r="FT266" s="10"/>
      <c r="FU266" s="10"/>
      <c r="FV266" s="10"/>
      <c r="FW266" s="10"/>
      <c r="FX266" s="10"/>
      <c r="FY266" s="10"/>
      <c r="FZ266" s="10"/>
      <c r="GA266" s="10"/>
      <c r="GB266" s="10"/>
      <c r="GC266" s="10"/>
      <c r="GD266" s="10"/>
      <c r="GE266" s="10"/>
      <c r="GF266" s="10"/>
      <c r="GG266" s="10"/>
      <c r="GH266" s="10"/>
      <c r="GI266" s="10"/>
      <c r="GJ266" s="10"/>
      <c r="GK266" s="10"/>
      <c r="GL266" s="10"/>
      <c r="GM266" s="10"/>
      <c r="GN266" s="10"/>
      <c r="GO266" s="10"/>
      <c r="GP266" s="10"/>
      <c r="GQ266" s="10"/>
      <c r="GR266" s="10"/>
      <c r="GS266" s="10"/>
      <c r="GT266" s="10"/>
      <c r="GU266" s="10"/>
      <c r="GV266" s="10"/>
      <c r="GW266" s="10"/>
      <c r="GX266" s="10"/>
      <c r="GY266" s="10"/>
      <c r="GZ266" s="10"/>
      <c r="HA266" s="10"/>
      <c r="HB266" s="10"/>
      <c r="HC266" s="10"/>
      <c r="HD266" s="10"/>
      <c r="HE266" s="10"/>
      <c r="HF266" s="10"/>
      <c r="HG266" s="10"/>
      <c r="HH266" s="10"/>
      <c r="HI266" s="10"/>
      <c r="HJ266" s="10"/>
      <c r="HK266" s="10"/>
      <c r="HL266" s="10"/>
      <c r="HM266" s="10"/>
      <c r="HN266" s="10"/>
      <c r="HO266" s="10"/>
      <c r="HP266" s="10"/>
      <c r="HQ266" s="10"/>
      <c r="HR266" s="10"/>
      <c r="HS266" s="10"/>
      <c r="HT266" s="10"/>
    </row>
    <row r="267" spans="1:228" ht="12" customHeight="1" x14ac:dyDescent="0.25">
      <c r="B267" s="1137"/>
      <c r="C267" s="1137"/>
      <c r="D267" s="1137"/>
      <c r="E267" s="1137"/>
      <c r="F267" s="1137"/>
      <c r="G267" s="1137"/>
      <c r="H267" s="1137"/>
      <c r="I267" s="1137"/>
      <c r="J267" s="1137"/>
      <c r="K267" s="1137"/>
      <c r="L267" s="1137"/>
      <c r="M267" s="1137"/>
      <c r="N267" s="1137"/>
      <c r="O267" s="1137"/>
      <c r="P267" s="63"/>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0"/>
      <c r="EI267" s="10"/>
      <c r="EJ267" s="10"/>
      <c r="EK267" s="10"/>
      <c r="EL267" s="10"/>
      <c r="EM267" s="10"/>
      <c r="EN267" s="10"/>
      <c r="EO267" s="10"/>
      <c r="EP267" s="10"/>
      <c r="EQ267" s="10"/>
      <c r="ER267" s="10"/>
      <c r="ES267" s="10"/>
      <c r="ET267" s="10"/>
      <c r="EU267" s="10"/>
      <c r="EV267" s="10"/>
      <c r="EW267" s="10"/>
      <c r="EX267" s="10"/>
      <c r="EY267" s="10"/>
      <c r="EZ267" s="10"/>
      <c r="FA267" s="10"/>
      <c r="FB267" s="10"/>
      <c r="FC267" s="10"/>
      <c r="FD267" s="10"/>
      <c r="FE267" s="10"/>
      <c r="FF267" s="10"/>
      <c r="FG267" s="10"/>
      <c r="FH267" s="10"/>
      <c r="FI267" s="10"/>
      <c r="FJ267" s="10"/>
      <c r="FK267" s="10"/>
      <c r="FL267" s="10"/>
      <c r="FM267" s="10"/>
      <c r="FN267" s="10"/>
      <c r="FO267" s="10"/>
      <c r="FP267" s="10"/>
      <c r="FQ267" s="10"/>
      <c r="FR267" s="10"/>
      <c r="FS267" s="10"/>
      <c r="FT267" s="10"/>
      <c r="FU267" s="10"/>
      <c r="FV267" s="10"/>
      <c r="FW267" s="10"/>
      <c r="FX267" s="10"/>
      <c r="FY267" s="10"/>
      <c r="FZ267" s="10"/>
      <c r="GA267" s="10"/>
      <c r="GB267" s="10"/>
      <c r="GC267" s="10"/>
      <c r="GD267" s="10"/>
      <c r="GE267" s="10"/>
      <c r="GF267" s="10"/>
      <c r="GG267" s="10"/>
      <c r="GH267" s="10"/>
      <c r="GI267" s="10"/>
      <c r="GJ267" s="10"/>
      <c r="GK267" s="10"/>
      <c r="GL267" s="10"/>
      <c r="GM267" s="10"/>
      <c r="GN267" s="10"/>
      <c r="GO267" s="10"/>
      <c r="GP267" s="10"/>
      <c r="GQ267" s="10"/>
      <c r="GR267" s="10"/>
      <c r="GS267" s="10"/>
      <c r="GT267" s="10"/>
      <c r="GU267" s="10"/>
      <c r="GV267" s="10"/>
      <c r="GW267" s="10"/>
      <c r="GX267" s="10"/>
      <c r="GY267" s="10"/>
      <c r="GZ267" s="10"/>
      <c r="HA267" s="10"/>
      <c r="HB267" s="10"/>
      <c r="HC267" s="10"/>
      <c r="HD267" s="10"/>
      <c r="HE267" s="10"/>
      <c r="HF267" s="10"/>
      <c r="HG267" s="10"/>
      <c r="HH267" s="10"/>
      <c r="HI267" s="10"/>
      <c r="HJ267" s="10"/>
      <c r="HK267" s="10"/>
      <c r="HL267" s="10"/>
      <c r="HM267" s="10"/>
      <c r="HN267" s="10"/>
      <c r="HO267" s="10"/>
      <c r="HP267" s="10"/>
      <c r="HQ267" s="10"/>
      <c r="HR267" s="10"/>
      <c r="HS267" s="10"/>
      <c r="HT267" s="10"/>
    </row>
    <row r="268" spans="1:228" ht="18" customHeight="1" x14ac:dyDescent="0.2">
      <c r="B268" s="910" t="s">
        <v>1144</v>
      </c>
      <c r="C268" s="910"/>
      <c r="D268" s="910"/>
      <c r="E268" s="910"/>
      <c r="F268" s="910"/>
      <c r="G268" s="910"/>
      <c r="H268" s="910"/>
      <c r="I268" s="910"/>
      <c r="J268" s="910"/>
      <c r="K268" s="910"/>
      <c r="L268" s="910"/>
      <c r="M268" s="910"/>
      <c r="N268" s="910"/>
      <c r="O268" s="910"/>
      <c r="P268" s="146"/>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c r="EM268" s="10"/>
      <c r="EN268" s="10"/>
      <c r="EO268" s="10"/>
      <c r="EP268" s="10"/>
      <c r="EQ268" s="10"/>
      <c r="ER268" s="10"/>
      <c r="ES268" s="10"/>
      <c r="ET268" s="10"/>
      <c r="EU268" s="10"/>
      <c r="EV268" s="10"/>
      <c r="EW268" s="10"/>
      <c r="EX268" s="10"/>
      <c r="EY268" s="10"/>
      <c r="EZ268" s="10"/>
      <c r="FA268" s="10"/>
      <c r="FB268" s="10"/>
      <c r="FC268" s="10"/>
      <c r="FD268" s="10"/>
      <c r="FE268" s="10"/>
      <c r="FF268" s="10"/>
      <c r="FG268" s="10"/>
      <c r="FH268" s="10"/>
      <c r="FI268" s="10"/>
      <c r="FJ268" s="10"/>
      <c r="FK268" s="10"/>
      <c r="FL268" s="10"/>
      <c r="FM268" s="10"/>
      <c r="FN268" s="10"/>
      <c r="FO268" s="10"/>
      <c r="FP268" s="10"/>
      <c r="FQ268" s="10"/>
      <c r="FR268" s="10"/>
      <c r="FS268" s="10"/>
      <c r="FT268" s="10"/>
      <c r="FU268" s="10"/>
      <c r="FV268" s="10"/>
      <c r="FW268" s="10"/>
      <c r="FX268" s="10"/>
      <c r="FY268" s="10"/>
      <c r="FZ268" s="10"/>
      <c r="GA268" s="10"/>
      <c r="GB268" s="10"/>
      <c r="GC268" s="10"/>
      <c r="GD268" s="10"/>
      <c r="GE268" s="10"/>
      <c r="GF268" s="10"/>
      <c r="GG268" s="10"/>
      <c r="GH268" s="10"/>
      <c r="GI268" s="10"/>
      <c r="GJ268" s="10"/>
      <c r="GK268" s="10"/>
      <c r="GL268" s="10"/>
      <c r="GM268" s="10"/>
      <c r="GN268" s="10"/>
      <c r="GO268" s="10"/>
      <c r="GP268" s="10"/>
      <c r="GQ268" s="10"/>
      <c r="GR268" s="10"/>
      <c r="GS268" s="10"/>
      <c r="GT268" s="10"/>
      <c r="GU268" s="10"/>
      <c r="GV268" s="10"/>
      <c r="GW268" s="10"/>
      <c r="GX268" s="10"/>
      <c r="GY268" s="10"/>
      <c r="GZ268" s="10"/>
      <c r="HA268" s="10"/>
      <c r="HB268" s="10"/>
      <c r="HC268" s="10"/>
      <c r="HD268" s="10"/>
      <c r="HE268" s="10"/>
      <c r="HF268" s="10"/>
      <c r="HG268" s="10"/>
      <c r="HH268" s="10"/>
      <c r="HI268" s="10"/>
      <c r="HJ268" s="10"/>
      <c r="HK268" s="10"/>
      <c r="HL268" s="10"/>
      <c r="HM268" s="10"/>
      <c r="HN268" s="10"/>
      <c r="HO268" s="10"/>
      <c r="HP268" s="10"/>
      <c r="HQ268" s="10"/>
      <c r="HR268" s="10"/>
      <c r="HS268" s="10"/>
      <c r="HT268" s="10"/>
    </row>
    <row r="269" spans="1:228" ht="15" customHeight="1" x14ac:dyDescent="0.2">
      <c r="B269" s="289" t="s">
        <v>1145</v>
      </c>
      <c r="C269" s="1142">
        <f>IF(OR($R$269=1,$R$270=1),P33,0)</f>
        <v>0</v>
      </c>
      <c r="D269" s="1162"/>
      <c r="E269" s="1162"/>
      <c r="F269" s="1161" t="s">
        <v>1146</v>
      </c>
      <c r="G269" s="1161"/>
      <c r="H269" s="1161"/>
      <c r="I269" s="1161"/>
      <c r="J269" s="1161"/>
      <c r="K269" s="1161"/>
      <c r="L269" s="1142">
        <f>LETable!AT48</f>
        <v>0</v>
      </c>
      <c r="M269" s="1142"/>
      <c r="N269" s="1161" t="s">
        <v>657</v>
      </c>
      <c r="O269" s="1161"/>
      <c r="P269" s="1151">
        <f>SUM(L269:L273)</f>
        <v>0</v>
      </c>
      <c r="R269" s="289">
        <f>IF(SUM($E$341:$E$365)&gt;0,1,0)</f>
        <v>0</v>
      </c>
      <c r="S269" s="924" t="s">
        <v>846</v>
      </c>
      <c r="T269" s="924"/>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c r="EM269" s="10"/>
      <c r="EN269" s="10"/>
      <c r="EO269" s="10"/>
      <c r="EP269" s="10"/>
      <c r="EQ269" s="10"/>
      <c r="ER269" s="10"/>
      <c r="ES269" s="10"/>
      <c r="ET269" s="10"/>
      <c r="EU269" s="10"/>
      <c r="EV269" s="10"/>
      <c r="EW269" s="10"/>
      <c r="EX269" s="10"/>
      <c r="EY269" s="10"/>
      <c r="EZ269" s="10"/>
      <c r="FA269" s="10"/>
      <c r="FB269" s="10"/>
      <c r="FC269" s="10"/>
      <c r="FD269" s="10"/>
      <c r="FE269" s="10"/>
      <c r="FF269" s="10"/>
      <c r="FG269" s="10"/>
      <c r="FH269" s="10"/>
      <c r="FI269" s="10"/>
      <c r="FJ269" s="10"/>
      <c r="FK269" s="10"/>
      <c r="FL269" s="10"/>
      <c r="FM269" s="10"/>
      <c r="FN269" s="10"/>
      <c r="FO269" s="10"/>
      <c r="FP269" s="10"/>
      <c r="FQ269" s="10"/>
      <c r="FR269" s="10"/>
      <c r="FS269" s="10"/>
      <c r="FT269" s="10"/>
      <c r="FU269" s="10"/>
      <c r="FV269" s="10"/>
      <c r="FW269" s="10"/>
      <c r="FX269" s="10"/>
      <c r="FY269" s="10"/>
      <c r="FZ269" s="10"/>
      <c r="GA269" s="10"/>
      <c r="GB269" s="10"/>
      <c r="GC269" s="10"/>
      <c r="GD269" s="10"/>
      <c r="GE269" s="10"/>
      <c r="GF269" s="10"/>
      <c r="GG269" s="10"/>
      <c r="GH269" s="10"/>
      <c r="GI269" s="10"/>
      <c r="GJ269" s="10"/>
      <c r="GK269" s="10"/>
      <c r="GL269" s="10"/>
      <c r="GM269" s="10"/>
      <c r="GN269" s="10"/>
      <c r="GO269" s="10"/>
      <c r="GP269" s="10"/>
      <c r="GQ269" s="10"/>
      <c r="GR269" s="10"/>
      <c r="GS269" s="10"/>
      <c r="GT269" s="10"/>
      <c r="GU269" s="10"/>
      <c r="GV269" s="10"/>
      <c r="GW269" s="10"/>
      <c r="GX269" s="10"/>
      <c r="GY269" s="10"/>
      <c r="GZ269" s="10"/>
      <c r="HA269" s="10"/>
      <c r="HB269" s="10"/>
      <c r="HC269" s="10"/>
      <c r="HD269" s="10"/>
      <c r="HE269" s="10"/>
      <c r="HF269" s="10"/>
      <c r="HG269" s="10"/>
      <c r="HH269" s="10"/>
      <c r="HI269" s="10"/>
      <c r="HJ269" s="10"/>
      <c r="HK269" s="10"/>
      <c r="HL269" s="10"/>
      <c r="HM269" s="10"/>
      <c r="HN269" s="10"/>
      <c r="HO269" s="10"/>
      <c r="HP269" s="10"/>
      <c r="HQ269" s="10"/>
      <c r="HR269" s="10"/>
      <c r="HS269" s="10"/>
      <c r="HT269" s="10"/>
    </row>
    <row r="270" spans="1:228" ht="15" customHeight="1" x14ac:dyDescent="0.2">
      <c r="B270" s="289" t="s">
        <v>847</v>
      </c>
      <c r="C270" s="1142">
        <f>IF(OR($R$269=1,$R$270=1),P72,0)</f>
        <v>0</v>
      </c>
      <c r="D270" s="1162"/>
      <c r="E270" s="1162"/>
      <c r="F270" s="1161" t="s">
        <v>1146</v>
      </c>
      <c r="G270" s="1161"/>
      <c r="H270" s="1161"/>
      <c r="I270" s="1161"/>
      <c r="J270" s="1161"/>
      <c r="K270" s="1161"/>
      <c r="L270" s="1142">
        <f>LETable!AT49</f>
        <v>0</v>
      </c>
      <c r="M270" s="1142"/>
      <c r="N270" s="1161" t="s">
        <v>657</v>
      </c>
      <c r="O270" s="1161"/>
      <c r="P270" s="1151"/>
      <c r="R270" s="50">
        <f>IF(SUM(E448:E469)&gt;0,1,0)</f>
        <v>0</v>
      </c>
      <c r="S270" s="791" t="s">
        <v>848</v>
      </c>
      <c r="T270" s="791"/>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c r="EM270" s="10"/>
      <c r="EN270" s="10"/>
      <c r="EO270" s="10"/>
      <c r="EP270" s="10"/>
      <c r="EQ270" s="10"/>
      <c r="ER270" s="10"/>
      <c r="ES270" s="10"/>
      <c r="ET270" s="10"/>
      <c r="EU270" s="10"/>
      <c r="EV270" s="10"/>
      <c r="EW270" s="10"/>
      <c r="EX270" s="10"/>
      <c r="EY270" s="10"/>
      <c r="EZ270" s="10"/>
      <c r="FA270" s="10"/>
      <c r="FB270" s="10"/>
      <c r="FC270" s="10"/>
      <c r="FD270" s="10"/>
      <c r="FE270" s="10"/>
      <c r="FF270" s="10"/>
      <c r="FG270" s="10"/>
      <c r="FH270" s="10"/>
      <c r="FI270" s="10"/>
      <c r="FJ270" s="10"/>
      <c r="FK270" s="10"/>
      <c r="FL270" s="10"/>
      <c r="FM270" s="10"/>
      <c r="FN270" s="10"/>
      <c r="FO270" s="10"/>
      <c r="FP270" s="10"/>
      <c r="FQ270" s="10"/>
      <c r="FR270" s="10"/>
      <c r="FS270" s="10"/>
      <c r="FT270" s="10"/>
      <c r="FU270" s="10"/>
      <c r="FV270" s="10"/>
      <c r="FW270" s="10"/>
      <c r="FX270" s="10"/>
      <c r="FY270" s="10"/>
      <c r="FZ270" s="10"/>
      <c r="GA270" s="10"/>
      <c r="GB270" s="10"/>
      <c r="GC270" s="10"/>
      <c r="GD270" s="10"/>
      <c r="GE270" s="10"/>
      <c r="GF270" s="10"/>
      <c r="GG270" s="10"/>
      <c r="GH270" s="10"/>
      <c r="GI270" s="10"/>
      <c r="GJ270" s="10"/>
      <c r="GK270" s="10"/>
      <c r="GL270" s="10"/>
      <c r="GM270" s="10"/>
      <c r="GN270" s="10"/>
      <c r="GO270" s="10"/>
      <c r="GP270" s="10"/>
      <c r="GQ270" s="10"/>
      <c r="GR270" s="10"/>
      <c r="GS270" s="10"/>
      <c r="GT270" s="10"/>
      <c r="GU270" s="10"/>
      <c r="GV270" s="10"/>
      <c r="GW270" s="10"/>
      <c r="GX270" s="10"/>
      <c r="GY270" s="10"/>
      <c r="GZ270" s="10"/>
      <c r="HA270" s="10"/>
      <c r="HB270" s="10"/>
      <c r="HC270" s="10"/>
      <c r="HD270" s="10"/>
      <c r="HE270" s="10"/>
      <c r="HF270" s="10"/>
      <c r="HG270" s="10"/>
      <c r="HH270" s="10"/>
      <c r="HI270" s="10"/>
      <c r="HJ270" s="10"/>
      <c r="HK270" s="10"/>
      <c r="HL270" s="10"/>
      <c r="HM270" s="10"/>
      <c r="HN270" s="10"/>
      <c r="HO270" s="10"/>
      <c r="HP270" s="10"/>
      <c r="HQ270" s="10"/>
      <c r="HR270" s="10"/>
      <c r="HS270" s="10"/>
      <c r="HT270" s="10"/>
    </row>
    <row r="271" spans="1:228" ht="15" customHeight="1" x14ac:dyDescent="0.2">
      <c r="B271" s="289" t="s">
        <v>849</v>
      </c>
      <c r="C271" s="1142">
        <f>IF(OR($R$269=1,$R$270=1),P112,0)</f>
        <v>0</v>
      </c>
      <c r="D271" s="1162"/>
      <c r="E271" s="1162"/>
      <c r="F271" s="1161" t="s">
        <v>1146</v>
      </c>
      <c r="G271" s="1161"/>
      <c r="H271" s="1161"/>
      <c r="I271" s="1161"/>
      <c r="J271" s="1161"/>
      <c r="K271" s="1161"/>
      <c r="L271" s="1142">
        <f>LETable!AT50</f>
        <v>0</v>
      </c>
      <c r="M271" s="1142"/>
      <c r="N271" s="1161" t="s">
        <v>657</v>
      </c>
      <c r="O271" s="1161"/>
      <c r="P271" s="1151"/>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c r="EM271" s="10"/>
      <c r="EN271" s="10"/>
      <c r="EO271" s="10"/>
      <c r="EP271" s="10"/>
      <c r="EQ271" s="10"/>
      <c r="ER271" s="10"/>
      <c r="ES271" s="10"/>
      <c r="ET271" s="10"/>
      <c r="EU271" s="10"/>
      <c r="EV271" s="10"/>
      <c r="EW271" s="10"/>
      <c r="EX271" s="10"/>
      <c r="EY271" s="10"/>
      <c r="EZ271" s="10"/>
      <c r="FA271" s="10"/>
      <c r="FB271" s="10"/>
      <c r="FC271" s="10"/>
      <c r="FD271" s="10"/>
      <c r="FE271" s="10"/>
      <c r="FF271" s="10"/>
      <c r="FG271" s="10"/>
      <c r="FH271" s="10"/>
      <c r="FI271" s="10"/>
      <c r="FJ271" s="10"/>
      <c r="FK271" s="10"/>
      <c r="FL271" s="10"/>
      <c r="FM271" s="10"/>
      <c r="FN271" s="10"/>
      <c r="FO271" s="10"/>
      <c r="FP271" s="10"/>
      <c r="FQ271" s="10"/>
      <c r="FR271" s="10"/>
      <c r="FS271" s="10"/>
      <c r="FT271" s="10"/>
      <c r="FU271" s="10"/>
      <c r="FV271" s="10"/>
      <c r="FW271" s="10"/>
      <c r="FX271" s="10"/>
      <c r="FY271" s="10"/>
      <c r="FZ271" s="10"/>
      <c r="GA271" s="10"/>
      <c r="GB271" s="10"/>
      <c r="GC271" s="10"/>
      <c r="GD271" s="10"/>
      <c r="GE271" s="10"/>
      <c r="GF271" s="10"/>
      <c r="GG271" s="10"/>
      <c r="GH271" s="10"/>
      <c r="GI271" s="10"/>
      <c r="GJ271" s="10"/>
      <c r="GK271" s="10"/>
      <c r="GL271" s="10"/>
      <c r="GM271" s="10"/>
      <c r="GN271" s="10"/>
      <c r="GO271" s="10"/>
      <c r="GP271" s="10"/>
      <c r="GQ271" s="10"/>
      <c r="GR271" s="10"/>
      <c r="GS271" s="10"/>
      <c r="GT271" s="10"/>
      <c r="GU271" s="10"/>
      <c r="GV271" s="10"/>
      <c r="GW271" s="10"/>
      <c r="GX271" s="10"/>
      <c r="GY271" s="10"/>
      <c r="GZ271" s="10"/>
      <c r="HA271" s="10"/>
      <c r="HB271" s="10"/>
      <c r="HC271" s="10"/>
      <c r="HD271" s="10"/>
      <c r="HE271" s="10"/>
      <c r="HF271" s="10"/>
      <c r="HG271" s="10"/>
      <c r="HH271" s="10"/>
      <c r="HI271" s="10"/>
      <c r="HJ271" s="10"/>
      <c r="HK271" s="10"/>
      <c r="HL271" s="10"/>
      <c r="HM271" s="10"/>
      <c r="HN271" s="10"/>
      <c r="HO271" s="10"/>
      <c r="HP271" s="10"/>
      <c r="HQ271" s="10"/>
      <c r="HR271" s="10"/>
      <c r="HS271" s="10"/>
      <c r="HT271" s="10"/>
    </row>
    <row r="272" spans="1:228" ht="15" customHeight="1" x14ac:dyDescent="0.2">
      <c r="B272" s="289" t="s">
        <v>850</v>
      </c>
      <c r="C272" s="1142">
        <f>IF(OR($R$269=1,$R$270=1),P152,0)</f>
        <v>0</v>
      </c>
      <c r="D272" s="1162"/>
      <c r="E272" s="1162"/>
      <c r="F272" s="1161" t="s">
        <v>1146</v>
      </c>
      <c r="G272" s="1161"/>
      <c r="H272" s="1161"/>
      <c r="I272" s="1161"/>
      <c r="J272" s="1161"/>
      <c r="K272" s="1161"/>
      <c r="L272" s="1142">
        <f>LETable!AT51</f>
        <v>0</v>
      </c>
      <c r="M272" s="1142"/>
      <c r="N272" s="1161" t="s">
        <v>657</v>
      </c>
      <c r="O272" s="1161"/>
      <c r="P272" s="1151"/>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0"/>
      <c r="EI272" s="10"/>
      <c r="EJ272" s="10"/>
      <c r="EK272" s="10"/>
      <c r="EL272" s="10"/>
      <c r="EM272" s="10"/>
      <c r="EN272" s="10"/>
      <c r="EO272" s="10"/>
      <c r="EP272" s="10"/>
      <c r="EQ272" s="10"/>
      <c r="ER272" s="10"/>
      <c r="ES272" s="10"/>
      <c r="ET272" s="10"/>
      <c r="EU272" s="10"/>
      <c r="EV272" s="10"/>
      <c r="EW272" s="10"/>
      <c r="EX272" s="10"/>
      <c r="EY272" s="10"/>
      <c r="EZ272" s="10"/>
      <c r="FA272" s="10"/>
      <c r="FB272" s="10"/>
      <c r="FC272" s="10"/>
      <c r="FD272" s="10"/>
      <c r="FE272" s="10"/>
      <c r="FF272" s="10"/>
      <c r="FG272" s="10"/>
      <c r="FH272" s="10"/>
      <c r="FI272" s="10"/>
      <c r="FJ272" s="10"/>
      <c r="FK272" s="10"/>
      <c r="FL272" s="10"/>
      <c r="FM272" s="10"/>
      <c r="FN272" s="10"/>
      <c r="FO272" s="10"/>
      <c r="FP272" s="10"/>
      <c r="FQ272" s="10"/>
      <c r="FR272" s="10"/>
      <c r="FS272" s="10"/>
      <c r="FT272" s="10"/>
      <c r="FU272" s="10"/>
      <c r="FV272" s="10"/>
      <c r="FW272" s="10"/>
      <c r="FX272" s="10"/>
      <c r="FY272" s="10"/>
      <c r="FZ272" s="10"/>
      <c r="GA272" s="10"/>
      <c r="GB272" s="10"/>
      <c r="GC272" s="10"/>
      <c r="GD272" s="10"/>
      <c r="GE272" s="10"/>
      <c r="GF272" s="10"/>
      <c r="GG272" s="10"/>
      <c r="GH272" s="10"/>
      <c r="GI272" s="10"/>
      <c r="GJ272" s="10"/>
      <c r="GK272" s="10"/>
      <c r="GL272" s="10"/>
      <c r="GM272" s="10"/>
      <c r="GN272" s="10"/>
      <c r="GO272" s="10"/>
      <c r="GP272" s="10"/>
      <c r="GQ272" s="10"/>
      <c r="GR272" s="10"/>
      <c r="GS272" s="10"/>
      <c r="GT272" s="10"/>
      <c r="GU272" s="10"/>
      <c r="GV272" s="10"/>
      <c r="GW272" s="10"/>
      <c r="GX272" s="10"/>
      <c r="GY272" s="10"/>
      <c r="GZ272" s="10"/>
      <c r="HA272" s="10"/>
      <c r="HB272" s="10"/>
      <c r="HC272" s="10"/>
      <c r="HD272" s="10"/>
      <c r="HE272" s="10"/>
      <c r="HF272" s="10"/>
      <c r="HG272" s="10"/>
      <c r="HH272" s="10"/>
      <c r="HI272" s="10"/>
      <c r="HJ272" s="10"/>
      <c r="HK272" s="10"/>
      <c r="HL272" s="10"/>
      <c r="HM272" s="10"/>
      <c r="HN272" s="10"/>
      <c r="HO272" s="10"/>
      <c r="HP272" s="10"/>
      <c r="HQ272" s="10"/>
      <c r="HR272" s="10"/>
      <c r="HS272" s="10"/>
      <c r="HT272" s="10"/>
    </row>
    <row r="273" spans="1:228" ht="15" customHeight="1" x14ac:dyDescent="0.2">
      <c r="B273" s="289" t="s">
        <v>851</v>
      </c>
      <c r="C273" s="1142">
        <f>IF(OR($R$269=1,$R$270=1),P192,0)</f>
        <v>0</v>
      </c>
      <c r="D273" s="1162"/>
      <c r="E273" s="1162"/>
      <c r="F273" s="1161" t="s">
        <v>1146</v>
      </c>
      <c r="G273" s="1161"/>
      <c r="H273" s="1161"/>
      <c r="I273" s="1161"/>
      <c r="J273" s="1161"/>
      <c r="K273" s="1161"/>
      <c r="L273" s="1142">
        <f>LETable!AT52</f>
        <v>0</v>
      </c>
      <c r="M273" s="1142"/>
      <c r="N273" s="1161" t="s">
        <v>657</v>
      </c>
      <c r="O273" s="1161"/>
      <c r="P273" s="1151"/>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c r="EM273" s="10"/>
      <c r="EN273" s="10"/>
      <c r="EO273" s="10"/>
      <c r="EP273" s="10"/>
      <c r="EQ273" s="10"/>
      <c r="ER273" s="10"/>
      <c r="ES273" s="10"/>
      <c r="ET273" s="10"/>
      <c r="EU273" s="10"/>
      <c r="EV273" s="10"/>
      <c r="EW273" s="10"/>
      <c r="EX273" s="10"/>
      <c r="EY273" s="10"/>
      <c r="EZ273" s="10"/>
      <c r="FA273" s="10"/>
      <c r="FB273" s="10"/>
      <c r="FC273" s="10"/>
      <c r="FD273" s="10"/>
      <c r="FE273" s="10"/>
      <c r="FF273" s="10"/>
      <c r="FG273" s="10"/>
      <c r="FH273" s="10"/>
      <c r="FI273" s="10"/>
      <c r="FJ273" s="10"/>
      <c r="FK273" s="10"/>
      <c r="FL273" s="10"/>
      <c r="FM273" s="10"/>
      <c r="FN273" s="10"/>
      <c r="FO273" s="10"/>
      <c r="FP273" s="10"/>
      <c r="FQ273" s="10"/>
      <c r="FR273" s="10"/>
      <c r="FS273" s="10"/>
      <c r="FT273" s="10"/>
      <c r="FU273" s="10"/>
      <c r="FV273" s="10"/>
      <c r="FW273" s="10"/>
      <c r="FX273" s="10"/>
      <c r="FY273" s="10"/>
      <c r="FZ273" s="10"/>
      <c r="GA273" s="10"/>
      <c r="GB273" s="10"/>
      <c r="GC273" s="10"/>
      <c r="GD273" s="10"/>
      <c r="GE273" s="10"/>
      <c r="GF273" s="10"/>
      <c r="GG273" s="10"/>
      <c r="GH273" s="10"/>
      <c r="GI273" s="10"/>
      <c r="GJ273" s="10"/>
      <c r="GK273" s="10"/>
      <c r="GL273" s="10"/>
      <c r="GM273" s="10"/>
      <c r="GN273" s="10"/>
      <c r="GO273" s="10"/>
      <c r="GP273" s="10"/>
      <c r="GQ273" s="10"/>
      <c r="GR273" s="10"/>
      <c r="GS273" s="10"/>
      <c r="GT273" s="10"/>
      <c r="GU273" s="10"/>
      <c r="GV273" s="10"/>
      <c r="GW273" s="10"/>
      <c r="GX273" s="10"/>
      <c r="GY273" s="10"/>
      <c r="GZ273" s="10"/>
      <c r="HA273" s="10"/>
      <c r="HB273" s="10"/>
      <c r="HC273" s="10"/>
      <c r="HD273" s="10"/>
      <c r="HE273" s="10"/>
      <c r="HF273" s="10"/>
      <c r="HG273" s="10"/>
      <c r="HH273" s="10"/>
      <c r="HI273" s="10"/>
      <c r="HJ273" s="10"/>
      <c r="HK273" s="10"/>
      <c r="HL273" s="10"/>
      <c r="HM273" s="10"/>
      <c r="HN273" s="10"/>
      <c r="HO273" s="10"/>
      <c r="HP273" s="10"/>
      <c r="HQ273" s="10"/>
      <c r="HR273" s="10"/>
      <c r="HS273" s="10"/>
      <c r="HT273" s="10"/>
    </row>
    <row r="274" spans="1:228" ht="18" customHeight="1" x14ac:dyDescent="0.2">
      <c r="B274" s="36"/>
      <c r="C274" s="1201" t="s">
        <v>852</v>
      </c>
      <c r="D274" s="1201"/>
      <c r="E274" s="1201"/>
      <c r="F274" s="1201"/>
      <c r="G274" s="1201"/>
      <c r="H274" s="1201"/>
      <c r="I274" s="1201"/>
      <c r="J274" s="1201"/>
      <c r="K274" s="1201"/>
      <c r="L274" s="1201"/>
      <c r="M274" s="1201"/>
      <c r="N274" s="1201"/>
      <c r="O274" s="1201"/>
      <c r="P274" s="1151"/>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c r="EM274" s="10"/>
      <c r="EN274" s="10"/>
      <c r="EO274" s="10"/>
      <c r="EP274" s="10"/>
      <c r="EQ274" s="10"/>
      <c r="ER274" s="10"/>
      <c r="ES274" s="10"/>
      <c r="ET274" s="10"/>
      <c r="EU274" s="10"/>
      <c r="EV274" s="10"/>
      <c r="EW274" s="10"/>
      <c r="EX274" s="10"/>
      <c r="EY274" s="10"/>
      <c r="EZ274" s="10"/>
      <c r="FA274" s="10"/>
      <c r="FB274" s="10"/>
      <c r="FC274" s="10"/>
      <c r="FD274" s="10"/>
      <c r="FE274" s="10"/>
      <c r="FF274" s="10"/>
      <c r="FG274" s="10"/>
      <c r="FH274" s="10"/>
      <c r="FI274" s="10"/>
      <c r="FJ274" s="10"/>
      <c r="FK274" s="10"/>
      <c r="FL274" s="10"/>
      <c r="FM274" s="10"/>
      <c r="FN274" s="10"/>
      <c r="FO274" s="10"/>
      <c r="FP274" s="10"/>
      <c r="FQ274" s="10"/>
      <c r="FR274" s="10"/>
      <c r="FS274" s="10"/>
      <c r="FT274" s="10"/>
      <c r="FU274" s="10"/>
      <c r="FV274" s="10"/>
      <c r="FW274" s="10"/>
      <c r="FX274" s="10"/>
      <c r="FY274" s="10"/>
      <c r="FZ274" s="10"/>
      <c r="GA274" s="10"/>
      <c r="GB274" s="10"/>
      <c r="GC274" s="10"/>
      <c r="GD274" s="10"/>
      <c r="GE274" s="10"/>
      <c r="GF274" s="10"/>
      <c r="GG274" s="10"/>
      <c r="GH274" s="10"/>
      <c r="GI274" s="10"/>
      <c r="GJ274" s="10"/>
      <c r="GK274" s="10"/>
      <c r="GL274" s="10"/>
      <c r="GM274" s="10"/>
      <c r="GN274" s="10"/>
      <c r="GO274" s="10"/>
      <c r="GP274" s="10"/>
      <c r="GQ274" s="10"/>
      <c r="GR274" s="10"/>
      <c r="GS274" s="10"/>
      <c r="GT274" s="10"/>
      <c r="GU274" s="10"/>
      <c r="GV274" s="10"/>
      <c r="GW274" s="10"/>
      <c r="GX274" s="10"/>
      <c r="GY274" s="10"/>
      <c r="GZ274" s="10"/>
      <c r="HA274" s="10"/>
      <c r="HB274" s="10"/>
      <c r="HC274" s="10"/>
      <c r="HD274" s="10"/>
      <c r="HE274" s="10"/>
      <c r="HF274" s="10"/>
      <c r="HG274" s="10"/>
      <c r="HH274" s="10"/>
      <c r="HI274" s="10"/>
      <c r="HJ274" s="10"/>
      <c r="HK274" s="10"/>
      <c r="HL274" s="10"/>
      <c r="HM274" s="10"/>
      <c r="HN274" s="10"/>
      <c r="HO274" s="10"/>
      <c r="HP274" s="10"/>
      <c r="HQ274" s="10"/>
      <c r="HR274" s="10"/>
      <c r="HS274" s="10"/>
      <c r="HT274" s="10"/>
    </row>
    <row r="275" spans="1:228" ht="12" customHeight="1" x14ac:dyDescent="0.25">
      <c r="B275" s="1137"/>
      <c r="C275" s="1137"/>
      <c r="D275" s="1137"/>
      <c r="E275" s="1137"/>
      <c r="F275" s="1137"/>
      <c r="G275" s="1137"/>
      <c r="H275" s="1137"/>
      <c r="I275" s="1137"/>
      <c r="J275" s="1137"/>
      <c r="K275" s="1137"/>
      <c r="L275" s="1137"/>
      <c r="M275" s="1137"/>
      <c r="N275" s="1137"/>
      <c r="O275" s="1137"/>
      <c r="P275" s="63"/>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c r="EM275" s="10"/>
      <c r="EN275" s="10"/>
      <c r="EO275" s="10"/>
      <c r="EP275" s="10"/>
      <c r="EQ275" s="10"/>
      <c r="ER275" s="10"/>
      <c r="ES275" s="10"/>
      <c r="ET275" s="10"/>
      <c r="EU275" s="10"/>
      <c r="EV275" s="10"/>
      <c r="EW275" s="10"/>
      <c r="EX275" s="10"/>
      <c r="EY275" s="10"/>
      <c r="EZ275" s="10"/>
      <c r="FA275" s="10"/>
      <c r="FB275" s="10"/>
      <c r="FC275" s="10"/>
      <c r="FD275" s="10"/>
      <c r="FE275" s="10"/>
      <c r="FF275" s="10"/>
      <c r="FG275" s="10"/>
      <c r="FH275" s="10"/>
      <c r="FI275" s="10"/>
      <c r="FJ275" s="10"/>
      <c r="FK275" s="10"/>
      <c r="FL275" s="10"/>
      <c r="FM275" s="10"/>
      <c r="FN275" s="10"/>
      <c r="FO275" s="10"/>
      <c r="FP275" s="10"/>
      <c r="FQ275" s="10"/>
      <c r="FR275" s="10"/>
      <c r="FS275" s="10"/>
      <c r="FT275" s="10"/>
      <c r="FU275" s="10"/>
      <c r="FV275" s="10"/>
      <c r="FW275" s="10"/>
      <c r="FX275" s="10"/>
      <c r="FY275" s="10"/>
      <c r="FZ275" s="10"/>
      <c r="GA275" s="10"/>
      <c r="GB275" s="10"/>
      <c r="GC275" s="10"/>
      <c r="GD275" s="10"/>
      <c r="GE275" s="10"/>
      <c r="GF275" s="10"/>
      <c r="GG275" s="10"/>
      <c r="GH275" s="10"/>
      <c r="GI275" s="10"/>
      <c r="GJ275" s="10"/>
      <c r="GK275" s="10"/>
      <c r="GL275" s="10"/>
      <c r="GM275" s="10"/>
      <c r="GN275" s="10"/>
      <c r="GO275" s="10"/>
      <c r="GP275" s="10"/>
      <c r="GQ275" s="10"/>
      <c r="GR275" s="10"/>
      <c r="GS275" s="10"/>
      <c r="GT275" s="10"/>
      <c r="GU275" s="10"/>
      <c r="GV275" s="10"/>
      <c r="GW275" s="10"/>
      <c r="GX275" s="10"/>
      <c r="GY275" s="10"/>
      <c r="GZ275" s="10"/>
      <c r="HA275" s="10"/>
      <c r="HB275" s="10"/>
      <c r="HC275" s="10"/>
      <c r="HD275" s="10"/>
      <c r="HE275" s="10"/>
      <c r="HF275" s="10"/>
      <c r="HG275" s="10"/>
      <c r="HH275" s="10"/>
      <c r="HI275" s="10"/>
      <c r="HJ275" s="10"/>
      <c r="HK275" s="10"/>
      <c r="HL275" s="10"/>
      <c r="HM275" s="10"/>
      <c r="HN275" s="10"/>
      <c r="HO275" s="10"/>
      <c r="HP275" s="10"/>
      <c r="HQ275" s="10"/>
      <c r="HR275" s="10"/>
      <c r="HS275" s="10"/>
      <c r="HT275" s="10"/>
    </row>
    <row r="276" spans="1:228" ht="18" customHeight="1" x14ac:dyDescent="0.2">
      <c r="B276" s="947" t="s">
        <v>810</v>
      </c>
      <c r="C276" s="947"/>
      <c r="D276" s="947"/>
      <c r="E276" s="947"/>
      <c r="F276" s="947"/>
      <c r="G276" s="947"/>
      <c r="H276" s="947"/>
      <c r="I276" s="947"/>
      <c r="J276" s="947"/>
      <c r="K276" s="947"/>
      <c r="L276" s="947"/>
      <c r="M276" s="947"/>
      <c r="N276" s="947"/>
      <c r="O276" s="947"/>
      <c r="P276" s="947"/>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c r="EM276" s="10"/>
      <c r="EN276" s="10"/>
      <c r="EO276" s="10"/>
      <c r="EP276" s="10"/>
      <c r="EQ276" s="10"/>
      <c r="ER276" s="10"/>
      <c r="ES276" s="10"/>
      <c r="ET276" s="10"/>
      <c r="EU276" s="10"/>
      <c r="EV276" s="10"/>
      <c r="EW276" s="10"/>
      <c r="EX276" s="10"/>
      <c r="EY276" s="10"/>
      <c r="EZ276" s="10"/>
      <c r="FA276" s="10"/>
      <c r="FB276" s="10"/>
      <c r="FC276" s="10"/>
      <c r="FD276" s="10"/>
      <c r="FE276" s="10"/>
      <c r="FF276" s="10"/>
      <c r="FG276" s="10"/>
      <c r="FH276" s="10"/>
      <c r="FI276" s="10"/>
      <c r="FJ276" s="10"/>
      <c r="FK276" s="10"/>
      <c r="FL276" s="10"/>
      <c r="FM276" s="10"/>
      <c r="FN276" s="10"/>
      <c r="FO276" s="10"/>
      <c r="FP276" s="10"/>
      <c r="FQ276" s="10"/>
      <c r="FR276" s="10"/>
      <c r="FS276" s="10"/>
      <c r="FT276" s="10"/>
      <c r="FU276" s="10"/>
      <c r="FV276" s="10"/>
      <c r="FW276" s="10"/>
      <c r="FX276" s="10"/>
      <c r="FY276" s="10"/>
      <c r="FZ276" s="10"/>
      <c r="GA276" s="10"/>
      <c r="GB276" s="10"/>
      <c r="GC276" s="10"/>
      <c r="GD276" s="10"/>
      <c r="GE276" s="10"/>
      <c r="GF276" s="10"/>
      <c r="GG276" s="10"/>
      <c r="GH276" s="10"/>
      <c r="GI276" s="10"/>
      <c r="GJ276" s="10"/>
      <c r="GK276" s="10"/>
      <c r="GL276" s="10"/>
      <c r="GM276" s="10"/>
      <c r="GN276" s="10"/>
      <c r="GO276" s="10"/>
      <c r="GP276" s="10"/>
      <c r="GQ276" s="10"/>
      <c r="GR276" s="10"/>
      <c r="GS276" s="10"/>
      <c r="GT276" s="10"/>
      <c r="GU276" s="10"/>
      <c r="GV276" s="10"/>
      <c r="GW276" s="10"/>
      <c r="GX276" s="10"/>
      <c r="GY276" s="10"/>
      <c r="GZ276" s="10"/>
      <c r="HA276" s="10"/>
      <c r="HB276" s="10"/>
      <c r="HC276" s="10"/>
      <c r="HD276" s="10"/>
      <c r="HE276" s="10"/>
      <c r="HF276" s="10"/>
      <c r="HG276" s="10"/>
      <c r="HH276" s="10"/>
      <c r="HI276" s="10"/>
      <c r="HJ276" s="10"/>
      <c r="HK276" s="10"/>
      <c r="HL276" s="10"/>
      <c r="HM276" s="10"/>
      <c r="HN276" s="10"/>
      <c r="HO276" s="10"/>
      <c r="HP276" s="10"/>
      <c r="HQ276" s="10"/>
      <c r="HR276" s="10"/>
      <c r="HS276" s="10"/>
      <c r="HT276" s="10"/>
    </row>
    <row r="277" spans="1:228" ht="116.25" customHeight="1" x14ac:dyDescent="0.2">
      <c r="B277" s="761" t="s">
        <v>1985</v>
      </c>
      <c r="C277" s="761"/>
      <c r="D277" s="761"/>
      <c r="E277" s="761"/>
      <c r="F277" s="761"/>
      <c r="G277" s="761"/>
      <c r="H277" s="761"/>
      <c r="I277" s="761"/>
      <c r="J277" s="761"/>
      <c r="K277" s="761"/>
      <c r="L277" s="761"/>
      <c r="M277" s="761"/>
      <c r="N277" s="761"/>
      <c r="O277" s="761"/>
      <c r="P277" s="761"/>
      <c r="R277" s="127" t="s">
        <v>2146</v>
      </c>
      <c r="S277" s="50" t="s">
        <v>1901</v>
      </c>
      <c r="T277" s="552" t="s">
        <v>811</v>
      </c>
      <c r="U277" s="552" t="s">
        <v>812</v>
      </c>
      <c r="V277" s="552" t="s">
        <v>813</v>
      </c>
      <c r="W277" s="552" t="s">
        <v>814</v>
      </c>
      <c r="X277" s="50" t="s">
        <v>815</v>
      </c>
      <c r="Y277" s="552" t="s">
        <v>816</v>
      </c>
      <c r="Z277" s="552" t="s">
        <v>817</v>
      </c>
      <c r="AA277" s="552" t="s">
        <v>818</v>
      </c>
      <c r="AB277" s="552" t="s">
        <v>819</v>
      </c>
      <c r="AC277" s="552" t="s">
        <v>820</v>
      </c>
      <c r="AD277" s="552" t="s">
        <v>1648</v>
      </c>
      <c r="AE277" s="552" t="s">
        <v>1649</v>
      </c>
      <c r="AF277" s="552" t="s">
        <v>1650</v>
      </c>
      <c r="AG277" s="552" t="s">
        <v>1651</v>
      </c>
      <c r="AH277" s="552" t="s">
        <v>1652</v>
      </c>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c r="EM277" s="10"/>
      <c r="EN277" s="10"/>
      <c r="EO277" s="10"/>
      <c r="EP277" s="10"/>
      <c r="EQ277" s="10"/>
      <c r="ER277" s="10"/>
      <c r="ES277" s="10"/>
      <c r="ET277" s="10"/>
      <c r="EU277" s="10"/>
      <c r="EV277" s="10"/>
      <c r="EW277" s="10"/>
      <c r="EX277" s="10"/>
      <c r="EY277" s="10"/>
      <c r="EZ277" s="10"/>
      <c r="FA277" s="10"/>
      <c r="FB277" s="10"/>
      <c r="FC277" s="10"/>
      <c r="FD277" s="10"/>
      <c r="FE277" s="10"/>
      <c r="FF277" s="10"/>
      <c r="FG277" s="10"/>
      <c r="FH277" s="10"/>
      <c r="FI277" s="10"/>
      <c r="FJ277" s="10"/>
      <c r="FK277" s="10"/>
      <c r="FL277" s="10"/>
      <c r="FM277" s="10"/>
      <c r="FN277" s="10"/>
      <c r="FO277" s="10"/>
      <c r="FP277" s="10"/>
      <c r="FQ277" s="10"/>
      <c r="FR277" s="10"/>
      <c r="FS277" s="10"/>
      <c r="FT277" s="10"/>
      <c r="FU277" s="10"/>
      <c r="FV277" s="10"/>
      <c r="FW277" s="10"/>
      <c r="FX277" s="10"/>
      <c r="FY277" s="10"/>
      <c r="FZ277" s="10"/>
      <c r="GA277" s="10"/>
      <c r="GB277" s="10"/>
      <c r="GC277" s="10"/>
      <c r="GD277" s="10"/>
      <c r="GE277" s="10"/>
      <c r="GF277" s="10"/>
      <c r="GG277" s="10"/>
      <c r="GH277" s="10"/>
      <c r="GI277" s="10"/>
      <c r="GJ277" s="10"/>
      <c r="GK277" s="10"/>
      <c r="GL277" s="10"/>
      <c r="GM277" s="10"/>
      <c r="GN277" s="10"/>
      <c r="GO277" s="10"/>
      <c r="GP277" s="10"/>
      <c r="GQ277" s="10"/>
      <c r="GR277" s="10"/>
      <c r="GS277" s="10"/>
      <c r="GT277" s="10"/>
      <c r="GU277" s="10"/>
      <c r="GV277" s="10"/>
      <c r="GW277" s="10"/>
      <c r="GX277" s="10"/>
      <c r="GY277" s="10"/>
      <c r="GZ277" s="10"/>
      <c r="HA277" s="10"/>
      <c r="HB277" s="10"/>
      <c r="HC277" s="10"/>
      <c r="HD277" s="10"/>
      <c r="HE277" s="10"/>
      <c r="HF277" s="10"/>
      <c r="HG277" s="10"/>
      <c r="HH277" s="10"/>
      <c r="HI277" s="10"/>
      <c r="HJ277" s="10"/>
      <c r="HK277" s="10"/>
      <c r="HL277" s="10"/>
      <c r="HM277" s="10"/>
      <c r="HN277" s="10"/>
      <c r="HO277" s="10"/>
      <c r="HP277" s="10"/>
      <c r="HQ277" s="10"/>
      <c r="HR277" s="10"/>
      <c r="HS277" s="10"/>
      <c r="HT277" s="10"/>
    </row>
    <row r="278" spans="1:228" ht="15" customHeight="1" x14ac:dyDescent="0.2">
      <c r="B278" s="910"/>
      <c r="C278" s="910"/>
      <c r="D278" s="910"/>
      <c r="E278" s="910"/>
      <c r="F278" s="910"/>
      <c r="G278" s="910"/>
      <c r="H278" s="910"/>
      <c r="I278" s="910"/>
      <c r="J278" s="910"/>
      <c r="K278" s="910"/>
      <c r="L278" s="910"/>
      <c r="M278" s="912" t="s">
        <v>1653</v>
      </c>
      <c r="N278" s="1081" t="s">
        <v>1654</v>
      </c>
      <c r="O278" s="1081"/>
      <c r="P278" s="1081"/>
      <c r="R278" s="401" t="s">
        <v>2147</v>
      </c>
      <c r="S278" s="548">
        <v>0</v>
      </c>
      <c r="T278" s="147">
        <v>0</v>
      </c>
      <c r="U278" s="147">
        <v>0.05</v>
      </c>
      <c r="V278" s="147">
        <v>0.1</v>
      </c>
      <c r="W278" s="147">
        <v>0.2</v>
      </c>
      <c r="X278" s="147">
        <v>0.3</v>
      </c>
      <c r="Y278" s="147">
        <v>0.4</v>
      </c>
      <c r="Z278" s="147">
        <v>0.5</v>
      </c>
      <c r="AA278" s="147">
        <v>0.6</v>
      </c>
      <c r="AB278" s="147">
        <v>0.7</v>
      </c>
      <c r="AC278" s="147">
        <v>0.75</v>
      </c>
      <c r="AD278" s="147">
        <v>0.8</v>
      </c>
      <c r="AE278" s="147">
        <v>0.85</v>
      </c>
      <c r="AF278" s="147">
        <v>0.9</v>
      </c>
      <c r="AG278" s="147">
        <v>0.95</v>
      </c>
      <c r="AH278" s="147">
        <v>1</v>
      </c>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c r="EM278" s="10"/>
      <c r="EN278" s="10"/>
      <c r="EO278" s="10"/>
      <c r="EP278" s="10"/>
      <c r="EQ278" s="10"/>
      <c r="ER278" s="10"/>
      <c r="ES278" s="10"/>
      <c r="ET278" s="10"/>
      <c r="EU278" s="10"/>
      <c r="EV278" s="10"/>
      <c r="EW278" s="10"/>
      <c r="EX278" s="10"/>
      <c r="EY278" s="10"/>
      <c r="EZ278" s="10"/>
      <c r="FA278" s="10"/>
      <c r="FB278" s="10"/>
      <c r="FC278" s="10"/>
      <c r="FD278" s="10"/>
      <c r="FE278" s="10"/>
      <c r="FF278" s="10"/>
      <c r="FG278" s="10"/>
      <c r="FH278" s="10"/>
      <c r="FI278" s="10"/>
      <c r="FJ278" s="10"/>
      <c r="FK278" s="10"/>
      <c r="FL278" s="10"/>
      <c r="FM278" s="10"/>
      <c r="FN278" s="10"/>
      <c r="FO278" s="10"/>
      <c r="FP278" s="10"/>
      <c r="FQ278" s="10"/>
      <c r="FR278" s="10"/>
      <c r="FS278" s="10"/>
      <c r="FT278" s="10"/>
      <c r="FU278" s="10"/>
      <c r="FV278" s="10"/>
      <c r="FW278" s="10"/>
      <c r="FX278" s="10"/>
      <c r="FY278" s="10"/>
      <c r="FZ278" s="10"/>
      <c r="GA278" s="10"/>
      <c r="GB278" s="10"/>
      <c r="GC278" s="10"/>
      <c r="GD278" s="10"/>
      <c r="GE278" s="10"/>
      <c r="GF278" s="10"/>
      <c r="GG278" s="10"/>
      <c r="GH278" s="10"/>
      <c r="GI278" s="10"/>
      <c r="GJ278" s="10"/>
      <c r="GK278" s="10"/>
      <c r="GL278" s="10"/>
      <c r="GM278" s="10"/>
      <c r="GN278" s="10"/>
      <c r="GO278" s="10"/>
      <c r="GP278" s="10"/>
      <c r="GQ278" s="10"/>
      <c r="GR278" s="10"/>
      <c r="GS278" s="10"/>
      <c r="GT278" s="10"/>
      <c r="GU278" s="10"/>
      <c r="GV278" s="10"/>
      <c r="GW278" s="10"/>
      <c r="GX278" s="10"/>
      <c r="GY278" s="10"/>
      <c r="GZ278" s="10"/>
      <c r="HA278" s="10"/>
      <c r="HB278" s="10"/>
      <c r="HC278" s="10"/>
      <c r="HD278" s="10"/>
      <c r="HE278" s="10"/>
      <c r="HF278" s="10"/>
      <c r="HG278" s="10"/>
      <c r="HH278" s="10"/>
      <c r="HI278" s="10"/>
      <c r="HJ278" s="10"/>
      <c r="HK278" s="10"/>
      <c r="HL278" s="10"/>
      <c r="HM278" s="10"/>
      <c r="HN278" s="10"/>
      <c r="HO278" s="10"/>
      <c r="HP278" s="10"/>
      <c r="HQ278" s="10"/>
      <c r="HR278" s="10"/>
      <c r="HS278" s="10"/>
      <c r="HT278" s="10"/>
    </row>
    <row r="279" spans="1:228" ht="15" customHeight="1" x14ac:dyDescent="0.2">
      <c r="B279" s="761" t="s">
        <v>1655</v>
      </c>
      <c r="C279" s="761"/>
      <c r="D279" s="761"/>
      <c r="E279" s="761"/>
      <c r="F279" s="761"/>
      <c r="G279" s="761"/>
      <c r="H279" s="761"/>
      <c r="I279" s="761"/>
      <c r="J279" s="761"/>
      <c r="K279" s="761"/>
      <c r="L279" s="761"/>
      <c r="M279" s="912"/>
      <c r="N279" s="385" t="s">
        <v>1656</v>
      </c>
      <c r="O279" s="385" t="s">
        <v>1657</v>
      </c>
      <c r="P279" s="385" t="s">
        <v>1658</v>
      </c>
      <c r="R279" s="1109" t="s">
        <v>2174</v>
      </c>
      <c r="S279" s="1109"/>
      <c r="T279" s="147" t="s">
        <v>1656</v>
      </c>
      <c r="U279" s="147" t="s">
        <v>1565</v>
      </c>
      <c r="V279" s="147" t="s">
        <v>1659</v>
      </c>
      <c r="W279" s="147" t="s">
        <v>1660</v>
      </c>
      <c r="X279" s="147" t="s">
        <v>1661</v>
      </c>
      <c r="Y279" s="14"/>
      <c r="Z279" s="147" t="s">
        <v>1662</v>
      </c>
      <c r="AA279" s="147" t="s">
        <v>1285</v>
      </c>
      <c r="AB279" s="147" t="s">
        <v>1287</v>
      </c>
      <c r="AC279" s="147" t="s">
        <v>1286</v>
      </c>
      <c r="AD279" s="147" t="s">
        <v>1287</v>
      </c>
      <c r="AE279" s="14" t="s">
        <v>1663</v>
      </c>
      <c r="AF279" s="601" t="s">
        <v>1287</v>
      </c>
      <c r="AG279" s="588" t="s">
        <v>1285</v>
      </c>
      <c r="AH279" s="588" t="s">
        <v>1286</v>
      </c>
      <c r="AI279" s="588" t="s">
        <v>1287</v>
      </c>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c r="EM279" s="10"/>
      <c r="EN279" s="10"/>
      <c r="EO279" s="10"/>
      <c r="EP279" s="10"/>
      <c r="EQ279" s="10"/>
      <c r="ER279" s="10"/>
      <c r="ES279" s="10"/>
      <c r="ET279" s="10"/>
      <c r="EU279" s="10"/>
      <c r="EV279" s="10"/>
      <c r="EW279" s="10"/>
      <c r="EX279" s="10"/>
      <c r="EY279" s="10"/>
      <c r="EZ279" s="10"/>
      <c r="FA279" s="10"/>
      <c r="FB279" s="10"/>
      <c r="FC279" s="10"/>
      <c r="FD279" s="10"/>
      <c r="FE279" s="10"/>
      <c r="FF279" s="10"/>
      <c r="FG279" s="10"/>
      <c r="FH279" s="10"/>
      <c r="FI279" s="10"/>
      <c r="FJ279" s="10"/>
      <c r="FK279" s="10"/>
      <c r="FL279" s="10"/>
      <c r="FM279" s="10"/>
      <c r="FN279" s="10"/>
      <c r="FO279" s="10"/>
      <c r="FP279" s="10"/>
      <c r="FQ279" s="10"/>
      <c r="FR279" s="10"/>
      <c r="FS279" s="10"/>
      <c r="FT279" s="10"/>
      <c r="FU279" s="10"/>
      <c r="FV279" s="10"/>
      <c r="FW279" s="10"/>
      <c r="FX279" s="10"/>
      <c r="FY279" s="10"/>
      <c r="FZ279" s="10"/>
      <c r="GA279" s="10"/>
      <c r="GB279" s="10"/>
      <c r="GC279" s="10"/>
      <c r="GD279" s="10"/>
      <c r="GE279" s="10"/>
      <c r="GF279" s="10"/>
      <c r="GG279" s="10"/>
      <c r="GH279" s="10"/>
      <c r="GI279" s="10"/>
      <c r="GJ279" s="10"/>
      <c r="GK279" s="10"/>
      <c r="GL279" s="10"/>
      <c r="GM279" s="10"/>
      <c r="GN279" s="10"/>
      <c r="GO279" s="10"/>
      <c r="GP279" s="10"/>
      <c r="GQ279" s="10"/>
      <c r="GR279" s="10"/>
      <c r="GS279" s="10"/>
      <c r="GT279" s="10"/>
      <c r="GU279" s="10"/>
      <c r="GV279" s="10"/>
      <c r="GW279" s="10"/>
      <c r="GX279" s="10"/>
      <c r="GY279" s="10"/>
      <c r="GZ279" s="10"/>
      <c r="HA279" s="10"/>
      <c r="HB279" s="10"/>
      <c r="HC279" s="10"/>
      <c r="HD279" s="10"/>
      <c r="HE279" s="10"/>
      <c r="HF279" s="10"/>
      <c r="HG279" s="10"/>
      <c r="HH279" s="10"/>
      <c r="HI279" s="10"/>
      <c r="HJ279" s="10"/>
      <c r="HK279" s="10"/>
      <c r="HL279" s="10"/>
      <c r="HM279" s="10"/>
      <c r="HN279" s="10"/>
      <c r="HO279" s="10"/>
      <c r="HP279" s="10"/>
      <c r="HQ279" s="10"/>
      <c r="HR279" s="10"/>
      <c r="HS279" s="10"/>
      <c r="HT279" s="10"/>
    </row>
    <row r="280" spans="1:228" ht="15" customHeight="1" x14ac:dyDescent="0.2">
      <c r="A280" s="15"/>
      <c r="B280" s="1191"/>
      <c r="C280" s="1191"/>
      <c r="D280" s="1191"/>
      <c r="E280" s="386"/>
      <c r="F280" s="912" t="s">
        <v>1664</v>
      </c>
      <c r="G280" s="912"/>
      <c r="H280" s="912"/>
      <c r="I280" s="912"/>
      <c r="J280" s="912"/>
      <c r="K280" s="912"/>
      <c r="L280" s="912"/>
      <c r="M280" s="76">
        <f>IF(S280=0,0,0.2)</f>
        <v>0</v>
      </c>
      <c r="N280" s="202"/>
      <c r="O280" s="202"/>
      <c r="P280" s="291" t="str">
        <f>IF(X280=0,"",X280)</f>
        <v/>
      </c>
      <c r="R280" s="579" t="b">
        <v>0</v>
      </c>
      <c r="S280" s="571">
        <f>IF(R280=TRUE,1,0)</f>
        <v>0</v>
      </c>
      <c r="T280" s="581">
        <f>SUMIF($T$277:$AH$277,N280,$T$278:$AH$278)</f>
        <v>0</v>
      </c>
      <c r="U280" s="581">
        <f>SUMIF($S$277:$AH$277,O280,$S$278:$AH$278)</f>
        <v>0</v>
      </c>
      <c r="V280" s="581">
        <f>M280*T280</f>
        <v>0</v>
      </c>
      <c r="W280" s="581">
        <f>M280*U280</f>
        <v>0</v>
      </c>
      <c r="X280" s="581">
        <f>(IF(V280-W280&lt;=0,0,V280-W280))</f>
        <v>0</v>
      </c>
      <c r="Y280" s="14"/>
      <c r="Z280" s="581">
        <f>IF(P302="",0,P302)</f>
        <v>0</v>
      </c>
      <c r="AA280" s="581">
        <f>LARGE($Z$280:$Z$283,1)</f>
        <v>0</v>
      </c>
      <c r="AB280" s="581">
        <f>ROUND(AA280,2)</f>
        <v>0</v>
      </c>
      <c r="AC280" s="544">
        <f>AB280+AB281*(1-AB280)</f>
        <v>0</v>
      </c>
      <c r="AD280" s="581">
        <f>ROUND(AC280,2)</f>
        <v>0</v>
      </c>
      <c r="AE280" s="581">
        <f>IF(P280="",0,P280)</f>
        <v>0</v>
      </c>
      <c r="AF280" s="147">
        <f t="shared" ref="AF280:AF292" si="40">ROUND(AE280,2)</f>
        <v>0</v>
      </c>
      <c r="AG280" s="147">
        <f>LARGE($AF$280:$AF$292,1)</f>
        <v>0</v>
      </c>
      <c r="AH280" s="544">
        <f>AG280+AG281*(1-AG280)</f>
        <v>0</v>
      </c>
      <c r="AI280" s="581">
        <f t="shared" ref="AI280:AI291" si="41">ROUND(AH280,2)</f>
        <v>0</v>
      </c>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0"/>
      <c r="EI280" s="10"/>
      <c r="EJ280" s="10"/>
      <c r="EK280" s="10"/>
      <c r="EL280" s="10"/>
      <c r="EM280" s="10"/>
      <c r="EN280" s="10"/>
      <c r="EO280" s="10"/>
      <c r="EP280" s="10"/>
      <c r="EQ280" s="10"/>
      <c r="ER280" s="10"/>
      <c r="ES280" s="10"/>
      <c r="ET280" s="10"/>
      <c r="EU280" s="10"/>
      <c r="EV280" s="10"/>
      <c r="EW280" s="10"/>
      <c r="EX280" s="10"/>
      <c r="EY280" s="10"/>
      <c r="EZ280" s="10"/>
      <c r="FA280" s="10"/>
      <c r="FB280" s="10"/>
      <c r="FC280" s="10"/>
      <c r="FD280" s="10"/>
      <c r="FE280" s="10"/>
      <c r="FF280" s="10"/>
      <c r="FG280" s="10"/>
      <c r="FH280" s="10"/>
      <c r="FI280" s="10"/>
      <c r="FJ280" s="10"/>
      <c r="FK280" s="10"/>
      <c r="FL280" s="10"/>
      <c r="FM280" s="10"/>
      <c r="FN280" s="10"/>
      <c r="FO280" s="10"/>
      <c r="FP280" s="10"/>
      <c r="FQ280" s="10"/>
      <c r="FR280" s="10"/>
      <c r="FS280" s="10"/>
      <c r="FT280" s="10"/>
      <c r="FU280" s="10"/>
      <c r="FV280" s="10"/>
      <c r="FW280" s="10"/>
      <c r="FX280" s="10"/>
      <c r="FY280" s="10"/>
      <c r="FZ280" s="10"/>
      <c r="GA280" s="10"/>
      <c r="GB280" s="10"/>
      <c r="GC280" s="10"/>
      <c r="GD280" s="10"/>
      <c r="GE280" s="10"/>
      <c r="GF280" s="10"/>
      <c r="GG280" s="10"/>
      <c r="GH280" s="10"/>
      <c r="GI280" s="10"/>
      <c r="GJ280" s="10"/>
      <c r="GK280" s="10"/>
      <c r="GL280" s="10"/>
      <c r="GM280" s="10"/>
      <c r="GN280" s="10"/>
      <c r="GO280" s="10"/>
      <c r="GP280" s="10"/>
      <c r="GQ280" s="10"/>
      <c r="GR280" s="10"/>
      <c r="GS280" s="10"/>
      <c r="GT280" s="10"/>
      <c r="GU280" s="10"/>
      <c r="GV280" s="10"/>
      <c r="GW280" s="10"/>
      <c r="GX280" s="10"/>
      <c r="GY280" s="10"/>
      <c r="GZ280" s="10"/>
      <c r="HA280" s="10"/>
      <c r="HB280" s="10"/>
      <c r="HC280" s="10"/>
      <c r="HD280" s="10"/>
      <c r="HE280" s="10"/>
      <c r="HF280" s="10"/>
      <c r="HG280" s="10"/>
      <c r="HH280" s="10"/>
      <c r="HI280" s="10"/>
      <c r="HJ280" s="10"/>
      <c r="HK280" s="10"/>
      <c r="HL280" s="10"/>
      <c r="HM280" s="10"/>
      <c r="HN280" s="10"/>
      <c r="HO280" s="10"/>
      <c r="HP280" s="10"/>
      <c r="HQ280" s="10"/>
      <c r="HR280" s="10"/>
      <c r="HS280" s="10"/>
      <c r="HT280" s="10"/>
    </row>
    <row r="281" spans="1:228" ht="15" customHeight="1" x14ac:dyDescent="0.2">
      <c r="B281" s="1191"/>
      <c r="C281" s="1191"/>
      <c r="D281" s="1191"/>
      <c r="E281" s="386"/>
      <c r="F281" s="912" t="s">
        <v>1665</v>
      </c>
      <c r="G281" s="912"/>
      <c r="H281" s="912"/>
      <c r="I281" s="912"/>
      <c r="J281" s="912"/>
      <c r="K281" s="912"/>
      <c r="L281" s="912"/>
      <c r="M281" s="76">
        <f>IF(S281=0,0,0.2)</f>
        <v>0</v>
      </c>
      <c r="N281" s="202"/>
      <c r="O281" s="202"/>
      <c r="P281" s="291" t="str">
        <f>IF(X281=0,"",X281)</f>
        <v/>
      </c>
      <c r="R281" s="579" t="b">
        <v>0</v>
      </c>
      <c r="S281" s="571">
        <f>IF(R281=TRUE,1,0)</f>
        <v>0</v>
      </c>
      <c r="T281" s="581">
        <f>SUMIF($T$277:$AH$277,N281,$T$278:$AH$278)</f>
        <v>0</v>
      </c>
      <c r="U281" s="581">
        <f>SUMIF($S$277:$AH$277,O281,$S$278:$AH$278)</f>
        <v>0</v>
      </c>
      <c r="V281" s="581">
        <f>M281*T281</f>
        <v>0</v>
      </c>
      <c r="W281" s="581">
        <f>M281*U281</f>
        <v>0</v>
      </c>
      <c r="X281" s="581">
        <f>(IF(V281-W281&lt;=0,0,V281-W281))</f>
        <v>0</v>
      </c>
      <c r="Y281" s="14"/>
      <c r="Z281" s="581">
        <f>IF(P298="",0,P298)</f>
        <v>0</v>
      </c>
      <c r="AA281" s="581">
        <f>LARGE($Z$280:$Z$283,2)</f>
        <v>0</v>
      </c>
      <c r="AB281" s="581">
        <f>ROUND(AA281,2)</f>
        <v>0</v>
      </c>
      <c r="AC281" s="544">
        <f>AD280+AB282*(1-AD280)</f>
        <v>0</v>
      </c>
      <c r="AD281" s="581">
        <f>ROUND(AC281,2)</f>
        <v>0</v>
      </c>
      <c r="AE281" s="581">
        <f>IF(P281="",0,P281)</f>
        <v>0</v>
      </c>
      <c r="AF281" s="147">
        <f t="shared" si="40"/>
        <v>0</v>
      </c>
      <c r="AG281" s="147">
        <f>LARGE($AF$280:$AF$292,2)</f>
        <v>0</v>
      </c>
      <c r="AH281" s="544">
        <f t="shared" ref="AH281:AH291" si="42">AI280+AG282*(1-AI280)</f>
        <v>0</v>
      </c>
      <c r="AI281" s="581">
        <f t="shared" si="41"/>
        <v>0</v>
      </c>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c r="EM281" s="10"/>
      <c r="EN281" s="10"/>
      <c r="EO281" s="10"/>
      <c r="EP281" s="10"/>
      <c r="EQ281" s="10"/>
      <c r="ER281" s="10"/>
      <c r="ES281" s="10"/>
      <c r="ET281" s="10"/>
      <c r="EU281" s="10"/>
      <c r="EV281" s="10"/>
      <c r="EW281" s="10"/>
      <c r="EX281" s="10"/>
      <c r="EY281" s="10"/>
      <c r="EZ281" s="10"/>
      <c r="FA281" s="10"/>
      <c r="FB281" s="10"/>
      <c r="FC281" s="10"/>
      <c r="FD281" s="10"/>
      <c r="FE281" s="10"/>
      <c r="FF281" s="10"/>
      <c r="FG281" s="10"/>
      <c r="FH281" s="10"/>
      <c r="FI281" s="10"/>
      <c r="FJ281" s="10"/>
      <c r="FK281" s="10"/>
      <c r="FL281" s="10"/>
      <c r="FM281" s="10"/>
      <c r="FN281" s="10"/>
      <c r="FO281" s="10"/>
      <c r="FP281" s="10"/>
      <c r="FQ281" s="10"/>
      <c r="FR281" s="10"/>
      <c r="FS281" s="10"/>
      <c r="FT281" s="10"/>
      <c r="FU281" s="10"/>
      <c r="FV281" s="10"/>
      <c r="FW281" s="10"/>
      <c r="FX281" s="10"/>
      <c r="FY281" s="10"/>
      <c r="FZ281" s="10"/>
      <c r="GA281" s="10"/>
      <c r="GB281" s="10"/>
      <c r="GC281" s="10"/>
      <c r="GD281" s="10"/>
      <c r="GE281" s="10"/>
      <c r="GF281" s="10"/>
      <c r="GG281" s="10"/>
      <c r="GH281" s="10"/>
      <c r="GI281" s="10"/>
      <c r="GJ281" s="10"/>
      <c r="GK281" s="10"/>
      <c r="GL281" s="10"/>
      <c r="GM281" s="10"/>
      <c r="GN281" s="10"/>
      <c r="GO281" s="10"/>
      <c r="GP281" s="10"/>
      <c r="GQ281" s="10"/>
      <c r="GR281" s="10"/>
      <c r="GS281" s="10"/>
      <c r="GT281" s="10"/>
      <c r="GU281" s="10"/>
      <c r="GV281" s="10"/>
      <c r="GW281" s="10"/>
      <c r="GX281" s="10"/>
      <c r="GY281" s="10"/>
      <c r="GZ281" s="10"/>
      <c r="HA281" s="10"/>
      <c r="HB281" s="10"/>
      <c r="HC281" s="10"/>
      <c r="HD281" s="10"/>
      <c r="HE281" s="10"/>
      <c r="HF281" s="10"/>
      <c r="HG281" s="10"/>
      <c r="HH281" s="10"/>
      <c r="HI281" s="10"/>
      <c r="HJ281" s="10"/>
      <c r="HK281" s="10"/>
      <c r="HL281" s="10"/>
      <c r="HM281" s="10"/>
      <c r="HN281" s="10"/>
      <c r="HO281" s="10"/>
      <c r="HP281" s="10"/>
      <c r="HQ281" s="10"/>
      <c r="HR281" s="10"/>
      <c r="HS281" s="10"/>
      <c r="HT281" s="10"/>
    </row>
    <row r="282" spans="1:228" ht="15" customHeight="1" x14ac:dyDescent="0.2">
      <c r="B282" s="1191"/>
      <c r="C282" s="1191"/>
      <c r="D282" s="1191"/>
      <c r="E282" s="386"/>
      <c r="F282" s="912" t="s">
        <v>1666</v>
      </c>
      <c r="G282" s="912"/>
      <c r="H282" s="912"/>
      <c r="I282" s="912"/>
      <c r="J282" s="912"/>
      <c r="K282" s="912"/>
      <c r="L282" s="912"/>
      <c r="M282" s="76">
        <f>IF(S282=0,0,0.34)</f>
        <v>0</v>
      </c>
      <c r="N282" s="202"/>
      <c r="O282" s="202"/>
      <c r="P282" s="291" t="str">
        <f>IF(X282=0,"",X282)</f>
        <v/>
      </c>
      <c r="R282" s="579" t="b">
        <v>0</v>
      </c>
      <c r="S282" s="571">
        <f>IF(R282=TRUE,1,0)</f>
        <v>0</v>
      </c>
      <c r="T282" s="581">
        <f>SUMIF($T$277:$AH$277,N282,$T$278:$AH$278)</f>
        <v>0</v>
      </c>
      <c r="U282" s="581">
        <f>SUMIF($S$277:$AH$277,O282,$S$278:$AH$278)</f>
        <v>0</v>
      </c>
      <c r="V282" s="581">
        <f>M282*T282</f>
        <v>0</v>
      </c>
      <c r="W282" s="581">
        <f>M282*U282</f>
        <v>0</v>
      </c>
      <c r="X282" s="581">
        <f>(IF(V282-W282&lt;=0,0,V282-W282))</f>
        <v>0</v>
      </c>
      <c r="Y282" s="14"/>
      <c r="Z282" s="581">
        <f>IF(Z296=2,0,P319)</f>
        <v>0</v>
      </c>
      <c r="AA282" s="581">
        <f>LARGE($Z$280:$Z$283,3)</f>
        <v>0</v>
      </c>
      <c r="AB282" s="581">
        <f>ROUND(AA282,2)</f>
        <v>0</v>
      </c>
      <c r="AC282" s="544">
        <f>AD281+AB283*(1-AD281)</f>
        <v>0</v>
      </c>
      <c r="AD282" s="581">
        <f>ROUND(AC282,2)</f>
        <v>0</v>
      </c>
      <c r="AE282" s="581">
        <f>IF(P282="",0,P282)</f>
        <v>0</v>
      </c>
      <c r="AF282" s="147">
        <f t="shared" si="40"/>
        <v>0</v>
      </c>
      <c r="AG282" s="147">
        <f>LARGE($AF$280:$AF$292,3)</f>
        <v>0</v>
      </c>
      <c r="AH282" s="544">
        <f t="shared" si="42"/>
        <v>0</v>
      </c>
      <c r="AI282" s="581">
        <f t="shared" si="41"/>
        <v>0</v>
      </c>
      <c r="AJ282" s="10"/>
      <c r="AK282" s="10">
        <v>1E-4</v>
      </c>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0"/>
      <c r="EI282" s="10"/>
      <c r="EJ282" s="10"/>
      <c r="EK282" s="10"/>
      <c r="EL282" s="10"/>
      <c r="EM282" s="10"/>
      <c r="EN282" s="10"/>
      <c r="EO282" s="10"/>
      <c r="EP282" s="10"/>
      <c r="EQ282" s="10"/>
      <c r="ER282" s="10"/>
      <c r="ES282" s="10"/>
      <c r="ET282" s="10"/>
      <c r="EU282" s="10"/>
      <c r="EV282" s="10"/>
      <c r="EW282" s="10"/>
      <c r="EX282" s="10"/>
      <c r="EY282" s="10"/>
      <c r="EZ282" s="10"/>
      <c r="FA282" s="10"/>
      <c r="FB282" s="10"/>
      <c r="FC282" s="10"/>
      <c r="FD282" s="10"/>
      <c r="FE282" s="10"/>
      <c r="FF282" s="10"/>
      <c r="FG282" s="10"/>
      <c r="FH282" s="10"/>
      <c r="FI282" s="10"/>
      <c r="FJ282" s="10"/>
      <c r="FK282" s="10"/>
      <c r="FL282" s="10"/>
      <c r="FM282" s="10"/>
      <c r="FN282" s="10"/>
      <c r="FO282" s="10"/>
      <c r="FP282" s="10"/>
      <c r="FQ282" s="10"/>
      <c r="FR282" s="10"/>
      <c r="FS282" s="10"/>
      <c r="FT282" s="10"/>
      <c r="FU282" s="10"/>
      <c r="FV282" s="10"/>
      <c r="FW282" s="10"/>
      <c r="FX282" s="10"/>
      <c r="FY282" s="10"/>
      <c r="FZ282" s="10"/>
      <c r="GA282" s="10"/>
      <c r="GB282" s="10"/>
      <c r="GC282" s="10"/>
      <c r="GD282" s="10"/>
      <c r="GE282" s="10"/>
      <c r="GF282" s="10"/>
      <c r="GG282" s="10"/>
      <c r="GH282" s="10"/>
      <c r="GI282" s="10"/>
      <c r="GJ282" s="10"/>
      <c r="GK282" s="10"/>
      <c r="GL282" s="10"/>
      <c r="GM282" s="10"/>
      <c r="GN282" s="10"/>
      <c r="GO282" s="10"/>
      <c r="GP282" s="10"/>
      <c r="GQ282" s="10"/>
      <c r="GR282" s="10"/>
      <c r="GS282" s="10"/>
      <c r="GT282" s="10"/>
      <c r="GU282" s="10"/>
      <c r="GV282" s="10"/>
      <c r="GW282" s="10"/>
      <c r="GX282" s="10"/>
      <c r="GY282" s="10"/>
      <c r="GZ282" s="10"/>
      <c r="HA282" s="10"/>
      <c r="HB282" s="10"/>
      <c r="HC282" s="10"/>
      <c r="HD282" s="10"/>
      <c r="HE282" s="10"/>
      <c r="HF282" s="10"/>
      <c r="HG282" s="10"/>
      <c r="HH282" s="10"/>
      <c r="HI282" s="10"/>
      <c r="HJ282" s="10"/>
      <c r="HK282" s="10"/>
      <c r="HL282" s="10"/>
      <c r="HM282" s="10"/>
      <c r="HN282" s="10"/>
      <c r="HO282" s="10"/>
      <c r="HP282" s="10"/>
      <c r="HQ282" s="10"/>
      <c r="HR282" s="10"/>
      <c r="HS282" s="10"/>
      <c r="HT282" s="10"/>
    </row>
    <row r="283" spans="1:228" ht="15" customHeight="1" x14ac:dyDescent="0.2">
      <c r="B283" s="1191"/>
      <c r="C283" s="1191"/>
      <c r="D283" s="1191"/>
      <c r="E283" s="386"/>
      <c r="F283" s="912" t="s">
        <v>1667</v>
      </c>
      <c r="G283" s="912"/>
      <c r="H283" s="912"/>
      <c r="I283" s="912"/>
      <c r="J283" s="912"/>
      <c r="K283" s="912"/>
      <c r="L283" s="912"/>
      <c r="M283" s="76">
        <f>IF(S283=0,0,0.37)</f>
        <v>0</v>
      </c>
      <c r="N283" s="202"/>
      <c r="O283" s="202"/>
      <c r="P283" s="291" t="str">
        <f>IF(X283=0,"",X283)</f>
        <v/>
      </c>
      <c r="R283" s="579" t="b">
        <v>0</v>
      </c>
      <c r="S283" s="571">
        <f>IF(R283=TRUE,1,0)</f>
        <v>0</v>
      </c>
      <c r="T283" s="581">
        <f>SUMIF($T$277:$AH$277,N283,$T$278:$AH$278)</f>
        <v>0</v>
      </c>
      <c r="U283" s="581">
        <f>SUMIF($S$277:$AH$277,O283,$S$278:$AH$278)</f>
        <v>0</v>
      </c>
      <c r="V283" s="581">
        <f>M283*T283</f>
        <v>0</v>
      </c>
      <c r="W283" s="581">
        <f>M283*U283</f>
        <v>0</v>
      </c>
      <c r="X283" s="581">
        <f>(IF(V283-W283&lt;=0,0,V283-W283))</f>
        <v>0</v>
      </c>
      <c r="Y283" s="14"/>
      <c r="Z283" s="581">
        <f>IF(Z296=2,0,IF(P317="",0,P317))</f>
        <v>0</v>
      </c>
      <c r="AA283" s="581">
        <f>LARGE($Z$280:$Z$283,4)</f>
        <v>0</v>
      </c>
      <c r="AB283" s="581">
        <f>ROUND(AA283,2)</f>
        <v>0</v>
      </c>
      <c r="AC283" s="14"/>
      <c r="AD283" s="14"/>
      <c r="AE283" s="581">
        <f>IF(P283="",0,P283)</f>
        <v>0</v>
      </c>
      <c r="AF283" s="147">
        <f t="shared" si="40"/>
        <v>0</v>
      </c>
      <c r="AG283" s="147">
        <f>LARGE($AF$280:$AF$292,4)</f>
        <v>0</v>
      </c>
      <c r="AH283" s="544">
        <f t="shared" si="42"/>
        <v>0</v>
      </c>
      <c r="AI283" s="581">
        <f t="shared" si="41"/>
        <v>0</v>
      </c>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c r="EM283" s="10"/>
      <c r="EN283" s="10"/>
      <c r="EO283" s="10"/>
      <c r="EP283" s="10"/>
      <c r="EQ283" s="10"/>
      <c r="ER283" s="10"/>
      <c r="ES283" s="10"/>
      <c r="ET283" s="10"/>
      <c r="EU283" s="10"/>
      <c r="EV283" s="10"/>
      <c r="EW283" s="10"/>
      <c r="EX283" s="10"/>
      <c r="EY283" s="10"/>
      <c r="EZ283" s="10"/>
      <c r="FA283" s="10"/>
      <c r="FB283" s="10"/>
      <c r="FC283" s="10"/>
      <c r="FD283" s="10"/>
      <c r="FE283" s="10"/>
      <c r="FF283" s="10"/>
      <c r="FG283" s="10"/>
      <c r="FH283" s="10"/>
      <c r="FI283" s="10"/>
      <c r="FJ283" s="10"/>
      <c r="FK283" s="10"/>
      <c r="FL283" s="10"/>
      <c r="FM283" s="10"/>
      <c r="FN283" s="10"/>
      <c r="FO283" s="10"/>
      <c r="FP283" s="10"/>
      <c r="FQ283" s="10"/>
      <c r="FR283" s="10"/>
      <c r="FS283" s="10"/>
      <c r="FT283" s="10"/>
      <c r="FU283" s="10"/>
      <c r="FV283" s="10"/>
      <c r="FW283" s="10"/>
      <c r="FX283" s="10"/>
      <c r="FY283" s="10"/>
      <c r="FZ283" s="10"/>
      <c r="GA283" s="10"/>
      <c r="GB283" s="10"/>
      <c r="GC283" s="10"/>
      <c r="GD283" s="10"/>
      <c r="GE283" s="10"/>
      <c r="GF283" s="10"/>
      <c r="GG283" s="10"/>
      <c r="GH283" s="10"/>
      <c r="GI283" s="10"/>
      <c r="GJ283" s="10"/>
      <c r="GK283" s="10"/>
      <c r="GL283" s="10"/>
      <c r="GM283" s="10"/>
      <c r="GN283" s="10"/>
      <c r="GO283" s="10"/>
      <c r="GP283" s="10"/>
      <c r="GQ283" s="10"/>
      <c r="GR283" s="10"/>
      <c r="GS283" s="10"/>
      <c r="GT283" s="10"/>
      <c r="GU283" s="10"/>
      <c r="GV283" s="10"/>
      <c r="GW283" s="10"/>
      <c r="GX283" s="10"/>
      <c r="GY283" s="10"/>
      <c r="GZ283" s="10"/>
      <c r="HA283" s="10"/>
      <c r="HB283" s="10"/>
      <c r="HC283" s="10"/>
      <c r="HD283" s="10"/>
      <c r="HE283" s="10"/>
      <c r="HF283" s="10"/>
      <c r="HG283" s="10"/>
      <c r="HH283" s="10"/>
      <c r="HI283" s="10"/>
      <c r="HJ283" s="10"/>
      <c r="HK283" s="10"/>
      <c r="HL283" s="10"/>
      <c r="HM283" s="10"/>
      <c r="HN283" s="10"/>
      <c r="HO283" s="10"/>
      <c r="HP283" s="10"/>
      <c r="HQ283" s="10"/>
      <c r="HR283" s="10"/>
      <c r="HS283" s="10"/>
      <c r="HT283" s="10"/>
    </row>
    <row r="284" spans="1:228" ht="15" customHeight="1" x14ac:dyDescent="0.2">
      <c r="B284" s="1191"/>
      <c r="C284" s="1191"/>
      <c r="D284" s="1191"/>
      <c r="E284" s="386"/>
      <c r="F284" s="912" t="s">
        <v>1668</v>
      </c>
      <c r="G284" s="912"/>
      <c r="H284" s="912"/>
      <c r="I284" s="912"/>
      <c r="J284" s="912"/>
      <c r="K284" s="912"/>
      <c r="L284" s="912"/>
      <c r="M284" s="76">
        <f>IF(S284=0,0,0.2)</f>
        <v>0</v>
      </c>
      <c r="N284" s="202"/>
      <c r="O284" s="202"/>
      <c r="P284" s="291" t="str">
        <f>IF(X284=0,"",X284)</f>
        <v/>
      </c>
      <c r="R284" s="579" t="b">
        <v>0</v>
      </c>
      <c r="S284" s="571">
        <f>IF(R284=TRUE,1,0)</f>
        <v>0</v>
      </c>
      <c r="T284" s="581">
        <f>SUMIF($T$277:$AH$277,N284,$T$278:$AH$278)</f>
        <v>0</v>
      </c>
      <c r="U284" s="581">
        <f>SUMIF($S$277:$AH$277,O284,$S$278:$AH$278)</f>
        <v>0</v>
      </c>
      <c r="V284" s="581">
        <f>M284*T284</f>
        <v>0</v>
      </c>
      <c r="W284" s="581">
        <f>M284*U284</f>
        <v>0</v>
      </c>
      <c r="X284" s="581">
        <f>(IF(V284-W284&lt;=0,0,V284-W284))</f>
        <v>0</v>
      </c>
      <c r="Y284" s="14"/>
      <c r="Z284" s="10"/>
      <c r="AA284" s="14"/>
      <c r="AB284" s="14"/>
      <c r="AC284" s="14"/>
      <c r="AD284" s="14"/>
      <c r="AE284" s="581">
        <f>IF(P284="",0,P284)</f>
        <v>0</v>
      </c>
      <c r="AF284" s="147">
        <f t="shared" si="40"/>
        <v>0</v>
      </c>
      <c r="AG284" s="147">
        <f>LARGE($AF$280:$AF$292,5)</f>
        <v>0</v>
      </c>
      <c r="AH284" s="544">
        <f t="shared" si="42"/>
        <v>0</v>
      </c>
      <c r="AI284" s="581">
        <f t="shared" si="41"/>
        <v>0</v>
      </c>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c r="EM284" s="10"/>
      <c r="EN284" s="10"/>
      <c r="EO284" s="10"/>
      <c r="EP284" s="10"/>
      <c r="EQ284" s="10"/>
      <c r="ER284" s="10"/>
      <c r="ES284" s="10"/>
      <c r="ET284" s="10"/>
      <c r="EU284" s="10"/>
      <c r="EV284" s="10"/>
      <c r="EW284" s="10"/>
      <c r="EX284" s="10"/>
      <c r="EY284" s="10"/>
      <c r="EZ284" s="10"/>
      <c r="FA284" s="10"/>
      <c r="FB284" s="10"/>
      <c r="FC284" s="10"/>
      <c r="FD284" s="10"/>
      <c r="FE284" s="10"/>
      <c r="FF284" s="10"/>
      <c r="FG284" s="10"/>
      <c r="FH284" s="10"/>
      <c r="FI284" s="10"/>
      <c r="FJ284" s="10"/>
      <c r="FK284" s="10"/>
      <c r="FL284" s="10"/>
      <c r="FM284" s="10"/>
      <c r="FN284" s="10"/>
      <c r="FO284" s="10"/>
      <c r="FP284" s="10"/>
      <c r="FQ284" s="10"/>
      <c r="FR284" s="10"/>
      <c r="FS284" s="10"/>
      <c r="FT284" s="10"/>
      <c r="FU284" s="10"/>
      <c r="FV284" s="10"/>
      <c r="FW284" s="10"/>
      <c r="FX284" s="10"/>
      <c r="FY284" s="10"/>
      <c r="FZ284" s="10"/>
      <c r="GA284" s="10"/>
      <c r="GB284" s="10"/>
      <c r="GC284" s="10"/>
      <c r="GD284" s="10"/>
      <c r="GE284" s="10"/>
      <c r="GF284" s="10"/>
      <c r="GG284" s="10"/>
      <c r="GH284" s="10"/>
      <c r="GI284" s="10"/>
      <c r="GJ284" s="10"/>
      <c r="GK284" s="10"/>
      <c r="GL284" s="10"/>
      <c r="GM284" s="10"/>
      <c r="GN284" s="10"/>
      <c r="GO284" s="10"/>
      <c r="GP284" s="10"/>
      <c r="GQ284" s="10"/>
      <c r="GR284" s="10"/>
      <c r="GS284" s="10"/>
      <c r="GT284" s="10"/>
      <c r="GU284" s="10"/>
      <c r="GV284" s="10"/>
      <c r="GW284" s="10"/>
      <c r="GX284" s="10"/>
      <c r="GY284" s="10"/>
      <c r="GZ284" s="10"/>
      <c r="HA284" s="10"/>
      <c r="HB284" s="10"/>
      <c r="HC284" s="10"/>
      <c r="HD284" s="10"/>
      <c r="HE284" s="10"/>
      <c r="HF284" s="10"/>
      <c r="HG284" s="10"/>
      <c r="HH284" s="10"/>
      <c r="HI284" s="10"/>
      <c r="HJ284" s="10"/>
      <c r="HK284" s="10"/>
      <c r="HL284" s="10"/>
      <c r="HM284" s="10"/>
      <c r="HN284" s="10"/>
      <c r="HO284" s="10"/>
      <c r="HP284" s="10"/>
      <c r="HQ284" s="10"/>
      <c r="HR284" s="10"/>
      <c r="HS284" s="10"/>
      <c r="HT284" s="10"/>
    </row>
    <row r="285" spans="1:228" ht="18" customHeight="1" x14ac:dyDescent="0.2">
      <c r="B285" s="948" t="s">
        <v>1669</v>
      </c>
      <c r="C285" s="948"/>
      <c r="D285" s="948"/>
      <c r="E285" s="761"/>
      <c r="F285" s="761"/>
      <c r="G285" s="761"/>
      <c r="H285" s="761"/>
      <c r="I285" s="761"/>
      <c r="J285" s="761"/>
      <c r="K285" s="761"/>
      <c r="L285" s="761"/>
      <c r="M285" s="387"/>
      <c r="N285" s="385"/>
      <c r="O285" s="385"/>
      <c r="P285" s="385"/>
      <c r="R285" s="128"/>
      <c r="S285" s="98"/>
      <c r="T285" s="94"/>
      <c r="U285" s="94"/>
      <c r="V285" s="94"/>
      <c r="W285" s="94"/>
      <c r="X285" s="94"/>
      <c r="Y285" s="14"/>
      <c r="Z285" s="10"/>
      <c r="AA285" s="14"/>
      <c r="AB285" s="14"/>
      <c r="AC285" s="14"/>
      <c r="AD285" s="14"/>
      <c r="AE285" s="581">
        <f>P291</f>
        <v>0</v>
      </c>
      <c r="AF285" s="147">
        <f t="shared" si="40"/>
        <v>0</v>
      </c>
      <c r="AG285" s="147">
        <f>LARGE($AF$280:$AF$292,6)</f>
        <v>0</v>
      </c>
      <c r="AH285" s="544">
        <f t="shared" si="42"/>
        <v>0</v>
      </c>
      <c r="AI285" s="581">
        <f t="shared" si="41"/>
        <v>0</v>
      </c>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c r="EM285" s="10"/>
      <c r="EN285" s="10"/>
      <c r="EO285" s="10"/>
      <c r="EP285" s="10"/>
      <c r="EQ285" s="10"/>
      <c r="ER285" s="10"/>
      <c r="ES285" s="10"/>
      <c r="ET285" s="10"/>
      <c r="EU285" s="10"/>
      <c r="EV285" s="10"/>
      <c r="EW285" s="10"/>
      <c r="EX285" s="10"/>
      <c r="EY285" s="10"/>
      <c r="EZ285" s="10"/>
      <c r="FA285" s="10"/>
      <c r="FB285" s="10"/>
      <c r="FC285" s="10"/>
      <c r="FD285" s="10"/>
      <c r="FE285" s="10"/>
      <c r="FF285" s="10"/>
      <c r="FG285" s="10"/>
      <c r="FH285" s="10"/>
      <c r="FI285" s="10"/>
      <c r="FJ285" s="10"/>
      <c r="FK285" s="10"/>
      <c r="FL285" s="10"/>
      <c r="FM285" s="10"/>
      <c r="FN285" s="10"/>
      <c r="FO285" s="10"/>
      <c r="FP285" s="10"/>
      <c r="FQ285" s="10"/>
      <c r="FR285" s="10"/>
      <c r="FS285" s="10"/>
      <c r="FT285" s="10"/>
      <c r="FU285" s="10"/>
      <c r="FV285" s="10"/>
      <c r="FW285" s="10"/>
      <c r="FX285" s="10"/>
      <c r="FY285" s="10"/>
      <c r="FZ285" s="10"/>
      <c r="GA285" s="10"/>
      <c r="GB285" s="10"/>
      <c r="GC285" s="10"/>
      <c r="GD285" s="10"/>
      <c r="GE285" s="10"/>
      <c r="GF285" s="10"/>
      <c r="GG285" s="10"/>
      <c r="GH285" s="10"/>
      <c r="GI285" s="10"/>
      <c r="GJ285" s="10"/>
      <c r="GK285" s="10"/>
      <c r="GL285" s="10"/>
      <c r="GM285" s="10"/>
      <c r="GN285" s="10"/>
      <c r="GO285" s="10"/>
      <c r="GP285" s="10"/>
      <c r="GQ285" s="10"/>
      <c r="GR285" s="10"/>
      <c r="GS285" s="10"/>
      <c r="GT285" s="10"/>
      <c r="GU285" s="10"/>
      <c r="GV285" s="10"/>
      <c r="GW285" s="10"/>
      <c r="GX285" s="10"/>
      <c r="GY285" s="10"/>
      <c r="GZ285" s="10"/>
      <c r="HA285" s="10"/>
      <c r="HB285" s="10"/>
      <c r="HC285" s="10"/>
      <c r="HD285" s="10"/>
      <c r="HE285" s="10"/>
      <c r="HF285" s="10"/>
      <c r="HG285" s="10"/>
      <c r="HH285" s="10"/>
      <c r="HI285" s="10"/>
      <c r="HJ285" s="10"/>
      <c r="HK285" s="10"/>
      <c r="HL285" s="10"/>
      <c r="HM285" s="10"/>
      <c r="HN285" s="10"/>
      <c r="HO285" s="10"/>
      <c r="HP285" s="10"/>
      <c r="HQ285" s="10"/>
      <c r="HR285" s="10"/>
      <c r="HS285" s="10"/>
      <c r="HT285" s="10"/>
    </row>
    <row r="286" spans="1:228" ht="27" customHeight="1" x14ac:dyDescent="0.2">
      <c r="B286" s="447" t="s">
        <v>1670</v>
      </c>
      <c r="C286" s="463"/>
      <c r="D286" s="448"/>
      <c r="E286" s="263"/>
      <c r="F286" s="1150" t="str">
        <f>IF(Z294=1,"","Sciatic nerve; overall loss at level shown; no averaging")</f>
        <v/>
      </c>
      <c r="G286" s="1150"/>
      <c r="H286" s="1150"/>
      <c r="I286" s="1150"/>
      <c r="J286" s="1150"/>
      <c r="K286" s="1150"/>
      <c r="L286" s="1150"/>
      <c r="M286" s="76">
        <f>IF(OR(F286="",S286=0),0,IF($Z$294=2,0.75,IF($Z$294=3,0.4,0)))</f>
        <v>0</v>
      </c>
      <c r="N286" s="202"/>
      <c r="O286" s="202"/>
      <c r="P286" s="291" t="str">
        <f>IF(X286=0,"",X286)</f>
        <v/>
      </c>
      <c r="R286" s="546" t="b">
        <v>0</v>
      </c>
      <c r="S286" s="571">
        <f>IF(R286=TRUE,1,0)</f>
        <v>0</v>
      </c>
      <c r="T286" s="581">
        <f>SUMIF($T$277:$AH$277,N286,$T$278:$AH$278)</f>
        <v>0</v>
      </c>
      <c r="U286" s="581">
        <f>SUMIF($S$277:$AH$277,O286,$S$278:$AH$278)</f>
        <v>0</v>
      </c>
      <c r="V286" s="581">
        <f>M286*T286</f>
        <v>0</v>
      </c>
      <c r="W286" s="581">
        <f>M286*U286</f>
        <v>0</v>
      </c>
      <c r="X286" s="581">
        <f>(IF(V286-W286&lt;=0,0,V286-W286))</f>
        <v>0</v>
      </c>
      <c r="Y286" s="10"/>
      <c r="Z286" s="10"/>
      <c r="AA286" s="10"/>
      <c r="AB286" s="10"/>
      <c r="AC286" s="10"/>
      <c r="AD286" s="10"/>
      <c r="AE286" s="583">
        <f>IF(P319="",0,IF(Z296=2,P319,0))</f>
        <v>0</v>
      </c>
      <c r="AF286" s="147">
        <f t="shared" si="40"/>
        <v>0</v>
      </c>
      <c r="AG286" s="147">
        <f>LARGE($AF$280:$AF$292,7)</f>
        <v>0</v>
      </c>
      <c r="AH286" s="544">
        <f t="shared" si="42"/>
        <v>0</v>
      </c>
      <c r="AI286" s="581">
        <f t="shared" si="41"/>
        <v>0</v>
      </c>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c r="EM286" s="10"/>
      <c r="EN286" s="10"/>
      <c r="EO286" s="10"/>
      <c r="EP286" s="10"/>
      <c r="EQ286" s="10"/>
      <c r="ER286" s="10"/>
      <c r="ES286" s="10"/>
      <c r="ET286" s="10"/>
      <c r="EU286" s="10"/>
      <c r="EV286" s="10"/>
      <c r="EW286" s="10"/>
      <c r="EX286" s="10"/>
      <c r="EY286" s="10"/>
      <c r="EZ286" s="10"/>
      <c r="FA286" s="10"/>
      <c r="FB286" s="10"/>
      <c r="FC286" s="10"/>
      <c r="FD286" s="10"/>
      <c r="FE286" s="10"/>
      <c r="FF286" s="10"/>
      <c r="FG286" s="10"/>
      <c r="FH286" s="10"/>
      <c r="FI286" s="10"/>
      <c r="FJ286" s="10"/>
      <c r="FK286" s="10"/>
      <c r="FL286" s="10"/>
      <c r="FM286" s="10"/>
      <c r="FN286" s="10"/>
      <c r="FO286" s="10"/>
      <c r="FP286" s="10"/>
      <c r="FQ286" s="10"/>
      <c r="FR286" s="10"/>
      <c r="FS286" s="10"/>
      <c r="FT286" s="10"/>
      <c r="FU286" s="10"/>
      <c r="FV286" s="10"/>
      <c r="FW286" s="10"/>
      <c r="FX286" s="10"/>
      <c r="FY286" s="10"/>
      <c r="FZ286" s="10"/>
      <c r="GA286" s="10"/>
      <c r="GB286" s="10"/>
      <c r="GC286" s="10"/>
      <c r="GD286" s="10"/>
      <c r="GE286" s="10"/>
      <c r="GF286" s="10"/>
      <c r="GG286" s="10"/>
      <c r="GH286" s="10"/>
      <c r="GI286" s="10"/>
      <c r="GJ286" s="10"/>
      <c r="GK286" s="10"/>
      <c r="GL286" s="10"/>
      <c r="GM286" s="10"/>
      <c r="GN286" s="10"/>
      <c r="GO286" s="10"/>
      <c r="GP286" s="10"/>
      <c r="GQ286" s="10"/>
      <c r="GR286" s="10"/>
      <c r="GS286" s="10"/>
      <c r="GT286" s="10"/>
      <c r="GU286" s="10"/>
      <c r="GV286" s="10"/>
      <c r="GW286" s="10"/>
      <c r="GX286" s="10"/>
      <c r="GY286" s="10"/>
      <c r="GZ286" s="10"/>
      <c r="HA286" s="10"/>
      <c r="HB286" s="10"/>
      <c r="HC286" s="10"/>
      <c r="HD286" s="10"/>
      <c r="HE286" s="10"/>
      <c r="HF286" s="10"/>
      <c r="HG286" s="10"/>
      <c r="HH286" s="10"/>
      <c r="HI286" s="10"/>
      <c r="HJ286" s="10"/>
      <c r="HK286" s="10"/>
      <c r="HL286" s="10"/>
      <c r="HM286" s="10"/>
      <c r="HN286" s="10"/>
      <c r="HO286" s="10"/>
      <c r="HP286" s="10"/>
      <c r="HQ286" s="10"/>
      <c r="HR286" s="10"/>
      <c r="HS286" s="10"/>
      <c r="HT286" s="10"/>
    </row>
    <row r="287" spans="1:228" ht="15" customHeight="1" x14ac:dyDescent="0.2">
      <c r="B287" s="461"/>
      <c r="C287" s="39"/>
      <c r="D287" s="464"/>
      <c r="E287" s="462"/>
      <c r="F287" s="791" t="str">
        <f>IF(OR(Z294=1,S286=1),"","Biceps femoris (long head)")</f>
        <v/>
      </c>
      <c r="G287" s="791"/>
      <c r="H287" s="791"/>
      <c r="I287" s="791"/>
      <c r="J287" s="791"/>
      <c r="K287" s="791"/>
      <c r="L287" s="791"/>
      <c r="M287" s="76">
        <f>IF(OR(F287="",S287=0),0,IF($Z$294=2,0.75,IF($Z$294=3,0.4,0)))</f>
        <v>0</v>
      </c>
      <c r="N287" s="202"/>
      <c r="O287" s="202"/>
      <c r="P287" s="291" t="str">
        <f>IF(X287=0,"",X287)</f>
        <v/>
      </c>
      <c r="R287" s="546" t="b">
        <v>0</v>
      </c>
      <c r="S287" s="571">
        <f>IF(R287=TRUE,1,0)</f>
        <v>0</v>
      </c>
      <c r="T287" s="581">
        <f>SUMIF($T$277:$AH$277,N287,$T$278:$AH$278)</f>
        <v>0</v>
      </c>
      <c r="U287" s="581">
        <f>SUMIF($S$277:$AH$277,O287,$S$278:$AH$278)</f>
        <v>0</v>
      </c>
      <c r="V287" s="581">
        <f>M287*T287</f>
        <v>0</v>
      </c>
      <c r="W287" s="581">
        <f>M287*U287</f>
        <v>0</v>
      </c>
      <c r="X287" s="581">
        <f>(IF(V287-W287&lt;=0,0,V287-W287))</f>
        <v>0</v>
      </c>
      <c r="Y287" s="129"/>
      <c r="Z287" s="10"/>
      <c r="AA287" s="129"/>
      <c r="AB287" s="129"/>
      <c r="AC287" s="10"/>
      <c r="AD287" s="129"/>
      <c r="AE287" s="583">
        <f>IF(P317="",0,IF(Z296=2,P317,0))</f>
        <v>0</v>
      </c>
      <c r="AF287" s="147">
        <f t="shared" si="40"/>
        <v>0</v>
      </c>
      <c r="AG287" s="147">
        <f>LARGE($AF$280:$AF$292,8)</f>
        <v>0</v>
      </c>
      <c r="AH287" s="544">
        <f t="shared" si="42"/>
        <v>0</v>
      </c>
      <c r="AI287" s="581">
        <f t="shared" si="41"/>
        <v>0</v>
      </c>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c r="EM287" s="10"/>
      <c r="EN287" s="10"/>
      <c r="EO287" s="10"/>
      <c r="EP287" s="10"/>
      <c r="EQ287" s="10"/>
      <c r="ER287" s="10"/>
      <c r="ES287" s="10"/>
      <c r="ET287" s="10"/>
      <c r="EU287" s="10"/>
      <c r="EV287" s="10"/>
      <c r="EW287" s="10"/>
      <c r="EX287" s="10"/>
      <c r="EY287" s="10"/>
      <c r="EZ287" s="10"/>
      <c r="FA287" s="10"/>
      <c r="FB287" s="10"/>
      <c r="FC287" s="10"/>
      <c r="FD287" s="10"/>
      <c r="FE287" s="10"/>
      <c r="FF287" s="10"/>
      <c r="FG287" s="10"/>
      <c r="FH287" s="10"/>
      <c r="FI287" s="10"/>
      <c r="FJ287" s="10"/>
      <c r="FK287" s="10"/>
      <c r="FL287" s="10"/>
      <c r="FM287" s="10"/>
      <c r="FN287" s="10"/>
      <c r="FO287" s="10"/>
      <c r="FP287" s="10"/>
      <c r="FQ287" s="10"/>
      <c r="FR287" s="10"/>
      <c r="FS287" s="10"/>
      <c r="FT287" s="10"/>
      <c r="FU287" s="10"/>
      <c r="FV287" s="10"/>
      <c r="FW287" s="10"/>
      <c r="FX287" s="10"/>
      <c r="FY287" s="10"/>
      <c r="FZ287" s="10"/>
      <c r="GA287" s="10"/>
      <c r="GB287" s="10"/>
      <c r="GC287" s="10"/>
      <c r="GD287" s="10"/>
      <c r="GE287" s="10"/>
      <c r="GF287" s="10"/>
      <c r="GG287" s="10"/>
      <c r="GH287" s="10"/>
      <c r="GI287" s="10"/>
      <c r="GJ287" s="10"/>
      <c r="GK287" s="10"/>
      <c r="GL287" s="10"/>
      <c r="GM287" s="10"/>
      <c r="GN287" s="10"/>
      <c r="GO287" s="10"/>
      <c r="GP287" s="10"/>
      <c r="GQ287" s="10"/>
      <c r="GR287" s="10"/>
      <c r="GS287" s="10"/>
      <c r="GT287" s="10"/>
      <c r="GU287" s="10"/>
      <c r="GV287" s="10"/>
      <c r="GW287" s="10"/>
      <c r="GX287" s="10"/>
      <c r="GY287" s="10"/>
      <c r="GZ287" s="10"/>
      <c r="HA287" s="10"/>
      <c r="HB287" s="10"/>
      <c r="HC287" s="10"/>
      <c r="HD287" s="10"/>
      <c r="HE287" s="10"/>
      <c r="HF287" s="10"/>
      <c r="HG287" s="10"/>
      <c r="HH287" s="10"/>
      <c r="HI287" s="10"/>
      <c r="HJ287" s="10"/>
      <c r="HK287" s="10"/>
      <c r="HL287" s="10"/>
      <c r="HM287" s="10"/>
      <c r="HN287" s="10"/>
      <c r="HO287" s="10"/>
      <c r="HP287" s="10"/>
      <c r="HQ287" s="10"/>
      <c r="HR287" s="10"/>
      <c r="HS287" s="10"/>
      <c r="HT287" s="10"/>
    </row>
    <row r="288" spans="1:228" ht="15" customHeight="1" x14ac:dyDescent="0.2">
      <c r="B288" s="461"/>
      <c r="C288" s="39"/>
      <c r="D288" s="464"/>
      <c r="E288" s="462"/>
      <c r="F288" s="791" t="str">
        <f>IF(OR(S286=1,Z294=1),"","Biceps femoris (short head)")</f>
        <v/>
      </c>
      <c r="G288" s="791"/>
      <c r="H288" s="791"/>
      <c r="I288" s="791"/>
      <c r="J288" s="791"/>
      <c r="K288" s="791"/>
      <c r="L288" s="791"/>
      <c r="M288" s="76">
        <f>IF(OR(F288="",S288=0),0,IF($Z$294=2,0.75,IF($Z$294=3,0.4,0)))</f>
        <v>0</v>
      </c>
      <c r="N288" s="202"/>
      <c r="O288" s="202"/>
      <c r="P288" s="291" t="str">
        <f>IF(X288=0,"",X288)</f>
        <v/>
      </c>
      <c r="R288" s="546" t="b">
        <v>0</v>
      </c>
      <c r="S288" s="571">
        <f>IF(R288=TRUE,1,0)</f>
        <v>0</v>
      </c>
      <c r="T288" s="581">
        <f>SUMIF($T$277:$AH$277,N288,$T$278:$AH$278)</f>
        <v>0</v>
      </c>
      <c r="U288" s="581">
        <f>SUMIF($S$277:$AH$277,O288,$S$278:$AH$278)</f>
        <v>0</v>
      </c>
      <c r="V288" s="581">
        <f>M288*T288</f>
        <v>0</v>
      </c>
      <c r="W288" s="581">
        <f>M288*U288</f>
        <v>0</v>
      </c>
      <c r="X288" s="581">
        <f>(IF(V288-W288&lt;=0,0,V288-W288))</f>
        <v>0</v>
      </c>
      <c r="Y288" s="98"/>
      <c r="Z288" s="10"/>
      <c r="AA288" s="98"/>
      <c r="AB288" s="98"/>
      <c r="AC288" s="98"/>
      <c r="AD288" s="98"/>
      <c r="AE288" s="544">
        <f>P327</f>
        <v>0</v>
      </c>
      <c r="AF288" s="147">
        <f t="shared" si="40"/>
        <v>0</v>
      </c>
      <c r="AG288" s="147">
        <f>LARGE($AF$280:$AF$292,9)</f>
        <v>0</v>
      </c>
      <c r="AH288" s="544">
        <f t="shared" si="42"/>
        <v>0</v>
      </c>
      <c r="AI288" s="581">
        <f t="shared" si="41"/>
        <v>0</v>
      </c>
      <c r="AJ288" s="10"/>
      <c r="AK288" s="10"/>
      <c r="AL288" s="98"/>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c r="EM288" s="10"/>
      <c r="EN288" s="10"/>
      <c r="EO288" s="10"/>
      <c r="EP288" s="10"/>
      <c r="EQ288" s="10"/>
      <c r="ER288" s="10"/>
      <c r="ES288" s="10"/>
      <c r="ET288" s="10"/>
      <c r="EU288" s="10"/>
      <c r="EV288" s="10"/>
      <c r="EW288" s="10"/>
      <c r="EX288" s="10"/>
      <c r="EY288" s="10"/>
      <c r="EZ288" s="10"/>
      <c r="FA288" s="10"/>
      <c r="FB288" s="10"/>
      <c r="FC288" s="10"/>
      <c r="FD288" s="10"/>
      <c r="FE288" s="10"/>
      <c r="FF288" s="10"/>
      <c r="FG288" s="10"/>
      <c r="FH288" s="10"/>
      <c r="FI288" s="10"/>
      <c r="FJ288" s="10"/>
      <c r="FK288" s="10"/>
      <c r="FL288" s="10"/>
      <c r="FM288" s="10"/>
      <c r="FN288" s="10"/>
      <c r="FO288" s="10"/>
      <c r="FP288" s="10"/>
      <c r="FQ288" s="10"/>
      <c r="FR288" s="10"/>
      <c r="FS288" s="10"/>
      <c r="FT288" s="10"/>
      <c r="FU288" s="10"/>
      <c r="FV288" s="10"/>
      <c r="FW288" s="10"/>
      <c r="FX288" s="10"/>
      <c r="FY288" s="10"/>
      <c r="FZ288" s="10"/>
      <c r="GA288" s="10"/>
      <c r="GB288" s="10"/>
      <c r="GC288" s="10"/>
      <c r="GD288" s="10"/>
      <c r="GE288" s="10"/>
      <c r="GF288" s="10"/>
      <c r="GG288" s="10"/>
      <c r="GH288" s="10"/>
      <c r="GI288" s="10"/>
      <c r="GJ288" s="10"/>
      <c r="GK288" s="10"/>
      <c r="GL288" s="10"/>
      <c r="GM288" s="10"/>
      <c r="GN288" s="10"/>
      <c r="GO288" s="10"/>
      <c r="GP288" s="10"/>
      <c r="GQ288" s="10"/>
      <c r="GR288" s="10"/>
      <c r="GS288" s="10"/>
      <c r="GT288" s="10"/>
      <c r="GU288" s="10"/>
      <c r="GV288" s="10"/>
      <c r="GW288" s="10"/>
      <c r="GX288" s="10"/>
      <c r="GY288" s="10"/>
      <c r="GZ288" s="10"/>
      <c r="HA288" s="10"/>
      <c r="HB288" s="10"/>
      <c r="HC288" s="10"/>
      <c r="HD288" s="10"/>
      <c r="HE288" s="10"/>
      <c r="HF288" s="10"/>
      <c r="HG288" s="10"/>
      <c r="HH288" s="10"/>
      <c r="HI288" s="10"/>
      <c r="HJ288" s="10"/>
      <c r="HK288" s="10"/>
      <c r="HL288" s="10"/>
      <c r="HM288" s="10"/>
      <c r="HN288" s="10"/>
      <c r="HO288" s="10"/>
      <c r="HP288" s="10"/>
      <c r="HQ288" s="10"/>
      <c r="HR288" s="10"/>
      <c r="HS288" s="10"/>
      <c r="HT288" s="10"/>
    </row>
    <row r="289" spans="2:228" ht="15" customHeight="1" x14ac:dyDescent="0.2">
      <c r="B289" s="461"/>
      <c r="C289" s="39"/>
      <c r="D289" s="464"/>
      <c r="E289" s="462"/>
      <c r="F289" s="791" t="str">
        <f>IF(OR(Z294=1,S286=1),"","Semitendinosus")</f>
        <v/>
      </c>
      <c r="G289" s="791"/>
      <c r="H289" s="791"/>
      <c r="I289" s="791"/>
      <c r="J289" s="791"/>
      <c r="K289" s="791"/>
      <c r="L289" s="791"/>
      <c r="M289" s="76">
        <f>IF(OR(F289="",S289=0),0,IF($Z$294=2,0.75,IF($Z$294=3,0.4,0)))</f>
        <v>0</v>
      </c>
      <c r="N289" s="202"/>
      <c r="O289" s="202"/>
      <c r="P289" s="291" t="str">
        <f>IF(X289=0,"",X289)</f>
        <v/>
      </c>
      <c r="R289" s="546" t="b">
        <v>0</v>
      </c>
      <c r="S289" s="571">
        <f>IF(R289=TRUE,1,0)</f>
        <v>0</v>
      </c>
      <c r="T289" s="581">
        <f>SUMIF($T$277:$AH$277,N289,$T$278:$AH$278)</f>
        <v>0</v>
      </c>
      <c r="U289" s="581">
        <f>SUMIF($S$277:$AH$277,O289,$S$278:$AH$278)</f>
        <v>0</v>
      </c>
      <c r="V289" s="581">
        <f>M289*T289</f>
        <v>0</v>
      </c>
      <c r="W289" s="581">
        <f>M289*U289</f>
        <v>0</v>
      </c>
      <c r="X289" s="581">
        <f>(IF(V289-W289&lt;=0,0,V289-W289))</f>
        <v>0</v>
      </c>
      <c r="Y289" s="14"/>
      <c r="Z289" s="10"/>
      <c r="AA289" s="14"/>
      <c r="AB289" s="14"/>
      <c r="AC289" s="14"/>
      <c r="AD289" s="14"/>
      <c r="AE289" s="581">
        <f>P328</f>
        <v>0</v>
      </c>
      <c r="AF289" s="147">
        <f t="shared" si="40"/>
        <v>0</v>
      </c>
      <c r="AG289" s="147">
        <f>LARGE($AF$280:$AF$292,10)</f>
        <v>0</v>
      </c>
      <c r="AH289" s="544">
        <f t="shared" si="42"/>
        <v>0</v>
      </c>
      <c r="AI289" s="581">
        <f t="shared" si="41"/>
        <v>0</v>
      </c>
      <c r="AJ289" s="14"/>
      <c r="AK289" s="14"/>
      <c r="AL289" s="14"/>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c r="EM289" s="10"/>
      <c r="EN289" s="10"/>
      <c r="EO289" s="10"/>
      <c r="EP289" s="10"/>
      <c r="EQ289" s="10"/>
      <c r="ER289" s="10"/>
      <c r="ES289" s="10"/>
      <c r="ET289" s="10"/>
      <c r="EU289" s="10"/>
      <c r="EV289" s="10"/>
      <c r="EW289" s="10"/>
      <c r="EX289" s="10"/>
      <c r="EY289" s="10"/>
      <c r="EZ289" s="10"/>
      <c r="FA289" s="10"/>
      <c r="FB289" s="10"/>
      <c r="FC289" s="10"/>
      <c r="FD289" s="10"/>
      <c r="FE289" s="10"/>
      <c r="FF289" s="10"/>
      <c r="FG289" s="10"/>
      <c r="FH289" s="10"/>
      <c r="FI289" s="10"/>
      <c r="FJ289" s="10"/>
      <c r="FK289" s="10"/>
      <c r="FL289" s="10"/>
      <c r="FM289" s="10"/>
      <c r="FN289" s="10"/>
      <c r="FO289" s="10"/>
      <c r="FP289" s="10"/>
      <c r="FQ289" s="10"/>
      <c r="FR289" s="10"/>
      <c r="FS289" s="10"/>
      <c r="FT289" s="10"/>
      <c r="FU289" s="10"/>
      <c r="FV289" s="10"/>
      <c r="FW289" s="10"/>
      <c r="FX289" s="10"/>
      <c r="FY289" s="10"/>
      <c r="FZ289" s="10"/>
      <c r="GA289" s="10"/>
      <c r="GB289" s="10"/>
      <c r="GC289" s="10"/>
      <c r="GD289" s="10"/>
      <c r="GE289" s="10"/>
      <c r="GF289" s="10"/>
      <c r="GG289" s="10"/>
      <c r="GH289" s="10"/>
      <c r="GI289" s="10"/>
      <c r="GJ289" s="10"/>
      <c r="GK289" s="10"/>
      <c r="GL289" s="10"/>
      <c r="GM289" s="10"/>
      <c r="GN289" s="10"/>
      <c r="GO289" s="10"/>
      <c r="GP289" s="10"/>
      <c r="GQ289" s="10"/>
      <c r="GR289" s="10"/>
      <c r="GS289" s="10"/>
      <c r="GT289" s="10"/>
      <c r="GU289" s="10"/>
      <c r="GV289" s="10"/>
      <c r="GW289" s="10"/>
      <c r="GX289" s="10"/>
      <c r="GY289" s="10"/>
      <c r="GZ289" s="10"/>
      <c r="HA289" s="10"/>
      <c r="HB289" s="10"/>
      <c r="HC289" s="10"/>
      <c r="HD289" s="10"/>
      <c r="HE289" s="10"/>
      <c r="HF289" s="10"/>
      <c r="HG289" s="10"/>
      <c r="HH289" s="10"/>
      <c r="HI289" s="10"/>
      <c r="HJ289" s="10"/>
      <c r="HK289" s="10"/>
      <c r="HL289" s="10"/>
      <c r="HM289" s="10"/>
      <c r="HN289" s="10"/>
      <c r="HO289" s="10"/>
      <c r="HP289" s="10"/>
      <c r="HQ289" s="10"/>
      <c r="HR289" s="10"/>
      <c r="HS289" s="10"/>
      <c r="HT289" s="10"/>
    </row>
    <row r="290" spans="2:228" ht="15" customHeight="1" x14ac:dyDescent="0.2">
      <c r="B290" s="282"/>
      <c r="C290" s="182"/>
      <c r="D290" s="449"/>
      <c r="E290" s="462"/>
      <c r="F290" s="791" t="str">
        <f>IF(OR(Z294=1,S286=1),"","Semimembranosus")</f>
        <v/>
      </c>
      <c r="G290" s="791"/>
      <c r="H290" s="791"/>
      <c r="I290" s="791"/>
      <c r="J290" s="791"/>
      <c r="K290" s="791"/>
      <c r="L290" s="791"/>
      <c r="M290" s="76">
        <f>IF(OR(F290="",S290=0),0,IF($Z$294=2,0.75,IF($Z$294=3,0.4,0)))</f>
        <v>0</v>
      </c>
      <c r="N290" s="202"/>
      <c r="O290" s="202"/>
      <c r="P290" s="291" t="str">
        <f>IF(X290=0,"",X290)</f>
        <v/>
      </c>
      <c r="R290" s="546" t="b">
        <v>0</v>
      </c>
      <c r="S290" s="571">
        <f>IF(R290=TRUE,1,0)</f>
        <v>0</v>
      </c>
      <c r="T290" s="581">
        <f>SUMIF($T$277:$AH$277,N290,$T$278:$AH$278)</f>
        <v>0</v>
      </c>
      <c r="U290" s="581">
        <f>SUMIF($S$277:$AH$277,O290,$S$278:$AH$278)</f>
        <v>0</v>
      </c>
      <c r="V290" s="581">
        <f>M290*T290</f>
        <v>0</v>
      </c>
      <c r="W290" s="581">
        <f>M290*U290</f>
        <v>0</v>
      </c>
      <c r="X290" s="581">
        <f>(IF(V290-W290&lt;=0,0,V290-W290))</f>
        <v>0</v>
      </c>
      <c r="Y290" s="14"/>
      <c r="Z290" s="14"/>
      <c r="AA290" s="14"/>
      <c r="AB290" s="14"/>
      <c r="AC290" s="14"/>
      <c r="AD290" s="14"/>
      <c r="AE290" s="581">
        <f>P329</f>
        <v>0</v>
      </c>
      <c r="AF290" s="147">
        <f t="shared" si="40"/>
        <v>0</v>
      </c>
      <c r="AG290" s="147">
        <f>LARGE($AF$280:$AF$292,11)</f>
        <v>0</v>
      </c>
      <c r="AH290" s="544">
        <f t="shared" si="42"/>
        <v>0</v>
      </c>
      <c r="AI290" s="581">
        <f t="shared" si="41"/>
        <v>0</v>
      </c>
      <c r="AJ290" s="14"/>
      <c r="AK290" s="10"/>
      <c r="AL290" s="14"/>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c r="EM290" s="10"/>
      <c r="EN290" s="10"/>
      <c r="EO290" s="10"/>
      <c r="EP290" s="10"/>
      <c r="EQ290" s="10"/>
      <c r="ER290" s="10"/>
      <c r="ES290" s="10"/>
      <c r="ET290" s="10"/>
      <c r="EU290" s="10"/>
      <c r="EV290" s="10"/>
      <c r="EW290" s="10"/>
      <c r="EX290" s="10"/>
      <c r="EY290" s="10"/>
      <c r="EZ290" s="10"/>
      <c r="FA290" s="10"/>
      <c r="FB290" s="10"/>
      <c r="FC290" s="10"/>
      <c r="FD290" s="10"/>
      <c r="FE290" s="10"/>
      <c r="FF290" s="10"/>
      <c r="FG290" s="10"/>
      <c r="FH290" s="10"/>
      <c r="FI290" s="10"/>
      <c r="FJ290" s="10"/>
      <c r="FK290" s="10"/>
      <c r="FL290" s="10"/>
      <c r="FM290" s="10"/>
      <c r="FN290" s="10"/>
      <c r="FO290" s="10"/>
      <c r="FP290" s="10"/>
      <c r="FQ290" s="10"/>
      <c r="FR290" s="10"/>
      <c r="FS290" s="10"/>
      <c r="FT290" s="10"/>
      <c r="FU290" s="10"/>
      <c r="FV290" s="10"/>
      <c r="FW290" s="10"/>
      <c r="FX290" s="10"/>
      <c r="FY290" s="10"/>
      <c r="FZ290" s="10"/>
      <c r="GA290" s="10"/>
      <c r="GB290" s="10"/>
      <c r="GC290" s="10"/>
      <c r="GD290" s="10"/>
      <c r="GE290" s="10"/>
      <c r="GF290" s="10"/>
      <c r="GG290" s="10"/>
      <c r="GH290" s="10"/>
      <c r="GI290" s="10"/>
      <c r="GJ290" s="10"/>
      <c r="GK290" s="10"/>
      <c r="GL290" s="10"/>
      <c r="GM290" s="10"/>
      <c r="GN290" s="10"/>
      <c r="GO290" s="10"/>
      <c r="GP290" s="10"/>
      <c r="GQ290" s="10"/>
      <c r="GR290" s="10"/>
      <c r="GS290" s="10"/>
      <c r="GT290" s="10"/>
      <c r="GU290" s="10"/>
      <c r="GV290" s="10"/>
      <c r="GW290" s="10"/>
      <c r="GX290" s="10"/>
      <c r="GY290" s="10"/>
      <c r="GZ290" s="10"/>
      <c r="HA290" s="10"/>
      <c r="HB290" s="10"/>
      <c r="HC290" s="10"/>
      <c r="HD290" s="10"/>
      <c r="HE290" s="10"/>
      <c r="HF290" s="10"/>
      <c r="HG290" s="10"/>
      <c r="HH290" s="10"/>
      <c r="HI290" s="10"/>
      <c r="HJ290" s="10"/>
      <c r="HK290" s="10"/>
      <c r="HL290" s="10"/>
      <c r="HM290" s="10"/>
      <c r="HN290" s="10"/>
      <c r="HO290" s="10"/>
      <c r="HP290" s="10"/>
      <c r="HQ290" s="10"/>
      <c r="HR290" s="10"/>
      <c r="HS290" s="10"/>
      <c r="HT290" s="10"/>
    </row>
    <row r="291" spans="2:228" ht="15" customHeight="1" x14ac:dyDescent="0.25">
      <c r="B291" s="1190"/>
      <c r="C291" s="1190"/>
      <c r="D291" s="1190"/>
      <c r="E291" s="1191"/>
      <c r="F291" s="1191"/>
      <c r="G291" s="1191"/>
      <c r="H291" s="1191"/>
      <c r="I291" s="1191"/>
      <c r="J291" s="1191"/>
      <c r="K291" s="1191"/>
      <c r="L291" s="1191"/>
      <c r="M291" s="388"/>
      <c r="N291" s="1164" t="str">
        <f>IF(M286&gt;0,"Total:",IF(AND(M286=0,P291&gt;0),"Average:",""))</f>
        <v/>
      </c>
      <c r="O291" s="1164"/>
      <c r="P291" s="190">
        <f>IF(AND(P286="",P287="",P288="",P289="",P290=""),0,AVERAGE(P286:P290))</f>
        <v>0</v>
      </c>
      <c r="R291" s="10"/>
      <c r="S291" s="98"/>
      <c r="T291" s="94"/>
      <c r="U291" s="94"/>
      <c r="V291" s="96"/>
      <c r="W291" s="96"/>
      <c r="X291" s="94"/>
      <c r="Y291" s="14"/>
      <c r="Z291" s="14"/>
      <c r="AA291" s="14"/>
      <c r="AB291" s="14"/>
      <c r="AC291" s="14"/>
      <c r="AD291" s="14"/>
      <c r="AE291" s="581">
        <f>P334</f>
        <v>0</v>
      </c>
      <c r="AF291" s="147">
        <f t="shared" si="40"/>
        <v>0</v>
      </c>
      <c r="AG291" s="147">
        <f>LARGE($AF$280:$AF$292,12)</f>
        <v>0</v>
      </c>
      <c r="AH291" s="544">
        <f t="shared" si="42"/>
        <v>0</v>
      </c>
      <c r="AI291" s="581">
        <f t="shared" si="41"/>
        <v>0</v>
      </c>
      <c r="AJ291" s="14"/>
      <c r="AK291" s="10"/>
      <c r="AL291" s="14"/>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c r="EM291" s="10"/>
      <c r="EN291" s="10"/>
      <c r="EO291" s="10"/>
      <c r="EP291" s="10"/>
      <c r="EQ291" s="10"/>
      <c r="ER291" s="10"/>
      <c r="ES291" s="10"/>
      <c r="ET291" s="10"/>
      <c r="EU291" s="10"/>
      <c r="EV291" s="10"/>
      <c r="EW291" s="10"/>
      <c r="EX291" s="10"/>
      <c r="EY291" s="10"/>
      <c r="EZ291" s="10"/>
      <c r="FA291" s="10"/>
      <c r="FB291" s="10"/>
      <c r="FC291" s="10"/>
      <c r="FD291" s="10"/>
      <c r="FE291" s="10"/>
      <c r="FF291" s="10"/>
      <c r="FG291" s="10"/>
      <c r="FH291" s="10"/>
      <c r="FI291" s="10"/>
      <c r="FJ291" s="10"/>
      <c r="FK291" s="10"/>
      <c r="FL291" s="10"/>
      <c r="FM291" s="10"/>
      <c r="FN291" s="10"/>
      <c r="FO291" s="10"/>
      <c r="FP291" s="10"/>
      <c r="FQ291" s="10"/>
      <c r="FR291" s="10"/>
      <c r="FS291" s="10"/>
      <c r="FT291" s="10"/>
      <c r="FU291" s="10"/>
      <c r="FV291" s="10"/>
      <c r="FW291" s="10"/>
      <c r="FX291" s="10"/>
      <c r="FY291" s="10"/>
      <c r="FZ291" s="10"/>
      <c r="GA291" s="10"/>
      <c r="GB291" s="10"/>
      <c r="GC291" s="10"/>
      <c r="GD291" s="10"/>
      <c r="GE291" s="10"/>
      <c r="GF291" s="10"/>
      <c r="GG291" s="10"/>
      <c r="GH291" s="10"/>
      <c r="GI291" s="10"/>
      <c r="GJ291" s="10"/>
      <c r="GK291" s="10"/>
      <c r="GL291" s="10"/>
      <c r="GM291" s="10"/>
      <c r="GN291" s="10"/>
      <c r="GO291" s="10"/>
      <c r="GP291" s="10"/>
      <c r="GQ291" s="10"/>
      <c r="GR291" s="10"/>
      <c r="GS291" s="10"/>
      <c r="GT291" s="10"/>
      <c r="GU291" s="10"/>
      <c r="GV291" s="10"/>
      <c r="GW291" s="10"/>
      <c r="GX291" s="10"/>
      <c r="GY291" s="10"/>
      <c r="GZ291" s="10"/>
      <c r="HA291" s="10"/>
      <c r="HB291" s="10"/>
      <c r="HC291" s="10"/>
      <c r="HD291" s="10"/>
      <c r="HE291" s="10"/>
      <c r="HF291" s="10"/>
      <c r="HG291" s="10"/>
      <c r="HH291" s="10"/>
      <c r="HI291" s="10"/>
      <c r="HJ291" s="10"/>
      <c r="HK291" s="10"/>
      <c r="HL291" s="10"/>
      <c r="HM291" s="10"/>
      <c r="HN291" s="10"/>
      <c r="HO291" s="10"/>
      <c r="HP291" s="10"/>
      <c r="HQ291" s="10"/>
      <c r="HR291" s="10"/>
      <c r="HS291" s="10"/>
      <c r="HT291" s="10"/>
    </row>
    <row r="292" spans="2:228" ht="27" customHeight="1" x14ac:dyDescent="0.2">
      <c r="B292" s="761" t="s">
        <v>2186</v>
      </c>
      <c r="C292" s="761"/>
      <c r="D292" s="761"/>
      <c r="E292" s="368"/>
      <c r="F292" s="1330" t="str">
        <f>IF(OR(Z295=1,Z295=7),"","Peroneal - overall loss at level shown")</f>
        <v/>
      </c>
      <c r="G292" s="1330"/>
      <c r="H292" s="1330"/>
      <c r="I292" s="1330"/>
      <c r="J292" s="1330"/>
      <c r="K292" s="1330"/>
      <c r="L292" s="1330"/>
      <c r="M292" s="78">
        <f t="shared" ref="M292:M297" si="43">IF(OR(F292="",S292=0),0,IF($Z$295=2,0.39,IF(OR($Z$295=3,$Z$295=4),0.28,IF(OR($Z$295=5,$Z$295=6),0.06,0))))</f>
        <v>0</v>
      </c>
      <c r="N292" s="394"/>
      <c r="O292" s="394"/>
      <c r="P292" s="298" t="str">
        <f t="shared" ref="P292:P297" si="44">IF(X292=0,"",X292)</f>
        <v/>
      </c>
      <c r="R292" s="546" t="b">
        <v>0</v>
      </c>
      <c r="S292" s="571">
        <f t="shared" ref="S292:S297" si="45">IF(R292=TRUE,1,0)</f>
        <v>0</v>
      </c>
      <c r="T292" s="581">
        <f t="shared" ref="T292:T297" si="46">SUMIF($T$277:$AH$277,N292,$T$278:$AH$278)</f>
        <v>0</v>
      </c>
      <c r="U292" s="581">
        <f t="shared" ref="U292:U297" si="47">SUMIF($S$277:$AH$277,O292,$S$278:$AH$278)</f>
        <v>0</v>
      </c>
      <c r="V292" s="581">
        <f t="shared" ref="V292:V297" si="48">M292*T292</f>
        <v>0</v>
      </c>
      <c r="W292" s="581">
        <f t="shared" ref="W292:W297" si="49">M292*U292</f>
        <v>0</v>
      </c>
      <c r="X292" s="581">
        <f t="shared" ref="X292:X297" si="50">(IF(V292-W292&lt;=0,0,V292-W292))</f>
        <v>0</v>
      </c>
      <c r="Y292" s="14"/>
      <c r="Z292" s="14"/>
      <c r="AA292" s="14"/>
      <c r="AB292" s="14"/>
      <c r="AC292" s="14"/>
      <c r="AD292" s="14"/>
      <c r="AE292" s="581">
        <f>P335</f>
        <v>0</v>
      </c>
      <c r="AF292" s="147">
        <f t="shared" si="40"/>
        <v>0</v>
      </c>
      <c r="AG292" s="147">
        <f>LARGE($AF$280:$AF$292,13)</f>
        <v>0</v>
      </c>
      <c r="AH292" s="10"/>
      <c r="AI292" s="10"/>
      <c r="AJ292" s="14"/>
      <c r="AK292" s="10"/>
      <c r="AL292" s="14"/>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c r="EM292" s="10"/>
      <c r="EN292" s="10"/>
      <c r="EO292" s="10"/>
      <c r="EP292" s="10"/>
      <c r="EQ292" s="10"/>
      <c r="ER292" s="10"/>
      <c r="ES292" s="10"/>
      <c r="ET292" s="10"/>
      <c r="EU292" s="10"/>
      <c r="EV292" s="10"/>
      <c r="EW292" s="10"/>
      <c r="EX292" s="10"/>
      <c r="EY292" s="10"/>
      <c r="EZ292" s="10"/>
      <c r="FA292" s="10"/>
      <c r="FB292" s="10"/>
      <c r="FC292" s="10"/>
      <c r="FD292" s="10"/>
      <c r="FE292" s="10"/>
      <c r="FF292" s="10"/>
      <c r="FG292" s="10"/>
      <c r="FH292" s="10"/>
      <c r="FI292" s="10"/>
      <c r="FJ292" s="10"/>
      <c r="FK292" s="10"/>
      <c r="FL292" s="10"/>
      <c r="FM292" s="10"/>
      <c r="FN292" s="10"/>
      <c r="FO292" s="10"/>
      <c r="FP292" s="10"/>
      <c r="FQ292" s="10"/>
      <c r="FR292" s="10"/>
      <c r="FS292" s="10"/>
      <c r="FT292" s="10"/>
      <c r="FU292" s="10"/>
      <c r="FV292" s="10"/>
      <c r="FW292" s="10"/>
      <c r="FX292" s="10"/>
      <c r="FY292" s="10"/>
      <c r="FZ292" s="10"/>
      <c r="GA292" s="10"/>
      <c r="GB292" s="10"/>
      <c r="GC292" s="10"/>
      <c r="GD292" s="10"/>
      <c r="GE292" s="10"/>
      <c r="GF292" s="10"/>
      <c r="GG292" s="10"/>
      <c r="GH292" s="10"/>
      <c r="GI292" s="10"/>
      <c r="GJ292" s="10"/>
      <c r="GK292" s="10"/>
      <c r="GL292" s="10"/>
      <c r="GM292" s="10"/>
      <c r="GN292" s="10"/>
      <c r="GO292" s="10"/>
      <c r="GP292" s="10"/>
      <c r="GQ292" s="10"/>
      <c r="GR292" s="10"/>
      <c r="GS292" s="10"/>
      <c r="GT292" s="10"/>
      <c r="GU292" s="10"/>
      <c r="GV292" s="10"/>
      <c r="GW292" s="10"/>
      <c r="GX292" s="10"/>
      <c r="GY292" s="10"/>
      <c r="GZ292" s="10"/>
      <c r="HA292" s="10"/>
      <c r="HB292" s="10"/>
      <c r="HC292" s="10"/>
      <c r="HD292" s="10"/>
      <c r="HE292" s="10"/>
      <c r="HF292" s="10"/>
      <c r="HG292" s="10"/>
      <c r="HH292" s="10"/>
      <c r="HI292" s="10"/>
      <c r="HJ292" s="10"/>
      <c r="HK292" s="10"/>
      <c r="HL292" s="10"/>
      <c r="HM292" s="10"/>
      <c r="HN292" s="10"/>
      <c r="HO292" s="10"/>
      <c r="HP292" s="10"/>
      <c r="HQ292" s="10"/>
      <c r="HR292" s="10"/>
      <c r="HS292" s="10"/>
      <c r="HT292" s="10"/>
    </row>
    <row r="293" spans="2:228" ht="15" customHeight="1" x14ac:dyDescent="0.2">
      <c r="B293" s="761"/>
      <c r="C293" s="761"/>
      <c r="D293" s="761"/>
      <c r="E293" s="367"/>
      <c r="F293" s="1186" t="str">
        <f>IF(OR(Z295=1,Z295=7,S292=1),"","Tibialis anterior")</f>
        <v/>
      </c>
      <c r="G293" s="1186"/>
      <c r="H293" s="1186"/>
      <c r="I293" s="1186"/>
      <c r="J293" s="1186"/>
      <c r="K293" s="1186"/>
      <c r="L293" s="1186"/>
      <c r="M293" s="76">
        <f t="shared" si="43"/>
        <v>0</v>
      </c>
      <c r="N293" s="202"/>
      <c r="O293" s="202"/>
      <c r="P293" s="298" t="str">
        <f t="shared" si="44"/>
        <v/>
      </c>
      <c r="R293" s="546" t="b">
        <v>0</v>
      </c>
      <c r="S293" s="571">
        <f t="shared" si="45"/>
        <v>0</v>
      </c>
      <c r="T293" s="581">
        <f t="shared" si="46"/>
        <v>0</v>
      </c>
      <c r="U293" s="581">
        <f t="shared" si="47"/>
        <v>0</v>
      </c>
      <c r="V293" s="581">
        <f t="shared" si="48"/>
        <v>0</v>
      </c>
      <c r="W293" s="581">
        <f t="shared" si="49"/>
        <v>0</v>
      </c>
      <c r="X293" s="581">
        <f t="shared" si="50"/>
        <v>0</v>
      </c>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c r="EM293" s="10"/>
      <c r="EN293" s="10"/>
      <c r="EO293" s="10"/>
      <c r="EP293" s="10"/>
      <c r="EQ293" s="10"/>
      <c r="ER293" s="10"/>
      <c r="ES293" s="10"/>
      <c r="ET293" s="10"/>
      <c r="EU293" s="10"/>
      <c r="EV293" s="10"/>
      <c r="EW293" s="10"/>
      <c r="EX293" s="10"/>
      <c r="EY293" s="10"/>
      <c r="EZ293" s="10"/>
      <c r="FA293" s="10"/>
      <c r="FB293" s="10"/>
      <c r="FC293" s="10"/>
      <c r="FD293" s="10"/>
      <c r="FE293" s="10"/>
      <c r="FF293" s="10"/>
      <c r="FG293" s="10"/>
      <c r="FH293" s="10"/>
      <c r="FI293" s="10"/>
      <c r="FJ293" s="10"/>
      <c r="FK293" s="10"/>
      <c r="FL293" s="10"/>
      <c r="FM293" s="10"/>
      <c r="FN293" s="10"/>
      <c r="FO293" s="10"/>
      <c r="FP293" s="10"/>
      <c r="FQ293" s="10"/>
      <c r="FR293" s="10"/>
      <c r="FS293" s="10"/>
      <c r="FT293" s="10"/>
      <c r="FU293" s="10"/>
      <c r="FV293" s="10"/>
      <c r="FW293" s="10"/>
      <c r="FX293" s="10"/>
      <c r="FY293" s="10"/>
      <c r="FZ293" s="10"/>
      <c r="GA293" s="10"/>
      <c r="GB293" s="10"/>
      <c r="GC293" s="10"/>
      <c r="GD293" s="10"/>
      <c r="GE293" s="10"/>
      <c r="GF293" s="10"/>
      <c r="GG293" s="10"/>
      <c r="GH293" s="10"/>
      <c r="GI293" s="10"/>
      <c r="GJ293" s="10"/>
      <c r="GK293" s="10"/>
      <c r="GL293" s="10"/>
      <c r="GM293" s="10"/>
      <c r="GN293" s="10"/>
      <c r="GO293" s="10"/>
      <c r="GP293" s="10"/>
      <c r="GQ293" s="10"/>
      <c r="GR293" s="10"/>
      <c r="GS293" s="10"/>
      <c r="GT293" s="10"/>
      <c r="GU293" s="10"/>
      <c r="GV293" s="10"/>
      <c r="GW293" s="10"/>
      <c r="GX293" s="10"/>
      <c r="GY293" s="10"/>
      <c r="GZ293" s="10"/>
      <c r="HA293" s="10"/>
      <c r="HB293" s="10"/>
      <c r="HC293" s="10"/>
      <c r="HD293" s="10"/>
      <c r="HE293" s="10"/>
      <c r="HF293" s="10"/>
      <c r="HG293" s="10"/>
      <c r="HH293" s="10"/>
      <c r="HI293" s="10"/>
      <c r="HJ293" s="10"/>
      <c r="HK293" s="10"/>
      <c r="HL293" s="10"/>
      <c r="HM293" s="10"/>
      <c r="HN293" s="10"/>
      <c r="HO293" s="10"/>
      <c r="HP293" s="10"/>
      <c r="HQ293" s="10"/>
      <c r="HR293" s="10"/>
      <c r="HS293" s="10"/>
      <c r="HT293" s="10"/>
    </row>
    <row r="294" spans="2:228" ht="15" customHeight="1" x14ac:dyDescent="0.2">
      <c r="B294" s="761"/>
      <c r="C294" s="761"/>
      <c r="D294" s="761"/>
      <c r="E294" s="367"/>
      <c r="F294" s="791" t="str">
        <f>IF(OR(Z295=1,Z295=7,S292=1),"","Extensor hallucis longus")</f>
        <v/>
      </c>
      <c r="G294" s="791"/>
      <c r="H294" s="791"/>
      <c r="I294" s="791"/>
      <c r="J294" s="791"/>
      <c r="K294" s="791"/>
      <c r="L294" s="791"/>
      <c r="M294" s="76">
        <f t="shared" si="43"/>
        <v>0</v>
      </c>
      <c r="N294" s="202"/>
      <c r="O294" s="202"/>
      <c r="P294" s="298" t="str">
        <f t="shared" si="44"/>
        <v/>
      </c>
      <c r="R294" s="579" t="b">
        <v>0</v>
      </c>
      <c r="S294" s="571">
        <f t="shared" si="45"/>
        <v>0</v>
      </c>
      <c r="T294" s="581">
        <f t="shared" si="46"/>
        <v>0</v>
      </c>
      <c r="U294" s="581">
        <f t="shared" si="47"/>
        <v>0</v>
      </c>
      <c r="V294" s="581">
        <f t="shared" si="48"/>
        <v>0</v>
      </c>
      <c r="W294" s="581">
        <f t="shared" si="49"/>
        <v>0</v>
      </c>
      <c r="X294" s="581">
        <f t="shared" si="50"/>
        <v>0</v>
      </c>
      <c r="Y294" s="14"/>
      <c r="Z294" s="546">
        <v>1</v>
      </c>
      <c r="AA294" s="791" t="s">
        <v>795</v>
      </c>
      <c r="AB294" s="791"/>
      <c r="AC294" s="14"/>
      <c r="AD294" s="14"/>
      <c r="AE294" s="14"/>
      <c r="AF294" s="14"/>
      <c r="AG294" s="14"/>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c r="EM294" s="10"/>
      <c r="EN294" s="10"/>
      <c r="EO294" s="10"/>
      <c r="EP294" s="10"/>
      <c r="EQ294" s="10"/>
      <c r="ER294" s="10"/>
      <c r="ES294" s="10"/>
      <c r="ET294" s="10"/>
      <c r="EU294" s="10"/>
      <c r="EV294" s="10"/>
      <c r="EW294" s="10"/>
      <c r="EX294" s="10"/>
      <c r="EY294" s="10"/>
      <c r="EZ294" s="10"/>
      <c r="FA294" s="10"/>
      <c r="FB294" s="10"/>
      <c r="FC294" s="10"/>
      <c r="FD294" s="10"/>
      <c r="FE294" s="10"/>
      <c r="FF294" s="10"/>
      <c r="FG294" s="10"/>
      <c r="FH294" s="10"/>
      <c r="FI294" s="10"/>
      <c r="FJ294" s="10"/>
      <c r="FK294" s="10"/>
      <c r="FL294" s="10"/>
      <c r="FM294" s="10"/>
      <c r="FN294" s="10"/>
      <c r="FO294" s="10"/>
      <c r="FP294" s="10"/>
      <c r="FQ294" s="10"/>
      <c r="FR294" s="10"/>
      <c r="FS294" s="10"/>
      <c r="FT294" s="10"/>
      <c r="FU294" s="10"/>
      <c r="FV294" s="10"/>
      <c r="FW294" s="10"/>
      <c r="FX294" s="10"/>
      <c r="FY294" s="10"/>
      <c r="FZ294" s="10"/>
      <c r="GA294" s="10"/>
      <c r="GB294" s="10"/>
      <c r="GC294" s="10"/>
      <c r="GD294" s="10"/>
      <c r="GE294" s="10"/>
      <c r="GF294" s="10"/>
      <c r="GG294" s="10"/>
      <c r="GH294" s="10"/>
      <c r="GI294" s="10"/>
      <c r="GJ294" s="10"/>
      <c r="GK294" s="10"/>
      <c r="GL294" s="10"/>
      <c r="GM294" s="10"/>
      <c r="GN294" s="10"/>
      <c r="GO294" s="10"/>
      <c r="GP294" s="10"/>
      <c r="GQ294" s="10"/>
      <c r="GR294" s="10"/>
      <c r="GS294" s="10"/>
      <c r="GT294" s="10"/>
      <c r="GU294" s="10"/>
      <c r="GV294" s="10"/>
      <c r="GW294" s="10"/>
      <c r="GX294" s="10"/>
      <c r="GY294" s="10"/>
      <c r="GZ294" s="10"/>
      <c r="HA294" s="10"/>
      <c r="HB294" s="10"/>
      <c r="HC294" s="10"/>
      <c r="HD294" s="10"/>
      <c r="HE294" s="10"/>
      <c r="HF294" s="10"/>
      <c r="HG294" s="10"/>
      <c r="HH294" s="10"/>
      <c r="HI294" s="10"/>
      <c r="HJ294" s="10"/>
      <c r="HK294" s="10"/>
      <c r="HL294" s="10"/>
      <c r="HM294" s="10"/>
      <c r="HN294" s="10"/>
      <c r="HO294" s="10"/>
      <c r="HP294" s="10"/>
      <c r="HQ294" s="10"/>
      <c r="HR294" s="10"/>
      <c r="HS294" s="10"/>
      <c r="HT294" s="10"/>
    </row>
    <row r="295" spans="2:228" ht="15" customHeight="1" x14ac:dyDescent="0.2">
      <c r="B295" s="761"/>
      <c r="C295" s="761"/>
      <c r="D295" s="761"/>
      <c r="E295" s="367"/>
      <c r="F295" s="1186" t="str">
        <f>IF(OR(Z295=1,Z295=7,S292=1),"","Extensor digitorum longus")</f>
        <v/>
      </c>
      <c r="G295" s="1186"/>
      <c r="H295" s="1186"/>
      <c r="I295" s="1186"/>
      <c r="J295" s="1186"/>
      <c r="K295" s="1186"/>
      <c r="L295" s="1186"/>
      <c r="M295" s="76">
        <f t="shared" si="43"/>
        <v>0</v>
      </c>
      <c r="N295" s="202"/>
      <c r="O295" s="202"/>
      <c r="P295" s="298" t="str">
        <f t="shared" si="44"/>
        <v/>
      </c>
      <c r="R295" s="579" t="b">
        <v>0</v>
      </c>
      <c r="S295" s="571">
        <f t="shared" si="45"/>
        <v>0</v>
      </c>
      <c r="T295" s="581">
        <f t="shared" si="46"/>
        <v>0</v>
      </c>
      <c r="U295" s="581">
        <f t="shared" si="47"/>
        <v>0</v>
      </c>
      <c r="V295" s="581">
        <f t="shared" si="48"/>
        <v>0</v>
      </c>
      <c r="W295" s="581">
        <f t="shared" si="49"/>
        <v>0</v>
      </c>
      <c r="X295" s="581">
        <f t="shared" si="50"/>
        <v>0</v>
      </c>
      <c r="Y295" s="10"/>
      <c r="Z295" s="546">
        <v>1</v>
      </c>
      <c r="AA295" s="1108" t="s">
        <v>796</v>
      </c>
      <c r="AB295" s="1108"/>
      <c r="AC295" s="10"/>
      <c r="AD295" s="10"/>
      <c r="AE295" s="10"/>
      <c r="AF295" s="10"/>
      <c r="AG295" s="10"/>
      <c r="AH295" s="10"/>
      <c r="AI295" s="10"/>
      <c r="AJ295" s="10"/>
      <c r="AK295" s="10"/>
      <c r="AL295" s="10"/>
      <c r="AM295" s="14"/>
      <c r="AN295" s="10"/>
      <c r="AO295" s="14"/>
      <c r="AP295" s="10"/>
      <c r="AQ295" s="14"/>
      <c r="AR295" s="14"/>
      <c r="AS295" s="14"/>
      <c r="AT295" s="14"/>
      <c r="AU295" s="10"/>
      <c r="AV295" s="14"/>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c r="EM295" s="10"/>
      <c r="EN295" s="10"/>
      <c r="EO295" s="10"/>
      <c r="EP295" s="10"/>
      <c r="EQ295" s="10"/>
      <c r="ER295" s="10"/>
      <c r="ES295" s="10"/>
      <c r="ET295" s="10"/>
      <c r="EU295" s="10"/>
      <c r="EV295" s="10"/>
      <c r="EW295" s="10"/>
      <c r="EX295" s="10"/>
      <c r="EY295" s="10"/>
      <c r="EZ295" s="10"/>
      <c r="FA295" s="10"/>
      <c r="FB295" s="10"/>
      <c r="FC295" s="10"/>
      <c r="FD295" s="10"/>
      <c r="FE295" s="10"/>
      <c r="FF295" s="10"/>
      <c r="FG295" s="10"/>
      <c r="FH295" s="10"/>
      <c r="FI295" s="10"/>
      <c r="FJ295" s="10"/>
      <c r="FK295" s="10"/>
      <c r="FL295" s="10"/>
      <c r="FM295" s="10"/>
      <c r="FN295" s="10"/>
      <c r="FO295" s="10"/>
      <c r="FP295" s="10"/>
      <c r="FQ295" s="10"/>
      <c r="FR295" s="10"/>
      <c r="FS295" s="10"/>
      <c r="FT295" s="10"/>
      <c r="FU295" s="10"/>
      <c r="FV295" s="10"/>
      <c r="FW295" s="10"/>
      <c r="FX295" s="10"/>
      <c r="FY295" s="10"/>
      <c r="FZ295" s="10"/>
      <c r="GA295" s="10"/>
      <c r="GB295" s="10"/>
      <c r="GC295" s="10"/>
      <c r="GD295" s="10"/>
      <c r="GE295" s="10"/>
      <c r="GF295" s="10"/>
      <c r="GG295" s="10"/>
      <c r="GH295" s="10"/>
      <c r="GI295" s="10"/>
      <c r="GJ295" s="10"/>
      <c r="GK295" s="10"/>
      <c r="GL295" s="10"/>
      <c r="GM295" s="10"/>
      <c r="GN295" s="10"/>
      <c r="GO295" s="10"/>
      <c r="GP295" s="10"/>
      <c r="GQ295" s="10"/>
      <c r="GR295" s="10"/>
      <c r="GS295" s="10"/>
      <c r="GT295" s="10"/>
      <c r="GU295" s="10"/>
      <c r="GV295" s="10"/>
      <c r="GW295" s="10"/>
      <c r="GX295" s="10"/>
      <c r="GY295" s="10"/>
      <c r="GZ295" s="10"/>
      <c r="HA295" s="10"/>
      <c r="HB295" s="10"/>
      <c r="HC295" s="10"/>
      <c r="HD295" s="10"/>
      <c r="HE295" s="10"/>
      <c r="HF295" s="10"/>
      <c r="HG295" s="10"/>
      <c r="HH295" s="10"/>
      <c r="HI295" s="10"/>
      <c r="HJ295" s="10"/>
      <c r="HK295" s="10"/>
      <c r="HL295" s="10"/>
      <c r="HM295" s="10"/>
      <c r="HN295" s="10"/>
      <c r="HO295" s="10"/>
      <c r="HP295" s="10"/>
      <c r="HQ295" s="10"/>
      <c r="HR295" s="10"/>
      <c r="HS295" s="10"/>
      <c r="HT295" s="10"/>
    </row>
    <row r="296" spans="2:228" ht="15" customHeight="1" x14ac:dyDescent="0.2">
      <c r="B296" s="761"/>
      <c r="C296" s="761"/>
      <c r="D296" s="761"/>
      <c r="E296" s="367"/>
      <c r="F296" s="791" t="str">
        <f>IF(OR(Z295=1,Z295=7,S292=1),"","Peroneus tertius")</f>
        <v/>
      </c>
      <c r="G296" s="791"/>
      <c r="H296" s="791"/>
      <c r="I296" s="791"/>
      <c r="J296" s="791"/>
      <c r="K296" s="791"/>
      <c r="L296" s="791"/>
      <c r="M296" s="76">
        <f t="shared" si="43"/>
        <v>0</v>
      </c>
      <c r="N296" s="202"/>
      <c r="O296" s="202"/>
      <c r="P296" s="298" t="str">
        <f t="shared" si="44"/>
        <v/>
      </c>
      <c r="R296" s="579" t="b">
        <v>0</v>
      </c>
      <c r="S296" s="571">
        <f t="shared" si="45"/>
        <v>0</v>
      </c>
      <c r="T296" s="581">
        <f t="shared" si="46"/>
        <v>0</v>
      </c>
      <c r="U296" s="581">
        <f t="shared" si="47"/>
        <v>0</v>
      </c>
      <c r="V296" s="581">
        <f t="shared" si="48"/>
        <v>0</v>
      </c>
      <c r="W296" s="581">
        <f t="shared" si="49"/>
        <v>0</v>
      </c>
      <c r="X296" s="581">
        <f t="shared" si="50"/>
        <v>0</v>
      </c>
      <c r="Y296" s="62"/>
      <c r="Z296" s="602">
        <v>1</v>
      </c>
      <c r="AA296" s="1145" t="s">
        <v>1007</v>
      </c>
      <c r="AB296" s="1145"/>
      <c r="AC296" s="62"/>
      <c r="AD296" s="62"/>
      <c r="AE296" s="62"/>
      <c r="AF296" s="62"/>
      <c r="AG296" s="62"/>
      <c r="AH296" s="62"/>
      <c r="AI296" s="62"/>
      <c r="AJ296" s="62"/>
      <c r="AK296" s="62"/>
      <c r="AL296" s="62"/>
      <c r="AM296" s="62"/>
      <c r="AN296" s="62"/>
      <c r="AO296" s="62"/>
      <c r="AP296" s="62"/>
      <c r="AQ296" s="62"/>
      <c r="AR296" s="62"/>
      <c r="AS296" s="62"/>
      <c r="AT296" s="62"/>
      <c r="AU296" s="62"/>
      <c r="AV296" s="62"/>
      <c r="AW296" s="62"/>
      <c r="AX296" s="62"/>
      <c r="AY296" s="62"/>
      <c r="AZ296" s="62"/>
      <c r="BA296" s="62"/>
      <c r="BB296" s="62"/>
      <c r="BC296" s="62"/>
      <c r="BD296" s="62"/>
      <c r="BE296" s="62"/>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c r="EM296" s="10"/>
      <c r="EN296" s="10"/>
      <c r="EO296" s="10"/>
      <c r="EP296" s="10"/>
      <c r="EQ296" s="10"/>
      <c r="ER296" s="10"/>
      <c r="ES296" s="10"/>
      <c r="ET296" s="10"/>
      <c r="EU296" s="10"/>
      <c r="EV296" s="10"/>
      <c r="EW296" s="10"/>
      <c r="EX296" s="10"/>
      <c r="EY296" s="10"/>
      <c r="EZ296" s="10"/>
      <c r="FA296" s="10"/>
      <c r="FB296" s="10"/>
      <c r="FC296" s="10"/>
      <c r="FD296" s="10"/>
      <c r="FE296" s="10"/>
      <c r="FF296" s="10"/>
      <c r="FG296" s="10"/>
      <c r="FH296" s="10"/>
      <c r="FI296" s="10"/>
      <c r="FJ296" s="10"/>
      <c r="FK296" s="10"/>
      <c r="FL296" s="10"/>
      <c r="FM296" s="10"/>
      <c r="FN296" s="10"/>
      <c r="FO296" s="10"/>
      <c r="FP296" s="10"/>
      <c r="FQ296" s="10"/>
      <c r="FR296" s="10"/>
      <c r="FS296" s="10"/>
      <c r="FT296" s="10"/>
      <c r="FU296" s="10"/>
      <c r="FV296" s="10"/>
      <c r="FW296" s="10"/>
      <c r="FX296" s="10"/>
      <c r="FY296" s="10"/>
      <c r="FZ296" s="10"/>
      <c r="GA296" s="10"/>
      <c r="GB296" s="10"/>
      <c r="GC296" s="10"/>
      <c r="GD296" s="10"/>
      <c r="GE296" s="10"/>
      <c r="GF296" s="10"/>
      <c r="GG296" s="10"/>
      <c r="GH296" s="10"/>
      <c r="GI296" s="10"/>
      <c r="GJ296" s="10"/>
      <c r="GK296" s="10"/>
      <c r="GL296" s="10"/>
      <c r="GM296" s="10"/>
      <c r="GN296" s="10"/>
      <c r="GO296" s="10"/>
      <c r="GP296" s="10"/>
      <c r="GQ296" s="10"/>
      <c r="GR296" s="10"/>
      <c r="GS296" s="10"/>
      <c r="GT296" s="10"/>
      <c r="GU296" s="10"/>
      <c r="GV296" s="10"/>
      <c r="GW296" s="10"/>
      <c r="GX296" s="10"/>
      <c r="GY296" s="10"/>
      <c r="GZ296" s="10"/>
      <c r="HA296" s="10"/>
      <c r="HB296" s="10"/>
      <c r="HC296" s="10"/>
      <c r="HD296" s="10"/>
      <c r="HE296" s="10"/>
      <c r="HF296" s="10"/>
      <c r="HG296" s="10"/>
      <c r="HH296" s="10"/>
      <c r="HI296" s="10"/>
      <c r="HJ296" s="10"/>
      <c r="HK296" s="10"/>
      <c r="HL296" s="10"/>
      <c r="HM296" s="10"/>
      <c r="HN296" s="10"/>
      <c r="HO296" s="10"/>
      <c r="HP296" s="10"/>
      <c r="HQ296" s="10"/>
      <c r="HR296" s="10"/>
      <c r="HS296" s="10"/>
      <c r="HT296" s="10"/>
    </row>
    <row r="297" spans="2:228" ht="15" customHeight="1" x14ac:dyDescent="0.2">
      <c r="B297" s="761"/>
      <c r="C297" s="761"/>
      <c r="D297" s="761"/>
      <c r="E297" s="367"/>
      <c r="F297" s="1186" t="str">
        <f>IF(OR(Z295=1,Z295=7,S292=1),"","Extensor digitorum brevis")</f>
        <v/>
      </c>
      <c r="G297" s="1186"/>
      <c r="H297" s="1186"/>
      <c r="I297" s="1186"/>
      <c r="J297" s="1186"/>
      <c r="K297" s="1186"/>
      <c r="L297" s="1186"/>
      <c r="M297" s="76">
        <f t="shared" si="43"/>
        <v>0</v>
      </c>
      <c r="N297" s="202"/>
      <c r="O297" s="202"/>
      <c r="P297" s="298" t="str">
        <f t="shared" si="44"/>
        <v/>
      </c>
      <c r="R297" s="579" t="b">
        <v>0</v>
      </c>
      <c r="S297" s="571">
        <f t="shared" si="45"/>
        <v>0</v>
      </c>
      <c r="T297" s="581">
        <f t="shared" si="46"/>
        <v>0</v>
      </c>
      <c r="U297" s="581">
        <f t="shared" si="47"/>
        <v>0</v>
      </c>
      <c r="V297" s="581">
        <f t="shared" si="48"/>
        <v>0</v>
      </c>
      <c r="W297" s="581">
        <f t="shared" si="49"/>
        <v>0</v>
      </c>
      <c r="X297" s="581">
        <f t="shared" si="50"/>
        <v>0</v>
      </c>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c r="EM297" s="10"/>
      <c r="EN297" s="10"/>
      <c r="EO297" s="10"/>
      <c r="EP297" s="10"/>
      <c r="EQ297" s="10"/>
      <c r="ER297" s="10"/>
      <c r="ES297" s="10"/>
      <c r="ET297" s="10"/>
      <c r="EU297" s="10"/>
      <c r="EV297" s="10"/>
      <c r="EW297" s="10"/>
      <c r="EX297" s="10"/>
      <c r="EY297" s="10"/>
      <c r="EZ297" s="10"/>
      <c r="FA297" s="10"/>
      <c r="FB297" s="10"/>
      <c r="FC297" s="10"/>
      <c r="FD297" s="10"/>
      <c r="FE297" s="10"/>
      <c r="FF297" s="10"/>
      <c r="FG297" s="10"/>
      <c r="FH297" s="10"/>
      <c r="FI297" s="10"/>
      <c r="FJ297" s="10"/>
      <c r="FK297" s="10"/>
      <c r="FL297" s="10"/>
      <c r="FM297" s="10"/>
      <c r="FN297" s="10"/>
      <c r="FO297" s="10"/>
      <c r="FP297" s="10"/>
      <c r="FQ297" s="10"/>
      <c r="FR297" s="10"/>
      <c r="FS297" s="10"/>
      <c r="FT297" s="10"/>
      <c r="FU297" s="10"/>
      <c r="FV297" s="10"/>
      <c r="FW297" s="10"/>
      <c r="FX297" s="10"/>
      <c r="FY297" s="10"/>
      <c r="FZ297" s="10"/>
      <c r="GA297" s="10"/>
      <c r="GB297" s="10"/>
      <c r="GC297" s="10"/>
      <c r="GD297" s="10"/>
      <c r="GE297" s="10"/>
      <c r="GF297" s="10"/>
      <c r="GG297" s="10"/>
      <c r="GH297" s="10"/>
      <c r="GI297" s="10"/>
      <c r="GJ297" s="10"/>
      <c r="GK297" s="10"/>
      <c r="GL297" s="10"/>
      <c r="GM297" s="10"/>
      <c r="GN297" s="10"/>
      <c r="GO297" s="10"/>
      <c r="GP297" s="10"/>
      <c r="GQ297" s="10"/>
      <c r="GR297" s="10"/>
      <c r="GS297" s="10"/>
      <c r="GT297" s="10"/>
      <c r="GU297" s="10"/>
      <c r="GV297" s="10"/>
      <c r="GW297" s="10"/>
      <c r="GX297" s="10"/>
      <c r="GY297" s="10"/>
      <c r="GZ297" s="10"/>
      <c r="HA297" s="10"/>
      <c r="HB297" s="10"/>
      <c r="HC297" s="10"/>
      <c r="HD297" s="10"/>
      <c r="HE297" s="10"/>
      <c r="HF297" s="10"/>
      <c r="HG297" s="10"/>
      <c r="HH297" s="10"/>
      <c r="HI297" s="10"/>
      <c r="HJ297" s="10"/>
      <c r="HK297" s="10"/>
      <c r="HL297" s="10"/>
      <c r="HM297" s="10"/>
      <c r="HN297" s="10"/>
      <c r="HO297" s="10"/>
      <c r="HP297" s="10"/>
      <c r="HQ297" s="10"/>
      <c r="HR297" s="10"/>
      <c r="HS297" s="10"/>
      <c r="HT297" s="10"/>
    </row>
    <row r="298" spans="2:228" ht="15" customHeight="1" x14ac:dyDescent="0.2">
      <c r="B298" s="761"/>
      <c r="C298" s="761"/>
      <c r="D298" s="761"/>
      <c r="E298" s="389"/>
      <c r="F298" s="956" t="str">
        <f>IF(OR(Z295=1,Z295=2,Z295=3,Z295=5,Z295=7),"",IF(OR(Z295=4,Z295=6),"Total for peroneal except superficial; FOOT impairment:",""))</f>
        <v/>
      </c>
      <c r="G298" s="956"/>
      <c r="H298" s="956"/>
      <c r="I298" s="956"/>
      <c r="J298" s="956"/>
      <c r="K298" s="956"/>
      <c r="L298" s="956"/>
      <c r="M298" s="956"/>
      <c r="N298" s="956"/>
      <c r="O298" s="956"/>
      <c r="P298" s="190" t="str">
        <f>IF(F298="","",IF(AND(P292="",P293="",P294="",P295="",P296="",P297=""),0,IF(Z295&lt;&gt;2,AVERAGE(P292:P297),"")))</f>
        <v/>
      </c>
      <c r="R298" s="128"/>
      <c r="S298" s="98"/>
      <c r="T298" s="94"/>
      <c r="U298" s="94"/>
      <c r="V298" s="96"/>
      <c r="W298" s="94"/>
      <c r="X298" s="94"/>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c r="BE298" s="62"/>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c r="EM298" s="10"/>
      <c r="EN298" s="10"/>
      <c r="EO298" s="10"/>
      <c r="EP298" s="10"/>
      <c r="EQ298" s="10"/>
      <c r="ER298" s="10"/>
      <c r="ES298" s="10"/>
      <c r="ET298" s="10"/>
      <c r="EU298" s="10"/>
      <c r="EV298" s="10"/>
      <c r="EW298" s="10"/>
      <c r="EX298" s="10"/>
      <c r="EY298" s="10"/>
      <c r="EZ298" s="10"/>
      <c r="FA298" s="10"/>
      <c r="FB298" s="10"/>
      <c r="FC298" s="10"/>
      <c r="FD298" s="10"/>
      <c r="FE298" s="10"/>
      <c r="FF298" s="10"/>
      <c r="FG298" s="10"/>
      <c r="FH298" s="10"/>
      <c r="FI298" s="10"/>
      <c r="FJ298" s="10"/>
      <c r="FK298" s="10"/>
      <c r="FL298" s="10"/>
      <c r="FM298" s="10"/>
      <c r="FN298" s="10"/>
      <c r="FO298" s="10"/>
      <c r="FP298" s="10"/>
      <c r="FQ298" s="10"/>
      <c r="FR298" s="10"/>
      <c r="FS298" s="10"/>
      <c r="FT298" s="10"/>
      <c r="FU298" s="10"/>
      <c r="FV298" s="10"/>
      <c r="FW298" s="10"/>
      <c r="FX298" s="10"/>
      <c r="FY298" s="10"/>
      <c r="FZ298" s="10"/>
      <c r="GA298" s="10"/>
      <c r="GB298" s="10"/>
      <c r="GC298" s="10"/>
      <c r="GD298" s="10"/>
      <c r="GE298" s="10"/>
      <c r="GF298" s="10"/>
      <c r="GG298" s="10"/>
      <c r="GH298" s="10"/>
      <c r="GI298" s="10"/>
      <c r="GJ298" s="10"/>
      <c r="GK298" s="10"/>
      <c r="GL298" s="10"/>
      <c r="GM298" s="10"/>
      <c r="GN298" s="10"/>
      <c r="GO298" s="10"/>
      <c r="GP298" s="10"/>
      <c r="GQ298" s="10"/>
      <c r="GR298" s="10"/>
      <c r="GS298" s="10"/>
      <c r="GT298" s="10"/>
      <c r="GU298" s="10"/>
      <c r="GV298" s="10"/>
      <c r="GW298" s="10"/>
      <c r="GX298" s="10"/>
      <c r="GY298" s="10"/>
      <c r="GZ298" s="10"/>
      <c r="HA298" s="10"/>
      <c r="HB298" s="10"/>
      <c r="HC298" s="10"/>
      <c r="HD298" s="10"/>
      <c r="HE298" s="10"/>
      <c r="HF298" s="10"/>
      <c r="HG298" s="10"/>
      <c r="HH298" s="10"/>
      <c r="HI298" s="10"/>
      <c r="HJ298" s="10"/>
      <c r="HK298" s="10"/>
      <c r="HL298" s="10"/>
      <c r="HM298" s="10"/>
      <c r="HN298" s="10"/>
      <c r="HO298" s="10"/>
      <c r="HP298" s="10"/>
      <c r="HQ298" s="10"/>
      <c r="HR298" s="10"/>
      <c r="HS298" s="10"/>
      <c r="HT298" s="10"/>
    </row>
    <row r="299" spans="2:228" ht="25.5" customHeight="1" x14ac:dyDescent="0.2">
      <c r="B299" s="761"/>
      <c r="C299" s="761"/>
      <c r="D299" s="761"/>
      <c r="E299" s="367"/>
      <c r="F299" s="761" t="str">
        <f>IF(OR(Z295=1,Z295=2,Z295=3,Z295=5),"","Superficial peroneal
overall loss; no averaging")</f>
        <v/>
      </c>
      <c r="G299" s="761"/>
      <c r="H299" s="761"/>
      <c r="I299" s="761"/>
      <c r="J299" s="761"/>
      <c r="K299" s="761"/>
      <c r="L299" s="761"/>
      <c r="M299" s="76">
        <f>IF(OR(F299="",S299=0),0,IF(Z295=2,0.39,0.11))</f>
        <v>0</v>
      </c>
      <c r="N299" s="202"/>
      <c r="O299" s="202"/>
      <c r="P299" s="291" t="str">
        <f>IF(X299=0,"",X299)</f>
        <v/>
      </c>
      <c r="R299" s="579" t="b">
        <v>0</v>
      </c>
      <c r="S299" s="571">
        <f>IF(R299=TRUE,1,0)</f>
        <v>0</v>
      </c>
      <c r="T299" s="581">
        <f>SUMIF($T$277:$AH$277,N299,$T$278:$AH$278)</f>
        <v>0</v>
      </c>
      <c r="U299" s="581">
        <f>SUMIF($S$277:$AH$277,O299,$S$278:$AH$278)</f>
        <v>0</v>
      </c>
      <c r="V299" s="581">
        <f>M299*T299</f>
        <v>0</v>
      </c>
      <c r="W299" s="581">
        <f>M299*U299</f>
        <v>0</v>
      </c>
      <c r="X299" s="581">
        <f>(IF(V299-W299&lt;=0,0,V299-W299))</f>
        <v>0</v>
      </c>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62"/>
      <c r="BB299" s="62"/>
      <c r="BC299" s="62"/>
      <c r="BD299" s="62"/>
      <c r="BE299" s="62"/>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c r="EM299" s="10"/>
      <c r="EN299" s="10"/>
      <c r="EO299" s="10"/>
      <c r="EP299" s="10"/>
      <c r="EQ299" s="10"/>
      <c r="ER299" s="10"/>
      <c r="ES299" s="10"/>
      <c r="ET299" s="10"/>
      <c r="EU299" s="10"/>
      <c r="EV299" s="10"/>
      <c r="EW299" s="10"/>
      <c r="EX299" s="10"/>
      <c r="EY299" s="10"/>
      <c r="EZ299" s="10"/>
      <c r="FA299" s="10"/>
      <c r="FB299" s="10"/>
      <c r="FC299" s="10"/>
      <c r="FD299" s="10"/>
      <c r="FE299" s="10"/>
      <c r="FF299" s="10"/>
      <c r="FG299" s="10"/>
      <c r="FH299" s="10"/>
      <c r="FI299" s="10"/>
      <c r="FJ299" s="10"/>
      <c r="FK299" s="10"/>
      <c r="FL299" s="10"/>
      <c r="FM299" s="10"/>
      <c r="FN299" s="10"/>
      <c r="FO299" s="10"/>
      <c r="FP299" s="10"/>
      <c r="FQ299" s="10"/>
      <c r="FR299" s="10"/>
      <c r="FS299" s="10"/>
      <c r="FT299" s="10"/>
      <c r="FU299" s="10"/>
      <c r="FV299" s="10"/>
      <c r="FW299" s="10"/>
      <c r="FX299" s="10"/>
      <c r="FY299" s="10"/>
      <c r="FZ299" s="10"/>
      <c r="GA299" s="10"/>
      <c r="GB299" s="10"/>
      <c r="GC299" s="10"/>
      <c r="GD299" s="10"/>
      <c r="GE299" s="10"/>
      <c r="GF299" s="10"/>
      <c r="GG299" s="10"/>
      <c r="GH299" s="10"/>
      <c r="GI299" s="10"/>
      <c r="GJ299" s="10"/>
      <c r="GK299" s="10"/>
      <c r="GL299" s="10"/>
      <c r="GM299" s="10"/>
      <c r="GN299" s="10"/>
      <c r="GO299" s="10"/>
      <c r="GP299" s="10"/>
      <c r="GQ299" s="10"/>
      <c r="GR299" s="10"/>
      <c r="GS299" s="10"/>
      <c r="GT299" s="10"/>
      <c r="GU299" s="10"/>
      <c r="GV299" s="10"/>
      <c r="GW299" s="10"/>
      <c r="GX299" s="10"/>
      <c r="GY299" s="10"/>
      <c r="GZ299" s="10"/>
      <c r="HA299" s="10"/>
      <c r="HB299" s="10"/>
      <c r="HC299" s="10"/>
      <c r="HD299" s="10"/>
      <c r="HE299" s="10"/>
      <c r="HF299" s="10"/>
      <c r="HG299" s="10"/>
      <c r="HH299" s="10"/>
      <c r="HI299" s="10"/>
      <c r="HJ299" s="10"/>
      <c r="HK299" s="10"/>
      <c r="HL299" s="10"/>
      <c r="HM299" s="10"/>
      <c r="HN299" s="10"/>
      <c r="HO299" s="10"/>
      <c r="HP299" s="10"/>
      <c r="HQ299" s="10"/>
      <c r="HR299" s="10"/>
      <c r="HS299" s="10"/>
      <c r="HT299" s="10"/>
    </row>
    <row r="300" spans="2:228" ht="15" customHeight="1" x14ac:dyDescent="0.2">
      <c r="B300" s="761"/>
      <c r="C300" s="761"/>
      <c r="D300" s="761"/>
      <c r="E300" s="367"/>
      <c r="F300" s="791" t="str">
        <f>IF(AND(Z295=2,S292=1),"",IF(S299=1,"",IF(OR(Z295=2,Z295=4,Z295=6,Z295=7),"Peroneus longus","")))</f>
        <v/>
      </c>
      <c r="G300" s="791"/>
      <c r="H300" s="791"/>
      <c r="I300" s="791"/>
      <c r="J300" s="791"/>
      <c r="K300" s="791"/>
      <c r="L300" s="791"/>
      <c r="M300" s="76">
        <f>IF(OR(F300="",S300=0),0,IF(Z295=2,0.39,0.11))</f>
        <v>0</v>
      </c>
      <c r="N300" s="202"/>
      <c r="O300" s="202"/>
      <c r="P300" s="291" t="str">
        <f>IF(X300=0,"",X300)</f>
        <v/>
      </c>
      <c r="R300" s="579" t="b">
        <v>0</v>
      </c>
      <c r="S300" s="571">
        <f>IF(R300=TRUE,1,0)</f>
        <v>0</v>
      </c>
      <c r="T300" s="581">
        <f>SUMIF($T$277:$AH$277,N300,$T$278:$AH$278)</f>
        <v>0</v>
      </c>
      <c r="U300" s="581">
        <f>SUMIF($S$277:$AH$277,O300,$S$278:$AH$278)</f>
        <v>0</v>
      </c>
      <c r="V300" s="581">
        <f>M300*T300</f>
        <v>0</v>
      </c>
      <c r="W300" s="581">
        <f>M300*U300</f>
        <v>0</v>
      </c>
      <c r="X300" s="581">
        <f>(IF(V300-W300&lt;=0,0,V300-W300))</f>
        <v>0</v>
      </c>
      <c r="Y300" s="14"/>
      <c r="Z300" s="14"/>
      <c r="AA300" s="14"/>
      <c r="AB300" s="14"/>
      <c r="AC300" s="14"/>
      <c r="AD300" s="14"/>
      <c r="AE300" s="14"/>
      <c r="AF300" s="14"/>
      <c r="AG300" s="14"/>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c r="EM300" s="10"/>
      <c r="EN300" s="10"/>
      <c r="EO300" s="10"/>
      <c r="EP300" s="10"/>
      <c r="EQ300" s="10"/>
      <c r="ER300" s="10"/>
      <c r="ES300" s="10"/>
      <c r="ET300" s="10"/>
      <c r="EU300" s="10"/>
      <c r="EV300" s="10"/>
      <c r="EW300" s="10"/>
      <c r="EX300" s="10"/>
      <c r="EY300" s="10"/>
      <c r="EZ300" s="10"/>
      <c r="FA300" s="10"/>
      <c r="FB300" s="10"/>
      <c r="FC300" s="10"/>
      <c r="FD300" s="10"/>
      <c r="FE300" s="10"/>
      <c r="FF300" s="10"/>
      <c r="FG300" s="10"/>
      <c r="FH300" s="10"/>
      <c r="FI300" s="10"/>
      <c r="FJ300" s="10"/>
      <c r="FK300" s="10"/>
      <c r="FL300" s="10"/>
      <c r="FM300" s="10"/>
      <c r="FN300" s="10"/>
      <c r="FO300" s="10"/>
      <c r="FP300" s="10"/>
      <c r="FQ300" s="10"/>
      <c r="FR300" s="10"/>
      <c r="FS300" s="10"/>
      <c r="FT300" s="10"/>
      <c r="FU300" s="10"/>
      <c r="FV300" s="10"/>
      <c r="FW300" s="10"/>
      <c r="FX300" s="10"/>
      <c r="FY300" s="10"/>
      <c r="FZ300" s="10"/>
      <c r="GA300" s="10"/>
      <c r="GB300" s="10"/>
      <c r="GC300" s="10"/>
      <c r="GD300" s="10"/>
      <c r="GE300" s="10"/>
      <c r="GF300" s="10"/>
      <c r="GG300" s="10"/>
      <c r="GH300" s="10"/>
      <c r="GI300" s="10"/>
      <c r="GJ300" s="10"/>
      <c r="GK300" s="10"/>
      <c r="GL300" s="10"/>
      <c r="GM300" s="10"/>
      <c r="GN300" s="10"/>
      <c r="GO300" s="10"/>
      <c r="GP300" s="10"/>
      <c r="GQ300" s="10"/>
      <c r="GR300" s="10"/>
      <c r="GS300" s="10"/>
      <c r="GT300" s="10"/>
      <c r="GU300" s="10"/>
      <c r="GV300" s="10"/>
      <c r="GW300" s="10"/>
      <c r="GX300" s="10"/>
      <c r="GY300" s="10"/>
      <c r="GZ300" s="10"/>
      <c r="HA300" s="10"/>
      <c r="HB300" s="10"/>
      <c r="HC300" s="10"/>
      <c r="HD300" s="10"/>
      <c r="HE300" s="10"/>
      <c r="HF300" s="10"/>
      <c r="HG300" s="10"/>
      <c r="HH300" s="10"/>
      <c r="HI300" s="10"/>
      <c r="HJ300" s="10"/>
      <c r="HK300" s="10"/>
      <c r="HL300" s="10"/>
      <c r="HM300" s="10"/>
      <c r="HN300" s="10"/>
      <c r="HO300" s="10"/>
      <c r="HP300" s="10"/>
      <c r="HQ300" s="10"/>
      <c r="HR300" s="10"/>
      <c r="HS300" s="10"/>
      <c r="HT300" s="10"/>
    </row>
    <row r="301" spans="2:228" ht="15" customHeight="1" x14ac:dyDescent="0.2">
      <c r="B301" s="761"/>
      <c r="C301" s="761"/>
      <c r="D301" s="761"/>
      <c r="E301" s="367"/>
      <c r="F301" s="1186" t="str">
        <f>IF(AND(Z295=2,S292=1),"",IF(S299=1,"",IF(OR(Z295=2,Z295=4,Z295=6,Z295=7),"Peroneus brevis","")))</f>
        <v/>
      </c>
      <c r="G301" s="1186"/>
      <c r="H301" s="1186"/>
      <c r="I301" s="1186"/>
      <c r="J301" s="1186"/>
      <c r="K301" s="1186"/>
      <c r="L301" s="1186"/>
      <c r="M301" s="76">
        <f>IF(OR(F301="",S301=0),0,IF(Z295=2,0.39,0.11))</f>
        <v>0</v>
      </c>
      <c r="N301" s="202"/>
      <c r="O301" s="202"/>
      <c r="P301" s="291" t="str">
        <f>IF(X301=0,"",X301)</f>
        <v/>
      </c>
      <c r="R301" s="579" t="b">
        <v>0</v>
      </c>
      <c r="S301" s="571">
        <f>IF(R301=TRUE,1,0)</f>
        <v>0</v>
      </c>
      <c r="T301" s="581">
        <f>SUMIF($T$277:$AH$277,N301,$T$278:$AH$278)</f>
        <v>0</v>
      </c>
      <c r="U301" s="581">
        <f>SUMIF($S$277:$AH$277,O301,$S$278:$AH$278)</f>
        <v>0</v>
      </c>
      <c r="V301" s="581">
        <f>M301*T301</f>
        <v>0</v>
      </c>
      <c r="W301" s="581">
        <f>M301*U301</f>
        <v>0</v>
      </c>
      <c r="X301" s="581">
        <f>(IF(V301-W301&lt;=0,0,V301-W301))</f>
        <v>0</v>
      </c>
      <c r="Y301" s="14"/>
      <c r="Z301" s="14"/>
      <c r="AA301" s="14"/>
      <c r="AB301" s="14"/>
      <c r="AC301" s="14"/>
      <c r="AD301" s="14"/>
      <c r="AE301" s="14"/>
      <c r="AF301" s="14"/>
      <c r="AG301" s="14"/>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c r="EM301" s="10"/>
      <c r="EN301" s="10"/>
      <c r="EO301" s="10"/>
      <c r="EP301" s="10"/>
      <c r="EQ301" s="10"/>
      <c r="ER301" s="10"/>
      <c r="ES301" s="10"/>
      <c r="ET301" s="10"/>
      <c r="EU301" s="10"/>
      <c r="EV301" s="10"/>
      <c r="EW301" s="10"/>
      <c r="EX301" s="10"/>
      <c r="EY301" s="10"/>
      <c r="EZ301" s="10"/>
      <c r="FA301" s="10"/>
      <c r="FB301" s="10"/>
      <c r="FC301" s="10"/>
      <c r="FD301" s="10"/>
      <c r="FE301" s="10"/>
      <c r="FF301" s="10"/>
      <c r="FG301" s="10"/>
      <c r="FH301" s="10"/>
      <c r="FI301" s="10"/>
      <c r="FJ301" s="10"/>
      <c r="FK301" s="10"/>
      <c r="FL301" s="10"/>
      <c r="FM301" s="10"/>
      <c r="FN301" s="10"/>
      <c r="FO301" s="10"/>
      <c r="FP301" s="10"/>
      <c r="FQ301" s="10"/>
      <c r="FR301" s="10"/>
      <c r="FS301" s="10"/>
      <c r="FT301" s="10"/>
      <c r="FU301" s="10"/>
      <c r="FV301" s="10"/>
      <c r="FW301" s="10"/>
      <c r="FX301" s="10"/>
      <c r="FY301" s="10"/>
      <c r="FZ301" s="10"/>
      <c r="GA301" s="10"/>
      <c r="GB301" s="10"/>
      <c r="GC301" s="10"/>
      <c r="GD301" s="10"/>
      <c r="GE301" s="10"/>
      <c r="GF301" s="10"/>
      <c r="GG301" s="10"/>
      <c r="GH301" s="10"/>
      <c r="GI301" s="10"/>
      <c r="GJ301" s="10"/>
      <c r="GK301" s="10"/>
      <c r="GL301" s="10"/>
      <c r="GM301" s="10"/>
      <c r="GN301" s="10"/>
      <c r="GO301" s="10"/>
      <c r="GP301" s="10"/>
      <c r="GQ301" s="10"/>
      <c r="GR301" s="10"/>
      <c r="GS301" s="10"/>
      <c r="GT301" s="10"/>
      <c r="GU301" s="10"/>
      <c r="GV301" s="10"/>
      <c r="GW301" s="10"/>
      <c r="GX301" s="10"/>
      <c r="GY301" s="10"/>
      <c r="GZ301" s="10"/>
      <c r="HA301" s="10"/>
      <c r="HB301" s="10"/>
      <c r="HC301" s="10"/>
      <c r="HD301" s="10"/>
      <c r="HE301" s="10"/>
      <c r="HF301" s="10"/>
      <c r="HG301" s="10"/>
      <c r="HH301" s="10"/>
      <c r="HI301" s="10"/>
      <c r="HJ301" s="10"/>
      <c r="HK301" s="10"/>
      <c r="HL301" s="10"/>
      <c r="HM301" s="10"/>
      <c r="HN301" s="10"/>
      <c r="HO301" s="10"/>
      <c r="HP301" s="10"/>
      <c r="HQ301" s="10"/>
      <c r="HR301" s="10"/>
      <c r="HS301" s="10"/>
      <c r="HT301" s="10"/>
    </row>
    <row r="302" spans="2:228" ht="15" customHeight="1" x14ac:dyDescent="0.2">
      <c r="B302" s="1006" t="str">
        <f>IF(Z295=1,"",IF(OR(Z295=2,Z295=3,Z295=5),"Total for peroneal; FOOT impairment:",IF(OR(Z295=4,Z295=6,Z295=7),"Total for superficial peroneal; FOOT impairment:","")))</f>
        <v/>
      </c>
      <c r="C302" s="1007"/>
      <c r="D302" s="1007"/>
      <c r="E302" s="1007"/>
      <c r="F302" s="1007"/>
      <c r="G302" s="1007"/>
      <c r="H302" s="1007"/>
      <c r="I302" s="1007"/>
      <c r="J302" s="1007"/>
      <c r="K302" s="1007"/>
      <c r="L302" s="1007"/>
      <c r="M302" s="1007"/>
      <c r="N302" s="1007"/>
      <c r="O302" s="1008"/>
      <c r="P302" s="291">
        <f>IF(T302=0,0,IF(Z295=2,AVERAGE(P292:P301),IF(OR(Z295=3,Z295=5),AVERAGE(P292:P297),IF(AND(P299="",P300="",P301=""),0,IF(OR(Z295=4,Z295=6,Z295=7),AVERAGE(P299:P301))))))</f>
        <v>0</v>
      </c>
      <c r="R302" s="548" t="s">
        <v>1523</v>
      </c>
      <c r="S302" s="571">
        <f>SUM(S292:S301)</f>
        <v>0</v>
      </c>
      <c r="T302" s="581">
        <f>SUM(P292,P293,P294,P295,P296,P297,P299,P300,P301)</f>
        <v>0</v>
      </c>
      <c r="U302" s="94"/>
      <c r="V302" s="94"/>
      <c r="W302" s="94"/>
      <c r="X302" s="94"/>
      <c r="Y302" s="14"/>
      <c r="Z302" s="14"/>
      <c r="AA302" s="14"/>
      <c r="AB302" s="14"/>
      <c r="AC302" s="14"/>
      <c r="AD302" s="14"/>
      <c r="AE302" s="14"/>
      <c r="AF302" s="14"/>
      <c r="AG302" s="14"/>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c r="EM302" s="10"/>
      <c r="EN302" s="10"/>
      <c r="EO302" s="10"/>
      <c r="EP302" s="10"/>
      <c r="EQ302" s="10"/>
      <c r="ER302" s="10"/>
      <c r="ES302" s="10"/>
      <c r="ET302" s="10"/>
      <c r="EU302" s="10"/>
      <c r="EV302" s="10"/>
      <c r="EW302" s="10"/>
      <c r="EX302" s="10"/>
      <c r="EY302" s="10"/>
      <c r="EZ302" s="10"/>
      <c r="FA302" s="10"/>
      <c r="FB302" s="10"/>
      <c r="FC302" s="10"/>
      <c r="FD302" s="10"/>
      <c r="FE302" s="10"/>
      <c r="FF302" s="10"/>
      <c r="FG302" s="10"/>
      <c r="FH302" s="10"/>
      <c r="FI302" s="10"/>
      <c r="FJ302" s="10"/>
      <c r="FK302" s="10"/>
      <c r="FL302" s="10"/>
      <c r="FM302" s="10"/>
      <c r="FN302" s="10"/>
      <c r="FO302" s="10"/>
      <c r="FP302" s="10"/>
      <c r="FQ302" s="10"/>
      <c r="FR302" s="10"/>
      <c r="FS302" s="10"/>
      <c r="FT302" s="10"/>
      <c r="FU302" s="10"/>
      <c r="FV302" s="10"/>
      <c r="FW302" s="10"/>
      <c r="FX302" s="10"/>
      <c r="FY302" s="10"/>
      <c r="FZ302" s="10"/>
      <c r="GA302" s="10"/>
      <c r="GB302" s="10"/>
      <c r="GC302" s="10"/>
      <c r="GD302" s="10"/>
      <c r="GE302" s="10"/>
      <c r="GF302" s="10"/>
      <c r="GG302" s="10"/>
      <c r="GH302" s="10"/>
      <c r="GI302" s="10"/>
      <c r="GJ302" s="10"/>
      <c r="GK302" s="10"/>
      <c r="GL302" s="10"/>
      <c r="GM302" s="10"/>
      <c r="GN302" s="10"/>
      <c r="GO302" s="10"/>
      <c r="GP302" s="10"/>
      <c r="GQ302" s="10"/>
      <c r="GR302" s="10"/>
      <c r="GS302" s="10"/>
      <c r="GT302" s="10"/>
      <c r="GU302" s="10"/>
      <c r="GV302" s="10"/>
      <c r="GW302" s="10"/>
      <c r="GX302" s="10"/>
      <c r="GY302" s="10"/>
      <c r="GZ302" s="10"/>
      <c r="HA302" s="10"/>
      <c r="HB302" s="10"/>
      <c r="HC302" s="10"/>
      <c r="HD302" s="10"/>
      <c r="HE302" s="10"/>
      <c r="HF302" s="10"/>
      <c r="HG302" s="10"/>
      <c r="HH302" s="10"/>
      <c r="HI302" s="10"/>
      <c r="HJ302" s="10"/>
      <c r="HK302" s="10"/>
      <c r="HL302" s="10"/>
      <c r="HM302" s="10"/>
      <c r="HN302" s="10"/>
      <c r="HO302" s="10"/>
      <c r="HP302" s="10"/>
      <c r="HQ302" s="10"/>
      <c r="HR302" s="10"/>
      <c r="HS302" s="10"/>
      <c r="HT302" s="10"/>
    </row>
    <row r="303" spans="2:228" ht="12" customHeight="1" x14ac:dyDescent="0.2">
      <c r="B303" s="1163"/>
      <c r="C303" s="1163"/>
      <c r="D303" s="1163"/>
      <c r="E303" s="1163"/>
      <c r="F303" s="1163"/>
      <c r="G303" s="1163"/>
      <c r="H303" s="1163"/>
      <c r="I303" s="1163"/>
      <c r="J303" s="1163"/>
      <c r="K303" s="1163"/>
      <c r="L303" s="1163"/>
      <c r="M303" s="1163"/>
      <c r="N303" s="1163"/>
      <c r="O303" s="1163"/>
      <c r="P303" s="1163"/>
      <c r="R303" s="128"/>
      <c r="S303" s="98"/>
      <c r="T303" s="94"/>
      <c r="U303" s="94"/>
      <c r="V303" s="94"/>
      <c r="W303" s="94"/>
      <c r="X303" s="94"/>
      <c r="Y303" s="14"/>
      <c r="Z303" s="14"/>
      <c r="AA303" s="14"/>
      <c r="AB303" s="14"/>
      <c r="AC303" s="14"/>
      <c r="AD303" s="14"/>
      <c r="AE303" s="14"/>
      <c r="AF303" s="14"/>
      <c r="AG303" s="14"/>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10"/>
      <c r="FF303" s="10"/>
      <c r="FG303" s="10"/>
      <c r="FH303" s="10"/>
      <c r="FI303" s="10"/>
      <c r="FJ303" s="10"/>
      <c r="FK303" s="10"/>
      <c r="FL303" s="10"/>
      <c r="FM303" s="10"/>
      <c r="FN303" s="10"/>
      <c r="FO303" s="10"/>
      <c r="FP303" s="10"/>
      <c r="FQ303" s="10"/>
      <c r="FR303" s="10"/>
      <c r="FS303" s="10"/>
      <c r="FT303" s="10"/>
      <c r="FU303" s="10"/>
      <c r="FV303" s="10"/>
      <c r="FW303" s="10"/>
      <c r="FX303" s="10"/>
      <c r="FY303" s="10"/>
      <c r="FZ303" s="10"/>
      <c r="GA303" s="10"/>
      <c r="GB303" s="10"/>
      <c r="GC303" s="10"/>
      <c r="GD303" s="10"/>
      <c r="GE303" s="10"/>
      <c r="GF303" s="10"/>
      <c r="GG303" s="10"/>
      <c r="GH303" s="10"/>
      <c r="GI303" s="10"/>
      <c r="GJ303" s="10"/>
      <c r="GK303" s="10"/>
      <c r="GL303" s="10"/>
      <c r="GM303" s="10"/>
      <c r="GN303" s="10"/>
      <c r="GO303" s="10"/>
      <c r="GP303" s="10"/>
      <c r="GQ303" s="10"/>
      <c r="GR303" s="10"/>
      <c r="GS303" s="10"/>
      <c r="GT303" s="10"/>
      <c r="GU303" s="10"/>
      <c r="GV303" s="10"/>
      <c r="GW303" s="10"/>
      <c r="GX303" s="10"/>
      <c r="GY303" s="10"/>
      <c r="GZ303" s="10"/>
      <c r="HA303" s="10"/>
      <c r="HB303" s="10"/>
      <c r="HC303" s="10"/>
      <c r="HD303" s="10"/>
      <c r="HE303" s="10"/>
      <c r="HF303" s="10"/>
      <c r="HG303" s="10"/>
      <c r="HH303" s="10"/>
      <c r="HI303" s="10"/>
      <c r="HJ303" s="10"/>
      <c r="HK303" s="10"/>
      <c r="HL303" s="10"/>
      <c r="HM303" s="10"/>
      <c r="HN303" s="10"/>
      <c r="HO303" s="10"/>
      <c r="HP303" s="10"/>
      <c r="HQ303" s="10"/>
      <c r="HR303" s="10"/>
      <c r="HS303" s="10"/>
      <c r="HT303" s="10"/>
    </row>
    <row r="304" spans="2:228" ht="12" customHeight="1" x14ac:dyDescent="0.2">
      <c r="B304" s="1163"/>
      <c r="C304" s="1163"/>
      <c r="D304" s="1163"/>
      <c r="E304" s="1163"/>
      <c r="F304" s="1163"/>
      <c r="G304" s="1163"/>
      <c r="H304" s="1163"/>
      <c r="I304" s="1163"/>
      <c r="J304" s="1163"/>
      <c r="K304" s="1163"/>
      <c r="L304" s="1163"/>
      <c r="M304" s="1163"/>
      <c r="N304" s="1163"/>
      <c r="O304" s="1163"/>
      <c r="P304" s="1163"/>
      <c r="R304" s="128"/>
      <c r="S304" s="98"/>
      <c r="T304" s="94"/>
      <c r="U304" s="94"/>
      <c r="V304" s="94"/>
      <c r="W304" s="94"/>
      <c r="X304" s="94"/>
      <c r="Y304" s="14"/>
      <c r="Z304" s="14"/>
      <c r="AA304" s="14"/>
      <c r="AB304" s="14"/>
      <c r="AC304" s="14"/>
      <c r="AD304" s="14"/>
      <c r="AE304" s="14"/>
      <c r="AF304" s="14"/>
      <c r="AG304" s="14"/>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c r="EM304" s="10"/>
      <c r="EN304" s="10"/>
      <c r="EO304" s="10"/>
      <c r="EP304" s="10"/>
      <c r="EQ304" s="10"/>
      <c r="ER304" s="10"/>
      <c r="ES304" s="10"/>
      <c r="ET304" s="10"/>
      <c r="EU304" s="10"/>
      <c r="EV304" s="10"/>
      <c r="EW304" s="10"/>
      <c r="EX304" s="10"/>
      <c r="EY304" s="10"/>
      <c r="EZ304" s="10"/>
      <c r="FA304" s="10"/>
      <c r="FB304" s="10"/>
      <c r="FC304" s="10"/>
      <c r="FD304" s="10"/>
      <c r="FE304" s="10"/>
      <c r="FF304" s="10"/>
      <c r="FG304" s="10"/>
      <c r="FH304" s="10"/>
      <c r="FI304" s="10"/>
      <c r="FJ304" s="10"/>
      <c r="FK304" s="10"/>
      <c r="FL304" s="10"/>
      <c r="FM304" s="10"/>
      <c r="FN304" s="10"/>
      <c r="FO304" s="10"/>
      <c r="FP304" s="10"/>
      <c r="FQ304" s="10"/>
      <c r="FR304" s="10"/>
      <c r="FS304" s="10"/>
      <c r="FT304" s="10"/>
      <c r="FU304" s="10"/>
      <c r="FV304" s="10"/>
      <c r="FW304" s="10"/>
      <c r="FX304" s="10"/>
      <c r="FY304" s="10"/>
      <c r="FZ304" s="10"/>
      <c r="GA304" s="10"/>
      <c r="GB304" s="10"/>
      <c r="GC304" s="10"/>
      <c r="GD304" s="10"/>
      <c r="GE304" s="10"/>
      <c r="GF304" s="10"/>
      <c r="GG304" s="10"/>
      <c r="GH304" s="10"/>
      <c r="GI304" s="10"/>
      <c r="GJ304" s="10"/>
      <c r="GK304" s="10"/>
      <c r="GL304" s="10"/>
      <c r="GM304" s="10"/>
      <c r="GN304" s="10"/>
      <c r="GO304" s="10"/>
      <c r="GP304" s="10"/>
      <c r="GQ304" s="10"/>
      <c r="GR304" s="10"/>
      <c r="GS304" s="10"/>
      <c r="GT304" s="10"/>
      <c r="GU304" s="10"/>
      <c r="GV304" s="10"/>
      <c r="GW304" s="10"/>
      <c r="GX304" s="10"/>
      <c r="GY304" s="10"/>
      <c r="GZ304" s="10"/>
      <c r="HA304" s="10"/>
      <c r="HB304" s="10"/>
      <c r="HC304" s="10"/>
      <c r="HD304" s="10"/>
      <c r="HE304" s="10"/>
      <c r="HF304" s="10"/>
      <c r="HG304" s="10"/>
      <c r="HH304" s="10"/>
      <c r="HI304" s="10"/>
      <c r="HJ304" s="10"/>
      <c r="HK304" s="10"/>
      <c r="HL304" s="10"/>
      <c r="HM304" s="10"/>
      <c r="HN304" s="10"/>
      <c r="HO304" s="10"/>
      <c r="HP304" s="10"/>
      <c r="HQ304" s="10"/>
      <c r="HR304" s="10"/>
      <c r="HS304" s="10"/>
      <c r="HT304" s="10"/>
    </row>
    <row r="305" spans="2:228" ht="15" customHeight="1" x14ac:dyDescent="0.2">
      <c r="B305" s="1191"/>
      <c r="C305" s="1191"/>
      <c r="D305" s="1191"/>
      <c r="E305" s="1191"/>
      <c r="F305" s="1191"/>
      <c r="G305" s="1191"/>
      <c r="H305" s="1191"/>
      <c r="I305" s="1191"/>
      <c r="J305" s="1191"/>
      <c r="K305" s="1191"/>
      <c r="L305" s="1191"/>
      <c r="M305" s="1191"/>
      <c r="N305" s="1207" t="s">
        <v>1654</v>
      </c>
      <c r="O305" s="1207"/>
      <c r="P305" s="1207"/>
      <c r="R305" s="128"/>
      <c r="S305" s="98"/>
      <c r="T305" s="94"/>
      <c r="U305" s="94"/>
      <c r="V305" s="94"/>
      <c r="W305" s="94"/>
      <c r="X305" s="94"/>
      <c r="Y305" s="14"/>
      <c r="Z305" s="14"/>
      <c r="AA305" s="14"/>
      <c r="AB305" s="14"/>
      <c r="AC305" s="14"/>
      <c r="AD305" s="14"/>
      <c r="AE305" s="14"/>
      <c r="AF305" s="14"/>
      <c r="AG305" s="14"/>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c r="EM305" s="10"/>
      <c r="EN305" s="10"/>
      <c r="EO305" s="10"/>
      <c r="EP305" s="10"/>
      <c r="EQ305" s="10"/>
      <c r="ER305" s="10"/>
      <c r="ES305" s="10"/>
      <c r="ET305" s="10"/>
      <c r="EU305" s="10"/>
      <c r="EV305" s="10"/>
      <c r="EW305" s="10"/>
      <c r="EX305" s="10"/>
      <c r="EY305" s="10"/>
      <c r="EZ305" s="10"/>
      <c r="FA305" s="10"/>
      <c r="FB305" s="10"/>
      <c r="FC305" s="10"/>
      <c r="FD305" s="10"/>
      <c r="FE305" s="10"/>
      <c r="FF305" s="10"/>
      <c r="FG305" s="10"/>
      <c r="FH305" s="10"/>
      <c r="FI305" s="10"/>
      <c r="FJ305" s="10"/>
      <c r="FK305" s="10"/>
      <c r="FL305" s="10"/>
      <c r="FM305" s="10"/>
      <c r="FN305" s="10"/>
      <c r="FO305" s="10"/>
      <c r="FP305" s="10"/>
      <c r="FQ305" s="10"/>
      <c r="FR305" s="10"/>
      <c r="FS305" s="10"/>
      <c r="FT305" s="10"/>
      <c r="FU305" s="10"/>
      <c r="FV305" s="10"/>
      <c r="FW305" s="10"/>
      <c r="FX305" s="10"/>
      <c r="FY305" s="10"/>
      <c r="FZ305" s="10"/>
      <c r="GA305" s="10"/>
      <c r="GB305" s="10"/>
      <c r="GC305" s="10"/>
      <c r="GD305" s="10"/>
      <c r="GE305" s="10"/>
      <c r="GF305" s="10"/>
      <c r="GG305" s="10"/>
      <c r="GH305" s="10"/>
      <c r="GI305" s="10"/>
      <c r="GJ305" s="10"/>
      <c r="GK305" s="10"/>
      <c r="GL305" s="10"/>
      <c r="GM305" s="10"/>
      <c r="GN305" s="10"/>
      <c r="GO305" s="10"/>
      <c r="GP305" s="10"/>
      <c r="GQ305" s="10"/>
      <c r="GR305" s="10"/>
      <c r="GS305" s="10"/>
      <c r="GT305" s="10"/>
      <c r="GU305" s="10"/>
      <c r="GV305" s="10"/>
      <c r="GW305" s="10"/>
      <c r="GX305" s="10"/>
      <c r="GY305" s="10"/>
      <c r="GZ305" s="10"/>
      <c r="HA305" s="10"/>
      <c r="HB305" s="10"/>
      <c r="HC305" s="10"/>
      <c r="HD305" s="10"/>
      <c r="HE305" s="10"/>
      <c r="HF305" s="10"/>
      <c r="HG305" s="10"/>
      <c r="HH305" s="10"/>
      <c r="HI305" s="10"/>
      <c r="HJ305" s="10"/>
      <c r="HK305" s="10"/>
      <c r="HL305" s="10"/>
      <c r="HM305" s="10"/>
      <c r="HN305" s="10"/>
      <c r="HO305" s="10"/>
      <c r="HP305" s="10"/>
      <c r="HQ305" s="10"/>
      <c r="HR305" s="10"/>
      <c r="HS305" s="10"/>
      <c r="HT305" s="10"/>
    </row>
    <row r="306" spans="2:228" ht="18" customHeight="1" x14ac:dyDescent="0.2">
      <c r="B306" s="818" t="s">
        <v>409</v>
      </c>
      <c r="C306" s="698"/>
      <c r="D306" s="698"/>
      <c r="E306" s="753"/>
      <c r="F306" s="753"/>
      <c r="G306" s="753"/>
      <c r="H306" s="753"/>
      <c r="I306" s="753"/>
      <c r="J306" s="753"/>
      <c r="K306" s="753"/>
      <c r="L306" s="753"/>
      <c r="M306" s="754"/>
      <c r="N306" s="385" t="s">
        <v>1656</v>
      </c>
      <c r="O306" s="385" t="s">
        <v>1657</v>
      </c>
      <c r="P306" s="385" t="s">
        <v>1658</v>
      </c>
      <c r="R306" s="128"/>
      <c r="S306" s="98"/>
      <c r="T306" s="586" t="s">
        <v>1656</v>
      </c>
      <c r="U306" s="586" t="s">
        <v>1565</v>
      </c>
      <c r="V306" s="586" t="s">
        <v>1659</v>
      </c>
      <c r="W306" s="586" t="s">
        <v>1660</v>
      </c>
      <c r="X306" s="586" t="s">
        <v>1661</v>
      </c>
      <c r="Y306" s="14"/>
      <c r="Z306" s="14"/>
      <c r="AA306" s="14"/>
      <c r="AB306" s="14"/>
      <c r="AC306" s="14"/>
      <c r="AD306" s="14"/>
      <c r="AE306" s="14"/>
      <c r="AF306" s="14"/>
      <c r="AG306" s="14"/>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c r="EM306" s="10"/>
      <c r="EN306" s="10"/>
      <c r="EO306" s="10"/>
      <c r="EP306" s="10"/>
      <c r="EQ306" s="10"/>
      <c r="ER306" s="10"/>
      <c r="ES306" s="10"/>
      <c r="ET306" s="10"/>
      <c r="EU306" s="10"/>
      <c r="EV306" s="10"/>
      <c r="EW306" s="10"/>
      <c r="EX306" s="10"/>
      <c r="EY306" s="10"/>
      <c r="EZ306" s="10"/>
      <c r="FA306" s="10"/>
      <c r="FB306" s="10"/>
      <c r="FC306" s="10"/>
      <c r="FD306" s="10"/>
      <c r="FE306" s="10"/>
      <c r="FF306" s="10"/>
      <c r="FG306" s="10"/>
      <c r="FH306" s="10"/>
      <c r="FI306" s="10"/>
      <c r="FJ306" s="10"/>
      <c r="FK306" s="10"/>
      <c r="FL306" s="10"/>
      <c r="FM306" s="10"/>
      <c r="FN306" s="10"/>
      <c r="FO306" s="10"/>
      <c r="FP306" s="10"/>
      <c r="FQ306" s="10"/>
      <c r="FR306" s="10"/>
      <c r="FS306" s="10"/>
      <c r="FT306" s="10"/>
      <c r="FU306" s="10"/>
      <c r="FV306" s="10"/>
      <c r="FW306" s="10"/>
      <c r="FX306" s="10"/>
      <c r="FY306" s="10"/>
      <c r="FZ306" s="10"/>
      <c r="GA306" s="10"/>
      <c r="GB306" s="10"/>
      <c r="GC306" s="10"/>
      <c r="GD306" s="10"/>
      <c r="GE306" s="10"/>
      <c r="GF306" s="10"/>
      <c r="GG306" s="10"/>
      <c r="GH306" s="10"/>
      <c r="GI306" s="10"/>
      <c r="GJ306" s="10"/>
      <c r="GK306" s="10"/>
      <c r="GL306" s="10"/>
      <c r="GM306" s="10"/>
      <c r="GN306" s="10"/>
      <c r="GO306" s="10"/>
      <c r="GP306" s="10"/>
      <c r="GQ306" s="10"/>
      <c r="GR306" s="10"/>
      <c r="GS306" s="10"/>
      <c r="GT306" s="10"/>
      <c r="GU306" s="10"/>
      <c r="GV306" s="10"/>
      <c r="GW306" s="10"/>
      <c r="GX306" s="10"/>
      <c r="GY306" s="10"/>
      <c r="GZ306" s="10"/>
      <c r="HA306" s="10"/>
      <c r="HB306" s="10"/>
      <c r="HC306" s="10"/>
      <c r="HD306" s="10"/>
      <c r="HE306" s="10"/>
      <c r="HF306" s="10"/>
      <c r="HG306" s="10"/>
      <c r="HH306" s="10"/>
      <c r="HI306" s="10"/>
      <c r="HJ306" s="10"/>
      <c r="HK306" s="10"/>
      <c r="HL306" s="10"/>
      <c r="HM306" s="10"/>
      <c r="HN306" s="10"/>
      <c r="HO306" s="10"/>
      <c r="HP306" s="10"/>
      <c r="HQ306" s="10"/>
      <c r="HR306" s="10"/>
      <c r="HS306" s="10"/>
      <c r="HT306" s="10"/>
    </row>
    <row r="307" spans="2:228" ht="27" customHeight="1" x14ac:dyDescent="0.2">
      <c r="B307" s="447" t="s">
        <v>410</v>
      </c>
      <c r="C307" s="463"/>
      <c r="D307" s="448"/>
      <c r="E307" s="462"/>
      <c r="F307" s="1150" t="str">
        <f>IF(Z296=1,"","Tibial - overall loss at level shown; no averaging")</f>
        <v/>
      </c>
      <c r="G307" s="1150"/>
      <c r="H307" s="1150"/>
      <c r="I307" s="1150"/>
      <c r="J307" s="1150"/>
      <c r="K307" s="1150"/>
      <c r="L307" s="1150"/>
      <c r="M307" s="76">
        <f>IF(OR(F307="",S307=0),0,IF($Z$296=2,0.35,IF($Z$296=3,0.28,IF($Z$296=4,0.17,IF($Z$296=5,"See
below",IF(OR($Z$296=6,$Z$296=7),0.06,0))))))</f>
        <v>0</v>
      </c>
      <c r="N307" s="202"/>
      <c r="O307" s="202"/>
      <c r="P307" s="291" t="str">
        <f>IF(AND(S307=1,Z296=5),"",IF(X307=0,"",X307))</f>
        <v/>
      </c>
      <c r="R307" s="579" t="b">
        <v>0</v>
      </c>
      <c r="S307" s="571">
        <f t="shared" ref="S307:S316" si="51">IF(R307=TRUE,1,0)</f>
        <v>0</v>
      </c>
      <c r="T307" s="581">
        <f t="shared" ref="T307:T316" si="52">SUMIF($T$277:$AH$277,N307,$T$278:$AH$278)</f>
        <v>0</v>
      </c>
      <c r="U307" s="581">
        <f t="shared" ref="U307:U316" si="53">SUMIF($S$277:$AH$277,O307,$S$278:$AH$278)</f>
        <v>0</v>
      </c>
      <c r="V307" s="581">
        <f>IF(AND(S307=1,Z296=5),0,M307*T307)</f>
        <v>0</v>
      </c>
      <c r="W307" s="581">
        <f>IF(AND(S307=1,Z296=5),0,M307*U307)</f>
        <v>0</v>
      </c>
      <c r="X307" s="581">
        <f t="shared" ref="X307:X316" si="54">(IF(V307-W307&lt;=0,0,V307-W307))</f>
        <v>0</v>
      </c>
      <c r="Y307" s="14"/>
      <c r="Z307" s="14"/>
      <c r="AA307" s="14"/>
      <c r="AB307" s="14"/>
      <c r="AC307" s="14"/>
      <c r="AD307" s="14"/>
      <c r="AE307" s="14"/>
      <c r="AF307" s="14"/>
      <c r="AG307" s="14"/>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c r="EM307" s="10"/>
      <c r="EN307" s="10"/>
      <c r="EO307" s="10"/>
      <c r="EP307" s="10"/>
      <c r="EQ307" s="10"/>
      <c r="ER307" s="10"/>
      <c r="ES307" s="10"/>
      <c r="ET307" s="10"/>
      <c r="EU307" s="10"/>
      <c r="EV307" s="10"/>
      <c r="EW307" s="10"/>
      <c r="EX307" s="10"/>
      <c r="EY307" s="10"/>
      <c r="EZ307" s="10"/>
      <c r="FA307" s="10"/>
      <c r="FB307" s="10"/>
      <c r="FC307" s="10"/>
      <c r="FD307" s="10"/>
      <c r="FE307" s="10"/>
      <c r="FF307" s="10"/>
      <c r="FG307" s="10"/>
      <c r="FH307" s="10"/>
      <c r="FI307" s="10"/>
      <c r="FJ307" s="10"/>
      <c r="FK307" s="10"/>
      <c r="FL307" s="10"/>
      <c r="FM307" s="10"/>
      <c r="FN307" s="10"/>
      <c r="FO307" s="10"/>
      <c r="FP307" s="10"/>
      <c r="FQ307" s="10"/>
      <c r="FR307" s="10"/>
      <c r="FS307" s="10"/>
      <c r="FT307" s="10"/>
      <c r="FU307" s="10"/>
      <c r="FV307" s="10"/>
      <c r="FW307" s="10"/>
      <c r="FX307" s="10"/>
      <c r="FY307" s="10"/>
      <c r="FZ307" s="10"/>
      <c r="GA307" s="10"/>
      <c r="GB307" s="10"/>
      <c r="GC307" s="10"/>
      <c r="GD307" s="10"/>
      <c r="GE307" s="10"/>
      <c r="GF307" s="10"/>
      <c r="GG307" s="10"/>
      <c r="GH307" s="10"/>
      <c r="GI307" s="10"/>
      <c r="GJ307" s="10"/>
      <c r="GK307" s="10"/>
      <c r="GL307" s="10"/>
      <c r="GM307" s="10"/>
      <c r="GN307" s="10"/>
      <c r="GO307" s="10"/>
      <c r="GP307" s="10"/>
      <c r="GQ307" s="10"/>
      <c r="GR307" s="10"/>
      <c r="GS307" s="10"/>
      <c r="GT307" s="10"/>
      <c r="GU307" s="10"/>
      <c r="GV307" s="10"/>
      <c r="GW307" s="10"/>
      <c r="GX307" s="10"/>
      <c r="GY307" s="10"/>
      <c r="GZ307" s="10"/>
      <c r="HA307" s="10"/>
      <c r="HB307" s="10"/>
      <c r="HC307" s="10"/>
      <c r="HD307" s="10"/>
      <c r="HE307" s="10"/>
      <c r="HF307" s="10"/>
      <c r="HG307" s="10"/>
      <c r="HH307" s="10"/>
      <c r="HI307" s="10"/>
      <c r="HJ307" s="10"/>
      <c r="HK307" s="10"/>
      <c r="HL307" s="10"/>
      <c r="HM307" s="10"/>
      <c r="HN307" s="10"/>
      <c r="HO307" s="10"/>
      <c r="HP307" s="10"/>
      <c r="HQ307" s="10"/>
      <c r="HR307" s="10"/>
      <c r="HS307" s="10"/>
      <c r="HT307" s="10"/>
    </row>
    <row r="308" spans="2:228" ht="15" customHeight="1" x14ac:dyDescent="0.2">
      <c r="B308" s="461"/>
      <c r="C308" s="39"/>
      <c r="D308" s="464"/>
      <c r="E308" s="462"/>
      <c r="F308" s="1186" t="str">
        <f>IF(OR(S307=1,Z296=1,Z296=5,Z296=6,Z296=7),"","Gastrocnemius")</f>
        <v/>
      </c>
      <c r="G308" s="1186"/>
      <c r="H308" s="1186"/>
      <c r="I308" s="1186"/>
      <c r="J308" s="1186"/>
      <c r="K308" s="1186"/>
      <c r="L308" s="1186"/>
      <c r="M308" s="76">
        <f t="shared" ref="M308:M314" si="55">IF(OR(F308="",S308=0),0,IF($Z$296=2,0.35,IF($Z$296=3,0.28,IF($Z$296=4,0.17,0))))</f>
        <v>0</v>
      </c>
      <c r="N308" s="202"/>
      <c r="O308" s="202"/>
      <c r="P308" s="291" t="str">
        <f>IF(X308=0,"",X308)</f>
        <v/>
      </c>
      <c r="R308" s="579" t="b">
        <v>0</v>
      </c>
      <c r="S308" s="571">
        <f t="shared" si="51"/>
        <v>0</v>
      </c>
      <c r="T308" s="581">
        <f t="shared" si="52"/>
        <v>0</v>
      </c>
      <c r="U308" s="581">
        <f t="shared" si="53"/>
        <v>0</v>
      </c>
      <c r="V308" s="581">
        <f t="shared" ref="V308:V316" si="56">M308*T308</f>
        <v>0</v>
      </c>
      <c r="W308" s="581">
        <f t="shared" ref="W308:W316" si="57">M308*U308</f>
        <v>0</v>
      </c>
      <c r="X308" s="581">
        <f t="shared" si="54"/>
        <v>0</v>
      </c>
      <c r="Y308" s="10"/>
      <c r="Z308" s="10"/>
      <c r="AA308" s="10"/>
      <c r="AB308" s="10"/>
      <c r="AC308" s="14"/>
      <c r="AD308" s="14"/>
      <c r="AE308" s="14"/>
      <c r="AF308" s="14"/>
      <c r="AG308" s="14"/>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c r="EM308" s="10"/>
      <c r="EN308" s="10"/>
      <c r="EO308" s="10"/>
      <c r="EP308" s="10"/>
      <c r="EQ308" s="10"/>
      <c r="ER308" s="10"/>
      <c r="ES308" s="10"/>
      <c r="ET308" s="10"/>
      <c r="EU308" s="10"/>
      <c r="EV308" s="10"/>
      <c r="EW308" s="10"/>
      <c r="EX308" s="10"/>
      <c r="EY308" s="10"/>
      <c r="EZ308" s="10"/>
      <c r="FA308" s="10"/>
      <c r="FB308" s="10"/>
      <c r="FC308" s="10"/>
      <c r="FD308" s="10"/>
      <c r="FE308" s="10"/>
      <c r="FF308" s="10"/>
      <c r="FG308" s="10"/>
      <c r="FH308" s="10"/>
      <c r="FI308" s="10"/>
      <c r="FJ308" s="10"/>
      <c r="FK308" s="10"/>
      <c r="FL308" s="10"/>
      <c r="FM308" s="10"/>
      <c r="FN308" s="10"/>
      <c r="FO308" s="10"/>
      <c r="FP308" s="10"/>
      <c r="FQ308" s="10"/>
      <c r="FR308" s="10"/>
      <c r="FS308" s="10"/>
      <c r="FT308" s="10"/>
      <c r="FU308" s="10"/>
      <c r="FV308" s="10"/>
      <c r="FW308" s="10"/>
      <c r="FX308" s="10"/>
      <c r="FY308" s="10"/>
      <c r="FZ308" s="10"/>
      <c r="GA308" s="10"/>
      <c r="GB308" s="10"/>
      <c r="GC308" s="10"/>
      <c r="GD308" s="10"/>
      <c r="GE308" s="10"/>
      <c r="GF308" s="10"/>
      <c r="GG308" s="10"/>
      <c r="GH308" s="10"/>
      <c r="GI308" s="10"/>
      <c r="GJ308" s="10"/>
      <c r="GK308" s="10"/>
      <c r="GL308" s="10"/>
      <c r="GM308" s="10"/>
      <c r="GN308" s="10"/>
      <c r="GO308" s="10"/>
      <c r="GP308" s="10"/>
      <c r="GQ308" s="10"/>
      <c r="GR308" s="10"/>
      <c r="GS308" s="10"/>
      <c r="GT308" s="10"/>
      <c r="GU308" s="10"/>
      <c r="GV308" s="10"/>
      <c r="GW308" s="10"/>
      <c r="GX308" s="10"/>
      <c r="GY308" s="10"/>
      <c r="GZ308" s="10"/>
      <c r="HA308" s="10"/>
      <c r="HB308" s="10"/>
      <c r="HC308" s="10"/>
      <c r="HD308" s="10"/>
      <c r="HE308" s="10"/>
      <c r="HF308" s="10"/>
      <c r="HG308" s="10"/>
      <c r="HH308" s="10"/>
      <c r="HI308" s="10"/>
      <c r="HJ308" s="10"/>
      <c r="HK308" s="10"/>
      <c r="HL308" s="10"/>
      <c r="HM308" s="10"/>
      <c r="HN308" s="10"/>
      <c r="HO308" s="10"/>
      <c r="HP308" s="10"/>
      <c r="HQ308" s="10"/>
      <c r="HR308" s="10"/>
      <c r="HS308" s="10"/>
      <c r="HT308" s="10"/>
    </row>
    <row r="309" spans="2:228" ht="15" customHeight="1" x14ac:dyDescent="0.2">
      <c r="B309" s="461"/>
      <c r="C309" s="39"/>
      <c r="D309" s="464"/>
      <c r="E309" s="462"/>
      <c r="F309" s="791" t="str">
        <f>IF(OR(S307=1,Z296=1,Z296=5,Z296=6,Z296=7),"","Plantaris")</f>
        <v/>
      </c>
      <c r="G309" s="791"/>
      <c r="H309" s="791"/>
      <c r="I309" s="791"/>
      <c r="J309" s="791"/>
      <c r="K309" s="791"/>
      <c r="L309" s="791"/>
      <c r="M309" s="76">
        <f t="shared" si="55"/>
        <v>0</v>
      </c>
      <c r="N309" s="202"/>
      <c r="O309" s="202"/>
      <c r="P309" s="291" t="str">
        <f t="shared" ref="P309:P316" si="58">IF(X309=0,"",X309)</f>
        <v/>
      </c>
      <c r="R309" s="579" t="b">
        <v>0</v>
      </c>
      <c r="S309" s="571">
        <f t="shared" si="51"/>
        <v>0</v>
      </c>
      <c r="T309" s="581">
        <f t="shared" si="52"/>
        <v>0</v>
      </c>
      <c r="U309" s="581">
        <f t="shared" si="53"/>
        <v>0</v>
      </c>
      <c r="V309" s="581">
        <f t="shared" si="56"/>
        <v>0</v>
      </c>
      <c r="W309" s="581">
        <f t="shared" si="57"/>
        <v>0</v>
      </c>
      <c r="X309" s="581">
        <f t="shared" si="54"/>
        <v>0</v>
      </c>
      <c r="Y309" s="10"/>
      <c r="Z309" s="10"/>
      <c r="AA309" s="10"/>
      <c r="AB309" s="14"/>
      <c r="AC309" s="14"/>
      <c r="AD309" s="14"/>
      <c r="AE309" s="14"/>
      <c r="AF309" s="14"/>
      <c r="AG309" s="14"/>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c r="EM309" s="10"/>
      <c r="EN309" s="10"/>
      <c r="EO309" s="10"/>
      <c r="EP309" s="10"/>
      <c r="EQ309" s="10"/>
      <c r="ER309" s="10"/>
      <c r="ES309" s="10"/>
      <c r="ET309" s="10"/>
      <c r="EU309" s="10"/>
      <c r="EV309" s="10"/>
      <c r="EW309" s="10"/>
      <c r="EX309" s="10"/>
      <c r="EY309" s="10"/>
      <c r="EZ309" s="10"/>
      <c r="FA309" s="10"/>
      <c r="FB309" s="10"/>
      <c r="FC309" s="10"/>
      <c r="FD309" s="10"/>
      <c r="FE309" s="10"/>
      <c r="FF309" s="10"/>
      <c r="FG309" s="10"/>
      <c r="FH309" s="10"/>
      <c r="FI309" s="10"/>
      <c r="FJ309" s="10"/>
      <c r="FK309" s="10"/>
      <c r="FL309" s="10"/>
      <c r="FM309" s="10"/>
      <c r="FN309" s="10"/>
      <c r="FO309" s="10"/>
      <c r="FP309" s="10"/>
      <c r="FQ309" s="10"/>
      <c r="FR309" s="10"/>
      <c r="FS309" s="10"/>
      <c r="FT309" s="10"/>
      <c r="FU309" s="10"/>
      <c r="FV309" s="10"/>
      <c r="FW309" s="10"/>
      <c r="FX309" s="10"/>
      <c r="FY309" s="10"/>
      <c r="FZ309" s="10"/>
      <c r="GA309" s="10"/>
      <c r="GB309" s="10"/>
      <c r="GC309" s="10"/>
      <c r="GD309" s="10"/>
      <c r="GE309" s="10"/>
      <c r="GF309" s="10"/>
      <c r="GG309" s="10"/>
      <c r="GH309" s="10"/>
      <c r="GI309" s="10"/>
      <c r="GJ309" s="10"/>
      <c r="GK309" s="10"/>
      <c r="GL309" s="10"/>
      <c r="GM309" s="10"/>
      <c r="GN309" s="10"/>
      <c r="GO309" s="10"/>
      <c r="GP309" s="10"/>
      <c r="GQ309" s="10"/>
      <c r="GR309" s="10"/>
      <c r="GS309" s="10"/>
      <c r="GT309" s="10"/>
      <c r="GU309" s="10"/>
      <c r="GV309" s="10"/>
      <c r="GW309" s="10"/>
      <c r="GX309" s="10"/>
      <c r="GY309" s="10"/>
      <c r="GZ309" s="10"/>
      <c r="HA309" s="10"/>
      <c r="HB309" s="10"/>
      <c r="HC309" s="10"/>
      <c r="HD309" s="10"/>
      <c r="HE309" s="10"/>
      <c r="HF309" s="10"/>
      <c r="HG309" s="10"/>
      <c r="HH309" s="10"/>
      <c r="HI309" s="10"/>
      <c r="HJ309" s="10"/>
      <c r="HK309" s="10"/>
      <c r="HL309" s="10"/>
      <c r="HM309" s="10"/>
      <c r="HN309" s="10"/>
      <c r="HO309" s="10"/>
      <c r="HP309" s="10"/>
      <c r="HQ309" s="10"/>
      <c r="HR309" s="10"/>
      <c r="HS309" s="10"/>
      <c r="HT309" s="10"/>
    </row>
    <row r="310" spans="2:228" ht="15" customHeight="1" x14ac:dyDescent="0.2">
      <c r="B310" s="461"/>
      <c r="C310" s="39"/>
      <c r="D310" s="464"/>
      <c r="E310" s="462"/>
      <c r="F310" s="1186" t="str">
        <f>IF(OR(S307=1,Z296=1,Z296=5,Z296=6,Z296=7),"","Popliteus")</f>
        <v/>
      </c>
      <c r="G310" s="1186"/>
      <c r="H310" s="1186"/>
      <c r="I310" s="1186"/>
      <c r="J310" s="1186"/>
      <c r="K310" s="1186"/>
      <c r="L310" s="1186"/>
      <c r="M310" s="76">
        <f t="shared" si="55"/>
        <v>0</v>
      </c>
      <c r="N310" s="202"/>
      <c r="O310" s="202"/>
      <c r="P310" s="291" t="str">
        <f t="shared" si="58"/>
        <v/>
      </c>
      <c r="R310" s="579" t="b">
        <v>0</v>
      </c>
      <c r="S310" s="571">
        <f t="shared" si="51"/>
        <v>0</v>
      </c>
      <c r="T310" s="581">
        <f t="shared" si="52"/>
        <v>0</v>
      </c>
      <c r="U310" s="581">
        <f t="shared" si="53"/>
        <v>0</v>
      </c>
      <c r="V310" s="581">
        <f t="shared" si="56"/>
        <v>0</v>
      </c>
      <c r="W310" s="581">
        <f t="shared" si="57"/>
        <v>0</v>
      </c>
      <c r="X310" s="581">
        <f t="shared" si="54"/>
        <v>0</v>
      </c>
      <c r="Y310" s="10"/>
      <c r="Z310" s="10"/>
      <c r="AA310" s="14"/>
      <c r="AB310" s="14"/>
      <c r="AC310" s="14"/>
      <c r="AD310" s="14"/>
      <c r="AE310" s="14"/>
      <c r="AF310" s="14"/>
      <c r="AG310" s="14"/>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c r="EM310" s="10"/>
      <c r="EN310" s="10"/>
      <c r="EO310" s="10"/>
      <c r="EP310" s="10"/>
      <c r="EQ310" s="10"/>
      <c r="ER310" s="10"/>
      <c r="ES310" s="10"/>
      <c r="ET310" s="10"/>
      <c r="EU310" s="10"/>
      <c r="EV310" s="10"/>
      <c r="EW310" s="10"/>
      <c r="EX310" s="10"/>
      <c r="EY310" s="10"/>
      <c r="EZ310" s="10"/>
      <c r="FA310" s="10"/>
      <c r="FB310" s="10"/>
      <c r="FC310" s="10"/>
      <c r="FD310" s="10"/>
      <c r="FE310" s="10"/>
      <c r="FF310" s="10"/>
      <c r="FG310" s="10"/>
      <c r="FH310" s="10"/>
      <c r="FI310" s="10"/>
      <c r="FJ310" s="10"/>
      <c r="FK310" s="10"/>
      <c r="FL310" s="10"/>
      <c r="FM310" s="10"/>
      <c r="FN310" s="10"/>
      <c r="FO310" s="10"/>
      <c r="FP310" s="10"/>
      <c r="FQ310" s="10"/>
      <c r="FR310" s="10"/>
      <c r="FS310" s="10"/>
      <c r="FT310" s="10"/>
      <c r="FU310" s="10"/>
      <c r="FV310" s="10"/>
      <c r="FW310" s="10"/>
      <c r="FX310" s="10"/>
      <c r="FY310" s="10"/>
      <c r="FZ310" s="10"/>
      <c r="GA310" s="10"/>
      <c r="GB310" s="10"/>
      <c r="GC310" s="10"/>
      <c r="GD310" s="10"/>
      <c r="GE310" s="10"/>
      <c r="GF310" s="10"/>
      <c r="GG310" s="10"/>
      <c r="GH310" s="10"/>
      <c r="GI310" s="10"/>
      <c r="GJ310" s="10"/>
      <c r="GK310" s="10"/>
      <c r="GL310" s="10"/>
      <c r="GM310" s="10"/>
      <c r="GN310" s="10"/>
      <c r="GO310" s="10"/>
      <c r="GP310" s="10"/>
      <c r="GQ310" s="10"/>
      <c r="GR310" s="10"/>
      <c r="GS310" s="10"/>
      <c r="GT310" s="10"/>
      <c r="GU310" s="10"/>
      <c r="GV310" s="10"/>
      <c r="GW310" s="10"/>
      <c r="GX310" s="10"/>
      <c r="GY310" s="10"/>
      <c r="GZ310" s="10"/>
      <c r="HA310" s="10"/>
      <c r="HB310" s="10"/>
      <c r="HC310" s="10"/>
      <c r="HD310" s="10"/>
      <c r="HE310" s="10"/>
      <c r="HF310" s="10"/>
      <c r="HG310" s="10"/>
      <c r="HH310" s="10"/>
      <c r="HI310" s="10"/>
      <c r="HJ310" s="10"/>
      <c r="HK310" s="10"/>
      <c r="HL310" s="10"/>
      <c r="HM310" s="10"/>
      <c r="HN310" s="10"/>
      <c r="HO310" s="10"/>
      <c r="HP310" s="10"/>
      <c r="HQ310" s="10"/>
      <c r="HR310" s="10"/>
      <c r="HS310" s="10"/>
      <c r="HT310" s="10"/>
    </row>
    <row r="311" spans="2:228" ht="15" customHeight="1" x14ac:dyDescent="0.2">
      <c r="B311" s="461"/>
      <c r="C311" s="39"/>
      <c r="D311" s="464"/>
      <c r="E311" s="462"/>
      <c r="F311" s="791" t="str">
        <f>IF(OR(S307=1,Z296=1,Z296=5,Z296=6,Z296=7),"","Soleus")</f>
        <v/>
      </c>
      <c r="G311" s="791"/>
      <c r="H311" s="791"/>
      <c r="I311" s="791"/>
      <c r="J311" s="791"/>
      <c r="K311" s="791"/>
      <c r="L311" s="791"/>
      <c r="M311" s="76">
        <f t="shared" si="55"/>
        <v>0</v>
      </c>
      <c r="N311" s="202"/>
      <c r="O311" s="202"/>
      <c r="P311" s="291" t="str">
        <f t="shared" si="58"/>
        <v/>
      </c>
      <c r="R311" s="546" t="b">
        <v>0</v>
      </c>
      <c r="S311" s="571">
        <f t="shared" si="51"/>
        <v>0</v>
      </c>
      <c r="T311" s="581">
        <f t="shared" si="52"/>
        <v>0</v>
      </c>
      <c r="U311" s="581">
        <f t="shared" si="53"/>
        <v>0</v>
      </c>
      <c r="V311" s="581">
        <f t="shared" si="56"/>
        <v>0</v>
      </c>
      <c r="W311" s="581">
        <f t="shared" si="57"/>
        <v>0</v>
      </c>
      <c r="X311" s="581">
        <f t="shared" si="54"/>
        <v>0</v>
      </c>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c r="EM311" s="10"/>
      <c r="EN311" s="10"/>
      <c r="EO311" s="10"/>
      <c r="EP311" s="10"/>
      <c r="EQ311" s="10"/>
      <c r="ER311" s="10"/>
      <c r="ES311" s="10"/>
      <c r="ET311" s="10"/>
      <c r="EU311" s="10"/>
      <c r="EV311" s="10"/>
      <c r="EW311" s="10"/>
      <c r="EX311" s="10"/>
      <c r="EY311" s="10"/>
      <c r="EZ311" s="10"/>
      <c r="FA311" s="10"/>
      <c r="FB311" s="10"/>
      <c r="FC311" s="10"/>
      <c r="FD311" s="10"/>
      <c r="FE311" s="10"/>
      <c r="FF311" s="10"/>
      <c r="FG311" s="10"/>
      <c r="FH311" s="10"/>
      <c r="FI311" s="10"/>
      <c r="FJ311" s="10"/>
      <c r="FK311" s="10"/>
      <c r="FL311" s="10"/>
      <c r="FM311" s="10"/>
      <c r="FN311" s="10"/>
      <c r="FO311" s="10"/>
      <c r="FP311" s="10"/>
      <c r="FQ311" s="10"/>
      <c r="FR311" s="10"/>
      <c r="FS311" s="10"/>
      <c r="FT311" s="10"/>
      <c r="FU311" s="10"/>
      <c r="FV311" s="10"/>
      <c r="FW311" s="10"/>
      <c r="FX311" s="10"/>
      <c r="FY311" s="10"/>
      <c r="FZ311" s="10"/>
      <c r="GA311" s="10"/>
      <c r="GB311" s="10"/>
      <c r="GC311" s="10"/>
      <c r="GD311" s="10"/>
      <c r="GE311" s="10"/>
      <c r="GF311" s="10"/>
      <c r="GG311" s="10"/>
      <c r="GH311" s="10"/>
      <c r="GI311" s="10"/>
      <c r="GJ311" s="10"/>
      <c r="GK311" s="10"/>
      <c r="GL311" s="10"/>
      <c r="GM311" s="10"/>
      <c r="GN311" s="10"/>
      <c r="GO311" s="10"/>
      <c r="GP311" s="10"/>
      <c r="GQ311" s="10"/>
      <c r="GR311" s="10"/>
      <c r="GS311" s="10"/>
      <c r="GT311" s="10"/>
      <c r="GU311" s="10"/>
      <c r="GV311" s="10"/>
      <c r="GW311" s="10"/>
      <c r="GX311" s="10"/>
      <c r="GY311" s="10"/>
      <c r="GZ311" s="10"/>
      <c r="HA311" s="10"/>
      <c r="HB311" s="10"/>
      <c r="HC311" s="10"/>
      <c r="HD311" s="10"/>
      <c r="HE311" s="10"/>
      <c r="HF311" s="10"/>
      <c r="HG311" s="10"/>
      <c r="HH311" s="10"/>
      <c r="HI311" s="10"/>
      <c r="HJ311" s="10"/>
      <c r="HK311" s="10"/>
      <c r="HL311" s="10"/>
      <c r="HM311" s="10"/>
      <c r="HN311" s="10"/>
      <c r="HO311" s="10"/>
      <c r="HP311" s="10"/>
      <c r="HQ311" s="10"/>
      <c r="HR311" s="10"/>
      <c r="HS311" s="10"/>
      <c r="HT311" s="10"/>
    </row>
    <row r="312" spans="2:228" ht="15" customHeight="1" x14ac:dyDescent="0.2">
      <c r="B312" s="461"/>
      <c r="C312" s="39"/>
      <c r="D312" s="464"/>
      <c r="E312" s="462"/>
      <c r="F312" s="1186" t="str">
        <f>IF(OR(S307=1,Z296=1,Z296=5,Z296=6,Z296=7),"","Tibialis posterior")</f>
        <v/>
      </c>
      <c r="G312" s="1186"/>
      <c r="H312" s="1186"/>
      <c r="I312" s="1186"/>
      <c r="J312" s="1186"/>
      <c r="K312" s="1186"/>
      <c r="L312" s="1186"/>
      <c r="M312" s="76">
        <f t="shared" si="55"/>
        <v>0</v>
      </c>
      <c r="N312" s="202"/>
      <c r="O312" s="202"/>
      <c r="P312" s="291" t="str">
        <f t="shared" si="58"/>
        <v/>
      </c>
      <c r="R312" s="546" t="b">
        <v>0</v>
      </c>
      <c r="S312" s="571">
        <f t="shared" si="51"/>
        <v>0</v>
      </c>
      <c r="T312" s="581">
        <f t="shared" si="52"/>
        <v>0</v>
      </c>
      <c r="U312" s="581">
        <f t="shared" si="53"/>
        <v>0</v>
      </c>
      <c r="V312" s="581">
        <f t="shared" si="56"/>
        <v>0</v>
      </c>
      <c r="W312" s="581">
        <f t="shared" si="57"/>
        <v>0</v>
      </c>
      <c r="X312" s="581">
        <f t="shared" si="54"/>
        <v>0</v>
      </c>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28"/>
      <c r="BE312" s="14"/>
      <c r="BF312" s="14"/>
      <c r="BG312" s="14"/>
      <c r="BH312" s="14"/>
      <c r="BI312" s="14"/>
      <c r="BJ312" s="14"/>
      <c r="BK312" s="14"/>
      <c r="BL312" s="14"/>
      <c r="BM312" s="14"/>
      <c r="BN312" s="14"/>
      <c r="BO312" s="14"/>
      <c r="BP312" s="14"/>
      <c r="BQ312" s="11"/>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0"/>
      <c r="EH312" s="10"/>
      <c r="EI312" s="10"/>
      <c r="EJ312" s="10"/>
      <c r="EK312" s="10"/>
      <c r="EL312" s="10"/>
      <c r="EM312" s="10"/>
      <c r="EN312" s="10"/>
      <c r="EO312" s="10"/>
      <c r="EP312" s="10"/>
      <c r="EQ312" s="10"/>
      <c r="ER312" s="10"/>
      <c r="ES312" s="10"/>
      <c r="ET312" s="10"/>
      <c r="EU312" s="10"/>
      <c r="EV312" s="10"/>
      <c r="EW312" s="10"/>
      <c r="EX312" s="10"/>
      <c r="EY312" s="10"/>
      <c r="EZ312" s="10"/>
      <c r="FA312" s="10"/>
      <c r="FB312" s="10"/>
      <c r="FC312" s="10"/>
      <c r="FD312" s="10"/>
      <c r="FE312" s="10"/>
      <c r="FF312" s="10"/>
      <c r="FG312" s="10"/>
      <c r="FH312" s="10"/>
      <c r="FI312" s="10"/>
      <c r="FJ312" s="10"/>
      <c r="FK312" s="10"/>
      <c r="FL312" s="10"/>
      <c r="FM312" s="10"/>
      <c r="FN312" s="10"/>
      <c r="FO312" s="10"/>
      <c r="FP312" s="10"/>
      <c r="FQ312" s="10"/>
      <c r="FR312" s="10"/>
      <c r="FS312" s="10"/>
      <c r="FT312" s="10"/>
      <c r="FU312" s="10"/>
      <c r="FV312" s="10"/>
      <c r="FW312" s="10"/>
      <c r="FX312" s="10"/>
      <c r="FY312" s="10"/>
      <c r="FZ312" s="10"/>
      <c r="GA312" s="10"/>
      <c r="GB312" s="10"/>
      <c r="GC312" s="10"/>
      <c r="GD312" s="10"/>
      <c r="GE312" s="10"/>
      <c r="GF312" s="10"/>
      <c r="GG312" s="10"/>
      <c r="GH312" s="10"/>
      <c r="GI312" s="10"/>
      <c r="GJ312" s="10"/>
      <c r="GK312" s="10"/>
      <c r="GL312" s="10"/>
      <c r="GM312" s="10"/>
      <c r="GN312" s="10"/>
      <c r="GO312" s="10"/>
      <c r="GP312" s="10"/>
      <c r="GQ312" s="10"/>
      <c r="GR312" s="10"/>
      <c r="GS312" s="10"/>
      <c r="GT312" s="10"/>
      <c r="GU312" s="10"/>
      <c r="GV312" s="10"/>
      <c r="GW312" s="10"/>
      <c r="GX312" s="10"/>
      <c r="GY312" s="10"/>
      <c r="GZ312" s="10"/>
      <c r="HA312" s="10"/>
      <c r="HB312" s="10"/>
      <c r="HC312" s="10"/>
      <c r="HD312" s="10"/>
      <c r="HE312" s="10"/>
      <c r="HF312" s="10"/>
      <c r="HG312" s="10"/>
      <c r="HH312" s="10"/>
      <c r="HI312" s="10"/>
      <c r="HJ312" s="10"/>
      <c r="HK312" s="10"/>
      <c r="HL312" s="10"/>
      <c r="HM312" s="10"/>
      <c r="HN312" s="10"/>
      <c r="HO312" s="10"/>
      <c r="HP312" s="10"/>
      <c r="HQ312" s="10"/>
      <c r="HR312" s="10"/>
      <c r="HS312" s="10"/>
      <c r="HT312" s="10"/>
    </row>
    <row r="313" spans="2:228" ht="15" customHeight="1" x14ac:dyDescent="0.2">
      <c r="B313" s="461"/>
      <c r="C313" s="39"/>
      <c r="D313" s="464"/>
      <c r="E313" s="462"/>
      <c r="F313" s="791" t="str">
        <f>IF(OR(S307=1,Z296=1,Z296=5,Z296=6,Z296=7),"","Flexor digitorum longus")</f>
        <v/>
      </c>
      <c r="G313" s="791"/>
      <c r="H313" s="791"/>
      <c r="I313" s="791"/>
      <c r="J313" s="791"/>
      <c r="K313" s="791"/>
      <c r="L313" s="791"/>
      <c r="M313" s="76">
        <f t="shared" si="55"/>
        <v>0</v>
      </c>
      <c r="N313" s="202"/>
      <c r="O313" s="202"/>
      <c r="P313" s="291" t="str">
        <f t="shared" si="58"/>
        <v/>
      </c>
      <c r="R313" s="546" t="b">
        <v>0</v>
      </c>
      <c r="S313" s="571">
        <f t="shared" si="51"/>
        <v>0</v>
      </c>
      <c r="T313" s="581">
        <f t="shared" si="52"/>
        <v>0</v>
      </c>
      <c r="U313" s="581">
        <f t="shared" si="53"/>
        <v>0</v>
      </c>
      <c r="V313" s="581">
        <f t="shared" si="56"/>
        <v>0</v>
      </c>
      <c r="W313" s="581">
        <f t="shared" si="57"/>
        <v>0</v>
      </c>
      <c r="X313" s="581">
        <f t="shared" si="54"/>
        <v>0</v>
      </c>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4"/>
      <c r="BM313" s="14"/>
      <c r="BN313" s="14"/>
      <c r="BO313" s="14"/>
      <c r="BP313" s="14"/>
      <c r="BQ313" s="11"/>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c r="EM313" s="10"/>
      <c r="EN313" s="10"/>
      <c r="EO313" s="10"/>
      <c r="EP313" s="10"/>
      <c r="EQ313" s="10"/>
      <c r="ER313" s="10"/>
      <c r="ES313" s="10"/>
      <c r="ET313" s="10"/>
      <c r="EU313" s="10"/>
      <c r="EV313" s="10"/>
      <c r="EW313" s="10"/>
      <c r="EX313" s="10"/>
      <c r="EY313" s="10"/>
      <c r="EZ313" s="10"/>
      <c r="FA313" s="10"/>
      <c r="FB313" s="10"/>
      <c r="FC313" s="10"/>
      <c r="FD313" s="10"/>
      <c r="FE313" s="10"/>
      <c r="FF313" s="10"/>
      <c r="FG313" s="10"/>
      <c r="FH313" s="10"/>
      <c r="FI313" s="10"/>
      <c r="FJ313" s="10"/>
      <c r="FK313" s="10"/>
      <c r="FL313" s="10"/>
      <c r="FM313" s="10"/>
      <c r="FN313" s="10"/>
      <c r="FO313" s="10"/>
      <c r="FP313" s="10"/>
      <c r="FQ313" s="10"/>
      <c r="FR313" s="10"/>
      <c r="FS313" s="10"/>
      <c r="FT313" s="10"/>
      <c r="FU313" s="10"/>
      <c r="FV313" s="10"/>
      <c r="FW313" s="10"/>
      <c r="FX313" s="10"/>
      <c r="FY313" s="10"/>
      <c r="FZ313" s="10"/>
      <c r="GA313" s="10"/>
      <c r="GB313" s="10"/>
      <c r="GC313" s="10"/>
      <c r="GD313" s="10"/>
      <c r="GE313" s="10"/>
      <c r="GF313" s="10"/>
      <c r="GG313" s="10"/>
      <c r="GH313" s="10"/>
      <c r="GI313" s="10"/>
      <c r="GJ313" s="10"/>
      <c r="GK313" s="10"/>
      <c r="GL313" s="10"/>
      <c r="GM313" s="10"/>
      <c r="GN313" s="10"/>
      <c r="GO313" s="10"/>
      <c r="GP313" s="10"/>
      <c r="GQ313" s="10"/>
      <c r="GR313" s="10"/>
      <c r="GS313" s="10"/>
      <c r="GT313" s="10"/>
      <c r="GU313" s="10"/>
      <c r="GV313" s="10"/>
      <c r="GW313" s="10"/>
      <c r="GX313" s="10"/>
      <c r="GY313" s="10"/>
      <c r="GZ313" s="10"/>
      <c r="HA313" s="10"/>
      <c r="HB313" s="10"/>
      <c r="HC313" s="10"/>
      <c r="HD313" s="10"/>
      <c r="HE313" s="10"/>
      <c r="HF313" s="10"/>
      <c r="HG313" s="10"/>
      <c r="HH313" s="10"/>
      <c r="HI313" s="10"/>
      <c r="HJ313" s="10"/>
      <c r="HK313" s="10"/>
      <c r="HL313" s="10"/>
      <c r="HM313" s="10"/>
      <c r="HN313" s="10"/>
      <c r="HO313" s="10"/>
      <c r="HP313" s="10"/>
      <c r="HQ313" s="10"/>
      <c r="HR313" s="10"/>
      <c r="HS313" s="10"/>
      <c r="HT313" s="10"/>
    </row>
    <row r="314" spans="2:228" ht="15" customHeight="1" x14ac:dyDescent="0.2">
      <c r="B314" s="461"/>
      <c r="C314" s="39"/>
      <c r="D314" s="464"/>
      <c r="E314" s="462"/>
      <c r="F314" s="1186" t="str">
        <f>IF(OR(S307=1,Z296=1,Z296=5,Z296=6,Z296=7),"","Flexor hallucis longus")</f>
        <v/>
      </c>
      <c r="G314" s="1186"/>
      <c r="H314" s="1186"/>
      <c r="I314" s="1186"/>
      <c r="J314" s="1186"/>
      <c r="K314" s="1186"/>
      <c r="L314" s="1186"/>
      <c r="M314" s="76">
        <f t="shared" si="55"/>
        <v>0</v>
      </c>
      <c r="N314" s="202"/>
      <c r="O314" s="202"/>
      <c r="P314" s="291" t="str">
        <f t="shared" si="58"/>
        <v/>
      </c>
      <c r="R314" s="546" t="b">
        <v>0</v>
      </c>
      <c r="S314" s="571">
        <f t="shared" si="51"/>
        <v>0</v>
      </c>
      <c r="T314" s="581">
        <f t="shared" si="52"/>
        <v>0</v>
      </c>
      <c r="U314" s="581">
        <f t="shared" si="53"/>
        <v>0</v>
      </c>
      <c r="V314" s="581">
        <f t="shared" si="56"/>
        <v>0</v>
      </c>
      <c r="W314" s="581">
        <f t="shared" si="57"/>
        <v>0</v>
      </c>
      <c r="X314" s="581">
        <f t="shared" si="54"/>
        <v>0</v>
      </c>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0"/>
      <c r="EH314" s="10"/>
      <c r="EI314" s="10"/>
      <c r="EJ314" s="10"/>
      <c r="EK314" s="10"/>
      <c r="EL314" s="10"/>
      <c r="EM314" s="10"/>
      <c r="EN314" s="10"/>
      <c r="EO314" s="10"/>
      <c r="EP314" s="10"/>
      <c r="EQ314" s="10"/>
      <c r="ER314" s="10"/>
      <c r="ES314" s="10"/>
      <c r="ET314" s="10"/>
      <c r="EU314" s="10"/>
      <c r="EV314" s="10"/>
      <c r="EW314" s="10"/>
      <c r="EX314" s="10"/>
      <c r="EY314" s="10"/>
      <c r="EZ314" s="10"/>
      <c r="FA314" s="10"/>
      <c r="FB314" s="10"/>
      <c r="FC314" s="10"/>
      <c r="FD314" s="10"/>
      <c r="FE314" s="10"/>
      <c r="FF314" s="10"/>
      <c r="FG314" s="10"/>
      <c r="FH314" s="10"/>
      <c r="FI314" s="10"/>
      <c r="FJ314" s="10"/>
      <c r="FK314" s="10"/>
      <c r="FL314" s="10"/>
      <c r="FM314" s="10"/>
      <c r="FN314" s="10"/>
      <c r="FO314" s="10"/>
      <c r="FP314" s="10"/>
      <c r="FQ314" s="10"/>
      <c r="FR314" s="10"/>
      <c r="FS314" s="10"/>
      <c r="FT314" s="10"/>
      <c r="FU314" s="10"/>
      <c r="FV314" s="10"/>
      <c r="FW314" s="10"/>
      <c r="FX314" s="10"/>
      <c r="FY314" s="10"/>
      <c r="FZ314" s="10"/>
      <c r="GA314" s="10"/>
      <c r="GB314" s="10"/>
      <c r="GC314" s="10"/>
      <c r="GD314" s="10"/>
      <c r="GE314" s="10"/>
      <c r="GF314" s="10"/>
      <c r="GG314" s="10"/>
      <c r="GH314" s="10"/>
      <c r="GI314" s="10"/>
      <c r="GJ314" s="10"/>
      <c r="GK314" s="10"/>
      <c r="GL314" s="10"/>
      <c r="GM314" s="10"/>
      <c r="GN314" s="10"/>
      <c r="GO314" s="10"/>
      <c r="GP314" s="10"/>
      <c r="GQ314" s="10"/>
      <c r="GR314" s="10"/>
      <c r="GS314" s="10"/>
      <c r="GT314" s="10"/>
      <c r="GU314" s="10"/>
      <c r="GV314" s="10"/>
      <c r="GW314" s="10"/>
      <c r="GX314" s="10"/>
      <c r="GY314" s="10"/>
      <c r="GZ314" s="10"/>
      <c r="HA314" s="10"/>
      <c r="HB314" s="10"/>
      <c r="HC314" s="10"/>
      <c r="HD314" s="10"/>
      <c r="HE314" s="10"/>
      <c r="HF314" s="10"/>
      <c r="HG314" s="10"/>
      <c r="HH314" s="10"/>
      <c r="HI314" s="10"/>
      <c r="HJ314" s="10"/>
      <c r="HK314" s="10"/>
      <c r="HL314" s="10"/>
      <c r="HM314" s="10"/>
      <c r="HN314" s="10"/>
      <c r="HO314" s="10"/>
      <c r="HP314" s="10"/>
      <c r="HQ314" s="10"/>
      <c r="HR314" s="10"/>
      <c r="HS314" s="10"/>
      <c r="HT314" s="10"/>
    </row>
    <row r="315" spans="2:228" ht="15" customHeight="1" x14ac:dyDescent="0.2">
      <c r="B315" s="461"/>
      <c r="C315" s="39"/>
      <c r="D315" s="464"/>
      <c r="E315" s="462"/>
      <c r="F315" s="1186" t="str">
        <f>IF(OR(Z296=1,Z296=7),"",IF(AND(Z296=6,S307=1),"",IF(AND(S307=1,Z296=5),"Lateral plantar branch",IF(S307=1,"","Abductor digiti minimi"))))</f>
        <v/>
      </c>
      <c r="G315" s="1186"/>
      <c r="H315" s="1186"/>
      <c r="I315" s="1186"/>
      <c r="J315" s="1186"/>
      <c r="K315" s="1186"/>
      <c r="L315" s="1186"/>
      <c r="M315" s="76">
        <f>IF(OR(F315="",S315=0),0,0.06)</f>
        <v>0</v>
      </c>
      <c r="N315" s="202"/>
      <c r="O315" s="202"/>
      <c r="P315" s="291" t="str">
        <f t="shared" si="58"/>
        <v/>
      </c>
      <c r="R315" s="546" t="b">
        <v>0</v>
      </c>
      <c r="S315" s="571">
        <f t="shared" si="51"/>
        <v>0</v>
      </c>
      <c r="T315" s="581">
        <f t="shared" si="52"/>
        <v>0</v>
      </c>
      <c r="U315" s="581">
        <f t="shared" si="53"/>
        <v>0</v>
      </c>
      <c r="V315" s="581">
        <f t="shared" si="56"/>
        <v>0</v>
      </c>
      <c r="W315" s="581">
        <f t="shared" si="57"/>
        <v>0</v>
      </c>
      <c r="X315" s="581">
        <f t="shared" si="54"/>
        <v>0</v>
      </c>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0"/>
      <c r="EH315" s="10"/>
      <c r="EI315" s="10"/>
      <c r="EJ315" s="10"/>
      <c r="EK315" s="10"/>
      <c r="EL315" s="10"/>
      <c r="EM315" s="10"/>
      <c r="EN315" s="10"/>
      <c r="EO315" s="10"/>
      <c r="EP315" s="10"/>
      <c r="EQ315" s="10"/>
      <c r="ER315" s="10"/>
      <c r="ES315" s="10"/>
      <c r="ET315" s="10"/>
      <c r="EU315" s="10"/>
      <c r="EV315" s="10"/>
      <c r="EW315" s="10"/>
      <c r="EX315" s="10"/>
      <c r="EY315" s="10"/>
      <c r="EZ315" s="10"/>
      <c r="FA315" s="10"/>
      <c r="FB315" s="10"/>
      <c r="FC315" s="10"/>
      <c r="FD315" s="10"/>
      <c r="FE315" s="10"/>
      <c r="FF315" s="10"/>
      <c r="FG315" s="10"/>
      <c r="FH315" s="10"/>
      <c r="FI315" s="10"/>
      <c r="FJ315" s="10"/>
      <c r="FK315" s="10"/>
      <c r="FL315" s="10"/>
      <c r="FM315" s="10"/>
      <c r="FN315" s="10"/>
      <c r="FO315" s="10"/>
      <c r="FP315" s="10"/>
      <c r="FQ315" s="10"/>
      <c r="FR315" s="10"/>
      <c r="FS315" s="10"/>
      <c r="FT315" s="10"/>
      <c r="FU315" s="10"/>
      <c r="FV315" s="10"/>
      <c r="FW315" s="10"/>
      <c r="FX315" s="10"/>
      <c r="FY315" s="10"/>
      <c r="FZ315" s="10"/>
      <c r="GA315" s="10"/>
      <c r="GB315" s="10"/>
      <c r="GC315" s="10"/>
      <c r="GD315" s="10"/>
      <c r="GE315" s="10"/>
      <c r="GF315" s="10"/>
      <c r="GG315" s="10"/>
      <c r="GH315" s="10"/>
      <c r="GI315" s="10"/>
      <c r="GJ315" s="10"/>
      <c r="GK315" s="10"/>
      <c r="GL315" s="10"/>
      <c r="GM315" s="10"/>
      <c r="GN315" s="10"/>
      <c r="GO315" s="10"/>
      <c r="GP315" s="10"/>
      <c r="GQ315" s="10"/>
      <c r="GR315" s="10"/>
      <c r="GS315" s="10"/>
      <c r="GT315" s="10"/>
      <c r="GU315" s="10"/>
      <c r="GV315" s="10"/>
      <c r="GW315" s="10"/>
      <c r="GX315" s="10"/>
      <c r="GY315" s="10"/>
      <c r="GZ315" s="10"/>
      <c r="HA315" s="10"/>
      <c r="HB315" s="10"/>
      <c r="HC315" s="10"/>
      <c r="HD315" s="10"/>
      <c r="HE315" s="10"/>
      <c r="HF315" s="10"/>
      <c r="HG315" s="10"/>
      <c r="HH315" s="10"/>
      <c r="HI315" s="10"/>
      <c r="HJ315" s="10"/>
      <c r="HK315" s="10"/>
      <c r="HL315" s="10"/>
      <c r="HM315" s="10"/>
      <c r="HN315" s="10"/>
      <c r="HO315" s="10"/>
      <c r="HP315" s="10"/>
      <c r="HQ315" s="10"/>
      <c r="HR315" s="10"/>
      <c r="HS315" s="10"/>
      <c r="HT315" s="10"/>
    </row>
    <row r="316" spans="2:228" ht="15" customHeight="1" x14ac:dyDescent="0.2">
      <c r="B316" s="461"/>
      <c r="C316" s="39"/>
      <c r="D316" s="464"/>
      <c r="E316" s="462"/>
      <c r="F316" s="1186" t="str">
        <f>IF(OR(S307=1,Z296=1,Z296=7),"","Dorsal interossei")</f>
        <v/>
      </c>
      <c r="G316" s="1186"/>
      <c r="H316" s="1186"/>
      <c r="I316" s="1186"/>
      <c r="J316" s="1186"/>
      <c r="K316" s="1186"/>
      <c r="L316" s="1186"/>
      <c r="M316" s="76">
        <f>IF(OR(F316="",S316=0),0,0.06)</f>
        <v>0</v>
      </c>
      <c r="N316" s="202"/>
      <c r="O316" s="202"/>
      <c r="P316" s="291" t="str">
        <f t="shared" si="58"/>
        <v/>
      </c>
      <c r="R316" s="546" t="b">
        <v>0</v>
      </c>
      <c r="S316" s="571">
        <f t="shared" si="51"/>
        <v>0</v>
      </c>
      <c r="T316" s="581">
        <f t="shared" si="52"/>
        <v>0</v>
      </c>
      <c r="U316" s="581">
        <f t="shared" si="53"/>
        <v>0</v>
      </c>
      <c r="V316" s="581">
        <f t="shared" si="56"/>
        <v>0</v>
      </c>
      <c r="W316" s="581">
        <f t="shared" si="57"/>
        <v>0</v>
      </c>
      <c r="X316" s="581">
        <f t="shared" si="54"/>
        <v>0</v>
      </c>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c r="EM316" s="10"/>
      <c r="EN316" s="10"/>
      <c r="EO316" s="10"/>
      <c r="EP316" s="10"/>
      <c r="EQ316" s="10"/>
      <c r="ER316" s="10"/>
      <c r="ES316" s="10"/>
      <c r="ET316" s="10"/>
      <c r="EU316" s="10"/>
      <c r="EV316" s="10"/>
      <c r="EW316" s="10"/>
      <c r="EX316" s="10"/>
      <c r="EY316" s="10"/>
      <c r="EZ316" s="10"/>
      <c r="FA316" s="10"/>
      <c r="FB316" s="10"/>
      <c r="FC316" s="10"/>
      <c r="FD316" s="10"/>
      <c r="FE316" s="10"/>
      <c r="FF316" s="10"/>
      <c r="FG316" s="10"/>
      <c r="FH316" s="10"/>
      <c r="FI316" s="10"/>
      <c r="FJ316" s="10"/>
      <c r="FK316" s="10"/>
      <c r="FL316" s="10"/>
      <c r="FM316" s="10"/>
      <c r="FN316" s="10"/>
      <c r="FO316" s="10"/>
      <c r="FP316" s="10"/>
      <c r="FQ316" s="10"/>
      <c r="FR316" s="10"/>
      <c r="FS316" s="10"/>
      <c r="FT316" s="10"/>
      <c r="FU316" s="10"/>
      <c r="FV316" s="10"/>
      <c r="FW316" s="10"/>
      <c r="FX316" s="10"/>
      <c r="FY316" s="10"/>
      <c r="FZ316" s="10"/>
      <c r="GA316" s="10"/>
      <c r="GB316" s="10"/>
      <c r="GC316" s="10"/>
      <c r="GD316" s="10"/>
      <c r="GE316" s="10"/>
      <c r="GF316" s="10"/>
      <c r="GG316" s="10"/>
      <c r="GH316" s="10"/>
      <c r="GI316" s="10"/>
      <c r="GJ316" s="10"/>
      <c r="GK316" s="10"/>
      <c r="GL316" s="10"/>
      <c r="GM316" s="10"/>
      <c r="GN316" s="10"/>
      <c r="GO316" s="10"/>
      <c r="GP316" s="10"/>
      <c r="GQ316" s="10"/>
      <c r="GR316" s="10"/>
      <c r="GS316" s="10"/>
      <c r="GT316" s="10"/>
      <c r="GU316" s="10"/>
      <c r="GV316" s="10"/>
      <c r="GW316" s="10"/>
      <c r="GX316" s="10"/>
      <c r="GY316" s="10"/>
      <c r="GZ316" s="10"/>
      <c r="HA316" s="10"/>
      <c r="HB316" s="10"/>
      <c r="HC316" s="10"/>
      <c r="HD316" s="10"/>
      <c r="HE316" s="10"/>
      <c r="HF316" s="10"/>
      <c r="HG316" s="10"/>
      <c r="HH316" s="10"/>
      <c r="HI316" s="10"/>
      <c r="HJ316" s="10"/>
      <c r="HK316" s="10"/>
      <c r="HL316" s="10"/>
      <c r="HM316" s="10"/>
      <c r="HN316" s="10"/>
      <c r="HO316" s="10"/>
      <c r="HP316" s="10"/>
      <c r="HQ316" s="10"/>
      <c r="HR316" s="10"/>
      <c r="HS316" s="10"/>
      <c r="HT316" s="10"/>
    </row>
    <row r="317" spans="2:228" ht="15" customHeight="1" x14ac:dyDescent="0.2">
      <c r="B317" s="461"/>
      <c r="C317" s="39"/>
      <c r="D317" s="464"/>
      <c r="E317" s="467"/>
      <c r="F317" s="1006" t="str">
        <f>IF(OR(Z296=5,Z296=6),"Total for lateral plantar branch of the tibial nerve:","")</f>
        <v/>
      </c>
      <c r="G317" s="1007"/>
      <c r="H317" s="1007"/>
      <c r="I317" s="1007"/>
      <c r="J317" s="1007"/>
      <c r="K317" s="1007"/>
      <c r="L317" s="1007"/>
      <c r="M317" s="1007"/>
      <c r="N317" s="1007"/>
      <c r="O317" s="1008"/>
      <c r="P317" s="291" t="str">
        <f>IF(AND(P315="",P316=""),"",IF(OR(Z296=5,Z296=6),AVERAGE(P315:P316),""))</f>
        <v/>
      </c>
      <c r="R317" s="140"/>
      <c r="S317" s="98"/>
      <c r="T317" s="94"/>
      <c r="U317" s="94"/>
      <c r="V317" s="94"/>
      <c r="W317" s="94"/>
      <c r="X317" s="94"/>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c r="DY317" s="10"/>
      <c r="DZ317" s="10"/>
      <c r="EA317" s="10"/>
      <c r="EB317" s="10"/>
      <c r="EC317" s="10"/>
      <c r="ED317" s="10"/>
      <c r="EE317" s="10"/>
      <c r="EF317" s="10"/>
      <c r="EG317" s="10"/>
      <c r="EH317" s="10"/>
      <c r="EI317" s="10"/>
      <c r="EJ317" s="10"/>
      <c r="EK317" s="10"/>
      <c r="EL317" s="10"/>
      <c r="EM317" s="10"/>
      <c r="EN317" s="10"/>
      <c r="EO317" s="10"/>
      <c r="EP317" s="10"/>
      <c r="EQ317" s="10"/>
      <c r="ER317" s="10"/>
      <c r="ES317" s="10"/>
      <c r="ET317" s="10"/>
      <c r="EU317" s="10"/>
      <c r="EV317" s="10"/>
      <c r="EW317" s="10"/>
      <c r="EX317" s="10"/>
      <c r="EY317" s="10"/>
      <c r="EZ317" s="10"/>
      <c r="FA317" s="10"/>
      <c r="FB317" s="10"/>
      <c r="FC317" s="10"/>
      <c r="FD317" s="10"/>
      <c r="FE317" s="10"/>
      <c r="FF317" s="10"/>
      <c r="FG317" s="10"/>
      <c r="FH317" s="10"/>
      <c r="FI317" s="10"/>
      <c r="FJ317" s="10"/>
      <c r="FK317" s="10"/>
      <c r="FL317" s="10"/>
      <c r="FM317" s="10"/>
      <c r="FN317" s="10"/>
      <c r="FO317" s="10"/>
      <c r="FP317" s="10"/>
      <c r="FQ317" s="10"/>
      <c r="FR317" s="10"/>
      <c r="FS317" s="10"/>
      <c r="FT317" s="10"/>
      <c r="FU317" s="10"/>
      <c r="FV317" s="10"/>
      <c r="FW317" s="10"/>
      <c r="FX317" s="10"/>
      <c r="FY317" s="10"/>
      <c r="FZ317" s="10"/>
      <c r="GA317" s="10"/>
      <c r="GB317" s="10"/>
      <c r="GC317" s="10"/>
      <c r="GD317" s="10"/>
      <c r="GE317" s="10"/>
      <c r="GF317" s="10"/>
      <c r="GG317" s="10"/>
      <c r="GH317" s="10"/>
      <c r="GI317" s="10"/>
      <c r="GJ317" s="10"/>
      <c r="GK317" s="10"/>
      <c r="GL317" s="10"/>
      <c r="GM317" s="10"/>
      <c r="GN317" s="10"/>
      <c r="GO317" s="10"/>
      <c r="GP317" s="10"/>
      <c r="GQ317" s="10"/>
      <c r="GR317" s="10"/>
      <c r="GS317" s="10"/>
      <c r="GT317" s="10"/>
      <c r="GU317" s="10"/>
      <c r="GV317" s="10"/>
      <c r="GW317" s="10"/>
      <c r="GX317" s="10"/>
      <c r="GY317" s="10"/>
      <c r="GZ317" s="10"/>
      <c r="HA317" s="10"/>
      <c r="HB317" s="10"/>
      <c r="HC317" s="10"/>
      <c r="HD317" s="10"/>
      <c r="HE317" s="10"/>
      <c r="HF317" s="10"/>
      <c r="HG317" s="10"/>
      <c r="HH317" s="10"/>
      <c r="HI317" s="10"/>
      <c r="HJ317" s="10"/>
      <c r="HK317" s="10"/>
      <c r="HL317" s="10"/>
      <c r="HM317" s="10"/>
      <c r="HN317" s="10"/>
      <c r="HO317" s="10"/>
      <c r="HP317" s="10"/>
      <c r="HQ317" s="10"/>
      <c r="HR317" s="10"/>
      <c r="HS317" s="10"/>
      <c r="HT317" s="10"/>
    </row>
    <row r="318" spans="2:228" ht="15" customHeight="1" x14ac:dyDescent="0.2">
      <c r="B318" s="282"/>
      <c r="C318" s="182"/>
      <c r="D318" s="449"/>
      <c r="E318" s="462"/>
      <c r="F318" s="791" t="str">
        <f>IF(OR(Z296=1,Z296=6),"",IF(AND(Z296=7,S307=1),"",IF(AND(S307=1,Z296=5),"Medial plantar branch",IF(S307=1,"","Abductor hallucis"))))</f>
        <v/>
      </c>
      <c r="G318" s="791"/>
      <c r="H318" s="791"/>
      <c r="I318" s="791"/>
      <c r="J318" s="791"/>
      <c r="K318" s="791"/>
      <c r="L318" s="791"/>
      <c r="M318" s="76">
        <f>IF(OR(F318="",S318=0),0,0.06)</f>
        <v>0</v>
      </c>
      <c r="N318" s="202"/>
      <c r="O318" s="202"/>
      <c r="P318" s="291" t="str">
        <f>IF(X318=0,"",X318)</f>
        <v/>
      </c>
      <c r="R318" s="546" t="b">
        <v>0</v>
      </c>
      <c r="S318" s="571">
        <f>IF(R318=TRUE,1,0)</f>
        <v>0</v>
      </c>
      <c r="T318" s="581">
        <f>SUMIF($T$277:$AH$277,N318,$T$278:$AH$278)</f>
        <v>0</v>
      </c>
      <c r="U318" s="581">
        <f>SUMIF($S$277:$AH$277,O318,$S$278:$AH$278)</f>
        <v>0</v>
      </c>
      <c r="V318" s="581">
        <f>M318*T318</f>
        <v>0</v>
      </c>
      <c r="W318" s="581">
        <f>M318*U318</f>
        <v>0</v>
      </c>
      <c r="X318" s="581">
        <f>(IF(V318-W318&lt;=0,0,V318-W318))</f>
        <v>0</v>
      </c>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c r="EM318" s="10"/>
      <c r="EN318" s="10"/>
      <c r="EO318" s="10"/>
      <c r="EP318" s="10"/>
      <c r="EQ318" s="10"/>
      <c r="ER318" s="10"/>
      <c r="ES318" s="10"/>
      <c r="ET318" s="10"/>
      <c r="EU318" s="10"/>
      <c r="EV318" s="10"/>
      <c r="EW318" s="10"/>
      <c r="EX318" s="10"/>
      <c r="EY318" s="10"/>
      <c r="EZ318" s="10"/>
      <c r="FA318" s="10"/>
      <c r="FB318" s="10"/>
      <c r="FC318" s="10"/>
      <c r="FD318" s="10"/>
      <c r="FE318" s="10"/>
      <c r="FF318" s="10"/>
      <c r="FG318" s="10"/>
      <c r="FH318" s="10"/>
      <c r="FI318" s="10"/>
      <c r="FJ318" s="10"/>
      <c r="FK318" s="10"/>
      <c r="FL318" s="10"/>
      <c r="FM318" s="10"/>
      <c r="FN318" s="10"/>
      <c r="FO318" s="10"/>
      <c r="FP318" s="10"/>
      <c r="FQ318" s="10"/>
      <c r="FR318" s="10"/>
      <c r="FS318" s="10"/>
      <c r="FT318" s="10"/>
      <c r="FU318" s="10"/>
      <c r="FV318" s="10"/>
      <c r="FW318" s="10"/>
      <c r="FX318" s="10"/>
      <c r="FY318" s="10"/>
      <c r="FZ318" s="10"/>
      <c r="GA318" s="10"/>
      <c r="GB318" s="10"/>
      <c r="GC318" s="10"/>
      <c r="GD318" s="10"/>
      <c r="GE318" s="10"/>
      <c r="GF318" s="10"/>
      <c r="GG318" s="10"/>
      <c r="GH318" s="10"/>
      <c r="GI318" s="10"/>
      <c r="GJ318" s="10"/>
      <c r="GK318" s="10"/>
      <c r="GL318" s="10"/>
      <c r="GM318" s="10"/>
      <c r="GN318" s="10"/>
      <c r="GO318" s="10"/>
      <c r="GP318" s="10"/>
      <c r="GQ318" s="10"/>
      <c r="GR318" s="10"/>
      <c r="GS318" s="10"/>
      <c r="GT318" s="10"/>
      <c r="GU318" s="10"/>
      <c r="GV318" s="10"/>
      <c r="GW318" s="10"/>
      <c r="GX318" s="10"/>
      <c r="GY318" s="10"/>
      <c r="GZ318" s="10"/>
      <c r="HA318" s="10"/>
      <c r="HB318" s="10"/>
      <c r="HC318" s="10"/>
      <c r="HD318" s="10"/>
      <c r="HE318" s="10"/>
      <c r="HF318" s="10"/>
      <c r="HG318" s="10"/>
      <c r="HH318" s="10"/>
      <c r="HI318" s="10"/>
      <c r="HJ318" s="10"/>
      <c r="HK318" s="10"/>
      <c r="HL318" s="10"/>
      <c r="HM318" s="10"/>
      <c r="HN318" s="10"/>
      <c r="HO318" s="10"/>
      <c r="HP318" s="10"/>
      <c r="HQ318" s="10"/>
      <c r="HR318" s="10"/>
      <c r="HS318" s="10"/>
      <c r="HT318" s="10"/>
    </row>
    <row r="319" spans="2:228" ht="18" customHeight="1" x14ac:dyDescent="0.2">
      <c r="B319" s="1165" t="str">
        <f>IF(Z296=2,"Total for tibial nerve; LEG impairment:",IF(OR(Z296=3,Z296=4),"Total for tibial nerve; FOOT impairment:",IF(OR(Z296=5,Z296=7),"Total for medial plantar branch of the tibial nerve:","")))</f>
        <v/>
      </c>
      <c r="C319" s="1165"/>
      <c r="D319" s="1165"/>
      <c r="E319" s="957"/>
      <c r="F319" s="957"/>
      <c r="G319" s="957"/>
      <c r="H319" s="957"/>
      <c r="I319" s="957"/>
      <c r="J319" s="957"/>
      <c r="K319" s="957"/>
      <c r="L319" s="957"/>
      <c r="M319" s="957"/>
      <c r="N319" s="957"/>
      <c r="O319" s="957"/>
      <c r="P319" s="291">
        <f>IF(T319=0,0,IF(OR(Z296=1,Z296=6),0,IF(OR(Z296=5,Z296=7),AVERAGE(P318,P307),IF(OR(Z296=2,Z296=3,Z296=4),AVERAGE(P307:P318)))))</f>
        <v>0</v>
      </c>
      <c r="R319" s="50" t="s">
        <v>1687</v>
      </c>
      <c r="S319" s="571">
        <f>SUM(S307:S318)</f>
        <v>0</v>
      </c>
      <c r="T319" s="581">
        <f>SUM(P307:P318)</f>
        <v>0</v>
      </c>
      <c r="U319" s="581"/>
      <c r="V319" s="544"/>
      <c r="W319" s="544"/>
      <c r="X319" s="544"/>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0"/>
      <c r="EH319" s="10"/>
      <c r="EI319" s="10"/>
      <c r="EJ319" s="10"/>
      <c r="EK319" s="10"/>
      <c r="EL319" s="10"/>
      <c r="EM319" s="10"/>
      <c r="EN319" s="10"/>
      <c r="EO319" s="10"/>
      <c r="EP319" s="10"/>
      <c r="EQ319" s="10"/>
      <c r="ER319" s="10"/>
      <c r="ES319" s="10"/>
      <c r="ET319" s="10"/>
      <c r="EU319" s="10"/>
      <c r="EV319" s="10"/>
      <c r="EW319" s="10"/>
      <c r="EX319" s="10"/>
      <c r="EY319" s="10"/>
      <c r="EZ319" s="10"/>
      <c r="FA319" s="10"/>
      <c r="FB319" s="10"/>
      <c r="FC319" s="10"/>
      <c r="FD319" s="10"/>
      <c r="FE319" s="10"/>
      <c r="FF319" s="10"/>
      <c r="FG319" s="10"/>
      <c r="FH319" s="10"/>
      <c r="FI319" s="10"/>
      <c r="FJ319" s="10"/>
      <c r="FK319" s="10"/>
      <c r="FL319" s="10"/>
      <c r="FM319" s="10"/>
      <c r="FN319" s="10"/>
      <c r="FO319" s="10"/>
      <c r="FP319" s="10"/>
      <c r="FQ319" s="10"/>
      <c r="FR319" s="10"/>
      <c r="FS319" s="10"/>
      <c r="FT319" s="10"/>
      <c r="FU319" s="10"/>
      <c r="FV319" s="10"/>
      <c r="FW319" s="10"/>
      <c r="FX319" s="10"/>
      <c r="FY319" s="10"/>
      <c r="FZ319" s="10"/>
      <c r="GA319" s="10"/>
      <c r="GB319" s="10"/>
      <c r="GC319" s="10"/>
      <c r="GD319" s="10"/>
      <c r="GE319" s="10"/>
      <c r="GF319" s="10"/>
      <c r="GG319" s="10"/>
      <c r="GH319" s="10"/>
      <c r="GI319" s="10"/>
      <c r="GJ319" s="10"/>
      <c r="GK319" s="10"/>
      <c r="GL319" s="10"/>
      <c r="GM319" s="10"/>
      <c r="GN319" s="10"/>
      <c r="GO319" s="10"/>
      <c r="GP319" s="10"/>
      <c r="GQ319" s="10"/>
      <c r="GR319" s="10"/>
      <c r="GS319" s="10"/>
      <c r="GT319" s="10"/>
      <c r="GU319" s="10"/>
      <c r="GV319" s="10"/>
      <c r="GW319" s="10"/>
      <c r="GX319" s="10"/>
      <c r="GY319" s="10"/>
      <c r="GZ319" s="10"/>
      <c r="HA319" s="10"/>
      <c r="HB319" s="10"/>
      <c r="HC319" s="10"/>
      <c r="HD319" s="10"/>
      <c r="HE319" s="10"/>
      <c r="HF319" s="10"/>
      <c r="HG319" s="10"/>
      <c r="HH319" s="10"/>
      <c r="HI319" s="10"/>
      <c r="HJ319" s="10"/>
      <c r="HK319" s="10"/>
      <c r="HL319" s="10"/>
      <c r="HM319" s="10"/>
      <c r="HN319" s="10"/>
      <c r="HO319" s="10"/>
      <c r="HP319" s="10"/>
      <c r="HQ319" s="10"/>
      <c r="HR319" s="10"/>
      <c r="HS319" s="10"/>
      <c r="HT319" s="10"/>
    </row>
    <row r="320" spans="2:228" ht="15" customHeight="1" x14ac:dyDescent="0.2">
      <c r="B320" s="749" t="s">
        <v>411</v>
      </c>
      <c r="C320" s="750"/>
      <c r="D320" s="751"/>
      <c r="E320" s="471"/>
      <c r="F320" s="776" t="s">
        <v>969</v>
      </c>
      <c r="G320" s="776"/>
      <c r="H320" s="776"/>
      <c r="I320" s="776"/>
      <c r="J320" s="776"/>
      <c r="K320" s="776"/>
      <c r="L320" s="776"/>
      <c r="M320" s="79">
        <f t="shared" ref="M320:M326" si="59">IF(OR(F320="",S320=0),0,0.3)</f>
        <v>0</v>
      </c>
      <c r="N320" s="394"/>
      <c r="O320" s="394"/>
      <c r="P320" s="298" t="str">
        <f>IF(X320=0,"",X320)</f>
        <v/>
      </c>
      <c r="R320" s="546" t="b">
        <v>0</v>
      </c>
      <c r="S320" s="571">
        <f t="shared" ref="S320:S326" si="60">IF(R320=TRUE,1,0)</f>
        <v>0</v>
      </c>
      <c r="T320" s="581">
        <f t="shared" ref="T320:T326" si="61">SUMIF($T$277:$AH$277,N320,$T$278:$AH$278)</f>
        <v>0</v>
      </c>
      <c r="U320" s="581">
        <f t="shared" ref="U320:U326" si="62">SUMIF($S$277:$AH$277,O320,$S$278:$AH$278)</f>
        <v>0</v>
      </c>
      <c r="V320" s="581">
        <f t="shared" ref="V320:V326" si="63">M320*T320</f>
        <v>0</v>
      </c>
      <c r="W320" s="581">
        <f t="shared" ref="W320:W326" si="64">M320*U320</f>
        <v>0</v>
      </c>
      <c r="X320" s="581">
        <f t="shared" ref="X320:X326" si="65">(IF(V320-W320&lt;=0,0,V320-W320))</f>
        <v>0</v>
      </c>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c r="EM320" s="10"/>
      <c r="EN320" s="10"/>
      <c r="EO320" s="10"/>
      <c r="EP320" s="10"/>
      <c r="EQ320" s="10"/>
      <c r="ER320" s="10"/>
      <c r="ES320" s="10"/>
      <c r="ET320" s="10"/>
      <c r="EU320" s="10"/>
      <c r="EV320" s="10"/>
      <c r="EW320" s="10"/>
      <c r="EX320" s="10"/>
      <c r="EY320" s="10"/>
      <c r="EZ320" s="10"/>
      <c r="FA320" s="10"/>
      <c r="FB320" s="10"/>
      <c r="FC320" s="10"/>
      <c r="FD320" s="10"/>
      <c r="FE320" s="10"/>
      <c r="FF320" s="10"/>
      <c r="FG320" s="10"/>
      <c r="FH320" s="10"/>
      <c r="FI320" s="10"/>
      <c r="FJ320" s="10"/>
      <c r="FK320" s="10"/>
      <c r="FL320" s="10"/>
      <c r="FM320" s="10"/>
      <c r="FN320" s="10"/>
      <c r="FO320" s="10"/>
      <c r="FP320" s="10"/>
      <c r="FQ320" s="10"/>
      <c r="FR320" s="10"/>
      <c r="FS320" s="10"/>
      <c r="FT320" s="10"/>
      <c r="FU320" s="10"/>
      <c r="FV320" s="10"/>
      <c r="FW320" s="10"/>
      <c r="FX320" s="10"/>
      <c r="FY320" s="10"/>
      <c r="FZ320" s="10"/>
      <c r="GA320" s="10"/>
      <c r="GB320" s="10"/>
      <c r="GC320" s="10"/>
      <c r="GD320" s="10"/>
      <c r="GE320" s="10"/>
      <c r="GF320" s="10"/>
      <c r="GG320" s="10"/>
      <c r="GH320" s="10"/>
      <c r="GI320" s="10"/>
      <c r="GJ320" s="10"/>
      <c r="GK320" s="10"/>
      <c r="GL320" s="10"/>
      <c r="GM320" s="10"/>
      <c r="GN320" s="10"/>
      <c r="GO320" s="10"/>
      <c r="GP320" s="10"/>
      <c r="GQ320" s="10"/>
      <c r="GR320" s="10"/>
      <c r="GS320" s="10"/>
      <c r="GT320" s="10"/>
      <c r="GU320" s="10"/>
      <c r="GV320" s="10"/>
      <c r="GW320" s="10"/>
      <c r="GX320" s="10"/>
      <c r="GY320" s="10"/>
      <c r="GZ320" s="10"/>
      <c r="HA320" s="10"/>
      <c r="HB320" s="10"/>
      <c r="HC320" s="10"/>
      <c r="HD320" s="10"/>
      <c r="HE320" s="10"/>
      <c r="HF320" s="10"/>
      <c r="HG320" s="10"/>
      <c r="HH320" s="10"/>
      <c r="HI320" s="10"/>
      <c r="HJ320" s="10"/>
      <c r="HK320" s="10"/>
      <c r="HL320" s="10"/>
      <c r="HM320" s="10"/>
      <c r="HN320" s="10"/>
      <c r="HO320" s="10"/>
      <c r="HP320" s="10"/>
      <c r="HQ320" s="10"/>
      <c r="HR320" s="10"/>
      <c r="HS320" s="10"/>
      <c r="HT320" s="10"/>
    </row>
    <row r="321" spans="2:228" ht="15" customHeight="1" x14ac:dyDescent="0.2">
      <c r="B321" s="818"/>
      <c r="C321" s="698"/>
      <c r="D321" s="819"/>
      <c r="E321" s="460"/>
      <c r="F321" s="791" t="str">
        <f>IF(S320=1,"","Pectineus")</f>
        <v>Pectineus</v>
      </c>
      <c r="G321" s="791"/>
      <c r="H321" s="791"/>
      <c r="I321" s="791"/>
      <c r="J321" s="791"/>
      <c r="K321" s="791"/>
      <c r="L321" s="791"/>
      <c r="M321" s="80">
        <f t="shared" si="59"/>
        <v>0</v>
      </c>
      <c r="N321" s="202"/>
      <c r="O321" s="202"/>
      <c r="P321" s="298" t="str">
        <f t="shared" ref="P321:P326" si="66">IF(X321=0,"",X321)</f>
        <v/>
      </c>
      <c r="R321" s="546" t="b">
        <v>0</v>
      </c>
      <c r="S321" s="571">
        <f t="shared" si="60"/>
        <v>0</v>
      </c>
      <c r="T321" s="581">
        <f t="shared" si="61"/>
        <v>0</v>
      </c>
      <c r="U321" s="581">
        <f t="shared" si="62"/>
        <v>0</v>
      </c>
      <c r="V321" s="581">
        <f t="shared" si="63"/>
        <v>0</v>
      </c>
      <c r="W321" s="581">
        <f t="shared" si="64"/>
        <v>0</v>
      </c>
      <c r="X321" s="581">
        <f t="shared" si="65"/>
        <v>0</v>
      </c>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0"/>
      <c r="EH321" s="10"/>
      <c r="EI321" s="10"/>
      <c r="EJ321" s="10"/>
      <c r="EK321" s="10"/>
      <c r="EL321" s="10"/>
      <c r="EM321" s="10"/>
      <c r="EN321" s="10"/>
      <c r="EO321" s="10"/>
      <c r="EP321" s="10"/>
      <c r="EQ321" s="10"/>
      <c r="ER321" s="10"/>
      <c r="ES321" s="10"/>
      <c r="ET321" s="10"/>
      <c r="EU321" s="10"/>
      <c r="EV321" s="10"/>
      <c r="EW321" s="10"/>
      <c r="EX321" s="10"/>
      <c r="EY321" s="10"/>
      <c r="EZ321" s="10"/>
      <c r="FA321" s="10"/>
      <c r="FB321" s="10"/>
      <c r="FC321" s="10"/>
      <c r="FD321" s="10"/>
      <c r="FE321" s="10"/>
      <c r="FF321" s="10"/>
      <c r="FG321" s="10"/>
      <c r="FH321" s="10"/>
      <c r="FI321" s="10"/>
      <c r="FJ321" s="10"/>
      <c r="FK321" s="10"/>
      <c r="FL321" s="10"/>
      <c r="FM321" s="10"/>
      <c r="FN321" s="10"/>
      <c r="FO321" s="10"/>
      <c r="FP321" s="10"/>
      <c r="FQ321" s="10"/>
      <c r="FR321" s="10"/>
      <c r="FS321" s="10"/>
      <c r="FT321" s="10"/>
      <c r="FU321" s="10"/>
      <c r="FV321" s="10"/>
      <c r="FW321" s="10"/>
      <c r="FX321" s="10"/>
      <c r="FY321" s="10"/>
      <c r="FZ321" s="10"/>
      <c r="GA321" s="10"/>
      <c r="GB321" s="10"/>
      <c r="GC321" s="10"/>
      <c r="GD321" s="10"/>
      <c r="GE321" s="10"/>
      <c r="GF321" s="10"/>
      <c r="GG321" s="10"/>
      <c r="GH321" s="10"/>
      <c r="GI321" s="10"/>
      <c r="GJ321" s="10"/>
      <c r="GK321" s="10"/>
      <c r="GL321" s="10"/>
      <c r="GM321" s="10"/>
      <c r="GN321" s="10"/>
      <c r="GO321" s="10"/>
      <c r="GP321" s="10"/>
      <c r="GQ321" s="10"/>
      <c r="GR321" s="10"/>
      <c r="GS321" s="10"/>
      <c r="GT321" s="10"/>
      <c r="GU321" s="10"/>
      <c r="GV321" s="10"/>
      <c r="GW321" s="10"/>
      <c r="GX321" s="10"/>
      <c r="GY321" s="10"/>
      <c r="GZ321" s="10"/>
      <c r="HA321" s="10"/>
      <c r="HB321" s="10"/>
      <c r="HC321" s="10"/>
      <c r="HD321" s="10"/>
      <c r="HE321" s="10"/>
      <c r="HF321" s="10"/>
      <c r="HG321" s="10"/>
      <c r="HH321" s="10"/>
      <c r="HI321" s="10"/>
      <c r="HJ321" s="10"/>
      <c r="HK321" s="10"/>
      <c r="HL321" s="10"/>
      <c r="HM321" s="10"/>
      <c r="HN321" s="10"/>
      <c r="HO321" s="10"/>
      <c r="HP321" s="10"/>
      <c r="HQ321" s="10"/>
      <c r="HR321" s="10"/>
      <c r="HS321" s="10"/>
      <c r="HT321" s="10"/>
    </row>
    <row r="322" spans="2:228" ht="15" customHeight="1" x14ac:dyDescent="0.2">
      <c r="B322" s="1323"/>
      <c r="C322" s="1163"/>
      <c r="D322" s="1324"/>
      <c r="E322" s="460"/>
      <c r="F322" s="791" t="str">
        <f>IF(S320=1,"","Sartorius")</f>
        <v>Sartorius</v>
      </c>
      <c r="G322" s="791"/>
      <c r="H322" s="791"/>
      <c r="I322" s="791"/>
      <c r="J322" s="791"/>
      <c r="K322" s="791"/>
      <c r="L322" s="791"/>
      <c r="M322" s="80">
        <f t="shared" si="59"/>
        <v>0</v>
      </c>
      <c r="N322" s="202"/>
      <c r="O322" s="202"/>
      <c r="P322" s="298" t="str">
        <f t="shared" si="66"/>
        <v/>
      </c>
      <c r="R322" s="546" t="b">
        <v>0</v>
      </c>
      <c r="S322" s="571">
        <f t="shared" si="60"/>
        <v>0</v>
      </c>
      <c r="T322" s="581">
        <f t="shared" si="61"/>
        <v>0</v>
      </c>
      <c r="U322" s="581">
        <f t="shared" si="62"/>
        <v>0</v>
      </c>
      <c r="V322" s="581">
        <f t="shared" si="63"/>
        <v>0</v>
      </c>
      <c r="W322" s="581">
        <f t="shared" si="64"/>
        <v>0</v>
      </c>
      <c r="X322" s="581">
        <f t="shared" si="65"/>
        <v>0</v>
      </c>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0"/>
      <c r="EH322" s="10"/>
      <c r="EI322" s="10"/>
      <c r="EJ322" s="10"/>
      <c r="EK322" s="10"/>
      <c r="EL322" s="10"/>
      <c r="EM322" s="10"/>
      <c r="EN322" s="10"/>
      <c r="EO322" s="10"/>
      <c r="EP322" s="10"/>
      <c r="EQ322" s="10"/>
      <c r="ER322" s="10"/>
      <c r="ES322" s="10"/>
      <c r="ET322" s="10"/>
      <c r="EU322" s="10"/>
      <c r="EV322" s="10"/>
      <c r="EW322" s="10"/>
      <c r="EX322" s="10"/>
      <c r="EY322" s="10"/>
      <c r="EZ322" s="10"/>
      <c r="FA322" s="10"/>
      <c r="FB322" s="10"/>
      <c r="FC322" s="10"/>
      <c r="FD322" s="10"/>
      <c r="FE322" s="10"/>
      <c r="FF322" s="10"/>
      <c r="FG322" s="10"/>
      <c r="FH322" s="10"/>
      <c r="FI322" s="10"/>
      <c r="FJ322" s="10"/>
      <c r="FK322" s="10"/>
      <c r="FL322" s="10"/>
      <c r="FM322" s="10"/>
      <c r="FN322" s="10"/>
      <c r="FO322" s="10"/>
      <c r="FP322" s="10"/>
      <c r="FQ322" s="10"/>
      <c r="FR322" s="10"/>
      <c r="FS322" s="10"/>
      <c r="FT322" s="10"/>
      <c r="FU322" s="10"/>
      <c r="FV322" s="10"/>
      <c r="FW322" s="10"/>
      <c r="FX322" s="10"/>
      <c r="FY322" s="10"/>
      <c r="FZ322" s="10"/>
      <c r="GA322" s="10"/>
      <c r="GB322" s="10"/>
      <c r="GC322" s="10"/>
      <c r="GD322" s="10"/>
      <c r="GE322" s="10"/>
      <c r="GF322" s="10"/>
      <c r="GG322" s="10"/>
      <c r="GH322" s="10"/>
      <c r="GI322" s="10"/>
      <c r="GJ322" s="10"/>
      <c r="GK322" s="10"/>
      <c r="GL322" s="10"/>
      <c r="GM322" s="10"/>
      <c r="GN322" s="10"/>
      <c r="GO322" s="10"/>
      <c r="GP322" s="10"/>
      <c r="GQ322" s="10"/>
      <c r="GR322" s="10"/>
      <c r="GS322" s="10"/>
      <c r="GT322" s="10"/>
      <c r="GU322" s="10"/>
      <c r="GV322" s="10"/>
      <c r="GW322" s="10"/>
      <c r="GX322" s="10"/>
      <c r="GY322" s="10"/>
      <c r="GZ322" s="10"/>
      <c r="HA322" s="10"/>
      <c r="HB322" s="10"/>
      <c r="HC322" s="10"/>
      <c r="HD322" s="10"/>
      <c r="HE322" s="10"/>
      <c r="HF322" s="10"/>
      <c r="HG322" s="10"/>
      <c r="HH322" s="10"/>
      <c r="HI322" s="10"/>
      <c r="HJ322" s="10"/>
      <c r="HK322" s="10"/>
      <c r="HL322" s="10"/>
      <c r="HM322" s="10"/>
      <c r="HN322" s="10"/>
      <c r="HO322" s="10"/>
      <c r="HP322" s="10"/>
      <c r="HQ322" s="10"/>
      <c r="HR322" s="10"/>
      <c r="HS322" s="10"/>
      <c r="HT322" s="10"/>
    </row>
    <row r="323" spans="2:228" ht="15" customHeight="1" x14ac:dyDescent="0.2">
      <c r="B323" s="1323"/>
      <c r="C323" s="1163"/>
      <c r="D323" s="1324"/>
      <c r="E323" s="460"/>
      <c r="F323" s="791" t="str">
        <f>IF(S320=1,"","Rectus femoris")</f>
        <v>Rectus femoris</v>
      </c>
      <c r="G323" s="791"/>
      <c r="H323" s="791"/>
      <c r="I323" s="791"/>
      <c r="J323" s="791"/>
      <c r="K323" s="791"/>
      <c r="L323" s="791"/>
      <c r="M323" s="80">
        <f t="shared" si="59"/>
        <v>0</v>
      </c>
      <c r="N323" s="202"/>
      <c r="O323" s="202"/>
      <c r="P323" s="298" t="str">
        <f t="shared" si="66"/>
        <v/>
      </c>
      <c r="R323" s="546" t="b">
        <v>0</v>
      </c>
      <c r="S323" s="571">
        <f t="shared" si="60"/>
        <v>0</v>
      </c>
      <c r="T323" s="581">
        <f t="shared" si="61"/>
        <v>0</v>
      </c>
      <c r="U323" s="581">
        <f t="shared" si="62"/>
        <v>0</v>
      </c>
      <c r="V323" s="581">
        <f t="shared" si="63"/>
        <v>0</v>
      </c>
      <c r="W323" s="581">
        <f t="shared" si="64"/>
        <v>0</v>
      </c>
      <c r="X323" s="581">
        <f t="shared" si="65"/>
        <v>0</v>
      </c>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c r="EM323" s="10"/>
      <c r="EN323" s="10"/>
      <c r="EO323" s="10"/>
      <c r="EP323" s="10"/>
      <c r="EQ323" s="10"/>
      <c r="ER323" s="10"/>
      <c r="ES323" s="10"/>
      <c r="ET323" s="10"/>
      <c r="EU323" s="10"/>
      <c r="EV323" s="10"/>
      <c r="EW323" s="10"/>
      <c r="EX323" s="10"/>
      <c r="EY323" s="10"/>
      <c r="EZ323" s="10"/>
      <c r="FA323" s="10"/>
      <c r="FB323" s="10"/>
      <c r="FC323" s="10"/>
      <c r="FD323" s="10"/>
      <c r="FE323" s="10"/>
      <c r="FF323" s="10"/>
      <c r="FG323" s="10"/>
      <c r="FH323" s="10"/>
      <c r="FI323" s="10"/>
      <c r="FJ323" s="10"/>
      <c r="FK323" s="10"/>
      <c r="FL323" s="10"/>
      <c r="FM323" s="10"/>
      <c r="FN323" s="10"/>
      <c r="FO323" s="10"/>
      <c r="FP323" s="10"/>
      <c r="FQ323" s="10"/>
      <c r="FR323" s="10"/>
      <c r="FS323" s="10"/>
      <c r="FT323" s="10"/>
      <c r="FU323" s="10"/>
      <c r="FV323" s="10"/>
      <c r="FW323" s="10"/>
      <c r="FX323" s="10"/>
      <c r="FY323" s="10"/>
      <c r="FZ323" s="10"/>
      <c r="GA323" s="10"/>
      <c r="GB323" s="10"/>
      <c r="GC323" s="10"/>
      <c r="GD323" s="10"/>
      <c r="GE323" s="10"/>
      <c r="GF323" s="10"/>
      <c r="GG323" s="10"/>
      <c r="GH323" s="10"/>
      <c r="GI323" s="10"/>
      <c r="GJ323" s="10"/>
      <c r="GK323" s="10"/>
      <c r="GL323" s="10"/>
      <c r="GM323" s="10"/>
      <c r="GN323" s="10"/>
      <c r="GO323" s="10"/>
      <c r="GP323" s="10"/>
      <c r="GQ323" s="10"/>
      <c r="GR323" s="10"/>
      <c r="GS323" s="10"/>
      <c r="GT323" s="10"/>
      <c r="GU323" s="10"/>
      <c r="GV323" s="10"/>
      <c r="GW323" s="10"/>
      <c r="GX323" s="10"/>
      <c r="GY323" s="10"/>
      <c r="GZ323" s="10"/>
      <c r="HA323" s="10"/>
      <c r="HB323" s="10"/>
      <c r="HC323" s="10"/>
      <c r="HD323" s="10"/>
      <c r="HE323" s="10"/>
      <c r="HF323" s="10"/>
      <c r="HG323" s="10"/>
      <c r="HH323" s="10"/>
      <c r="HI323" s="10"/>
      <c r="HJ323" s="10"/>
      <c r="HK323" s="10"/>
      <c r="HL323" s="10"/>
      <c r="HM323" s="10"/>
      <c r="HN323" s="10"/>
      <c r="HO323" s="10"/>
      <c r="HP323" s="10"/>
      <c r="HQ323" s="10"/>
      <c r="HR323" s="10"/>
      <c r="HS323" s="10"/>
      <c r="HT323" s="10"/>
    </row>
    <row r="324" spans="2:228" ht="15" customHeight="1" x14ac:dyDescent="0.2">
      <c r="B324" s="1323"/>
      <c r="C324" s="1163"/>
      <c r="D324" s="1324"/>
      <c r="E324" s="460"/>
      <c r="F324" s="791" t="str">
        <f>IF(S320=1,"","Vastus lateralis")</f>
        <v>Vastus lateralis</v>
      </c>
      <c r="G324" s="791"/>
      <c r="H324" s="791"/>
      <c r="I324" s="791"/>
      <c r="J324" s="791"/>
      <c r="K324" s="791"/>
      <c r="L324" s="791"/>
      <c r="M324" s="80">
        <f t="shared" si="59"/>
        <v>0</v>
      </c>
      <c r="N324" s="202"/>
      <c r="O324" s="202"/>
      <c r="P324" s="298" t="str">
        <f t="shared" si="66"/>
        <v/>
      </c>
      <c r="R324" s="546" t="b">
        <v>0</v>
      </c>
      <c r="S324" s="571">
        <f t="shared" si="60"/>
        <v>0</v>
      </c>
      <c r="T324" s="581">
        <f t="shared" si="61"/>
        <v>0</v>
      </c>
      <c r="U324" s="581">
        <f t="shared" si="62"/>
        <v>0</v>
      </c>
      <c r="V324" s="581">
        <f t="shared" si="63"/>
        <v>0</v>
      </c>
      <c r="W324" s="581">
        <f t="shared" si="64"/>
        <v>0</v>
      </c>
      <c r="X324" s="581">
        <f t="shared" si="65"/>
        <v>0</v>
      </c>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c r="EM324" s="10"/>
      <c r="EN324" s="10"/>
      <c r="EO324" s="10"/>
      <c r="EP324" s="10"/>
      <c r="EQ324" s="10"/>
      <c r="ER324" s="10"/>
      <c r="ES324" s="10"/>
      <c r="ET324" s="10"/>
      <c r="EU324" s="10"/>
      <c r="EV324" s="10"/>
      <c r="EW324" s="10"/>
      <c r="EX324" s="10"/>
      <c r="EY324" s="10"/>
      <c r="EZ324" s="10"/>
      <c r="FA324" s="10"/>
      <c r="FB324" s="10"/>
      <c r="FC324" s="10"/>
      <c r="FD324" s="10"/>
      <c r="FE324" s="10"/>
      <c r="FF324" s="10"/>
      <c r="FG324" s="10"/>
      <c r="FH324" s="10"/>
      <c r="FI324" s="10"/>
      <c r="FJ324" s="10"/>
      <c r="FK324" s="10"/>
      <c r="FL324" s="10"/>
      <c r="FM324" s="10"/>
      <c r="FN324" s="10"/>
      <c r="FO324" s="10"/>
      <c r="FP324" s="10"/>
      <c r="FQ324" s="10"/>
      <c r="FR324" s="10"/>
      <c r="FS324" s="10"/>
      <c r="FT324" s="10"/>
      <c r="FU324" s="10"/>
      <c r="FV324" s="10"/>
      <c r="FW324" s="10"/>
      <c r="FX324" s="10"/>
      <c r="FY324" s="10"/>
      <c r="FZ324" s="10"/>
      <c r="GA324" s="10"/>
      <c r="GB324" s="10"/>
      <c r="GC324" s="10"/>
      <c r="GD324" s="10"/>
      <c r="GE324" s="10"/>
      <c r="GF324" s="10"/>
      <c r="GG324" s="10"/>
      <c r="GH324" s="10"/>
      <c r="GI324" s="10"/>
      <c r="GJ324" s="10"/>
      <c r="GK324" s="10"/>
      <c r="GL324" s="10"/>
      <c r="GM324" s="10"/>
      <c r="GN324" s="10"/>
      <c r="GO324" s="10"/>
      <c r="GP324" s="10"/>
      <c r="GQ324" s="10"/>
      <c r="GR324" s="10"/>
      <c r="GS324" s="10"/>
      <c r="GT324" s="10"/>
      <c r="GU324" s="10"/>
      <c r="GV324" s="10"/>
      <c r="GW324" s="10"/>
      <c r="GX324" s="10"/>
      <c r="GY324" s="10"/>
      <c r="GZ324" s="10"/>
      <c r="HA324" s="10"/>
      <c r="HB324" s="10"/>
      <c r="HC324" s="10"/>
      <c r="HD324" s="10"/>
      <c r="HE324" s="10"/>
      <c r="HF324" s="10"/>
      <c r="HG324" s="10"/>
      <c r="HH324" s="10"/>
      <c r="HI324" s="10"/>
      <c r="HJ324" s="10"/>
      <c r="HK324" s="10"/>
      <c r="HL324" s="10"/>
      <c r="HM324" s="10"/>
      <c r="HN324" s="10"/>
      <c r="HO324" s="10"/>
      <c r="HP324" s="10"/>
      <c r="HQ324" s="10"/>
      <c r="HR324" s="10"/>
      <c r="HS324" s="10"/>
      <c r="HT324" s="10"/>
    </row>
    <row r="325" spans="2:228" ht="15" customHeight="1" x14ac:dyDescent="0.2">
      <c r="B325" s="1323"/>
      <c r="C325" s="1163"/>
      <c r="D325" s="1324"/>
      <c r="E325" s="460"/>
      <c r="F325" s="791" t="str">
        <f>IF(S320=1,"","Vastus intermedius")</f>
        <v>Vastus intermedius</v>
      </c>
      <c r="G325" s="791"/>
      <c r="H325" s="791"/>
      <c r="I325" s="791"/>
      <c r="J325" s="791"/>
      <c r="K325" s="791"/>
      <c r="L325" s="791"/>
      <c r="M325" s="80">
        <f t="shared" si="59"/>
        <v>0</v>
      </c>
      <c r="N325" s="202"/>
      <c r="O325" s="202"/>
      <c r="P325" s="298" t="str">
        <f t="shared" si="66"/>
        <v/>
      </c>
      <c r="R325" s="546" t="b">
        <v>0</v>
      </c>
      <c r="S325" s="571">
        <f t="shared" si="60"/>
        <v>0</v>
      </c>
      <c r="T325" s="581">
        <f t="shared" si="61"/>
        <v>0</v>
      </c>
      <c r="U325" s="581">
        <f t="shared" si="62"/>
        <v>0</v>
      </c>
      <c r="V325" s="581">
        <f t="shared" si="63"/>
        <v>0</v>
      </c>
      <c r="W325" s="581">
        <f t="shared" si="64"/>
        <v>0</v>
      </c>
      <c r="X325" s="581">
        <f t="shared" si="65"/>
        <v>0</v>
      </c>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c r="EM325" s="10"/>
      <c r="EN325" s="10"/>
      <c r="EO325" s="10"/>
      <c r="EP325" s="10"/>
      <c r="EQ325" s="10"/>
      <c r="ER325" s="10"/>
      <c r="ES325" s="10"/>
      <c r="ET325" s="10"/>
      <c r="EU325" s="10"/>
      <c r="EV325" s="10"/>
      <c r="EW325" s="10"/>
      <c r="EX325" s="10"/>
      <c r="EY325" s="10"/>
      <c r="EZ325" s="10"/>
      <c r="FA325" s="10"/>
      <c r="FB325" s="10"/>
      <c r="FC325" s="10"/>
      <c r="FD325" s="10"/>
      <c r="FE325" s="10"/>
      <c r="FF325" s="10"/>
      <c r="FG325" s="10"/>
      <c r="FH325" s="10"/>
      <c r="FI325" s="10"/>
      <c r="FJ325" s="10"/>
      <c r="FK325" s="10"/>
      <c r="FL325" s="10"/>
      <c r="FM325" s="10"/>
      <c r="FN325" s="10"/>
      <c r="FO325" s="10"/>
      <c r="FP325" s="10"/>
      <c r="FQ325" s="10"/>
      <c r="FR325" s="10"/>
      <c r="FS325" s="10"/>
      <c r="FT325" s="10"/>
      <c r="FU325" s="10"/>
      <c r="FV325" s="10"/>
      <c r="FW325" s="10"/>
      <c r="FX325" s="10"/>
      <c r="FY325" s="10"/>
      <c r="FZ325" s="10"/>
      <c r="GA325" s="10"/>
      <c r="GB325" s="10"/>
      <c r="GC325" s="10"/>
      <c r="GD325" s="10"/>
      <c r="GE325" s="10"/>
      <c r="GF325" s="10"/>
      <c r="GG325" s="10"/>
      <c r="GH325" s="10"/>
      <c r="GI325" s="10"/>
      <c r="GJ325" s="10"/>
      <c r="GK325" s="10"/>
      <c r="GL325" s="10"/>
      <c r="GM325" s="10"/>
      <c r="GN325" s="10"/>
      <c r="GO325" s="10"/>
      <c r="GP325" s="10"/>
      <c r="GQ325" s="10"/>
      <c r="GR325" s="10"/>
      <c r="GS325" s="10"/>
      <c r="GT325" s="10"/>
      <c r="GU325" s="10"/>
      <c r="GV325" s="10"/>
      <c r="GW325" s="10"/>
      <c r="GX325" s="10"/>
      <c r="GY325" s="10"/>
      <c r="GZ325" s="10"/>
      <c r="HA325" s="10"/>
      <c r="HB325" s="10"/>
      <c r="HC325" s="10"/>
      <c r="HD325" s="10"/>
      <c r="HE325" s="10"/>
      <c r="HF325" s="10"/>
      <c r="HG325" s="10"/>
      <c r="HH325" s="10"/>
      <c r="HI325" s="10"/>
      <c r="HJ325" s="10"/>
      <c r="HK325" s="10"/>
      <c r="HL325" s="10"/>
      <c r="HM325" s="10"/>
      <c r="HN325" s="10"/>
      <c r="HO325" s="10"/>
      <c r="HP325" s="10"/>
      <c r="HQ325" s="10"/>
      <c r="HR325" s="10"/>
      <c r="HS325" s="10"/>
      <c r="HT325" s="10"/>
    </row>
    <row r="326" spans="2:228" ht="15" customHeight="1" x14ac:dyDescent="0.2">
      <c r="B326" s="1325"/>
      <c r="C326" s="1326"/>
      <c r="D326" s="1327"/>
      <c r="E326" s="460"/>
      <c r="F326" s="791" t="str">
        <f>IF(S320=1,"","Vastus medialis")</f>
        <v>Vastus medialis</v>
      </c>
      <c r="G326" s="791"/>
      <c r="H326" s="791"/>
      <c r="I326" s="791"/>
      <c r="J326" s="791"/>
      <c r="K326" s="791"/>
      <c r="L326" s="791"/>
      <c r="M326" s="80">
        <f t="shared" si="59"/>
        <v>0</v>
      </c>
      <c r="N326" s="202"/>
      <c r="O326" s="202"/>
      <c r="P326" s="298" t="str">
        <f t="shared" si="66"/>
        <v/>
      </c>
      <c r="R326" s="546" t="b">
        <v>0</v>
      </c>
      <c r="S326" s="571">
        <f t="shared" si="60"/>
        <v>0</v>
      </c>
      <c r="T326" s="581">
        <f t="shared" si="61"/>
        <v>0</v>
      </c>
      <c r="U326" s="581">
        <f t="shared" si="62"/>
        <v>0</v>
      </c>
      <c r="V326" s="581">
        <f t="shared" si="63"/>
        <v>0</v>
      </c>
      <c r="W326" s="581">
        <f t="shared" si="64"/>
        <v>0</v>
      </c>
      <c r="X326" s="581">
        <f t="shared" si="65"/>
        <v>0</v>
      </c>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c r="EM326" s="10"/>
      <c r="EN326" s="10"/>
      <c r="EO326" s="10"/>
      <c r="EP326" s="10"/>
      <c r="EQ326" s="10"/>
      <c r="ER326" s="10"/>
      <c r="ES326" s="10"/>
      <c r="ET326" s="10"/>
      <c r="EU326" s="10"/>
      <c r="EV326" s="10"/>
      <c r="EW326" s="10"/>
      <c r="EX326" s="10"/>
      <c r="EY326" s="10"/>
      <c r="EZ326" s="10"/>
      <c r="FA326" s="10"/>
      <c r="FB326" s="10"/>
      <c r="FC326" s="10"/>
      <c r="FD326" s="10"/>
      <c r="FE326" s="10"/>
      <c r="FF326" s="10"/>
      <c r="FG326" s="10"/>
      <c r="FH326" s="10"/>
      <c r="FI326" s="10"/>
      <c r="FJ326" s="10"/>
      <c r="FK326" s="10"/>
      <c r="FL326" s="10"/>
      <c r="FM326" s="10"/>
      <c r="FN326" s="10"/>
      <c r="FO326" s="10"/>
      <c r="FP326" s="10"/>
      <c r="FQ326" s="10"/>
      <c r="FR326" s="10"/>
      <c r="FS326" s="10"/>
      <c r="FT326" s="10"/>
      <c r="FU326" s="10"/>
      <c r="FV326" s="10"/>
      <c r="FW326" s="10"/>
      <c r="FX326" s="10"/>
      <c r="FY326" s="10"/>
      <c r="FZ326" s="10"/>
      <c r="GA326" s="10"/>
      <c r="GB326" s="10"/>
      <c r="GC326" s="10"/>
      <c r="GD326" s="10"/>
      <c r="GE326" s="10"/>
      <c r="GF326" s="10"/>
      <c r="GG326" s="10"/>
      <c r="GH326" s="10"/>
      <c r="GI326" s="10"/>
      <c r="GJ326" s="10"/>
      <c r="GK326" s="10"/>
      <c r="GL326" s="10"/>
      <c r="GM326" s="10"/>
      <c r="GN326" s="10"/>
      <c r="GO326" s="10"/>
      <c r="GP326" s="10"/>
      <c r="GQ326" s="10"/>
      <c r="GR326" s="10"/>
      <c r="GS326" s="10"/>
      <c r="GT326" s="10"/>
      <c r="GU326" s="10"/>
      <c r="GV326" s="10"/>
      <c r="GW326" s="10"/>
      <c r="GX326" s="10"/>
      <c r="GY326" s="10"/>
      <c r="GZ326" s="10"/>
      <c r="HA326" s="10"/>
      <c r="HB326" s="10"/>
      <c r="HC326" s="10"/>
      <c r="HD326" s="10"/>
      <c r="HE326" s="10"/>
      <c r="HF326" s="10"/>
      <c r="HG326" s="10"/>
      <c r="HH326" s="10"/>
      <c r="HI326" s="10"/>
      <c r="HJ326" s="10"/>
      <c r="HK326" s="10"/>
      <c r="HL326" s="10"/>
      <c r="HM326" s="10"/>
      <c r="HN326" s="10"/>
      <c r="HO326" s="10"/>
      <c r="HP326" s="10"/>
      <c r="HQ326" s="10"/>
      <c r="HR326" s="10"/>
      <c r="HS326" s="10"/>
      <c r="HT326" s="10"/>
    </row>
    <row r="327" spans="2:228" ht="18" customHeight="1" x14ac:dyDescent="0.2">
      <c r="B327" s="994" t="str">
        <f>IF(SUM(M320:M326)=0,"","Total for femoral nerve; LEG impairment:")</f>
        <v/>
      </c>
      <c r="C327" s="994"/>
      <c r="D327" s="994"/>
      <c r="E327" s="957"/>
      <c r="F327" s="957"/>
      <c r="G327" s="957"/>
      <c r="H327" s="957"/>
      <c r="I327" s="957"/>
      <c r="J327" s="957"/>
      <c r="K327" s="957"/>
      <c r="L327" s="957"/>
      <c r="M327" s="957"/>
      <c r="N327" s="957"/>
      <c r="O327" s="957"/>
      <c r="P327" s="190">
        <f>IF(AND(P320="",P321="",P322="",P323="",P324="",P325="",P326=""),0,AVERAGE(P320:P326))</f>
        <v>0</v>
      </c>
      <c r="R327" s="10"/>
      <c r="S327" s="98"/>
      <c r="T327" s="94"/>
      <c r="U327" s="94"/>
      <c r="V327" s="94"/>
      <c r="W327" s="94"/>
      <c r="X327" s="94"/>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c r="EM327" s="10"/>
      <c r="EN327" s="10"/>
      <c r="EO327" s="10"/>
      <c r="EP327" s="10"/>
      <c r="EQ327" s="10"/>
      <c r="ER327" s="10"/>
      <c r="ES327" s="10"/>
      <c r="ET327" s="10"/>
      <c r="EU327" s="10"/>
      <c r="EV327" s="10"/>
      <c r="EW327" s="10"/>
      <c r="EX327" s="10"/>
      <c r="EY327" s="10"/>
      <c r="EZ327" s="10"/>
      <c r="FA327" s="10"/>
      <c r="FB327" s="10"/>
      <c r="FC327" s="10"/>
      <c r="FD327" s="10"/>
      <c r="FE327" s="10"/>
      <c r="FF327" s="10"/>
      <c r="FG327" s="10"/>
      <c r="FH327" s="10"/>
      <c r="FI327" s="10"/>
      <c r="FJ327" s="10"/>
      <c r="FK327" s="10"/>
      <c r="FL327" s="10"/>
      <c r="FM327" s="10"/>
      <c r="FN327" s="10"/>
      <c r="FO327" s="10"/>
      <c r="FP327" s="10"/>
      <c r="FQ327" s="10"/>
      <c r="FR327" s="10"/>
      <c r="FS327" s="10"/>
      <c r="FT327" s="10"/>
      <c r="FU327" s="10"/>
      <c r="FV327" s="10"/>
      <c r="FW327" s="10"/>
      <c r="FX327" s="10"/>
      <c r="FY327" s="10"/>
      <c r="FZ327" s="10"/>
      <c r="GA327" s="10"/>
      <c r="GB327" s="10"/>
      <c r="GC327" s="10"/>
      <c r="GD327" s="10"/>
      <c r="GE327" s="10"/>
      <c r="GF327" s="10"/>
      <c r="GG327" s="10"/>
      <c r="GH327" s="10"/>
      <c r="GI327" s="10"/>
      <c r="GJ327" s="10"/>
      <c r="GK327" s="10"/>
      <c r="GL327" s="10"/>
      <c r="GM327" s="10"/>
      <c r="GN327" s="10"/>
      <c r="GO327" s="10"/>
      <c r="GP327" s="10"/>
      <c r="GQ327" s="10"/>
      <c r="GR327" s="10"/>
      <c r="GS327" s="10"/>
      <c r="GT327" s="10"/>
      <c r="GU327" s="10"/>
      <c r="GV327" s="10"/>
      <c r="GW327" s="10"/>
      <c r="GX327" s="10"/>
      <c r="GY327" s="10"/>
      <c r="GZ327" s="10"/>
      <c r="HA327" s="10"/>
      <c r="HB327" s="10"/>
      <c r="HC327" s="10"/>
      <c r="HD327" s="10"/>
      <c r="HE327" s="10"/>
      <c r="HF327" s="10"/>
      <c r="HG327" s="10"/>
      <c r="HH327" s="10"/>
      <c r="HI327" s="10"/>
      <c r="HJ327" s="10"/>
      <c r="HK327" s="10"/>
      <c r="HL327" s="10"/>
      <c r="HM327" s="10"/>
      <c r="HN327" s="10"/>
      <c r="HO327" s="10"/>
      <c r="HP327" s="10"/>
      <c r="HQ327" s="10"/>
      <c r="HR327" s="10"/>
      <c r="HS327" s="10"/>
      <c r="HT327" s="10"/>
    </row>
    <row r="328" spans="2:228" ht="27" customHeight="1" x14ac:dyDescent="0.2">
      <c r="B328" s="1328" t="s">
        <v>970</v>
      </c>
      <c r="C328" s="1328"/>
      <c r="D328" s="1328"/>
      <c r="E328" s="395"/>
      <c r="F328" s="1328" t="s">
        <v>504</v>
      </c>
      <c r="G328" s="1328"/>
      <c r="H328" s="1328"/>
      <c r="I328" s="1328"/>
      <c r="J328" s="1328"/>
      <c r="K328" s="1328"/>
      <c r="L328" s="1328"/>
      <c r="M328" s="79">
        <f>IF(OR(F328="",S328=0),0,0.1)</f>
        <v>0</v>
      </c>
      <c r="N328" s="394"/>
      <c r="O328" s="394"/>
      <c r="P328" s="298">
        <f>IF(X328=0,0,X328)</f>
        <v>0</v>
      </c>
      <c r="R328" s="546" t="b">
        <v>0</v>
      </c>
      <c r="S328" s="571">
        <f t="shared" ref="S328:S333" si="67">IF(R328=TRUE,1,0)</f>
        <v>0</v>
      </c>
      <c r="T328" s="581">
        <f t="shared" ref="T328:T333" si="68">SUMIF($T$277:$AH$277,N328,$T$278:$AH$278)</f>
        <v>0</v>
      </c>
      <c r="U328" s="581">
        <f t="shared" ref="U328:U333" si="69">SUMIF($S$277:$AH$277,O328,$S$278:$AH$278)</f>
        <v>0</v>
      </c>
      <c r="V328" s="581">
        <f t="shared" ref="V328:V333" si="70">M328*T328</f>
        <v>0</v>
      </c>
      <c r="W328" s="581">
        <f t="shared" ref="W328:W333" si="71">M328*U328</f>
        <v>0</v>
      </c>
      <c r="X328" s="581">
        <f t="shared" ref="X328:X333" si="72">(IF(V328-W328&lt;=0,0,V328-W328))</f>
        <v>0</v>
      </c>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0"/>
      <c r="HF328" s="10"/>
      <c r="HG328" s="10"/>
      <c r="HH328" s="10"/>
      <c r="HI328" s="10"/>
      <c r="HJ328" s="10"/>
      <c r="HK328" s="10"/>
      <c r="HL328" s="10"/>
      <c r="HM328" s="10"/>
      <c r="HN328" s="10"/>
      <c r="HO328" s="10"/>
      <c r="HP328" s="10"/>
      <c r="HQ328" s="10"/>
      <c r="HR328" s="10"/>
      <c r="HS328" s="10"/>
      <c r="HT328" s="10"/>
    </row>
    <row r="329" spans="2:228" ht="39" customHeight="1" x14ac:dyDescent="0.2">
      <c r="B329" s="948" t="s">
        <v>799</v>
      </c>
      <c r="C329" s="948"/>
      <c r="D329" s="948"/>
      <c r="E329" s="369"/>
      <c r="F329" s="761" t="s">
        <v>505</v>
      </c>
      <c r="G329" s="761"/>
      <c r="H329" s="761"/>
      <c r="I329" s="761"/>
      <c r="J329" s="761"/>
      <c r="K329" s="761"/>
      <c r="L329" s="761"/>
      <c r="M329" s="80">
        <f>IF(OR(F329="",S329=0),0,0.1)</f>
        <v>0</v>
      </c>
      <c r="N329" s="202"/>
      <c r="O329" s="202"/>
      <c r="P329" s="291">
        <f>IF(X329=0,0,X329)</f>
        <v>0</v>
      </c>
      <c r="R329" s="546" t="b">
        <v>0</v>
      </c>
      <c r="S329" s="571">
        <f t="shared" si="67"/>
        <v>0</v>
      </c>
      <c r="T329" s="581">
        <f t="shared" si="68"/>
        <v>0</v>
      </c>
      <c r="U329" s="581">
        <f t="shared" si="69"/>
        <v>0</v>
      </c>
      <c r="V329" s="581">
        <f t="shared" si="70"/>
        <v>0</v>
      </c>
      <c r="W329" s="581">
        <f t="shared" si="71"/>
        <v>0</v>
      </c>
      <c r="X329" s="581">
        <f t="shared" si="72"/>
        <v>0</v>
      </c>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0"/>
      <c r="FQ329" s="10"/>
      <c r="FR329" s="10"/>
      <c r="FS329" s="10"/>
      <c r="FT329" s="10"/>
      <c r="FU329" s="10"/>
      <c r="FV329" s="10"/>
      <c r="FW329" s="10"/>
      <c r="FX329" s="10"/>
      <c r="FY329" s="10"/>
      <c r="FZ329" s="10"/>
      <c r="GA329" s="10"/>
      <c r="GB329" s="10"/>
      <c r="GC329" s="10"/>
      <c r="GD329" s="10"/>
      <c r="GE329" s="10"/>
      <c r="GF329" s="10"/>
      <c r="GG329" s="10"/>
      <c r="GH329" s="10"/>
      <c r="GI329" s="10"/>
      <c r="GJ329" s="10"/>
      <c r="GK329" s="10"/>
      <c r="GL329" s="10"/>
      <c r="GM329" s="10"/>
      <c r="GN329" s="10"/>
      <c r="GO329" s="10"/>
      <c r="GP329" s="10"/>
      <c r="GQ329" s="10"/>
      <c r="GR329" s="10"/>
      <c r="GS329" s="10"/>
      <c r="GT329" s="10"/>
      <c r="GU329" s="10"/>
      <c r="GV329" s="10"/>
      <c r="GW329" s="10"/>
      <c r="GX329" s="10"/>
      <c r="GY329" s="10"/>
      <c r="GZ329" s="10"/>
      <c r="HA329" s="10"/>
      <c r="HB329" s="10"/>
      <c r="HC329" s="10"/>
      <c r="HD329" s="10"/>
      <c r="HE329" s="10"/>
      <c r="HF329" s="10"/>
      <c r="HG329" s="10"/>
      <c r="HH329" s="10"/>
      <c r="HI329" s="10"/>
      <c r="HJ329" s="10"/>
      <c r="HK329" s="10"/>
      <c r="HL329" s="10"/>
      <c r="HM329" s="10"/>
      <c r="HN329" s="10"/>
      <c r="HO329" s="10"/>
      <c r="HP329" s="10"/>
      <c r="HQ329" s="10"/>
      <c r="HR329" s="10"/>
      <c r="HS329" s="10"/>
      <c r="HT329" s="10"/>
    </row>
    <row r="330" spans="2:228" ht="15" customHeight="1" x14ac:dyDescent="0.2">
      <c r="B330" s="749" t="s">
        <v>506</v>
      </c>
      <c r="C330" s="750"/>
      <c r="D330" s="751"/>
      <c r="E330" s="471"/>
      <c r="F330" s="776" t="s">
        <v>969</v>
      </c>
      <c r="G330" s="776"/>
      <c r="H330" s="776"/>
      <c r="I330" s="776"/>
      <c r="J330" s="776"/>
      <c r="K330" s="776"/>
      <c r="L330" s="776"/>
      <c r="M330" s="79">
        <f>IF(OR(F330="",S330=0),0,0.2)</f>
        <v>0</v>
      </c>
      <c r="N330" s="202"/>
      <c r="O330" s="202"/>
      <c r="P330" s="298" t="str">
        <f>IF(X330=0,"",X330)</f>
        <v/>
      </c>
      <c r="R330" s="546" t="b">
        <v>0</v>
      </c>
      <c r="S330" s="571">
        <f t="shared" si="67"/>
        <v>0</v>
      </c>
      <c r="T330" s="581">
        <f t="shared" si="68"/>
        <v>0</v>
      </c>
      <c r="U330" s="581">
        <f t="shared" si="69"/>
        <v>0</v>
      </c>
      <c r="V330" s="581">
        <f t="shared" si="70"/>
        <v>0</v>
      </c>
      <c r="W330" s="581">
        <f t="shared" si="71"/>
        <v>0</v>
      </c>
      <c r="X330" s="581">
        <f t="shared" si="72"/>
        <v>0</v>
      </c>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0"/>
      <c r="EK330" s="10"/>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0"/>
      <c r="FQ330" s="10"/>
      <c r="FR330" s="10"/>
      <c r="FS330" s="10"/>
      <c r="FT330" s="10"/>
      <c r="FU330" s="10"/>
      <c r="FV330" s="10"/>
      <c r="FW330" s="10"/>
      <c r="FX330" s="10"/>
      <c r="FY330" s="10"/>
      <c r="FZ330" s="10"/>
      <c r="GA330" s="10"/>
      <c r="GB330" s="10"/>
      <c r="GC330" s="10"/>
      <c r="GD330" s="10"/>
      <c r="GE330" s="10"/>
      <c r="GF330" s="10"/>
      <c r="GG330" s="10"/>
      <c r="GH330" s="10"/>
      <c r="GI330" s="10"/>
      <c r="GJ330" s="10"/>
      <c r="GK330" s="10"/>
      <c r="GL330" s="10"/>
      <c r="GM330" s="10"/>
      <c r="GN330" s="10"/>
      <c r="GO330" s="10"/>
      <c r="GP330" s="10"/>
      <c r="GQ330" s="10"/>
      <c r="GR330" s="10"/>
      <c r="GS330" s="10"/>
      <c r="GT330" s="10"/>
      <c r="GU330" s="10"/>
      <c r="GV330" s="10"/>
      <c r="GW330" s="10"/>
      <c r="GX330" s="10"/>
      <c r="GY330" s="10"/>
      <c r="GZ330" s="10"/>
      <c r="HA330" s="10"/>
      <c r="HB330" s="10"/>
      <c r="HC330" s="10"/>
      <c r="HD330" s="10"/>
      <c r="HE330" s="10"/>
      <c r="HF330" s="10"/>
      <c r="HG330" s="10"/>
      <c r="HH330" s="10"/>
      <c r="HI330" s="10"/>
      <c r="HJ330" s="10"/>
      <c r="HK330" s="10"/>
      <c r="HL330" s="10"/>
      <c r="HM330" s="10"/>
      <c r="HN330" s="10"/>
      <c r="HO330" s="10"/>
      <c r="HP330" s="10"/>
      <c r="HQ330" s="10"/>
      <c r="HR330" s="10"/>
      <c r="HS330" s="10"/>
      <c r="HT330" s="10"/>
    </row>
    <row r="331" spans="2:228" ht="15" customHeight="1" x14ac:dyDescent="0.2">
      <c r="B331" s="1323"/>
      <c r="C331" s="1163"/>
      <c r="D331" s="1324"/>
      <c r="E331" s="460"/>
      <c r="F331" s="791" t="str">
        <f>IF(S330=1,"","Gluteus medius")</f>
        <v>Gluteus medius</v>
      </c>
      <c r="G331" s="791"/>
      <c r="H331" s="791"/>
      <c r="I331" s="791"/>
      <c r="J331" s="791"/>
      <c r="K331" s="791"/>
      <c r="L331" s="791"/>
      <c r="M331" s="80">
        <f>IF(OR(F331="",S331=0),0,0.2)</f>
        <v>0</v>
      </c>
      <c r="N331" s="202"/>
      <c r="O331" s="202"/>
      <c r="P331" s="298" t="str">
        <f>IF(X331=0,"",X331)</f>
        <v/>
      </c>
      <c r="R331" s="546" t="b">
        <v>0</v>
      </c>
      <c r="S331" s="571">
        <f t="shared" si="67"/>
        <v>0</v>
      </c>
      <c r="T331" s="581">
        <f t="shared" si="68"/>
        <v>0</v>
      </c>
      <c r="U331" s="581">
        <f t="shared" si="69"/>
        <v>0</v>
      </c>
      <c r="V331" s="581">
        <f t="shared" si="70"/>
        <v>0</v>
      </c>
      <c r="W331" s="581">
        <f t="shared" si="71"/>
        <v>0</v>
      </c>
      <c r="X331" s="581">
        <f t="shared" si="72"/>
        <v>0</v>
      </c>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0"/>
      <c r="EK331" s="10"/>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0"/>
      <c r="FQ331" s="10"/>
      <c r="FR331" s="10"/>
      <c r="FS331" s="10"/>
      <c r="FT331" s="10"/>
      <c r="FU331" s="10"/>
      <c r="FV331" s="10"/>
      <c r="FW331" s="10"/>
      <c r="FX331" s="10"/>
      <c r="FY331" s="10"/>
      <c r="FZ331" s="10"/>
      <c r="GA331" s="10"/>
      <c r="GB331" s="10"/>
      <c r="GC331" s="10"/>
      <c r="GD331" s="10"/>
      <c r="GE331" s="10"/>
      <c r="GF331" s="10"/>
      <c r="GG331" s="10"/>
      <c r="GH331" s="10"/>
      <c r="GI331" s="10"/>
      <c r="GJ331" s="10"/>
      <c r="GK331" s="10"/>
      <c r="GL331" s="10"/>
      <c r="GM331" s="10"/>
      <c r="GN331" s="10"/>
      <c r="GO331" s="10"/>
      <c r="GP331" s="10"/>
      <c r="GQ331" s="10"/>
      <c r="GR331" s="10"/>
      <c r="GS331" s="10"/>
      <c r="GT331" s="10"/>
      <c r="GU331" s="10"/>
      <c r="GV331" s="10"/>
      <c r="GW331" s="10"/>
      <c r="GX331" s="10"/>
      <c r="GY331" s="10"/>
      <c r="GZ331" s="10"/>
      <c r="HA331" s="10"/>
      <c r="HB331" s="10"/>
      <c r="HC331" s="10"/>
      <c r="HD331" s="10"/>
      <c r="HE331" s="10"/>
      <c r="HF331" s="10"/>
      <c r="HG331" s="10"/>
      <c r="HH331" s="10"/>
      <c r="HI331" s="10"/>
      <c r="HJ331" s="10"/>
      <c r="HK331" s="10"/>
      <c r="HL331" s="10"/>
      <c r="HM331" s="10"/>
      <c r="HN331" s="10"/>
      <c r="HO331" s="10"/>
      <c r="HP331" s="10"/>
      <c r="HQ331" s="10"/>
      <c r="HR331" s="10"/>
      <c r="HS331" s="10"/>
      <c r="HT331" s="10"/>
    </row>
    <row r="332" spans="2:228" ht="15" customHeight="1" x14ac:dyDescent="0.2">
      <c r="B332" s="1323"/>
      <c r="C332" s="1163"/>
      <c r="D332" s="1324"/>
      <c r="E332" s="460"/>
      <c r="F332" s="791" t="str">
        <f>IF(S330=1,"","Gluteus minimus")</f>
        <v>Gluteus minimus</v>
      </c>
      <c r="G332" s="791"/>
      <c r="H332" s="791"/>
      <c r="I332" s="791"/>
      <c r="J332" s="791"/>
      <c r="K332" s="791"/>
      <c r="L332" s="791"/>
      <c r="M332" s="80">
        <f>IF(OR(F332="",S332=0),0,0.2)</f>
        <v>0</v>
      </c>
      <c r="N332" s="202"/>
      <c r="O332" s="202"/>
      <c r="P332" s="298" t="str">
        <f>IF(X332=0,"",X332)</f>
        <v/>
      </c>
      <c r="R332" s="546" t="b">
        <v>0</v>
      </c>
      <c r="S332" s="571">
        <f t="shared" si="67"/>
        <v>0</v>
      </c>
      <c r="T332" s="581">
        <f t="shared" si="68"/>
        <v>0</v>
      </c>
      <c r="U332" s="581">
        <f t="shared" si="69"/>
        <v>0</v>
      </c>
      <c r="V332" s="581">
        <f t="shared" si="70"/>
        <v>0</v>
      </c>
      <c r="W332" s="581">
        <f t="shared" si="71"/>
        <v>0</v>
      </c>
      <c r="X332" s="581">
        <f t="shared" si="72"/>
        <v>0</v>
      </c>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c r="EM332" s="10"/>
      <c r="EN332" s="10"/>
      <c r="EO332" s="10"/>
      <c r="EP332" s="10"/>
      <c r="EQ332" s="10"/>
      <c r="ER332" s="10"/>
      <c r="ES332" s="10"/>
      <c r="ET332" s="10"/>
      <c r="EU332" s="10"/>
      <c r="EV332" s="10"/>
      <c r="EW332" s="10"/>
      <c r="EX332" s="10"/>
      <c r="EY332" s="10"/>
      <c r="EZ332" s="10"/>
      <c r="FA332" s="10"/>
      <c r="FB332" s="10"/>
      <c r="FC332" s="10"/>
      <c r="FD332" s="10"/>
      <c r="FE332" s="10"/>
      <c r="FF332" s="10"/>
      <c r="FG332" s="10"/>
      <c r="FH332" s="10"/>
      <c r="FI332" s="10"/>
      <c r="FJ332" s="10"/>
      <c r="FK332" s="10"/>
      <c r="FL332" s="10"/>
      <c r="FM332" s="10"/>
      <c r="FN332" s="10"/>
      <c r="FO332" s="10"/>
      <c r="FP332" s="10"/>
      <c r="FQ332" s="10"/>
      <c r="FR332" s="10"/>
      <c r="FS332" s="10"/>
      <c r="FT332" s="10"/>
      <c r="FU332" s="10"/>
      <c r="FV332" s="10"/>
      <c r="FW332" s="10"/>
      <c r="FX332" s="10"/>
      <c r="FY332" s="10"/>
      <c r="FZ332" s="10"/>
      <c r="GA332" s="10"/>
      <c r="GB332" s="10"/>
      <c r="GC332" s="10"/>
      <c r="GD332" s="10"/>
      <c r="GE332" s="10"/>
      <c r="GF332" s="10"/>
      <c r="GG332" s="10"/>
      <c r="GH332" s="10"/>
      <c r="GI332" s="10"/>
      <c r="GJ332" s="10"/>
      <c r="GK332" s="10"/>
      <c r="GL332" s="10"/>
      <c r="GM332" s="10"/>
      <c r="GN332" s="10"/>
      <c r="GO332" s="10"/>
      <c r="GP332" s="10"/>
      <c r="GQ332" s="10"/>
      <c r="GR332" s="10"/>
      <c r="GS332" s="10"/>
      <c r="GT332" s="10"/>
      <c r="GU332" s="10"/>
      <c r="GV332" s="10"/>
      <c r="GW332" s="10"/>
      <c r="GX332" s="10"/>
      <c r="GY332" s="10"/>
      <c r="GZ332" s="10"/>
      <c r="HA332" s="10"/>
      <c r="HB332" s="10"/>
      <c r="HC332" s="10"/>
      <c r="HD332" s="10"/>
      <c r="HE332" s="10"/>
      <c r="HF332" s="10"/>
      <c r="HG332" s="10"/>
      <c r="HH332" s="10"/>
      <c r="HI332" s="10"/>
      <c r="HJ332" s="10"/>
      <c r="HK332" s="10"/>
      <c r="HL332" s="10"/>
      <c r="HM332" s="10"/>
      <c r="HN332" s="10"/>
      <c r="HO332" s="10"/>
      <c r="HP332" s="10"/>
      <c r="HQ332" s="10"/>
      <c r="HR332" s="10"/>
      <c r="HS332" s="10"/>
      <c r="HT332" s="10"/>
    </row>
    <row r="333" spans="2:228" ht="15" customHeight="1" x14ac:dyDescent="0.2">
      <c r="B333" s="1325"/>
      <c r="C333" s="1326"/>
      <c r="D333" s="1327"/>
      <c r="E333" s="460"/>
      <c r="F333" s="791" t="str">
        <f>IF(S330=1,"","Tensor fasciae latae")</f>
        <v>Tensor fasciae latae</v>
      </c>
      <c r="G333" s="791"/>
      <c r="H333" s="791"/>
      <c r="I333" s="791"/>
      <c r="J333" s="791"/>
      <c r="K333" s="791"/>
      <c r="L333" s="791"/>
      <c r="M333" s="80">
        <f>IF(OR(F333="",S333=0),0,0.2)</f>
        <v>0</v>
      </c>
      <c r="N333" s="202"/>
      <c r="O333" s="202"/>
      <c r="P333" s="298" t="str">
        <f>IF(X333=0,"",X333)</f>
        <v/>
      </c>
      <c r="R333" s="546" t="b">
        <v>0</v>
      </c>
      <c r="S333" s="571">
        <f t="shared" si="67"/>
        <v>0</v>
      </c>
      <c r="T333" s="581">
        <f t="shared" si="68"/>
        <v>0</v>
      </c>
      <c r="U333" s="581">
        <f t="shared" si="69"/>
        <v>0</v>
      </c>
      <c r="V333" s="581">
        <f t="shared" si="70"/>
        <v>0</v>
      </c>
      <c r="W333" s="581">
        <f t="shared" si="71"/>
        <v>0</v>
      </c>
      <c r="X333" s="581">
        <f t="shared" si="72"/>
        <v>0</v>
      </c>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c r="EM333" s="10"/>
      <c r="EN333" s="10"/>
      <c r="EO333" s="10"/>
      <c r="EP333" s="10"/>
      <c r="EQ333" s="10"/>
      <c r="ER333" s="10"/>
      <c r="ES333" s="10"/>
      <c r="ET333" s="10"/>
      <c r="EU333" s="10"/>
      <c r="EV333" s="10"/>
      <c r="EW333" s="10"/>
      <c r="EX333" s="10"/>
      <c r="EY333" s="10"/>
      <c r="EZ333" s="10"/>
      <c r="FA333" s="10"/>
      <c r="FB333" s="10"/>
      <c r="FC333" s="10"/>
      <c r="FD333" s="10"/>
      <c r="FE333" s="10"/>
      <c r="FF333" s="10"/>
      <c r="FG333" s="10"/>
      <c r="FH333" s="10"/>
      <c r="FI333" s="10"/>
      <c r="FJ333" s="10"/>
      <c r="FK333" s="10"/>
      <c r="FL333" s="10"/>
      <c r="FM333" s="10"/>
      <c r="FN333" s="10"/>
      <c r="FO333" s="10"/>
      <c r="FP333" s="10"/>
      <c r="FQ333" s="10"/>
      <c r="FR333" s="10"/>
      <c r="FS333" s="10"/>
      <c r="FT333" s="10"/>
      <c r="FU333" s="10"/>
      <c r="FV333" s="10"/>
      <c r="FW333" s="10"/>
      <c r="FX333" s="10"/>
      <c r="FY333" s="10"/>
      <c r="FZ333" s="10"/>
      <c r="GA333" s="10"/>
      <c r="GB333" s="10"/>
      <c r="GC333" s="10"/>
      <c r="GD333" s="10"/>
      <c r="GE333" s="10"/>
      <c r="GF333" s="10"/>
      <c r="GG333" s="10"/>
      <c r="GH333" s="10"/>
      <c r="GI333" s="10"/>
      <c r="GJ333" s="10"/>
      <c r="GK333" s="10"/>
      <c r="GL333" s="10"/>
      <c r="GM333" s="10"/>
      <c r="GN333" s="10"/>
      <c r="GO333" s="10"/>
      <c r="GP333" s="10"/>
      <c r="GQ333" s="10"/>
      <c r="GR333" s="10"/>
      <c r="GS333" s="10"/>
      <c r="GT333" s="10"/>
      <c r="GU333" s="10"/>
      <c r="GV333" s="10"/>
      <c r="GW333" s="10"/>
      <c r="GX333" s="10"/>
      <c r="GY333" s="10"/>
      <c r="GZ333" s="10"/>
      <c r="HA333" s="10"/>
      <c r="HB333" s="10"/>
      <c r="HC333" s="10"/>
      <c r="HD333" s="10"/>
      <c r="HE333" s="10"/>
      <c r="HF333" s="10"/>
      <c r="HG333" s="10"/>
      <c r="HH333" s="10"/>
      <c r="HI333" s="10"/>
      <c r="HJ333" s="10"/>
      <c r="HK333" s="10"/>
      <c r="HL333" s="10"/>
      <c r="HM333" s="10"/>
      <c r="HN333" s="10"/>
      <c r="HO333" s="10"/>
      <c r="HP333" s="10"/>
      <c r="HQ333" s="10"/>
      <c r="HR333" s="10"/>
      <c r="HS333" s="10"/>
      <c r="HT333" s="10"/>
    </row>
    <row r="334" spans="2:228" ht="18" customHeight="1" x14ac:dyDescent="0.2">
      <c r="B334" s="994" t="str">
        <f>IF(SUM(M330:M333)=0,"","Total for superior gluteal; LEG impairment:")</f>
        <v/>
      </c>
      <c r="C334" s="994"/>
      <c r="D334" s="994"/>
      <c r="E334" s="957"/>
      <c r="F334" s="957"/>
      <c r="G334" s="957"/>
      <c r="H334" s="957"/>
      <c r="I334" s="957"/>
      <c r="J334" s="957"/>
      <c r="K334" s="957"/>
      <c r="L334" s="957"/>
      <c r="M334" s="957"/>
      <c r="N334" s="957"/>
      <c r="O334" s="957"/>
      <c r="P334" s="190">
        <f>IF(AND(P330="",P331="",P332="",P333=""),0,AVERAGE(P330:P333))</f>
        <v>0</v>
      </c>
      <c r="R334" s="10"/>
      <c r="S334" s="98"/>
      <c r="T334" s="94"/>
      <c r="U334" s="94"/>
      <c r="V334" s="94"/>
      <c r="W334" s="94"/>
      <c r="X334" s="94"/>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c r="EM334" s="10"/>
      <c r="EN334" s="10"/>
      <c r="EO334" s="10"/>
      <c r="EP334" s="10"/>
      <c r="EQ334" s="10"/>
      <c r="ER334" s="10"/>
      <c r="ES334" s="10"/>
      <c r="ET334" s="10"/>
      <c r="EU334" s="10"/>
      <c r="EV334" s="10"/>
      <c r="EW334" s="10"/>
      <c r="EX334" s="10"/>
      <c r="EY334" s="10"/>
      <c r="EZ334" s="10"/>
      <c r="FA334" s="10"/>
      <c r="FB334" s="10"/>
      <c r="FC334" s="10"/>
      <c r="FD334" s="10"/>
      <c r="FE334" s="10"/>
      <c r="FF334" s="10"/>
      <c r="FG334" s="10"/>
      <c r="FH334" s="10"/>
      <c r="FI334" s="10"/>
      <c r="FJ334" s="10"/>
      <c r="FK334" s="10"/>
      <c r="FL334" s="10"/>
      <c r="FM334" s="10"/>
      <c r="FN334" s="10"/>
      <c r="FO334" s="10"/>
      <c r="FP334" s="10"/>
      <c r="FQ334" s="10"/>
      <c r="FR334" s="10"/>
      <c r="FS334" s="10"/>
      <c r="FT334" s="10"/>
      <c r="FU334" s="10"/>
      <c r="FV334" s="10"/>
      <c r="FW334" s="10"/>
      <c r="FX334" s="10"/>
      <c r="FY334" s="10"/>
      <c r="FZ334" s="10"/>
      <c r="GA334" s="10"/>
      <c r="GB334" s="10"/>
      <c r="GC334" s="10"/>
      <c r="GD334" s="10"/>
      <c r="GE334" s="10"/>
      <c r="GF334" s="10"/>
      <c r="GG334" s="10"/>
      <c r="GH334" s="10"/>
      <c r="GI334" s="10"/>
      <c r="GJ334" s="10"/>
      <c r="GK334" s="10"/>
      <c r="GL334" s="10"/>
      <c r="GM334" s="10"/>
      <c r="GN334" s="10"/>
      <c r="GO334" s="10"/>
      <c r="GP334" s="10"/>
      <c r="GQ334" s="10"/>
      <c r="GR334" s="10"/>
      <c r="GS334" s="10"/>
      <c r="GT334" s="10"/>
      <c r="GU334" s="10"/>
      <c r="GV334" s="10"/>
      <c r="GW334" s="10"/>
      <c r="GX334" s="10"/>
      <c r="GY334" s="10"/>
      <c r="GZ334" s="10"/>
      <c r="HA334" s="10"/>
      <c r="HB334" s="10"/>
      <c r="HC334" s="10"/>
      <c r="HD334" s="10"/>
      <c r="HE334" s="10"/>
      <c r="HF334" s="10"/>
      <c r="HG334" s="10"/>
      <c r="HH334" s="10"/>
      <c r="HI334" s="10"/>
      <c r="HJ334" s="10"/>
      <c r="HK334" s="10"/>
      <c r="HL334" s="10"/>
      <c r="HM334" s="10"/>
      <c r="HN334" s="10"/>
      <c r="HO334" s="10"/>
      <c r="HP334" s="10"/>
      <c r="HQ334" s="10"/>
      <c r="HR334" s="10"/>
      <c r="HS334" s="10"/>
      <c r="HT334" s="10"/>
    </row>
    <row r="335" spans="2:228" ht="15" customHeight="1" x14ac:dyDescent="0.2">
      <c r="B335" s="761" t="s">
        <v>507</v>
      </c>
      <c r="C335" s="761"/>
      <c r="D335" s="761"/>
      <c r="E335" s="369"/>
      <c r="F335" s="791" t="s">
        <v>508</v>
      </c>
      <c r="G335" s="791"/>
      <c r="H335" s="791"/>
      <c r="I335" s="791"/>
      <c r="J335" s="791"/>
      <c r="K335" s="791"/>
      <c r="L335" s="791"/>
      <c r="M335" s="80">
        <f>IF(OR(F335="",S335=0),0,0.25)</f>
        <v>0</v>
      </c>
      <c r="N335" s="202"/>
      <c r="O335" s="202"/>
      <c r="P335" s="291">
        <f>IF(X335=0,0,X335)</f>
        <v>0</v>
      </c>
      <c r="R335" s="546" t="b">
        <v>0</v>
      </c>
      <c r="S335" s="571">
        <f>IF(R335=TRUE,1,0)</f>
        <v>0</v>
      </c>
      <c r="T335" s="581">
        <f>SUMIF($T$277:$AH$277,N335,$T$278:$AH$278)</f>
        <v>0</v>
      </c>
      <c r="U335" s="581">
        <f>SUMIF($S$277:$AH$277,O335,$S$278:$AH$278)</f>
        <v>0</v>
      </c>
      <c r="V335" s="581">
        <f>M335*T335</f>
        <v>0</v>
      </c>
      <c r="W335" s="581">
        <f>M335*U335</f>
        <v>0</v>
      </c>
      <c r="X335" s="581">
        <f>(IF(V335-W335&lt;=0,0,V335-W335))</f>
        <v>0</v>
      </c>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c r="DY335" s="10"/>
      <c r="DZ335" s="10"/>
      <c r="EA335" s="10"/>
      <c r="EB335" s="10"/>
      <c r="EC335" s="10"/>
      <c r="ED335" s="10"/>
      <c r="EE335" s="10"/>
      <c r="EF335" s="10"/>
      <c r="EG335" s="10"/>
      <c r="EH335" s="10"/>
      <c r="EI335" s="10"/>
      <c r="EJ335" s="10"/>
      <c r="EK335" s="10"/>
      <c r="EL335" s="10"/>
      <c r="EM335" s="10"/>
      <c r="EN335" s="10"/>
      <c r="EO335" s="10"/>
      <c r="EP335" s="10"/>
      <c r="EQ335" s="10"/>
      <c r="ER335" s="10"/>
      <c r="ES335" s="10"/>
      <c r="ET335" s="10"/>
      <c r="EU335" s="10"/>
      <c r="EV335" s="10"/>
      <c r="EW335" s="10"/>
      <c r="EX335" s="10"/>
      <c r="EY335" s="10"/>
      <c r="EZ335" s="10"/>
      <c r="FA335" s="10"/>
      <c r="FB335" s="10"/>
      <c r="FC335" s="10"/>
      <c r="FD335" s="10"/>
      <c r="FE335" s="10"/>
      <c r="FF335" s="10"/>
      <c r="FG335" s="10"/>
      <c r="FH335" s="10"/>
      <c r="FI335" s="10"/>
      <c r="FJ335" s="10"/>
      <c r="FK335" s="10"/>
      <c r="FL335" s="10"/>
      <c r="FM335" s="10"/>
      <c r="FN335" s="10"/>
      <c r="FO335" s="10"/>
      <c r="FP335" s="10"/>
      <c r="FQ335" s="10"/>
      <c r="FR335" s="10"/>
      <c r="FS335" s="10"/>
      <c r="FT335" s="10"/>
      <c r="FU335" s="10"/>
      <c r="FV335" s="10"/>
      <c r="FW335" s="10"/>
      <c r="FX335" s="10"/>
      <c r="FY335" s="10"/>
      <c r="FZ335" s="10"/>
      <c r="GA335" s="10"/>
      <c r="GB335" s="10"/>
      <c r="GC335" s="10"/>
      <c r="GD335" s="10"/>
      <c r="GE335" s="10"/>
      <c r="GF335" s="10"/>
      <c r="GG335" s="10"/>
      <c r="GH335" s="10"/>
      <c r="GI335" s="10"/>
      <c r="GJ335" s="10"/>
      <c r="GK335" s="10"/>
      <c r="GL335" s="10"/>
      <c r="GM335" s="10"/>
      <c r="GN335" s="10"/>
      <c r="GO335" s="10"/>
      <c r="GP335" s="10"/>
      <c r="GQ335" s="10"/>
      <c r="GR335" s="10"/>
      <c r="GS335" s="10"/>
      <c r="GT335" s="10"/>
      <c r="GU335" s="10"/>
      <c r="GV335" s="10"/>
      <c r="GW335" s="10"/>
      <c r="GX335" s="10"/>
      <c r="GY335" s="10"/>
      <c r="GZ335" s="10"/>
      <c r="HA335" s="10"/>
      <c r="HB335" s="10"/>
      <c r="HC335" s="10"/>
      <c r="HD335" s="10"/>
      <c r="HE335" s="10"/>
      <c r="HF335" s="10"/>
      <c r="HG335" s="10"/>
      <c r="HH335" s="10"/>
      <c r="HI335" s="10"/>
      <c r="HJ335" s="10"/>
      <c r="HK335" s="10"/>
      <c r="HL335" s="10"/>
      <c r="HM335" s="10"/>
      <c r="HN335" s="10"/>
      <c r="HO335" s="10"/>
      <c r="HP335" s="10"/>
      <c r="HQ335" s="10"/>
      <c r="HR335" s="10"/>
      <c r="HS335" s="10"/>
      <c r="HT335" s="10"/>
    </row>
    <row r="336" spans="2:228" ht="18" customHeight="1" x14ac:dyDescent="0.2">
      <c r="B336" s="957" t="s">
        <v>572</v>
      </c>
      <c r="C336" s="957"/>
      <c r="D336" s="957"/>
      <c r="E336" s="957"/>
      <c r="F336" s="957"/>
      <c r="G336" s="957"/>
      <c r="H336" s="957"/>
      <c r="I336" s="957"/>
      <c r="J336" s="957"/>
      <c r="K336" s="957"/>
      <c r="L336" s="957"/>
      <c r="M336" s="957"/>
      <c r="N336" s="957"/>
      <c r="O336" s="957"/>
      <c r="P336" s="281">
        <f>AD282</f>
        <v>0</v>
      </c>
      <c r="Q336" s="1"/>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c r="DY336" s="10"/>
      <c r="DZ336" s="10"/>
      <c r="EA336" s="10"/>
      <c r="EB336" s="10"/>
      <c r="EC336" s="10"/>
      <c r="ED336" s="10"/>
      <c r="EE336" s="10"/>
      <c r="EF336" s="10"/>
      <c r="EG336" s="10"/>
      <c r="EH336" s="10"/>
      <c r="EI336" s="10"/>
      <c r="EJ336" s="10"/>
      <c r="EK336" s="10"/>
      <c r="EL336" s="10"/>
      <c r="EM336" s="10"/>
      <c r="EN336" s="10"/>
      <c r="EO336" s="10"/>
      <c r="EP336" s="10"/>
      <c r="EQ336" s="10"/>
      <c r="ER336" s="10"/>
      <c r="ES336" s="10"/>
      <c r="ET336" s="10"/>
      <c r="EU336" s="10"/>
      <c r="EV336" s="10"/>
      <c r="EW336" s="10"/>
      <c r="EX336" s="10"/>
      <c r="EY336" s="10"/>
      <c r="EZ336" s="10"/>
      <c r="FA336" s="10"/>
      <c r="FB336" s="10"/>
      <c r="FC336" s="10"/>
      <c r="FD336" s="10"/>
      <c r="FE336" s="10"/>
      <c r="FF336" s="10"/>
      <c r="FG336" s="10"/>
      <c r="FH336" s="10"/>
      <c r="FI336" s="10"/>
      <c r="FJ336" s="10"/>
      <c r="FK336" s="10"/>
      <c r="FL336" s="10"/>
      <c r="FM336" s="10"/>
      <c r="FN336" s="10"/>
      <c r="FO336" s="10"/>
      <c r="FP336" s="10"/>
      <c r="FQ336" s="10"/>
      <c r="FR336" s="10"/>
      <c r="FS336" s="10"/>
      <c r="FT336" s="10"/>
      <c r="FU336" s="10"/>
      <c r="FV336" s="10"/>
      <c r="FW336" s="10"/>
      <c r="FX336" s="10"/>
      <c r="FY336" s="10"/>
      <c r="FZ336" s="10"/>
      <c r="GA336" s="10"/>
      <c r="GB336" s="10"/>
      <c r="GC336" s="10"/>
      <c r="GD336" s="10"/>
      <c r="GE336" s="10"/>
      <c r="GF336" s="10"/>
      <c r="GG336" s="10"/>
      <c r="GH336" s="10"/>
      <c r="GI336" s="10"/>
      <c r="GJ336" s="10"/>
      <c r="GK336" s="10"/>
      <c r="GL336" s="10"/>
      <c r="GM336" s="10"/>
      <c r="GN336" s="10"/>
      <c r="GO336" s="10"/>
      <c r="GP336" s="10"/>
      <c r="GQ336" s="10"/>
      <c r="GR336" s="10"/>
      <c r="GS336" s="10"/>
      <c r="GT336" s="10"/>
      <c r="GU336" s="10"/>
      <c r="GV336" s="10"/>
      <c r="GW336" s="10"/>
      <c r="GX336" s="10"/>
      <c r="GY336" s="10"/>
      <c r="GZ336" s="10"/>
      <c r="HA336" s="10"/>
      <c r="HB336" s="10"/>
      <c r="HC336" s="10"/>
      <c r="HD336" s="10"/>
      <c r="HE336" s="10"/>
      <c r="HF336" s="10"/>
      <c r="HG336" s="10"/>
      <c r="HH336" s="10"/>
      <c r="HI336" s="10"/>
      <c r="HJ336" s="10"/>
      <c r="HK336" s="10"/>
      <c r="HL336" s="10"/>
      <c r="HM336" s="10"/>
      <c r="HN336" s="10"/>
      <c r="HO336" s="10"/>
      <c r="HP336" s="10"/>
      <c r="HQ336" s="10"/>
      <c r="HR336" s="10"/>
      <c r="HS336" s="10"/>
      <c r="HT336" s="10"/>
    </row>
    <row r="337" spans="2:228" ht="18" customHeight="1" x14ac:dyDescent="0.2">
      <c r="B337" s="957" t="s">
        <v>843</v>
      </c>
      <c r="C337" s="957"/>
      <c r="D337" s="957"/>
      <c r="E337" s="957"/>
      <c r="F337" s="957"/>
      <c r="G337" s="957"/>
      <c r="H337" s="957"/>
      <c r="I337" s="957"/>
      <c r="J337" s="957"/>
      <c r="K337" s="957"/>
      <c r="L337" s="957"/>
      <c r="M337" s="957"/>
      <c r="N337" s="957"/>
      <c r="O337" s="957"/>
      <c r="P337" s="281">
        <f>AI291</f>
        <v>0</v>
      </c>
      <c r="Q337" s="1"/>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0"/>
      <c r="GT337" s="10"/>
      <c r="GU337" s="10"/>
      <c r="GV337" s="10"/>
      <c r="GW337" s="10"/>
      <c r="GX337" s="10"/>
      <c r="GY337" s="10"/>
      <c r="GZ337" s="10"/>
      <c r="HA337" s="10"/>
      <c r="HB337" s="10"/>
      <c r="HC337" s="10"/>
      <c r="HD337" s="10"/>
      <c r="HE337" s="10"/>
      <c r="HF337" s="10"/>
      <c r="HG337" s="10"/>
      <c r="HH337" s="10"/>
      <c r="HI337" s="10"/>
      <c r="HJ337" s="10"/>
      <c r="HK337" s="10"/>
      <c r="HL337" s="10"/>
      <c r="HM337" s="10"/>
      <c r="HN337" s="10"/>
      <c r="HO337" s="10"/>
      <c r="HP337" s="10"/>
      <c r="HQ337" s="10"/>
      <c r="HR337" s="10"/>
      <c r="HS337" s="10"/>
      <c r="HT337" s="10"/>
    </row>
    <row r="338" spans="2:228" ht="12" customHeight="1" x14ac:dyDescent="0.2">
      <c r="B338" s="777"/>
      <c r="C338" s="777"/>
      <c r="D338" s="777"/>
      <c r="E338" s="777"/>
      <c r="F338" s="777"/>
      <c r="G338" s="777"/>
      <c r="H338" s="777"/>
      <c r="I338" s="777"/>
      <c r="J338" s="777"/>
      <c r="K338" s="777"/>
      <c r="L338" s="777"/>
      <c r="M338" s="777"/>
      <c r="N338" s="777"/>
      <c r="O338" s="777"/>
      <c r="P338" s="777"/>
      <c r="Q338" s="1"/>
      <c r="R338" s="10"/>
      <c r="S338" s="10"/>
      <c r="T338" s="10"/>
      <c r="U338" s="10"/>
      <c r="V338" s="10"/>
      <c r="W338" s="10"/>
      <c r="X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0"/>
      <c r="EZ338" s="10"/>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0"/>
      <c r="FY338" s="10"/>
      <c r="FZ338" s="10"/>
      <c r="GA338" s="10"/>
      <c r="GB338" s="10"/>
      <c r="GC338" s="10"/>
      <c r="GD338" s="10"/>
      <c r="GE338" s="10"/>
      <c r="GF338" s="10"/>
      <c r="GG338" s="10"/>
      <c r="GH338" s="10"/>
      <c r="GI338" s="10"/>
      <c r="GJ338" s="10"/>
      <c r="GK338" s="10"/>
      <c r="GL338" s="10"/>
      <c r="GM338" s="10"/>
      <c r="GN338" s="10"/>
      <c r="GO338" s="10"/>
      <c r="GP338" s="10"/>
      <c r="GQ338" s="10"/>
      <c r="GR338" s="10"/>
      <c r="GS338" s="10"/>
      <c r="GT338" s="10"/>
      <c r="GU338" s="10"/>
      <c r="GV338" s="10"/>
      <c r="GW338" s="10"/>
      <c r="GX338" s="10"/>
      <c r="GY338" s="10"/>
      <c r="GZ338" s="10"/>
      <c r="HA338" s="10"/>
      <c r="HB338" s="10"/>
      <c r="HC338" s="10"/>
      <c r="HD338" s="10"/>
      <c r="HE338" s="10"/>
      <c r="HF338" s="10"/>
      <c r="HG338" s="10"/>
      <c r="HH338" s="10"/>
      <c r="HI338" s="10"/>
      <c r="HJ338" s="10"/>
      <c r="HK338" s="10"/>
      <c r="HL338" s="10"/>
      <c r="HM338" s="10"/>
      <c r="HN338" s="10"/>
      <c r="HO338" s="10"/>
      <c r="HP338" s="10"/>
      <c r="HQ338" s="10"/>
      <c r="HR338" s="10"/>
      <c r="HS338" s="10"/>
      <c r="HT338" s="10"/>
    </row>
    <row r="339" spans="2:228" ht="12" customHeight="1" x14ac:dyDescent="0.2">
      <c r="B339" s="777"/>
      <c r="C339" s="777"/>
      <c r="D339" s="777"/>
      <c r="E339" s="777"/>
      <c r="F339" s="777"/>
      <c r="G339" s="777"/>
      <c r="H339" s="777"/>
      <c r="I339" s="777"/>
      <c r="J339" s="777"/>
      <c r="K339" s="777"/>
      <c r="L339" s="777"/>
      <c r="M339" s="777"/>
      <c r="N339" s="777"/>
      <c r="O339" s="777"/>
      <c r="P339" s="777"/>
      <c r="Q339" s="1"/>
      <c r="R339" s="10"/>
      <c r="S339" s="10"/>
      <c r="T339" s="10"/>
      <c r="U339" s="10"/>
      <c r="V339" s="10"/>
      <c r="W339" s="10"/>
      <c r="X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0"/>
      <c r="EZ339" s="10"/>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0"/>
      <c r="FY339" s="10"/>
      <c r="FZ339" s="10"/>
      <c r="GA339" s="10"/>
      <c r="GB339" s="10"/>
      <c r="GC339" s="10"/>
      <c r="GD339" s="10"/>
      <c r="GE339" s="10"/>
      <c r="GF339" s="10"/>
      <c r="GG339" s="10"/>
      <c r="GH339" s="10"/>
      <c r="GI339" s="10"/>
      <c r="GJ339" s="10"/>
      <c r="GK339" s="10"/>
      <c r="GL339" s="10"/>
      <c r="GM339" s="10"/>
      <c r="GN339" s="10"/>
      <c r="GO339" s="10"/>
      <c r="GP339" s="10"/>
      <c r="GQ339" s="10"/>
      <c r="GR339" s="10"/>
      <c r="GS339" s="10"/>
      <c r="GT339" s="10"/>
      <c r="GU339" s="10"/>
      <c r="GV339" s="10"/>
      <c r="GW339" s="10"/>
      <c r="GX339" s="10"/>
      <c r="GY339" s="10"/>
      <c r="GZ339" s="10"/>
      <c r="HA339" s="10"/>
      <c r="HB339" s="10"/>
      <c r="HC339" s="10"/>
      <c r="HD339" s="10"/>
      <c r="HE339" s="10"/>
      <c r="HF339" s="10"/>
      <c r="HG339" s="10"/>
      <c r="HH339" s="10"/>
      <c r="HI339" s="10"/>
      <c r="HJ339" s="10"/>
      <c r="HK339" s="10"/>
      <c r="HL339" s="10"/>
      <c r="HM339" s="10"/>
      <c r="HN339" s="10"/>
      <c r="HO339" s="10"/>
      <c r="HP339" s="10"/>
      <c r="HQ339" s="10"/>
      <c r="HR339" s="10"/>
      <c r="HS339" s="10"/>
      <c r="HT339" s="10"/>
    </row>
    <row r="340" spans="2:228" ht="30" customHeight="1" x14ac:dyDescent="0.2">
      <c r="B340" s="1019" t="s">
        <v>803</v>
      </c>
      <c r="C340" s="1020"/>
      <c r="D340" s="1020"/>
      <c r="E340" s="1020"/>
      <c r="F340" s="1021"/>
      <c r="G340" s="907" t="s">
        <v>1495</v>
      </c>
      <c r="H340" s="945"/>
      <c r="I340" s="945"/>
      <c r="J340" s="945"/>
      <c r="K340" s="946"/>
      <c r="L340" s="967"/>
      <c r="M340" s="968"/>
      <c r="N340" s="968"/>
      <c r="O340" s="968"/>
      <c r="P340" s="1116">
        <f>IF(J367&gt;0,J367,V365)</f>
        <v>0</v>
      </c>
      <c r="R340" s="10"/>
      <c r="S340" s="146" t="s">
        <v>1826</v>
      </c>
      <c r="T340" s="50" t="s">
        <v>1285</v>
      </c>
      <c r="U340" s="50" t="s">
        <v>1286</v>
      </c>
      <c r="V340" s="50" t="s">
        <v>1287</v>
      </c>
      <c r="W340" s="50" t="s">
        <v>844</v>
      </c>
      <c r="X340" s="10"/>
      <c r="Y340" s="146" t="s">
        <v>498</v>
      </c>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0"/>
      <c r="EZ340" s="10"/>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0"/>
      <c r="FY340" s="10"/>
      <c r="FZ340" s="10"/>
      <c r="GA340" s="10"/>
      <c r="GB340" s="10"/>
      <c r="GC340" s="10"/>
      <c r="GD340" s="10"/>
      <c r="GE340" s="10"/>
      <c r="GF340" s="10"/>
      <c r="GG340" s="10"/>
      <c r="GH340" s="10"/>
      <c r="GI340" s="10"/>
      <c r="GJ340" s="10"/>
      <c r="GK340" s="10"/>
      <c r="GL340" s="10"/>
      <c r="GM340" s="10"/>
      <c r="GN340" s="10"/>
      <c r="GO340" s="10"/>
      <c r="GP340" s="10"/>
      <c r="GQ340" s="10"/>
      <c r="GR340" s="10"/>
      <c r="GS340" s="10"/>
      <c r="GT340" s="10"/>
      <c r="GU340" s="10"/>
      <c r="GV340" s="10"/>
      <c r="GW340" s="10"/>
      <c r="GX340" s="10"/>
      <c r="GY340" s="10"/>
      <c r="GZ340" s="10"/>
      <c r="HA340" s="10"/>
      <c r="HB340" s="10"/>
      <c r="HC340" s="10"/>
      <c r="HD340" s="10"/>
      <c r="HE340" s="10"/>
      <c r="HF340" s="10"/>
      <c r="HG340" s="10"/>
      <c r="HH340" s="10"/>
      <c r="HI340" s="10"/>
      <c r="HJ340" s="10"/>
      <c r="HK340" s="10"/>
      <c r="HL340" s="10"/>
      <c r="HM340" s="10"/>
      <c r="HN340" s="10"/>
      <c r="HO340" s="10"/>
      <c r="HP340" s="10"/>
      <c r="HQ340" s="10"/>
      <c r="HR340" s="10"/>
      <c r="HS340" s="10"/>
      <c r="HT340" s="10"/>
    </row>
    <row r="341" spans="2:228" ht="15" customHeight="1" x14ac:dyDescent="0.2">
      <c r="B341" s="742" t="s">
        <v>845</v>
      </c>
      <c r="C341" s="743"/>
      <c r="D341" s="744"/>
      <c r="E341" s="727">
        <f t="shared" ref="E341:E346" si="73">P207</f>
        <v>0</v>
      </c>
      <c r="F341" s="729"/>
      <c r="G341" s="1146"/>
      <c r="H341" s="1147"/>
      <c r="I341" s="1148"/>
      <c r="J341" s="1151">
        <f t="shared" ref="J341:J342" si="74">IF(AND(Y341&lt;0.01,Y341&gt;0),0.01,ROUND(Y341,2))</f>
        <v>0</v>
      </c>
      <c r="K341" s="1151"/>
      <c r="L341" s="971"/>
      <c r="M341" s="971"/>
      <c r="N341" s="971"/>
      <c r="O341" s="971"/>
      <c r="P341" s="1116"/>
      <c r="R341" s="10"/>
      <c r="S341" s="147">
        <f t="shared" ref="S341:S364" si="75">IF(J341&gt;0,J341,E341)</f>
        <v>0</v>
      </c>
      <c r="T341" s="147">
        <f>LARGE($S$341:$S$366,1)</f>
        <v>0</v>
      </c>
      <c r="U341" s="544">
        <f>T341+T342*(1-T341)</f>
        <v>0</v>
      </c>
      <c r="V341" s="548">
        <f>ROUND(U341,2)</f>
        <v>0</v>
      </c>
      <c r="W341" s="50">
        <f>IF(OR(P215&gt;0,P216&gt;0,P217&gt;0,P218&gt;0,P219&gt;0,P233&gt;0),1,0)</f>
        <v>0</v>
      </c>
      <c r="X341" s="10"/>
      <c r="Y341" s="21">
        <f t="shared" ref="Y341:Y352" si="76">G341*E341</f>
        <v>0</v>
      </c>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0"/>
      <c r="EZ341" s="10"/>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0"/>
      <c r="FY341" s="10"/>
      <c r="FZ341" s="10"/>
      <c r="GA341" s="10"/>
      <c r="GB341" s="10"/>
      <c r="GC341" s="10"/>
      <c r="GD341" s="10"/>
      <c r="GE341" s="10"/>
      <c r="GF341" s="10"/>
      <c r="GG341" s="10"/>
      <c r="GH341" s="10"/>
      <c r="GI341" s="10"/>
      <c r="GJ341" s="10"/>
      <c r="GK341" s="10"/>
      <c r="GL341" s="10"/>
      <c r="GM341" s="10"/>
      <c r="GN341" s="10"/>
      <c r="GO341" s="10"/>
      <c r="GP341" s="10"/>
      <c r="GQ341" s="10"/>
      <c r="GR341" s="10"/>
      <c r="GS341" s="10"/>
      <c r="GT341" s="10"/>
      <c r="GU341" s="10"/>
      <c r="GV341" s="10"/>
      <c r="GW341" s="10"/>
      <c r="GX341" s="10"/>
      <c r="GY341" s="10"/>
      <c r="GZ341" s="10"/>
      <c r="HA341" s="10"/>
      <c r="HB341" s="10"/>
      <c r="HC341" s="10"/>
      <c r="HD341" s="10"/>
      <c r="HE341" s="10"/>
      <c r="HF341" s="10"/>
      <c r="HG341" s="10"/>
      <c r="HH341" s="10"/>
      <c r="HI341" s="10"/>
      <c r="HJ341" s="10"/>
      <c r="HK341" s="10"/>
      <c r="HL341" s="10"/>
      <c r="HM341" s="10"/>
      <c r="HN341" s="10"/>
      <c r="HO341" s="10"/>
      <c r="HP341" s="10"/>
      <c r="HQ341" s="10"/>
      <c r="HR341" s="10"/>
      <c r="HS341" s="10"/>
      <c r="HT341" s="10"/>
    </row>
    <row r="342" spans="2:228" ht="15" customHeight="1" x14ac:dyDescent="0.2">
      <c r="B342" s="146" t="s">
        <v>1855</v>
      </c>
      <c r="C342" s="146"/>
      <c r="D342" s="146"/>
      <c r="E342" s="727">
        <f t="shared" si="73"/>
        <v>0</v>
      </c>
      <c r="F342" s="729"/>
      <c r="G342" s="1146"/>
      <c r="H342" s="1147"/>
      <c r="I342" s="1148"/>
      <c r="J342" s="1151">
        <f t="shared" si="74"/>
        <v>0</v>
      </c>
      <c r="K342" s="1151"/>
      <c r="L342" s="971"/>
      <c r="M342" s="971"/>
      <c r="N342" s="971"/>
      <c r="O342" s="971"/>
      <c r="P342" s="1116"/>
      <c r="R342" s="10"/>
      <c r="S342" s="147">
        <f t="shared" si="75"/>
        <v>0</v>
      </c>
      <c r="T342" s="147">
        <f>LARGE($S$341:$S$366,2)</f>
        <v>0</v>
      </c>
      <c r="U342" s="544">
        <f>V341+T343*(1-V341)</f>
        <v>0</v>
      </c>
      <c r="V342" s="548">
        <f>ROUND(U342,2)</f>
        <v>0</v>
      </c>
      <c r="W342" s="50" t="s">
        <v>1859</v>
      </c>
      <c r="X342" s="10"/>
      <c r="Y342" s="21">
        <f t="shared" si="76"/>
        <v>0</v>
      </c>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0"/>
      <c r="FY342" s="10"/>
      <c r="FZ342" s="10"/>
      <c r="GA342" s="10"/>
      <c r="GB342" s="10"/>
      <c r="GC342" s="10"/>
      <c r="GD342" s="10"/>
      <c r="GE342" s="10"/>
      <c r="GF342" s="10"/>
      <c r="GG342" s="10"/>
      <c r="GH342" s="10"/>
      <c r="GI342" s="10"/>
      <c r="GJ342" s="10"/>
      <c r="GK342" s="10"/>
      <c r="GL342" s="10"/>
      <c r="GM342" s="10"/>
      <c r="GN342" s="10"/>
      <c r="GO342" s="10"/>
      <c r="GP342" s="10"/>
      <c r="GQ342" s="10"/>
      <c r="GR342" s="10"/>
      <c r="GS342" s="10"/>
      <c r="GT342" s="10"/>
      <c r="GU342" s="10"/>
      <c r="GV342" s="10"/>
      <c r="GW342" s="10"/>
      <c r="GX342" s="10"/>
      <c r="GY342" s="10"/>
      <c r="GZ342" s="10"/>
      <c r="HA342" s="10"/>
      <c r="HB342" s="10"/>
      <c r="HC342" s="10"/>
      <c r="HD342" s="10"/>
      <c r="HE342" s="10"/>
      <c r="HF342" s="10"/>
      <c r="HG342" s="10"/>
      <c r="HH342" s="10"/>
      <c r="HI342" s="10"/>
      <c r="HJ342" s="10"/>
      <c r="HK342" s="10"/>
      <c r="HL342" s="10"/>
      <c r="HM342" s="10"/>
      <c r="HN342" s="10"/>
      <c r="HO342" s="10"/>
      <c r="HP342" s="10"/>
      <c r="HQ342" s="10"/>
      <c r="HR342" s="10"/>
      <c r="HS342" s="10"/>
      <c r="HT342" s="10"/>
    </row>
    <row r="343" spans="2:228" ht="15" customHeight="1" x14ac:dyDescent="0.2">
      <c r="B343" s="146" t="s">
        <v>1857</v>
      </c>
      <c r="C343" s="146"/>
      <c r="D343" s="146"/>
      <c r="E343" s="727">
        <f t="shared" si="73"/>
        <v>0</v>
      </c>
      <c r="F343" s="729"/>
      <c r="G343" s="1146"/>
      <c r="H343" s="1147"/>
      <c r="I343" s="1148"/>
      <c r="J343" s="1151">
        <f t="shared" ref="J343:J352" si="77">IF(AND(Y343&lt;0.01,Y343&gt;0),0.01,ROUND(Y343,2))</f>
        <v>0</v>
      </c>
      <c r="K343" s="1151"/>
      <c r="L343" s="971"/>
      <c r="M343" s="971"/>
      <c r="N343" s="971"/>
      <c r="O343" s="971"/>
      <c r="P343" s="1116"/>
      <c r="R343" s="10"/>
      <c r="S343" s="147">
        <f t="shared" si="75"/>
        <v>0</v>
      </c>
      <c r="T343" s="147">
        <f>LARGE($S$341:$S$366,3)</f>
        <v>0</v>
      </c>
      <c r="U343" s="544">
        <f t="shared" ref="U343:U365" si="78">V342+T344*(1-V342)</f>
        <v>0</v>
      </c>
      <c r="V343" s="548">
        <f t="shared" ref="V343:V365" si="79">ROUND(U343,2)</f>
        <v>0</v>
      </c>
      <c r="W343" s="50">
        <f>IF(P336&gt;0,5,0)</f>
        <v>0</v>
      </c>
      <c r="X343" s="10"/>
      <c r="Y343" s="21">
        <f t="shared" si="76"/>
        <v>0</v>
      </c>
      <c r="AB343" s="6"/>
      <c r="AC343" s="6"/>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0"/>
      <c r="FY343" s="10"/>
      <c r="FZ343" s="10"/>
      <c r="GA343" s="10"/>
      <c r="GB343" s="10"/>
      <c r="GC343" s="10"/>
      <c r="GD343" s="10"/>
      <c r="GE343" s="10"/>
      <c r="GF343" s="10"/>
      <c r="GG343" s="10"/>
      <c r="GH343" s="10"/>
      <c r="GI343" s="10"/>
      <c r="GJ343" s="10"/>
      <c r="GK343" s="10"/>
      <c r="GL343" s="10"/>
      <c r="GM343" s="10"/>
      <c r="GN343" s="10"/>
      <c r="GO343" s="10"/>
      <c r="GP343" s="10"/>
      <c r="GQ343" s="10"/>
      <c r="GR343" s="10"/>
      <c r="GS343" s="10"/>
      <c r="GT343" s="10"/>
      <c r="GU343" s="10"/>
      <c r="GV343" s="10"/>
      <c r="GW343" s="10"/>
      <c r="GX343" s="10"/>
      <c r="GY343" s="10"/>
      <c r="GZ343" s="10"/>
      <c r="HA343" s="10"/>
      <c r="HB343" s="10"/>
      <c r="HC343" s="10"/>
      <c r="HD343" s="10"/>
      <c r="HE343" s="10"/>
      <c r="HF343" s="10"/>
      <c r="HG343" s="10"/>
      <c r="HH343" s="10"/>
      <c r="HI343" s="10"/>
      <c r="HJ343" s="10"/>
      <c r="HK343" s="10"/>
      <c r="HL343" s="10"/>
      <c r="HM343" s="10"/>
      <c r="HN343" s="10"/>
      <c r="HO343" s="10"/>
      <c r="HP343" s="10"/>
      <c r="HQ343" s="10"/>
      <c r="HR343" s="10"/>
      <c r="HS343" s="10"/>
      <c r="HT343" s="10"/>
    </row>
    <row r="344" spans="2:228" ht="15" customHeight="1" x14ac:dyDescent="0.2">
      <c r="B344" s="146" t="s">
        <v>1858</v>
      </c>
      <c r="C344" s="146"/>
      <c r="D344" s="146"/>
      <c r="E344" s="727">
        <f t="shared" si="73"/>
        <v>0</v>
      </c>
      <c r="F344" s="729"/>
      <c r="G344" s="1146"/>
      <c r="H344" s="1147"/>
      <c r="I344" s="1148"/>
      <c r="J344" s="1151">
        <f t="shared" si="77"/>
        <v>0</v>
      </c>
      <c r="K344" s="1151"/>
      <c r="L344" s="971"/>
      <c r="M344" s="971"/>
      <c r="N344" s="971"/>
      <c r="O344" s="971"/>
      <c r="P344" s="1116"/>
      <c r="R344" s="10"/>
      <c r="S344" s="147">
        <f t="shared" si="75"/>
        <v>0</v>
      </c>
      <c r="T344" s="147">
        <f>LARGE($S$341:$S$366,4)</f>
        <v>0</v>
      </c>
      <c r="U344" s="544">
        <f t="shared" si="78"/>
        <v>0</v>
      </c>
      <c r="V344" s="548">
        <f t="shared" si="79"/>
        <v>0</v>
      </c>
      <c r="W344" s="146" t="s">
        <v>583</v>
      </c>
      <c r="X344" s="10"/>
      <c r="Y344" s="21">
        <f t="shared" si="76"/>
        <v>0</v>
      </c>
      <c r="AB344" s="6"/>
      <c r="AC344" s="6"/>
      <c r="AD344" s="6"/>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0"/>
      <c r="EZ344" s="10"/>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0"/>
      <c r="FY344" s="10"/>
      <c r="FZ344" s="10"/>
      <c r="GA344" s="10"/>
      <c r="GB344" s="10"/>
      <c r="GC344" s="10"/>
      <c r="GD344" s="10"/>
      <c r="GE344" s="10"/>
      <c r="GF344" s="10"/>
      <c r="GG344" s="10"/>
      <c r="GH344" s="10"/>
      <c r="GI344" s="10"/>
      <c r="GJ344" s="10"/>
      <c r="GK344" s="10"/>
      <c r="GL344" s="10"/>
      <c r="GM344" s="10"/>
      <c r="GN344" s="10"/>
      <c r="GO344" s="10"/>
      <c r="GP344" s="10"/>
      <c r="GQ344" s="10"/>
      <c r="GR344" s="10"/>
      <c r="GS344" s="10"/>
      <c r="GT344" s="10"/>
      <c r="GU344" s="10"/>
      <c r="GV344" s="10"/>
      <c r="GW344" s="10"/>
      <c r="GX344" s="10"/>
      <c r="GY344" s="10"/>
      <c r="GZ344" s="10"/>
      <c r="HA344" s="10"/>
      <c r="HB344" s="10"/>
      <c r="HC344" s="10"/>
      <c r="HD344" s="10"/>
      <c r="HE344" s="10"/>
      <c r="HF344" s="10"/>
      <c r="HG344" s="10"/>
      <c r="HH344" s="10"/>
      <c r="HI344" s="10"/>
      <c r="HJ344" s="10"/>
      <c r="HK344" s="10"/>
      <c r="HL344" s="10"/>
      <c r="HM344" s="10"/>
      <c r="HN344" s="10"/>
      <c r="HO344" s="10"/>
      <c r="HP344" s="10"/>
      <c r="HQ344" s="10"/>
      <c r="HR344" s="10"/>
      <c r="HS344" s="10"/>
      <c r="HT344" s="10"/>
    </row>
    <row r="345" spans="2:228" ht="15" customHeight="1" x14ac:dyDescent="0.2">
      <c r="B345" s="146" t="s">
        <v>1860</v>
      </c>
      <c r="C345" s="146"/>
      <c r="D345" s="146"/>
      <c r="E345" s="727">
        <f t="shared" si="73"/>
        <v>0</v>
      </c>
      <c r="F345" s="729"/>
      <c r="G345" s="1146"/>
      <c r="H345" s="1147"/>
      <c r="I345" s="1148"/>
      <c r="J345" s="1151">
        <f t="shared" si="77"/>
        <v>0</v>
      </c>
      <c r="K345" s="1151"/>
      <c r="L345" s="971"/>
      <c r="M345" s="971"/>
      <c r="N345" s="971"/>
      <c r="O345" s="971"/>
      <c r="P345" s="1116"/>
      <c r="R345" s="10"/>
      <c r="S345" s="147">
        <f t="shared" si="75"/>
        <v>0</v>
      </c>
      <c r="T345" s="147">
        <f>LARGE($S$341:$S$366,5)</f>
        <v>0</v>
      </c>
      <c r="U345" s="544">
        <f t="shared" si="78"/>
        <v>0</v>
      </c>
      <c r="V345" s="548">
        <f t="shared" si="79"/>
        <v>0</v>
      </c>
      <c r="W345" s="50">
        <f>IF(P266&gt;0,1,0)</f>
        <v>0</v>
      </c>
      <c r="X345" s="10"/>
      <c r="Y345" s="21">
        <f t="shared" si="76"/>
        <v>0</v>
      </c>
      <c r="AB345" s="6"/>
      <c r="AC345" s="6"/>
      <c r="AD345" s="6"/>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0"/>
      <c r="FY345" s="10"/>
      <c r="FZ345" s="10"/>
      <c r="GA345" s="10"/>
      <c r="GB345" s="10"/>
      <c r="GC345" s="10"/>
      <c r="GD345" s="10"/>
      <c r="GE345" s="10"/>
      <c r="GF345" s="10"/>
      <c r="GG345" s="10"/>
      <c r="GH345" s="10"/>
      <c r="GI345" s="10"/>
      <c r="GJ345" s="10"/>
      <c r="GK345" s="10"/>
      <c r="GL345" s="10"/>
      <c r="GM345" s="10"/>
      <c r="GN345" s="10"/>
      <c r="GO345" s="10"/>
      <c r="GP345" s="10"/>
      <c r="GQ345" s="10"/>
      <c r="GR345" s="10"/>
      <c r="GS345" s="10"/>
      <c r="GT345" s="10"/>
      <c r="GU345" s="10"/>
      <c r="GV345" s="10"/>
      <c r="GW345" s="10"/>
      <c r="GX345" s="10"/>
      <c r="GY345" s="10"/>
      <c r="GZ345" s="10"/>
      <c r="HA345" s="10"/>
      <c r="HB345" s="10"/>
      <c r="HC345" s="10"/>
      <c r="HD345" s="10"/>
      <c r="HE345" s="10"/>
      <c r="HF345" s="10"/>
      <c r="HG345" s="10"/>
      <c r="HH345" s="10"/>
      <c r="HI345" s="10"/>
      <c r="HJ345" s="10"/>
      <c r="HK345" s="10"/>
      <c r="HL345" s="10"/>
      <c r="HM345" s="10"/>
      <c r="HN345" s="10"/>
      <c r="HO345" s="10"/>
      <c r="HP345" s="10"/>
      <c r="HQ345" s="10"/>
      <c r="HR345" s="10"/>
      <c r="HS345" s="10"/>
      <c r="HT345" s="10"/>
    </row>
    <row r="346" spans="2:228" ht="15" customHeight="1" x14ac:dyDescent="0.2">
      <c r="B346" s="146" t="s">
        <v>1861</v>
      </c>
      <c r="C346" s="146"/>
      <c r="D346" s="146"/>
      <c r="E346" s="727">
        <f t="shared" si="73"/>
        <v>0</v>
      </c>
      <c r="F346" s="729"/>
      <c r="G346" s="1146"/>
      <c r="H346" s="1147"/>
      <c r="I346" s="1148"/>
      <c r="J346" s="1151">
        <f t="shared" si="77"/>
        <v>0</v>
      </c>
      <c r="K346" s="1159"/>
      <c r="L346" s="970"/>
      <c r="M346" s="971"/>
      <c r="N346" s="971"/>
      <c r="O346" s="971"/>
      <c r="P346" s="1116"/>
      <c r="R346" s="10"/>
      <c r="S346" s="147">
        <f t="shared" si="75"/>
        <v>0</v>
      </c>
      <c r="T346" s="147">
        <f>LARGE($S$341:$S$366,6)</f>
        <v>0</v>
      </c>
      <c r="U346" s="544">
        <f t="shared" si="78"/>
        <v>0</v>
      </c>
      <c r="V346" s="548">
        <f t="shared" si="79"/>
        <v>0</v>
      </c>
      <c r="W346" s="50" t="s">
        <v>1862</v>
      </c>
      <c r="X346" s="10"/>
      <c r="Y346" s="21">
        <f t="shared" si="76"/>
        <v>0</v>
      </c>
      <c r="AB346" s="6"/>
      <c r="AC346" s="6"/>
      <c r="AD346" s="6"/>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10"/>
      <c r="GP346" s="10"/>
      <c r="GQ346" s="10"/>
      <c r="GR346" s="10"/>
      <c r="GS346" s="10"/>
      <c r="GT346" s="10"/>
      <c r="GU346" s="10"/>
      <c r="GV346" s="10"/>
      <c r="GW346" s="10"/>
      <c r="GX346" s="10"/>
      <c r="GY346" s="10"/>
      <c r="GZ346" s="10"/>
      <c r="HA346" s="10"/>
      <c r="HB346" s="10"/>
      <c r="HC346" s="10"/>
      <c r="HD346" s="10"/>
      <c r="HE346" s="10"/>
      <c r="HF346" s="10"/>
      <c r="HG346" s="10"/>
      <c r="HH346" s="10"/>
      <c r="HI346" s="10"/>
      <c r="HJ346" s="10"/>
      <c r="HK346" s="10"/>
      <c r="HL346" s="10"/>
      <c r="HM346" s="10"/>
      <c r="HN346" s="10"/>
      <c r="HO346" s="10"/>
      <c r="HP346" s="10"/>
      <c r="HQ346" s="10"/>
      <c r="HR346" s="10"/>
      <c r="HS346" s="10"/>
      <c r="HT346" s="10"/>
    </row>
    <row r="347" spans="2:228" ht="15" customHeight="1" x14ac:dyDescent="0.2">
      <c r="B347" s="1154" t="s">
        <v>1863</v>
      </c>
      <c r="C347" s="1155"/>
      <c r="D347" s="1156"/>
      <c r="E347" s="727">
        <f>IF(P426&gt;0,0,P215)</f>
        <v>0</v>
      </c>
      <c r="F347" s="729"/>
      <c r="G347" s="1146"/>
      <c r="H347" s="1147"/>
      <c r="I347" s="1148"/>
      <c r="J347" s="1151">
        <f t="shared" si="77"/>
        <v>0</v>
      </c>
      <c r="K347" s="1159"/>
      <c r="L347" s="970"/>
      <c r="M347" s="971"/>
      <c r="N347" s="971"/>
      <c r="O347" s="971"/>
      <c r="P347" s="1116"/>
      <c r="R347" s="10"/>
      <c r="S347" s="147">
        <f t="shared" si="75"/>
        <v>0</v>
      </c>
      <c r="T347" s="147">
        <f>LARGE($S$341:$S$366,7)</f>
        <v>0</v>
      </c>
      <c r="U347" s="544">
        <f t="shared" si="78"/>
        <v>0</v>
      </c>
      <c r="V347" s="548">
        <f t="shared" si="79"/>
        <v>0</v>
      </c>
      <c r="W347" s="50">
        <f>SUM(W341,W343,W345)</f>
        <v>0</v>
      </c>
      <c r="X347" s="10"/>
      <c r="Y347" s="21">
        <f t="shared" si="76"/>
        <v>0</v>
      </c>
      <c r="AB347" s="6"/>
      <c r="AC347" s="6"/>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0"/>
      <c r="FY347" s="10"/>
      <c r="FZ347" s="10"/>
      <c r="GA347" s="10"/>
      <c r="GB347" s="10"/>
      <c r="GC347" s="10"/>
      <c r="GD347" s="10"/>
      <c r="GE347" s="10"/>
      <c r="GF347" s="10"/>
      <c r="GG347" s="10"/>
      <c r="GH347" s="10"/>
      <c r="GI347" s="10"/>
      <c r="GJ347" s="10"/>
      <c r="GK347" s="10"/>
      <c r="GL347" s="10"/>
      <c r="GM347" s="10"/>
      <c r="GN347" s="10"/>
      <c r="GO347" s="10"/>
      <c r="GP347" s="10"/>
      <c r="GQ347" s="10"/>
      <c r="GR347" s="10"/>
      <c r="GS347" s="10"/>
      <c r="GT347" s="10"/>
      <c r="GU347" s="10"/>
      <c r="GV347" s="10"/>
      <c r="GW347" s="10"/>
      <c r="GX347" s="10"/>
      <c r="GY347" s="10"/>
      <c r="GZ347" s="10"/>
      <c r="HA347" s="10"/>
      <c r="HB347" s="10"/>
      <c r="HC347" s="10"/>
      <c r="HD347" s="10"/>
      <c r="HE347" s="10"/>
      <c r="HF347" s="10"/>
      <c r="HG347" s="10"/>
      <c r="HH347" s="10"/>
      <c r="HI347" s="10"/>
      <c r="HJ347" s="10"/>
      <c r="HK347" s="10"/>
      <c r="HL347" s="10"/>
      <c r="HM347" s="10"/>
      <c r="HN347" s="10"/>
      <c r="HO347" s="10"/>
      <c r="HP347" s="10"/>
      <c r="HQ347" s="10"/>
      <c r="HR347" s="10"/>
      <c r="HS347" s="10"/>
      <c r="HT347" s="10"/>
    </row>
    <row r="348" spans="2:228" ht="15" customHeight="1" x14ac:dyDescent="0.2">
      <c r="B348" s="1154" t="s">
        <v>1412</v>
      </c>
      <c r="C348" s="1155"/>
      <c r="D348" s="1156"/>
      <c r="E348" s="727">
        <f>IF(P426&gt;0,0,P216)</f>
        <v>0</v>
      </c>
      <c r="F348" s="729"/>
      <c r="G348" s="1146"/>
      <c r="H348" s="1147"/>
      <c r="I348" s="1148"/>
      <c r="J348" s="1151">
        <f t="shared" si="77"/>
        <v>0</v>
      </c>
      <c r="K348" s="1159"/>
      <c r="L348" s="970"/>
      <c r="M348" s="971"/>
      <c r="N348" s="971"/>
      <c r="O348" s="971"/>
      <c r="P348" s="1116"/>
      <c r="R348" s="10"/>
      <c r="S348" s="147">
        <f t="shared" si="75"/>
        <v>0</v>
      </c>
      <c r="T348" s="147">
        <f>LARGE($S$341:$S$366,8)</f>
        <v>0</v>
      </c>
      <c r="U348" s="544">
        <f t="shared" si="78"/>
        <v>0</v>
      </c>
      <c r="V348" s="548">
        <f t="shared" si="79"/>
        <v>0</v>
      </c>
      <c r="W348" s="10"/>
      <c r="X348" s="10"/>
      <c r="Y348" s="21">
        <f t="shared" si="76"/>
        <v>0</v>
      </c>
      <c r="AB348" s="6"/>
      <c r="AC348" s="6"/>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0"/>
      <c r="EZ348" s="10"/>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0"/>
      <c r="FY348" s="10"/>
      <c r="FZ348" s="10"/>
      <c r="GA348" s="10"/>
      <c r="GB348" s="10"/>
      <c r="GC348" s="10"/>
      <c r="GD348" s="10"/>
      <c r="GE348" s="10"/>
      <c r="GF348" s="10"/>
      <c r="GG348" s="10"/>
      <c r="GH348" s="10"/>
      <c r="GI348" s="10"/>
      <c r="GJ348" s="10"/>
      <c r="GK348" s="10"/>
      <c r="GL348" s="10"/>
      <c r="GM348" s="10"/>
      <c r="GN348" s="10"/>
      <c r="GO348" s="10"/>
      <c r="GP348" s="10"/>
      <c r="GQ348" s="10"/>
      <c r="GR348" s="10"/>
      <c r="GS348" s="10"/>
      <c r="GT348" s="10"/>
      <c r="GU348" s="10"/>
      <c r="GV348" s="10"/>
      <c r="GW348" s="10"/>
      <c r="GX348" s="10"/>
      <c r="GY348" s="10"/>
      <c r="GZ348" s="10"/>
      <c r="HA348" s="10"/>
      <c r="HB348" s="10"/>
      <c r="HC348" s="10"/>
      <c r="HD348" s="10"/>
      <c r="HE348" s="10"/>
      <c r="HF348" s="10"/>
      <c r="HG348" s="10"/>
      <c r="HH348" s="10"/>
      <c r="HI348" s="10"/>
      <c r="HJ348" s="10"/>
      <c r="HK348" s="10"/>
      <c r="HL348" s="10"/>
      <c r="HM348" s="10"/>
      <c r="HN348" s="10"/>
      <c r="HO348" s="10"/>
      <c r="HP348" s="10"/>
      <c r="HQ348" s="10"/>
      <c r="HR348" s="10"/>
      <c r="HS348" s="10"/>
      <c r="HT348" s="10"/>
    </row>
    <row r="349" spans="2:228" ht="15" customHeight="1" x14ac:dyDescent="0.2">
      <c r="B349" s="1154" t="s">
        <v>1413</v>
      </c>
      <c r="C349" s="1155"/>
      <c r="D349" s="1156"/>
      <c r="E349" s="727">
        <f>IF(P426&gt;0,0,P217)</f>
        <v>0</v>
      </c>
      <c r="F349" s="729"/>
      <c r="G349" s="1146"/>
      <c r="H349" s="1147"/>
      <c r="I349" s="1148"/>
      <c r="J349" s="1151">
        <f t="shared" si="77"/>
        <v>0</v>
      </c>
      <c r="K349" s="1159"/>
      <c r="L349" s="970"/>
      <c r="M349" s="971"/>
      <c r="N349" s="971"/>
      <c r="O349" s="971"/>
      <c r="P349" s="1116"/>
      <c r="R349" s="10"/>
      <c r="S349" s="147">
        <f t="shared" si="75"/>
        <v>0</v>
      </c>
      <c r="T349" s="147">
        <f>LARGE($S$341:$S$366,9)</f>
        <v>0</v>
      </c>
      <c r="U349" s="544">
        <f t="shared" si="78"/>
        <v>0</v>
      </c>
      <c r="V349" s="548">
        <f t="shared" si="79"/>
        <v>0</v>
      </c>
      <c r="W349" s="10"/>
      <c r="X349" s="10"/>
      <c r="Y349" s="21">
        <f t="shared" si="76"/>
        <v>0</v>
      </c>
      <c r="AB349" s="6"/>
      <c r="AC349" s="6"/>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0"/>
      <c r="FY349" s="10"/>
      <c r="FZ349" s="10"/>
      <c r="GA349" s="10"/>
      <c r="GB349" s="10"/>
      <c r="GC349" s="10"/>
      <c r="GD349" s="10"/>
      <c r="GE349" s="10"/>
      <c r="GF349" s="10"/>
      <c r="GG349" s="10"/>
      <c r="GH349" s="10"/>
      <c r="GI349" s="10"/>
      <c r="GJ349" s="10"/>
      <c r="GK349" s="10"/>
      <c r="GL349" s="10"/>
      <c r="GM349" s="10"/>
      <c r="GN349" s="10"/>
      <c r="GO349" s="10"/>
      <c r="GP349" s="10"/>
      <c r="GQ349" s="10"/>
      <c r="GR349" s="10"/>
      <c r="GS349" s="10"/>
      <c r="GT349" s="10"/>
      <c r="GU349" s="10"/>
      <c r="GV349" s="10"/>
      <c r="GW349" s="10"/>
      <c r="GX349" s="10"/>
      <c r="GY349" s="10"/>
      <c r="GZ349" s="10"/>
      <c r="HA349" s="10"/>
      <c r="HB349" s="10"/>
      <c r="HC349" s="10"/>
      <c r="HD349" s="10"/>
      <c r="HE349" s="10"/>
      <c r="HF349" s="10"/>
      <c r="HG349" s="10"/>
      <c r="HH349" s="10"/>
      <c r="HI349" s="10"/>
      <c r="HJ349" s="10"/>
      <c r="HK349" s="10"/>
      <c r="HL349" s="10"/>
      <c r="HM349" s="10"/>
      <c r="HN349" s="10"/>
      <c r="HO349" s="10"/>
      <c r="HP349" s="10"/>
      <c r="HQ349" s="10"/>
      <c r="HR349" s="10"/>
      <c r="HS349" s="10"/>
      <c r="HT349" s="10"/>
    </row>
    <row r="350" spans="2:228" ht="15" customHeight="1" x14ac:dyDescent="0.2">
      <c r="B350" s="1154" t="s">
        <v>1415</v>
      </c>
      <c r="C350" s="1155"/>
      <c r="D350" s="1156"/>
      <c r="E350" s="727">
        <f>IF(P426&gt;0,0,P218)</f>
        <v>0</v>
      </c>
      <c r="F350" s="729"/>
      <c r="G350" s="1146"/>
      <c r="H350" s="1147"/>
      <c r="I350" s="1148"/>
      <c r="J350" s="1151">
        <f t="shared" si="77"/>
        <v>0</v>
      </c>
      <c r="K350" s="1159"/>
      <c r="L350" s="970"/>
      <c r="M350" s="971"/>
      <c r="N350" s="971"/>
      <c r="O350" s="971"/>
      <c r="P350" s="1116"/>
      <c r="R350" s="10"/>
      <c r="S350" s="147">
        <f t="shared" si="75"/>
        <v>0</v>
      </c>
      <c r="T350" s="147">
        <f>LARGE($S$341:$S$366,10)</f>
        <v>0</v>
      </c>
      <c r="U350" s="544">
        <f t="shared" si="78"/>
        <v>0</v>
      </c>
      <c r="V350" s="548">
        <f t="shared" si="79"/>
        <v>0</v>
      </c>
      <c r="W350" s="10"/>
      <c r="X350" s="10"/>
      <c r="Y350" s="21">
        <f t="shared" si="76"/>
        <v>0</v>
      </c>
      <c r="Z350" s="10"/>
      <c r="AA350" s="10"/>
      <c r="AB350" s="6"/>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c r="EM350" s="10"/>
      <c r="EN350" s="10"/>
      <c r="EO350" s="10"/>
      <c r="EP350" s="10"/>
      <c r="EQ350" s="10"/>
      <c r="ER350" s="10"/>
      <c r="ES350" s="10"/>
      <c r="ET350" s="10"/>
      <c r="EU350" s="10"/>
      <c r="EV350" s="10"/>
      <c r="EW350" s="10"/>
      <c r="EX350" s="10"/>
      <c r="EY350" s="10"/>
      <c r="EZ350" s="10"/>
      <c r="FA350" s="10"/>
      <c r="FB350" s="10"/>
      <c r="FC350" s="10"/>
      <c r="FD350" s="10"/>
      <c r="FE350" s="10"/>
      <c r="FF350" s="10"/>
      <c r="FG350" s="10"/>
      <c r="FH350" s="10"/>
      <c r="FI350" s="10"/>
      <c r="FJ350" s="10"/>
      <c r="FK350" s="10"/>
      <c r="FL350" s="10"/>
      <c r="FM350" s="10"/>
      <c r="FN350" s="10"/>
      <c r="FO350" s="10"/>
      <c r="FP350" s="10"/>
      <c r="FQ350" s="10"/>
      <c r="FR350" s="10"/>
      <c r="FS350" s="10"/>
      <c r="FT350" s="10"/>
      <c r="FU350" s="10"/>
      <c r="FV350" s="10"/>
      <c r="FW350" s="10"/>
      <c r="FX350" s="10"/>
      <c r="FY350" s="10"/>
      <c r="FZ350" s="10"/>
      <c r="GA350" s="10"/>
      <c r="GB350" s="10"/>
      <c r="GC350" s="10"/>
      <c r="GD350" s="10"/>
      <c r="GE350" s="10"/>
      <c r="GF350" s="10"/>
      <c r="GG350" s="10"/>
      <c r="GH350" s="10"/>
      <c r="GI350" s="10"/>
      <c r="GJ350" s="10"/>
      <c r="GK350" s="10"/>
      <c r="GL350" s="10"/>
      <c r="GM350" s="10"/>
      <c r="GN350" s="10"/>
      <c r="GO350" s="10"/>
      <c r="GP350" s="10"/>
      <c r="GQ350" s="10"/>
      <c r="GR350" s="10"/>
      <c r="GS350" s="10"/>
      <c r="GT350" s="10"/>
      <c r="GU350" s="10"/>
      <c r="GV350" s="10"/>
      <c r="GW350" s="10"/>
      <c r="GX350" s="10"/>
      <c r="GY350" s="10"/>
      <c r="GZ350" s="10"/>
      <c r="HA350" s="10"/>
      <c r="HB350" s="10"/>
      <c r="HC350" s="10"/>
      <c r="HD350" s="10"/>
      <c r="HE350" s="10"/>
      <c r="HF350" s="10"/>
      <c r="HG350" s="10"/>
      <c r="HH350" s="10"/>
      <c r="HI350" s="10"/>
      <c r="HJ350" s="10"/>
      <c r="HK350" s="10"/>
      <c r="HL350" s="10"/>
      <c r="HM350" s="10"/>
      <c r="HN350" s="10"/>
      <c r="HO350" s="10"/>
      <c r="HP350" s="10"/>
      <c r="HQ350" s="10"/>
      <c r="HR350" s="10"/>
      <c r="HS350" s="10"/>
      <c r="HT350" s="10"/>
    </row>
    <row r="351" spans="2:228" ht="15" customHeight="1" x14ac:dyDescent="0.2">
      <c r="B351" s="1154" t="s">
        <v>99</v>
      </c>
      <c r="C351" s="1155"/>
      <c r="D351" s="1156"/>
      <c r="E351" s="727">
        <f>IF(P426&gt;0,0,P219)</f>
        <v>0</v>
      </c>
      <c r="F351" s="729"/>
      <c r="G351" s="1146"/>
      <c r="H351" s="1147"/>
      <c r="I351" s="1148"/>
      <c r="J351" s="1151">
        <f t="shared" si="77"/>
        <v>0</v>
      </c>
      <c r="K351" s="1159"/>
      <c r="L351" s="970"/>
      <c r="M351" s="971"/>
      <c r="N351" s="971"/>
      <c r="O351" s="971"/>
      <c r="P351" s="1116"/>
      <c r="R351" s="10"/>
      <c r="S351" s="147">
        <f t="shared" si="75"/>
        <v>0</v>
      </c>
      <c r="T351" s="147">
        <f>LARGE($S$341:$S$366,11)</f>
        <v>0</v>
      </c>
      <c r="U351" s="544">
        <f t="shared" si="78"/>
        <v>0</v>
      </c>
      <c r="V351" s="548">
        <f t="shared" si="79"/>
        <v>0</v>
      </c>
      <c r="W351" s="10"/>
      <c r="X351" s="10"/>
      <c r="Y351" s="21">
        <f t="shared" si="76"/>
        <v>0</v>
      </c>
      <c r="Z351" s="10"/>
      <c r="AA351" s="10"/>
      <c r="AB351" s="6"/>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10"/>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10"/>
      <c r="GP351" s="10"/>
      <c r="GQ351" s="10"/>
      <c r="GR351" s="10"/>
      <c r="GS351" s="10"/>
      <c r="GT351" s="10"/>
      <c r="GU351" s="10"/>
      <c r="GV351" s="10"/>
      <c r="GW351" s="10"/>
      <c r="GX351" s="10"/>
      <c r="GY351" s="10"/>
      <c r="GZ351" s="10"/>
      <c r="HA351" s="10"/>
      <c r="HB351" s="10"/>
      <c r="HC351" s="10"/>
      <c r="HD351" s="10"/>
      <c r="HE351" s="10"/>
      <c r="HF351" s="10"/>
      <c r="HG351" s="10"/>
      <c r="HH351" s="10"/>
      <c r="HI351" s="10"/>
      <c r="HJ351" s="10"/>
      <c r="HK351" s="10"/>
      <c r="HL351" s="10"/>
      <c r="HM351" s="10"/>
      <c r="HN351" s="10"/>
      <c r="HO351" s="10"/>
      <c r="HP351" s="10"/>
      <c r="HQ351" s="10"/>
      <c r="HR351" s="10"/>
      <c r="HS351" s="10"/>
      <c r="HT351" s="10"/>
    </row>
    <row r="352" spans="2:228" ht="15" customHeight="1" x14ac:dyDescent="0.2">
      <c r="B352" s="1154" t="s">
        <v>1089</v>
      </c>
      <c r="C352" s="1155"/>
      <c r="D352" s="1156"/>
      <c r="E352" s="727">
        <f>IF(P426&gt;0,0,P233)</f>
        <v>0</v>
      </c>
      <c r="F352" s="729"/>
      <c r="G352" s="1146"/>
      <c r="H352" s="1147"/>
      <c r="I352" s="1148"/>
      <c r="J352" s="1151">
        <f t="shared" si="77"/>
        <v>0</v>
      </c>
      <c r="K352" s="1159"/>
      <c r="L352" s="970"/>
      <c r="M352" s="971"/>
      <c r="N352" s="971"/>
      <c r="O352" s="971"/>
      <c r="P352" s="1116"/>
      <c r="R352" s="10"/>
      <c r="S352" s="147">
        <f t="shared" si="75"/>
        <v>0</v>
      </c>
      <c r="T352" s="147">
        <f>LARGE($S$341:$S$366,12)</f>
        <v>0</v>
      </c>
      <c r="U352" s="544">
        <f t="shared" si="78"/>
        <v>0</v>
      </c>
      <c r="V352" s="548">
        <f t="shared" si="79"/>
        <v>0</v>
      </c>
      <c r="W352" s="10"/>
      <c r="X352" s="10"/>
      <c r="Y352" s="21">
        <f t="shared" si="76"/>
        <v>0</v>
      </c>
      <c r="Z352" s="10"/>
      <c r="AA352" s="10"/>
      <c r="AB352" s="6"/>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c r="EM352" s="10"/>
      <c r="EN352" s="10"/>
      <c r="EO352" s="10"/>
      <c r="EP352" s="10"/>
      <c r="EQ352" s="10"/>
      <c r="ER352" s="10"/>
      <c r="ES352" s="10"/>
      <c r="ET352" s="10"/>
      <c r="EU352" s="10"/>
      <c r="EV352" s="10"/>
      <c r="EW352" s="10"/>
      <c r="EX352" s="10"/>
      <c r="EY352" s="10"/>
      <c r="EZ352" s="10"/>
      <c r="FA352" s="10"/>
      <c r="FB352" s="10"/>
      <c r="FC352" s="10"/>
      <c r="FD352" s="10"/>
      <c r="FE352" s="10"/>
      <c r="FF352" s="10"/>
      <c r="FG352" s="10"/>
      <c r="FH352" s="10"/>
      <c r="FI352" s="10"/>
      <c r="FJ352" s="10"/>
      <c r="FK352" s="10"/>
      <c r="FL352" s="10"/>
      <c r="FM352" s="10"/>
      <c r="FN352" s="10"/>
      <c r="FO352" s="10"/>
      <c r="FP352" s="10"/>
      <c r="FQ352" s="10"/>
      <c r="FR352" s="10"/>
      <c r="FS352" s="10"/>
      <c r="FT352" s="10"/>
      <c r="FU352" s="10"/>
      <c r="FV352" s="10"/>
      <c r="FW352" s="10"/>
      <c r="FX352" s="10"/>
      <c r="FY352" s="10"/>
      <c r="FZ352" s="10"/>
      <c r="GA352" s="10"/>
      <c r="GB352" s="10"/>
      <c r="GC352" s="10"/>
      <c r="GD352" s="10"/>
      <c r="GE352" s="10"/>
      <c r="GF352" s="10"/>
      <c r="GG352" s="10"/>
      <c r="GH352" s="10"/>
      <c r="GI352" s="10"/>
      <c r="GJ352" s="10"/>
      <c r="GK352" s="10"/>
      <c r="GL352" s="10"/>
      <c r="GM352" s="10"/>
      <c r="GN352" s="10"/>
      <c r="GO352" s="10"/>
      <c r="GP352" s="10"/>
      <c r="GQ352" s="10"/>
      <c r="GR352" s="10"/>
      <c r="GS352" s="10"/>
      <c r="GT352" s="10"/>
      <c r="GU352" s="10"/>
      <c r="GV352" s="10"/>
      <c r="GW352" s="10"/>
      <c r="GX352" s="10"/>
      <c r="GY352" s="10"/>
      <c r="GZ352" s="10"/>
      <c r="HA352" s="10"/>
      <c r="HB352" s="10"/>
      <c r="HC352" s="10"/>
      <c r="HD352" s="10"/>
      <c r="HE352" s="10"/>
      <c r="HF352" s="10"/>
      <c r="HG352" s="10"/>
      <c r="HH352" s="10"/>
      <c r="HI352" s="10"/>
      <c r="HJ352" s="10"/>
      <c r="HK352" s="10"/>
      <c r="HL352" s="10"/>
      <c r="HM352" s="10"/>
      <c r="HN352" s="10"/>
      <c r="HO352" s="10"/>
      <c r="HP352" s="10"/>
      <c r="HQ352" s="10"/>
      <c r="HR352" s="10"/>
      <c r="HS352" s="10"/>
      <c r="HT352" s="10"/>
    </row>
    <row r="353" spans="2:228" ht="15" customHeight="1" x14ac:dyDescent="0.2">
      <c r="B353" s="1154" t="s">
        <v>1976</v>
      </c>
      <c r="C353" s="1155"/>
      <c r="D353" s="1156"/>
      <c r="E353" s="727">
        <f>P237</f>
        <v>0</v>
      </c>
      <c r="F353" s="729"/>
      <c r="G353" s="1146"/>
      <c r="H353" s="1147"/>
      <c r="I353" s="1148"/>
      <c r="J353" s="1151">
        <f t="shared" ref="J353:J357" si="80">IF(AND(Y353&lt;0.01,Y353&gt;0),0.01,ROUND(Y353,2))</f>
        <v>0</v>
      </c>
      <c r="K353" s="1159"/>
      <c r="L353" s="970"/>
      <c r="M353" s="971"/>
      <c r="N353" s="971"/>
      <c r="O353" s="971"/>
      <c r="P353" s="1116"/>
      <c r="R353" s="10"/>
      <c r="S353" s="147">
        <f t="shared" si="75"/>
        <v>0</v>
      </c>
      <c r="T353" s="147">
        <f>LARGE($S$341:$S$366,13)</f>
        <v>0</v>
      </c>
      <c r="U353" s="544">
        <f t="shared" si="78"/>
        <v>0</v>
      </c>
      <c r="V353" s="548">
        <f t="shared" si="79"/>
        <v>0</v>
      </c>
      <c r="W353" s="10"/>
      <c r="X353" s="10"/>
      <c r="Y353" s="21">
        <f>G353*E353</f>
        <v>0</v>
      </c>
      <c r="Z353" s="10"/>
      <c r="AA353" s="10"/>
      <c r="AB353" s="6"/>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10"/>
      <c r="FF353" s="10"/>
      <c r="FG353" s="10"/>
      <c r="FH353" s="10"/>
      <c r="FI353" s="10"/>
      <c r="FJ353" s="10"/>
      <c r="FK353" s="10"/>
      <c r="FL353" s="10"/>
      <c r="FM353" s="10"/>
      <c r="FN353" s="10"/>
      <c r="FO353" s="10"/>
      <c r="FP353" s="10"/>
      <c r="FQ353" s="10"/>
      <c r="FR353" s="10"/>
      <c r="FS353" s="10"/>
      <c r="FT353" s="10"/>
      <c r="FU353" s="10"/>
      <c r="FV353" s="10"/>
      <c r="FW353" s="10"/>
      <c r="FX353" s="10"/>
      <c r="FY353" s="10"/>
      <c r="FZ353" s="10"/>
      <c r="GA353" s="10"/>
      <c r="GB353" s="10"/>
      <c r="GC353" s="10"/>
      <c r="GD353" s="10"/>
      <c r="GE353" s="10"/>
      <c r="GF353" s="10"/>
      <c r="GG353" s="10"/>
      <c r="GH353" s="10"/>
      <c r="GI353" s="10"/>
      <c r="GJ353" s="10"/>
      <c r="GK353" s="10"/>
      <c r="GL353" s="10"/>
      <c r="GM353" s="10"/>
      <c r="GN353" s="10"/>
      <c r="GO353" s="10"/>
      <c r="GP353" s="10"/>
      <c r="GQ353" s="10"/>
      <c r="GR353" s="10"/>
      <c r="GS353" s="10"/>
      <c r="GT353" s="10"/>
      <c r="GU353" s="10"/>
      <c r="GV353" s="10"/>
      <c r="GW353" s="10"/>
      <c r="GX353" s="10"/>
      <c r="GY353" s="10"/>
      <c r="GZ353" s="10"/>
      <c r="HA353" s="10"/>
      <c r="HB353" s="10"/>
      <c r="HC353" s="10"/>
      <c r="HD353" s="10"/>
      <c r="HE353" s="10"/>
      <c r="HF353" s="10"/>
      <c r="HG353" s="10"/>
      <c r="HH353" s="10"/>
      <c r="HI353" s="10"/>
      <c r="HJ353" s="10"/>
      <c r="HK353" s="10"/>
      <c r="HL353" s="10"/>
      <c r="HM353" s="10"/>
      <c r="HN353" s="10"/>
      <c r="HO353" s="10"/>
      <c r="HP353" s="10"/>
      <c r="HQ353" s="10"/>
      <c r="HR353" s="10"/>
      <c r="HS353" s="10"/>
      <c r="HT353" s="10"/>
    </row>
    <row r="354" spans="2:228" ht="15" customHeight="1" x14ac:dyDescent="0.2">
      <c r="B354" s="742" t="s">
        <v>1208</v>
      </c>
      <c r="C354" s="743"/>
      <c r="D354" s="744"/>
      <c r="E354" s="727">
        <f>P238</f>
        <v>0</v>
      </c>
      <c r="F354" s="729"/>
      <c r="G354" s="1146"/>
      <c r="H354" s="1147"/>
      <c r="I354" s="1148"/>
      <c r="J354" s="1151">
        <f t="shared" si="80"/>
        <v>0</v>
      </c>
      <c r="K354" s="1159"/>
      <c r="L354" s="970"/>
      <c r="M354" s="971"/>
      <c r="N354" s="971"/>
      <c r="O354" s="971"/>
      <c r="P354" s="1116"/>
      <c r="R354" s="10"/>
      <c r="S354" s="147">
        <f t="shared" si="75"/>
        <v>0</v>
      </c>
      <c r="T354" s="147">
        <f>LARGE($S$341:$S$366,14)</f>
        <v>0</v>
      </c>
      <c r="U354" s="544">
        <f t="shared" si="78"/>
        <v>0</v>
      </c>
      <c r="V354" s="548">
        <f t="shared" si="79"/>
        <v>0</v>
      </c>
      <c r="W354" s="10"/>
      <c r="X354" s="10"/>
      <c r="Y354" s="21">
        <f t="shared" ref="Y354:Y365" si="81">G354*E354</f>
        <v>0</v>
      </c>
      <c r="Z354" s="10"/>
      <c r="AA354" s="10"/>
      <c r="AB354" s="6"/>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0"/>
      <c r="HA354" s="10"/>
      <c r="HB354" s="10"/>
      <c r="HC354" s="10"/>
      <c r="HD354" s="10"/>
      <c r="HE354" s="10"/>
      <c r="HF354" s="10"/>
      <c r="HG354" s="10"/>
      <c r="HH354" s="10"/>
      <c r="HI354" s="10"/>
      <c r="HJ354" s="10"/>
      <c r="HK354" s="10"/>
      <c r="HL354" s="10"/>
      <c r="HM354" s="10"/>
      <c r="HN354" s="10"/>
      <c r="HO354" s="10"/>
      <c r="HP354" s="10"/>
      <c r="HQ354" s="10"/>
      <c r="HR354" s="10"/>
      <c r="HS354" s="10"/>
      <c r="HT354" s="10"/>
    </row>
    <row r="355" spans="2:228" ht="15" customHeight="1" x14ac:dyDescent="0.2">
      <c r="B355" s="1154" t="s">
        <v>36</v>
      </c>
      <c r="C355" s="1155"/>
      <c r="D355" s="1156"/>
      <c r="E355" s="727">
        <f>P241</f>
        <v>0</v>
      </c>
      <c r="F355" s="729"/>
      <c r="G355" s="1146"/>
      <c r="H355" s="1147"/>
      <c r="I355" s="1148"/>
      <c r="J355" s="1151">
        <f t="shared" si="80"/>
        <v>0</v>
      </c>
      <c r="K355" s="1159"/>
      <c r="L355" s="970"/>
      <c r="M355" s="971"/>
      <c r="N355" s="971"/>
      <c r="O355" s="971"/>
      <c r="P355" s="1116"/>
      <c r="R355" s="10"/>
      <c r="S355" s="147">
        <f t="shared" si="75"/>
        <v>0</v>
      </c>
      <c r="T355" s="147">
        <f>LARGE($S$341:$S$366,15)</f>
        <v>0</v>
      </c>
      <c r="U355" s="544">
        <f t="shared" si="78"/>
        <v>0</v>
      </c>
      <c r="V355" s="548">
        <f t="shared" si="79"/>
        <v>0</v>
      </c>
      <c r="W355" s="10"/>
      <c r="X355" s="10"/>
      <c r="Y355" s="21">
        <f t="shared" si="81"/>
        <v>0</v>
      </c>
      <c r="Z355" s="10"/>
      <c r="AA355" s="10"/>
      <c r="AB355" s="6"/>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0"/>
      <c r="FJ355" s="10"/>
      <c r="FK355" s="10"/>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0"/>
      <c r="GH355" s="10"/>
      <c r="GI355" s="10"/>
      <c r="GJ355" s="10"/>
      <c r="GK355" s="10"/>
      <c r="GL355" s="10"/>
      <c r="GM355" s="10"/>
      <c r="GN355" s="10"/>
      <c r="GO355" s="10"/>
      <c r="GP355" s="10"/>
      <c r="GQ355" s="10"/>
      <c r="GR355" s="10"/>
      <c r="GS355" s="10"/>
      <c r="GT355" s="10"/>
      <c r="GU355" s="10"/>
      <c r="GV355" s="10"/>
      <c r="GW355" s="10"/>
      <c r="GX355" s="10"/>
      <c r="GY355" s="10"/>
      <c r="GZ355" s="10"/>
      <c r="HA355" s="10"/>
      <c r="HB355" s="10"/>
      <c r="HC355" s="10"/>
      <c r="HD355" s="10"/>
      <c r="HE355" s="10"/>
      <c r="HF355" s="10"/>
      <c r="HG355" s="10"/>
      <c r="HH355" s="10"/>
      <c r="HI355" s="10"/>
      <c r="HJ355" s="10"/>
      <c r="HK355" s="10"/>
      <c r="HL355" s="10"/>
      <c r="HM355" s="10"/>
      <c r="HN355" s="10"/>
      <c r="HO355" s="10"/>
      <c r="HP355" s="10"/>
      <c r="HQ355" s="10"/>
      <c r="HR355" s="10"/>
      <c r="HS355" s="10"/>
      <c r="HT355" s="10"/>
    </row>
    <row r="356" spans="2:228" ht="15" customHeight="1" x14ac:dyDescent="0.2">
      <c r="B356" s="1154" t="s">
        <v>1157</v>
      </c>
      <c r="C356" s="1155"/>
      <c r="D356" s="1156"/>
      <c r="E356" s="727">
        <f>P242</f>
        <v>0</v>
      </c>
      <c r="F356" s="729"/>
      <c r="G356" s="1146"/>
      <c r="H356" s="1147"/>
      <c r="I356" s="1148"/>
      <c r="J356" s="1151">
        <f t="shared" si="80"/>
        <v>0</v>
      </c>
      <c r="K356" s="1159"/>
      <c r="L356" s="970"/>
      <c r="M356" s="971"/>
      <c r="N356" s="971"/>
      <c r="O356" s="971"/>
      <c r="P356" s="1116"/>
      <c r="R356" s="10"/>
      <c r="S356" s="147">
        <f t="shared" si="75"/>
        <v>0</v>
      </c>
      <c r="T356" s="147">
        <f>LARGE($S$341:$S$366,16)</f>
        <v>0</v>
      </c>
      <c r="U356" s="544">
        <f t="shared" si="78"/>
        <v>0</v>
      </c>
      <c r="V356" s="548">
        <f t="shared" si="79"/>
        <v>0</v>
      </c>
      <c r="W356" s="10"/>
      <c r="X356" s="10"/>
      <c r="Y356" s="21">
        <f t="shared" si="81"/>
        <v>0</v>
      </c>
      <c r="Z356" s="10"/>
      <c r="AA356" s="10"/>
      <c r="AB356" s="6"/>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0"/>
      <c r="FJ356" s="10"/>
      <c r="FK356" s="10"/>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0"/>
      <c r="GH356" s="10"/>
      <c r="GI356" s="10"/>
      <c r="GJ356" s="10"/>
      <c r="GK356" s="10"/>
      <c r="GL356" s="10"/>
      <c r="GM356" s="10"/>
      <c r="GN356" s="10"/>
      <c r="GO356" s="10"/>
      <c r="GP356" s="10"/>
      <c r="GQ356" s="10"/>
      <c r="GR356" s="10"/>
      <c r="GS356" s="10"/>
      <c r="GT356" s="10"/>
      <c r="GU356" s="10"/>
      <c r="GV356" s="10"/>
      <c r="GW356" s="10"/>
      <c r="GX356" s="10"/>
      <c r="GY356" s="10"/>
      <c r="GZ356" s="10"/>
      <c r="HA356" s="10"/>
      <c r="HB356" s="10"/>
      <c r="HC356" s="10"/>
      <c r="HD356" s="10"/>
      <c r="HE356" s="10"/>
      <c r="HF356" s="10"/>
      <c r="HG356" s="10"/>
      <c r="HH356" s="10"/>
      <c r="HI356" s="10"/>
      <c r="HJ356" s="10"/>
      <c r="HK356" s="10"/>
      <c r="HL356" s="10"/>
      <c r="HM356" s="10"/>
      <c r="HN356" s="10"/>
      <c r="HO356" s="10"/>
      <c r="HP356" s="10"/>
      <c r="HQ356" s="10"/>
      <c r="HR356" s="10"/>
      <c r="HS356" s="10"/>
      <c r="HT356" s="10"/>
    </row>
    <row r="357" spans="2:228" ht="15" customHeight="1" x14ac:dyDescent="0.2">
      <c r="B357" s="1154" t="s">
        <v>1416</v>
      </c>
      <c r="C357" s="1155"/>
      <c r="D357" s="1156"/>
      <c r="E357" s="727">
        <f>P243</f>
        <v>0</v>
      </c>
      <c r="F357" s="729"/>
      <c r="G357" s="1146"/>
      <c r="H357" s="1147"/>
      <c r="I357" s="1148"/>
      <c r="J357" s="1151">
        <f t="shared" si="80"/>
        <v>0</v>
      </c>
      <c r="K357" s="1159"/>
      <c r="L357" s="970"/>
      <c r="M357" s="971"/>
      <c r="N357" s="971"/>
      <c r="O357" s="971"/>
      <c r="P357" s="1116"/>
      <c r="R357" s="10"/>
      <c r="S357" s="147">
        <f t="shared" si="75"/>
        <v>0</v>
      </c>
      <c r="T357" s="147">
        <f>LARGE($S$341:$S$366,17)</f>
        <v>0</v>
      </c>
      <c r="U357" s="544">
        <f t="shared" si="78"/>
        <v>0</v>
      </c>
      <c r="V357" s="548">
        <f t="shared" si="79"/>
        <v>0</v>
      </c>
      <c r="W357" s="10"/>
      <c r="X357" s="10"/>
      <c r="Y357" s="21">
        <f t="shared" si="81"/>
        <v>0</v>
      </c>
      <c r="Z357" s="10"/>
      <c r="AA357" s="10"/>
      <c r="AB357" s="6"/>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10"/>
      <c r="GP357" s="10"/>
      <c r="GQ357" s="10"/>
      <c r="GR357" s="10"/>
      <c r="GS357" s="10"/>
      <c r="GT357" s="10"/>
      <c r="GU357" s="10"/>
      <c r="GV357" s="10"/>
      <c r="GW357" s="10"/>
      <c r="GX357" s="10"/>
      <c r="GY357" s="10"/>
      <c r="GZ357" s="10"/>
      <c r="HA357" s="10"/>
      <c r="HB357" s="10"/>
      <c r="HC357" s="10"/>
      <c r="HD357" s="10"/>
      <c r="HE357" s="10"/>
      <c r="HF357" s="10"/>
      <c r="HG357" s="10"/>
      <c r="HH357" s="10"/>
      <c r="HI357" s="10"/>
      <c r="HJ357" s="10"/>
      <c r="HK357" s="10"/>
      <c r="HL357" s="10"/>
      <c r="HM357" s="10"/>
      <c r="HN357" s="10"/>
      <c r="HO357" s="10"/>
      <c r="HP357" s="10"/>
      <c r="HQ357" s="10"/>
      <c r="HR357" s="10"/>
      <c r="HS357" s="10"/>
      <c r="HT357" s="10"/>
    </row>
    <row r="358" spans="2:228" ht="15" customHeight="1" x14ac:dyDescent="0.2">
      <c r="B358" s="1154" t="s">
        <v>1417</v>
      </c>
      <c r="C358" s="1155"/>
      <c r="D358" s="1156"/>
      <c r="E358" s="727">
        <f>P246</f>
        <v>0</v>
      </c>
      <c r="F358" s="729"/>
      <c r="G358" s="1146"/>
      <c r="H358" s="1147"/>
      <c r="I358" s="1148"/>
      <c r="J358" s="1151">
        <f t="shared" ref="J358:J360" si="82">IF(AND(Y358&lt;0.01,Y358&gt;0),0.01,ROUND(Y358,2))</f>
        <v>0</v>
      </c>
      <c r="K358" s="1159"/>
      <c r="L358" s="623"/>
      <c r="M358" s="624"/>
      <c r="N358" s="624"/>
      <c r="O358" s="624"/>
      <c r="P358" s="1116"/>
      <c r="R358" s="10"/>
      <c r="S358" s="147">
        <f t="shared" si="75"/>
        <v>0</v>
      </c>
      <c r="T358" s="147">
        <f>LARGE($S$341:$S$366,18)</f>
        <v>0</v>
      </c>
      <c r="U358" s="544">
        <f t="shared" si="78"/>
        <v>0</v>
      </c>
      <c r="V358" s="548">
        <f t="shared" si="79"/>
        <v>0</v>
      </c>
      <c r="W358" s="10"/>
      <c r="X358" s="10"/>
      <c r="Y358" s="21">
        <f t="shared" si="81"/>
        <v>0</v>
      </c>
      <c r="Z358" s="10"/>
      <c r="AA358" s="10"/>
      <c r="AB358" s="6"/>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10"/>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10"/>
      <c r="GP358" s="10"/>
      <c r="GQ358" s="10"/>
      <c r="GR358" s="10"/>
      <c r="GS358" s="10"/>
      <c r="GT358" s="10"/>
      <c r="GU358" s="10"/>
      <c r="GV358" s="10"/>
      <c r="GW358" s="10"/>
      <c r="GX358" s="10"/>
      <c r="GY358" s="10"/>
      <c r="GZ358" s="10"/>
      <c r="HA358" s="10"/>
      <c r="HB358" s="10"/>
      <c r="HC358" s="10"/>
      <c r="HD358" s="10"/>
      <c r="HE358" s="10"/>
      <c r="HF358" s="10"/>
      <c r="HG358" s="10"/>
      <c r="HH358" s="10"/>
      <c r="HI358" s="10"/>
      <c r="HJ358" s="10"/>
      <c r="HK358" s="10"/>
      <c r="HL358" s="10"/>
      <c r="HM358" s="10"/>
      <c r="HN358" s="10"/>
      <c r="HO358" s="10"/>
      <c r="HP358" s="10"/>
      <c r="HQ358" s="10"/>
      <c r="HR358" s="10"/>
      <c r="HS358" s="10"/>
      <c r="HT358" s="10"/>
    </row>
    <row r="359" spans="2:228" ht="15" customHeight="1" x14ac:dyDescent="0.2">
      <c r="B359" s="146" t="s">
        <v>1831</v>
      </c>
      <c r="C359" s="146"/>
      <c r="D359" s="146"/>
      <c r="E359" s="727">
        <f>P247</f>
        <v>0</v>
      </c>
      <c r="F359" s="729"/>
      <c r="G359" s="1146"/>
      <c r="H359" s="1147"/>
      <c r="I359" s="1148"/>
      <c r="J359" s="1151">
        <f t="shared" si="82"/>
        <v>0</v>
      </c>
      <c r="K359" s="1159"/>
      <c r="L359" s="623"/>
      <c r="M359" s="624"/>
      <c r="N359" s="624"/>
      <c r="O359" s="624"/>
      <c r="P359" s="1116"/>
      <c r="R359" s="10"/>
      <c r="S359" s="147">
        <f t="shared" si="75"/>
        <v>0</v>
      </c>
      <c r="T359" s="147">
        <f>LARGE($S$341:$S$366,19)</f>
        <v>0</v>
      </c>
      <c r="U359" s="544">
        <f t="shared" si="78"/>
        <v>0</v>
      </c>
      <c r="V359" s="548">
        <f t="shared" si="79"/>
        <v>0</v>
      </c>
      <c r="W359" s="10"/>
      <c r="X359" s="10"/>
      <c r="Y359" s="21">
        <f t="shared" si="81"/>
        <v>0</v>
      </c>
      <c r="Z359" s="10"/>
      <c r="AA359" s="10"/>
      <c r="AB359" s="6"/>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10"/>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10"/>
      <c r="GP359" s="10"/>
      <c r="GQ359" s="10"/>
      <c r="GR359" s="10"/>
      <c r="GS359" s="10"/>
      <c r="GT359" s="10"/>
      <c r="GU359" s="10"/>
      <c r="GV359" s="10"/>
      <c r="GW359" s="10"/>
      <c r="GX359" s="10"/>
      <c r="GY359" s="10"/>
      <c r="GZ359" s="10"/>
      <c r="HA359" s="10"/>
      <c r="HB359" s="10"/>
      <c r="HC359" s="10"/>
      <c r="HD359" s="10"/>
      <c r="HE359" s="10"/>
      <c r="HF359" s="10"/>
      <c r="HG359" s="10"/>
      <c r="HH359" s="10"/>
      <c r="HI359" s="10"/>
      <c r="HJ359" s="10"/>
      <c r="HK359" s="10"/>
      <c r="HL359" s="10"/>
      <c r="HM359" s="10"/>
      <c r="HN359" s="10"/>
      <c r="HO359" s="10"/>
      <c r="HP359" s="10"/>
      <c r="HQ359" s="10"/>
      <c r="HR359" s="10"/>
      <c r="HS359" s="10"/>
      <c r="HT359" s="10"/>
    </row>
    <row r="360" spans="2:228" ht="15" customHeight="1" x14ac:dyDescent="0.2">
      <c r="B360" s="1154" t="s">
        <v>1418</v>
      </c>
      <c r="C360" s="1155"/>
      <c r="D360" s="1156"/>
      <c r="E360" s="727">
        <f>P249</f>
        <v>0</v>
      </c>
      <c r="F360" s="729"/>
      <c r="G360" s="1146"/>
      <c r="H360" s="1147"/>
      <c r="I360" s="1148"/>
      <c r="J360" s="1151">
        <f t="shared" si="82"/>
        <v>0</v>
      </c>
      <c r="K360" s="1159"/>
      <c r="L360" s="623"/>
      <c r="M360" s="624"/>
      <c r="N360" s="624"/>
      <c r="O360" s="624"/>
      <c r="P360" s="1116"/>
      <c r="R360" s="10"/>
      <c r="S360" s="147">
        <f t="shared" si="75"/>
        <v>0</v>
      </c>
      <c r="T360" s="147">
        <f>LARGE($S$341:$S$366,20)</f>
        <v>0</v>
      </c>
      <c r="U360" s="544">
        <f t="shared" si="78"/>
        <v>0</v>
      </c>
      <c r="V360" s="548">
        <f t="shared" si="79"/>
        <v>0</v>
      </c>
      <c r="W360" s="10"/>
      <c r="X360" s="10"/>
      <c r="Y360" s="21">
        <f t="shared" si="81"/>
        <v>0</v>
      </c>
      <c r="Z360" s="10"/>
      <c r="AA360" s="10"/>
      <c r="AB360" s="6"/>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10"/>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10"/>
      <c r="GP360" s="10"/>
      <c r="GQ360" s="10"/>
      <c r="GR360" s="10"/>
      <c r="GS360" s="10"/>
      <c r="GT360" s="10"/>
      <c r="GU360" s="10"/>
      <c r="GV360" s="10"/>
      <c r="GW360" s="10"/>
      <c r="GX360" s="10"/>
      <c r="GY360" s="10"/>
      <c r="GZ360" s="10"/>
      <c r="HA360" s="10"/>
      <c r="HB360" s="10"/>
      <c r="HC360" s="10"/>
      <c r="HD360" s="10"/>
      <c r="HE360" s="10"/>
      <c r="HF360" s="10"/>
      <c r="HG360" s="10"/>
      <c r="HH360" s="10"/>
      <c r="HI360" s="10"/>
      <c r="HJ360" s="10"/>
      <c r="HK360" s="10"/>
      <c r="HL360" s="10"/>
      <c r="HM360" s="10"/>
      <c r="HN360" s="10"/>
      <c r="HO360" s="10"/>
      <c r="HP360" s="10"/>
      <c r="HQ360" s="10"/>
      <c r="HR360" s="10"/>
      <c r="HS360" s="10"/>
      <c r="HT360" s="10"/>
    </row>
    <row r="361" spans="2:228" ht="15" customHeight="1" x14ac:dyDescent="0.2">
      <c r="B361" s="1154" t="s">
        <v>1419</v>
      </c>
      <c r="C361" s="1155"/>
      <c r="D361" s="1156"/>
      <c r="E361" s="727">
        <f>P252</f>
        <v>0</v>
      </c>
      <c r="F361" s="729"/>
      <c r="G361" s="1146"/>
      <c r="H361" s="1147"/>
      <c r="I361" s="1148"/>
      <c r="J361" s="1151">
        <f t="shared" ref="J361:J365" si="83">IF(AND(Y361&lt;0.01,Y361&gt;0),0.01,ROUND(Y361,2))</f>
        <v>0</v>
      </c>
      <c r="K361" s="1151"/>
      <c r="L361" s="916" t="str">
        <f>IF(AND(P426&gt;0,W347&gt;0),"The worker has motor loss impairment. Additional impairment values are not allowed for chronic condition, reduced range of motion, or strength loss.","")</f>
        <v/>
      </c>
      <c r="M361" s="916"/>
      <c r="N361" s="916"/>
      <c r="O361" s="916"/>
      <c r="P361" s="1116"/>
      <c r="R361" s="10"/>
      <c r="S361" s="147">
        <f t="shared" si="75"/>
        <v>0</v>
      </c>
      <c r="T361" s="147">
        <f>LARGE($S$341:$S$366,21)</f>
        <v>0</v>
      </c>
      <c r="U361" s="544">
        <f t="shared" si="78"/>
        <v>0</v>
      </c>
      <c r="V361" s="548">
        <f t="shared" si="79"/>
        <v>0</v>
      </c>
      <c r="W361" s="10"/>
      <c r="X361" s="10"/>
      <c r="Y361" s="21">
        <f t="shared" si="81"/>
        <v>0</v>
      </c>
      <c r="Z361" s="10"/>
      <c r="AA361" s="10"/>
      <c r="AB361" s="6"/>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row>
    <row r="362" spans="2:228" ht="15" customHeight="1" x14ac:dyDescent="0.2">
      <c r="B362" s="1154" t="s">
        <v>1420</v>
      </c>
      <c r="C362" s="1155"/>
      <c r="D362" s="1156"/>
      <c r="E362" s="727">
        <f>P253</f>
        <v>0</v>
      </c>
      <c r="F362" s="729"/>
      <c r="G362" s="1146"/>
      <c r="H362" s="1147"/>
      <c r="I362" s="1148"/>
      <c r="J362" s="1151">
        <f t="shared" si="83"/>
        <v>0</v>
      </c>
      <c r="K362" s="1151"/>
      <c r="L362" s="916"/>
      <c r="M362" s="916"/>
      <c r="N362" s="916"/>
      <c r="O362" s="916"/>
      <c r="P362" s="1116"/>
      <c r="R362" s="10"/>
      <c r="S362" s="147">
        <f t="shared" si="75"/>
        <v>0</v>
      </c>
      <c r="T362" s="147">
        <f>LARGE($S$341:$S$366,22)</f>
        <v>0</v>
      </c>
      <c r="U362" s="544">
        <f t="shared" si="78"/>
        <v>0</v>
      </c>
      <c r="V362" s="548">
        <f t="shared" si="79"/>
        <v>0</v>
      </c>
      <c r="W362" s="10"/>
      <c r="X362" s="10"/>
      <c r="Y362" s="21">
        <f t="shared" si="81"/>
        <v>0</v>
      </c>
      <c r="Z362" s="10"/>
      <c r="AA362" s="10"/>
      <c r="AB362" s="6"/>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c r="HH362" s="10"/>
      <c r="HI362" s="10"/>
      <c r="HJ362" s="10"/>
      <c r="HK362" s="10"/>
      <c r="HL362" s="10"/>
      <c r="HM362" s="10"/>
      <c r="HN362" s="10"/>
      <c r="HO362" s="10"/>
      <c r="HP362" s="10"/>
      <c r="HQ362" s="10"/>
      <c r="HR362" s="10"/>
      <c r="HS362" s="10"/>
      <c r="HT362" s="10"/>
    </row>
    <row r="363" spans="2:228" ht="15" customHeight="1" x14ac:dyDescent="0.2">
      <c r="B363" s="1154" t="s">
        <v>1421</v>
      </c>
      <c r="C363" s="1155"/>
      <c r="D363" s="1156"/>
      <c r="E363" s="727">
        <f>P256</f>
        <v>0</v>
      </c>
      <c r="F363" s="729"/>
      <c r="G363" s="1146"/>
      <c r="H363" s="1147"/>
      <c r="I363" s="1148"/>
      <c r="J363" s="1151">
        <f t="shared" si="83"/>
        <v>0</v>
      </c>
      <c r="K363" s="1151"/>
      <c r="L363" s="916"/>
      <c r="M363" s="916"/>
      <c r="N363" s="916"/>
      <c r="O363" s="916"/>
      <c r="P363" s="1116"/>
      <c r="R363" s="10"/>
      <c r="S363" s="147">
        <f t="shared" si="75"/>
        <v>0</v>
      </c>
      <c r="T363" s="147">
        <f>LARGE($S$341:$S$366,23)</f>
        <v>0</v>
      </c>
      <c r="U363" s="544">
        <f t="shared" si="78"/>
        <v>0</v>
      </c>
      <c r="V363" s="548">
        <f t="shared" si="79"/>
        <v>0</v>
      </c>
      <c r="W363" s="10"/>
      <c r="X363" s="10"/>
      <c r="Y363" s="21">
        <f t="shared" si="81"/>
        <v>0</v>
      </c>
      <c r="Z363" s="10"/>
      <c r="AA363" s="10"/>
      <c r="AB363" s="6"/>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c r="HE363" s="10"/>
      <c r="HF363" s="10"/>
      <c r="HG363" s="10"/>
      <c r="HH363" s="10"/>
      <c r="HI363" s="10"/>
      <c r="HJ363" s="10"/>
      <c r="HK363" s="10"/>
      <c r="HL363" s="10"/>
      <c r="HM363" s="10"/>
      <c r="HN363" s="10"/>
      <c r="HO363" s="10"/>
      <c r="HP363" s="10"/>
      <c r="HQ363" s="10"/>
      <c r="HR363" s="10"/>
      <c r="HS363" s="10"/>
      <c r="HT363" s="10"/>
    </row>
    <row r="364" spans="2:228" ht="15" customHeight="1" x14ac:dyDescent="0.2">
      <c r="B364" s="1154" t="s">
        <v>583</v>
      </c>
      <c r="C364" s="1155"/>
      <c r="D364" s="1156"/>
      <c r="E364" s="727">
        <f>IF(P426&gt;0,0,P266)</f>
        <v>0</v>
      </c>
      <c r="F364" s="729"/>
      <c r="G364" s="1146"/>
      <c r="H364" s="1147"/>
      <c r="I364" s="1148"/>
      <c r="J364" s="1151">
        <f t="shared" si="83"/>
        <v>0</v>
      </c>
      <c r="K364" s="1151"/>
      <c r="L364" s="916"/>
      <c r="M364" s="916"/>
      <c r="N364" s="916"/>
      <c r="O364" s="916"/>
      <c r="P364" s="1116"/>
      <c r="R364" s="10"/>
      <c r="S364" s="147">
        <f t="shared" si="75"/>
        <v>0</v>
      </c>
      <c r="T364" s="147">
        <f>LARGE($S$341:$S$366,24)</f>
        <v>0</v>
      </c>
      <c r="U364" s="544">
        <f t="shared" si="78"/>
        <v>0</v>
      </c>
      <c r="V364" s="548">
        <f t="shared" si="79"/>
        <v>0</v>
      </c>
      <c r="W364" s="10"/>
      <c r="X364" s="10"/>
      <c r="Y364" s="21">
        <f t="shared" si="81"/>
        <v>0</v>
      </c>
      <c r="Z364" s="10"/>
      <c r="AA364" s="10"/>
      <c r="AB364" s="6"/>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c r="HE364" s="10"/>
      <c r="HF364" s="10"/>
      <c r="HG364" s="10"/>
      <c r="HH364" s="10"/>
      <c r="HI364" s="10"/>
      <c r="HJ364" s="10"/>
      <c r="HK364" s="10"/>
      <c r="HL364" s="10"/>
      <c r="HM364" s="10"/>
      <c r="HN364" s="10"/>
      <c r="HO364" s="10"/>
      <c r="HP364" s="10"/>
      <c r="HQ364" s="10"/>
      <c r="HR364" s="10"/>
      <c r="HS364" s="10"/>
      <c r="HT364" s="10"/>
    </row>
    <row r="365" spans="2:228" ht="15" customHeight="1" x14ac:dyDescent="0.2">
      <c r="B365" s="1154" t="s">
        <v>1607</v>
      </c>
      <c r="C365" s="1155"/>
      <c r="D365" s="1156"/>
      <c r="E365" s="727">
        <f>IF(P426&gt;0,0,P336)</f>
        <v>0</v>
      </c>
      <c r="F365" s="729"/>
      <c r="G365" s="1146"/>
      <c r="H365" s="1147"/>
      <c r="I365" s="1148"/>
      <c r="J365" s="1151">
        <f t="shared" si="83"/>
        <v>0</v>
      </c>
      <c r="K365" s="1151"/>
      <c r="L365" s="916"/>
      <c r="M365" s="916"/>
      <c r="N365" s="916"/>
      <c r="O365" s="916"/>
      <c r="P365" s="1116"/>
      <c r="R365" s="10"/>
      <c r="S365" s="147">
        <f t="shared" ref="S365" si="84">IF(J365&gt;0,J365,E365)</f>
        <v>0</v>
      </c>
      <c r="T365" s="147">
        <f>LARGE($S$341:$S$366,25)</f>
        <v>0</v>
      </c>
      <c r="U365" s="544">
        <f t="shared" si="78"/>
        <v>0</v>
      </c>
      <c r="V365" s="548">
        <f t="shared" si="79"/>
        <v>0</v>
      </c>
      <c r="W365" s="10"/>
      <c r="X365" s="10"/>
      <c r="Y365" s="21">
        <f t="shared" si="81"/>
        <v>0</v>
      </c>
      <c r="Z365" s="10"/>
      <c r="AA365" s="10"/>
      <c r="AB365" s="6"/>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10"/>
      <c r="GP365" s="10"/>
      <c r="GQ365" s="10"/>
      <c r="GR365" s="10"/>
      <c r="GS365" s="10"/>
      <c r="GT365" s="10"/>
      <c r="GU365" s="10"/>
      <c r="GV365" s="10"/>
      <c r="GW365" s="10"/>
      <c r="GX365" s="10"/>
      <c r="GY365" s="10"/>
      <c r="GZ365" s="10"/>
      <c r="HA365" s="10"/>
      <c r="HB365" s="10"/>
      <c r="HC365" s="10"/>
      <c r="HD365" s="10"/>
      <c r="HE365" s="10"/>
      <c r="HF365" s="10"/>
      <c r="HG365" s="10"/>
      <c r="HH365" s="10"/>
      <c r="HI365" s="10"/>
      <c r="HJ365" s="10"/>
      <c r="HK365" s="10"/>
      <c r="HL365" s="10"/>
      <c r="HM365" s="10"/>
      <c r="HN365" s="10"/>
      <c r="HO365" s="10"/>
      <c r="HP365" s="10"/>
      <c r="HQ365" s="10"/>
      <c r="HR365" s="10"/>
      <c r="HS365" s="10"/>
      <c r="HT365" s="10"/>
    </row>
    <row r="366" spans="2:228" ht="15" customHeight="1" x14ac:dyDescent="0.2">
      <c r="B366" s="1187" t="s">
        <v>1423</v>
      </c>
      <c r="C366" s="1188"/>
      <c r="D366" s="1189"/>
      <c r="E366" s="1067">
        <f>P269</f>
        <v>0</v>
      </c>
      <c r="F366" s="1157"/>
      <c r="G366" s="944" t="s">
        <v>1901</v>
      </c>
      <c r="H366" s="945"/>
      <c r="I366" s="946"/>
      <c r="J366" s="1109"/>
      <c r="K366" s="1109"/>
      <c r="L366" s="916"/>
      <c r="M366" s="916"/>
      <c r="N366" s="916"/>
      <c r="O366" s="916"/>
      <c r="P366" s="1116"/>
      <c r="R366" s="10"/>
      <c r="S366" s="147">
        <f>E366</f>
        <v>0</v>
      </c>
      <c r="T366" s="147">
        <f>LARGE($S$341:$S$366,26)</f>
        <v>0</v>
      </c>
      <c r="U366" s="10"/>
      <c r="V366" s="10"/>
      <c r="W366" s="10"/>
      <c r="X366" s="10"/>
      <c r="Y366" s="10"/>
      <c r="Z366" s="10"/>
      <c r="AA366" s="10"/>
      <c r="AB366" s="6"/>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c r="HA366" s="10"/>
      <c r="HB366" s="10"/>
      <c r="HC366" s="10"/>
      <c r="HD366" s="10"/>
      <c r="HE366" s="10"/>
      <c r="HF366" s="10"/>
      <c r="HG366" s="10"/>
      <c r="HH366" s="10"/>
      <c r="HI366" s="10"/>
      <c r="HJ366" s="10"/>
      <c r="HK366" s="10"/>
      <c r="HL366" s="10"/>
      <c r="HM366" s="10"/>
      <c r="HN366" s="10"/>
      <c r="HO366" s="10"/>
      <c r="HP366" s="10"/>
      <c r="HQ366" s="10"/>
      <c r="HR366" s="10"/>
      <c r="HS366" s="10"/>
      <c r="HT366" s="10"/>
    </row>
    <row r="367" spans="2:228" ht="15" customHeight="1" x14ac:dyDescent="0.2">
      <c r="B367" s="957" t="s">
        <v>1180</v>
      </c>
      <c r="C367" s="957"/>
      <c r="D367" s="957"/>
      <c r="E367" s="957"/>
      <c r="F367" s="957"/>
      <c r="G367" s="957"/>
      <c r="H367" s="957"/>
      <c r="I367" s="957"/>
      <c r="J367" s="957"/>
      <c r="K367" s="957"/>
      <c r="L367" s="957"/>
      <c r="M367" s="957"/>
      <c r="N367" s="957"/>
      <c r="O367" s="1248"/>
      <c r="P367" s="1116"/>
      <c r="R367" s="10"/>
      <c r="S367" s="10"/>
      <c r="T367" s="10"/>
      <c r="U367" s="10"/>
      <c r="V367" s="10"/>
      <c r="W367" s="10"/>
      <c r="X367" s="10"/>
      <c r="Y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c r="HA367" s="10"/>
      <c r="HB367" s="10"/>
      <c r="HC367" s="10"/>
      <c r="HD367" s="10"/>
      <c r="HE367" s="10"/>
      <c r="HF367" s="10"/>
      <c r="HG367" s="10"/>
      <c r="HH367" s="10"/>
      <c r="HI367" s="10"/>
      <c r="HJ367" s="10"/>
      <c r="HK367" s="10"/>
      <c r="HL367" s="10"/>
      <c r="HM367" s="10"/>
      <c r="HN367" s="10"/>
      <c r="HO367" s="10"/>
      <c r="HP367" s="10"/>
      <c r="HQ367" s="10"/>
      <c r="HR367" s="10"/>
      <c r="HS367" s="10"/>
      <c r="HT367" s="10"/>
    </row>
    <row r="368" spans="2:228" ht="10.9" customHeight="1" x14ac:dyDescent="0.2">
      <c r="B368" s="777"/>
      <c r="C368" s="777"/>
      <c r="D368" s="777"/>
      <c r="E368" s="777"/>
      <c r="F368" s="777"/>
      <c r="G368" s="777"/>
      <c r="H368" s="777"/>
      <c r="I368" s="777"/>
      <c r="J368" s="777"/>
      <c r="K368" s="777"/>
      <c r="L368" s="777"/>
      <c r="M368" s="777"/>
      <c r="N368" s="777"/>
      <c r="O368" s="777"/>
      <c r="P368" s="777"/>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row>
    <row r="369" spans="1:228" ht="9" customHeight="1" x14ac:dyDescent="0.25">
      <c r="B369" s="1183"/>
      <c r="C369" s="1183"/>
      <c r="D369" s="1183"/>
      <c r="E369" s="1183"/>
      <c r="F369" s="1183"/>
      <c r="G369" s="1183"/>
      <c r="H369" s="1183"/>
      <c r="I369" s="1183"/>
      <c r="J369" s="1183"/>
      <c r="K369" s="1183"/>
      <c r="L369" s="1183"/>
      <c r="M369" s="1183"/>
      <c r="N369" s="1183"/>
      <c r="O369" s="1183"/>
      <c r="P369" s="1183"/>
      <c r="R369" s="10"/>
      <c r="S369" s="14"/>
      <c r="T369" s="96"/>
      <c r="U369" s="128"/>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c r="HA369" s="10"/>
      <c r="HB369" s="10"/>
      <c r="HC369" s="10"/>
      <c r="HD369" s="10"/>
      <c r="HE369" s="10"/>
      <c r="HF369" s="10"/>
      <c r="HG369" s="10"/>
      <c r="HH369" s="10"/>
      <c r="HI369" s="10"/>
      <c r="HJ369" s="10"/>
      <c r="HK369" s="10"/>
      <c r="HL369" s="10"/>
      <c r="HM369" s="10"/>
      <c r="HN369" s="10"/>
      <c r="HO369" s="10"/>
      <c r="HP369" s="10"/>
      <c r="HQ369" s="10"/>
      <c r="HR369" s="10"/>
      <c r="HS369" s="10"/>
      <c r="HT369" s="10"/>
    </row>
    <row r="370" spans="1:228" ht="30" customHeight="1" x14ac:dyDescent="0.2">
      <c r="B370" s="895" t="s">
        <v>1870</v>
      </c>
      <c r="C370" s="896"/>
      <c r="D370" s="896"/>
      <c r="E370" s="896"/>
      <c r="F370" s="896"/>
      <c r="G370" s="896"/>
      <c r="H370" s="896"/>
      <c r="I370" s="896"/>
      <c r="J370" s="896"/>
      <c r="K370" s="896"/>
      <c r="L370" s="896"/>
      <c r="M370" s="896"/>
      <c r="N370" s="896"/>
      <c r="O370" s="896"/>
      <c r="P370" s="390" t="s">
        <v>699</v>
      </c>
      <c r="R370" s="10"/>
      <c r="S370" s="98"/>
      <c r="T370" s="96"/>
      <c r="U370" s="128"/>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c r="HA370" s="10"/>
      <c r="HB370" s="10"/>
      <c r="HC370" s="10"/>
      <c r="HD370" s="10"/>
      <c r="HE370" s="10"/>
      <c r="HF370" s="10"/>
      <c r="HG370" s="10"/>
      <c r="HH370" s="10"/>
      <c r="HI370" s="10"/>
      <c r="HJ370" s="10"/>
      <c r="HK370" s="10"/>
      <c r="HL370" s="10"/>
      <c r="HM370" s="10"/>
      <c r="HN370" s="10"/>
      <c r="HO370" s="10"/>
      <c r="HP370" s="10"/>
      <c r="HQ370" s="10"/>
      <c r="HR370" s="10"/>
      <c r="HS370" s="10"/>
      <c r="HT370" s="10"/>
    </row>
    <row r="371" spans="1:228" ht="9" customHeight="1" x14ac:dyDescent="0.3">
      <c r="B371" s="1253"/>
      <c r="C371" s="1253"/>
      <c r="D371" s="1253"/>
      <c r="E371" s="1253"/>
      <c r="F371" s="1253"/>
      <c r="G371" s="1253"/>
      <c r="H371" s="1253"/>
      <c r="I371" s="1253"/>
      <c r="J371" s="1253"/>
      <c r="K371" s="1253"/>
      <c r="L371" s="1253"/>
      <c r="M371" s="1253"/>
      <c r="N371" s="1253"/>
      <c r="O371" s="1253"/>
      <c r="P371" s="382"/>
      <c r="R371" s="10"/>
      <c r="S371" s="14"/>
      <c r="T371" s="96"/>
      <c r="U371" s="128"/>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c r="HA371" s="10"/>
      <c r="HB371" s="10"/>
      <c r="HC371" s="10"/>
      <c r="HD371" s="10"/>
      <c r="HE371" s="10"/>
      <c r="HF371" s="10"/>
      <c r="HG371" s="10"/>
      <c r="HH371" s="10"/>
      <c r="HI371" s="10"/>
      <c r="HJ371" s="10"/>
      <c r="HK371" s="10"/>
      <c r="HL371" s="10"/>
      <c r="HM371" s="10"/>
      <c r="HN371" s="10"/>
      <c r="HO371" s="10"/>
      <c r="HP371" s="10"/>
      <c r="HQ371" s="10"/>
      <c r="HR371" s="10"/>
      <c r="HS371" s="10"/>
      <c r="HT371" s="10"/>
    </row>
    <row r="372" spans="1:228" ht="21" customHeight="1" x14ac:dyDescent="0.2">
      <c r="A372" s="15"/>
      <c r="B372" s="1206" t="s">
        <v>1181</v>
      </c>
      <c r="C372" s="1206"/>
      <c r="D372" s="1206"/>
      <c r="E372" s="1206"/>
      <c r="F372" s="1206"/>
      <c r="G372" s="1206"/>
      <c r="H372" s="1206"/>
      <c r="I372" s="1206"/>
      <c r="J372" s="1206"/>
      <c r="K372" s="1206"/>
      <c r="L372" s="1206"/>
      <c r="M372" s="1206"/>
      <c r="N372" s="1206"/>
      <c r="O372" s="1206"/>
      <c r="P372" s="21">
        <f>IF(R372=2,1,0)</f>
        <v>0</v>
      </c>
      <c r="R372" s="546">
        <v>1</v>
      </c>
      <c r="S372" s="14"/>
      <c r="T372" s="96"/>
      <c r="U372" s="128"/>
      <c r="V372" s="10"/>
      <c r="W372" s="10">
        <v>1E-4</v>
      </c>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c r="HA372" s="10"/>
      <c r="HB372" s="10"/>
      <c r="HC372" s="10"/>
      <c r="HD372" s="10"/>
      <c r="HE372" s="10"/>
      <c r="HF372" s="10"/>
      <c r="HG372" s="10"/>
      <c r="HH372" s="10"/>
      <c r="HI372" s="10"/>
      <c r="HJ372" s="10"/>
      <c r="HK372" s="10"/>
      <c r="HL372" s="10"/>
      <c r="HM372" s="10"/>
      <c r="HN372" s="10"/>
      <c r="HO372" s="10"/>
      <c r="HP372" s="10"/>
      <c r="HQ372" s="10"/>
      <c r="HR372" s="10"/>
      <c r="HS372" s="10"/>
      <c r="HT372" s="10"/>
    </row>
    <row r="373" spans="1:228" ht="9" customHeight="1" x14ac:dyDescent="0.25">
      <c r="B373" s="1183"/>
      <c r="C373" s="1183"/>
      <c r="D373" s="1183"/>
      <c r="E373" s="1183"/>
      <c r="F373" s="1183"/>
      <c r="G373" s="1183"/>
      <c r="H373" s="1183"/>
      <c r="I373" s="1183"/>
      <c r="J373" s="1183"/>
      <c r="K373" s="1183"/>
      <c r="L373" s="1183"/>
      <c r="M373" s="1183"/>
      <c r="N373" s="1183"/>
      <c r="O373" s="1183"/>
      <c r="P373" s="81"/>
      <c r="R373" s="10"/>
      <c r="S373" s="14"/>
      <c r="T373" s="96"/>
      <c r="U373" s="128"/>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c r="HA373" s="10"/>
      <c r="HB373" s="10"/>
      <c r="HC373" s="10"/>
      <c r="HD373" s="10"/>
      <c r="HE373" s="10"/>
      <c r="HF373" s="10"/>
      <c r="HG373" s="10"/>
      <c r="HH373" s="10"/>
      <c r="HI373" s="10"/>
      <c r="HJ373" s="10"/>
      <c r="HK373" s="10"/>
      <c r="HL373" s="10"/>
      <c r="HM373" s="10"/>
      <c r="HN373" s="10"/>
      <c r="HO373" s="10"/>
      <c r="HP373" s="10"/>
      <c r="HQ373" s="10"/>
      <c r="HR373" s="10"/>
      <c r="HS373" s="10"/>
      <c r="HT373" s="10"/>
    </row>
    <row r="374" spans="1:228" ht="18" customHeight="1" x14ac:dyDescent="0.2">
      <c r="B374" s="910" t="s">
        <v>1563</v>
      </c>
      <c r="C374" s="910"/>
      <c r="D374" s="910"/>
      <c r="E374" s="910"/>
      <c r="F374" s="910"/>
      <c r="G374" s="910"/>
      <c r="H374" s="910"/>
      <c r="I374" s="910"/>
      <c r="J374" s="910"/>
      <c r="K374" s="910"/>
      <c r="L374" s="910"/>
      <c r="M374" s="910"/>
      <c r="N374" s="910"/>
      <c r="O374" s="910"/>
      <c r="P374" s="910"/>
      <c r="R374" s="10"/>
      <c r="S374" s="10"/>
      <c r="T374" s="39"/>
      <c r="X374" s="39"/>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c r="GY374" s="10"/>
      <c r="GZ374" s="10"/>
      <c r="HA374" s="10"/>
      <c r="HB374" s="10"/>
      <c r="HC374" s="10"/>
      <c r="HD374" s="10"/>
      <c r="HE374" s="10"/>
      <c r="HF374" s="10"/>
      <c r="HG374" s="10"/>
      <c r="HH374" s="10"/>
      <c r="HI374" s="10"/>
      <c r="HJ374" s="10"/>
      <c r="HK374" s="10"/>
      <c r="HL374" s="10"/>
      <c r="HM374" s="10"/>
      <c r="HN374" s="10"/>
      <c r="HO374" s="10"/>
      <c r="HP374" s="10"/>
      <c r="HQ374" s="10"/>
      <c r="HR374" s="10"/>
      <c r="HS374" s="10"/>
      <c r="HT374" s="10"/>
    </row>
    <row r="375" spans="1:228" ht="27" customHeight="1" x14ac:dyDescent="0.25">
      <c r="B375" s="273"/>
      <c r="C375" s="910" t="s">
        <v>1564</v>
      </c>
      <c r="D375" s="910"/>
      <c r="E375" s="910"/>
      <c r="F375" s="910"/>
      <c r="G375" s="912" t="s">
        <v>1064</v>
      </c>
      <c r="H375" s="912"/>
      <c r="I375" s="912"/>
      <c r="J375" s="912"/>
      <c r="K375" s="912"/>
      <c r="L375" s="1192"/>
      <c r="M375" s="1193"/>
      <c r="N375" s="1193"/>
      <c r="O375" s="1194"/>
      <c r="P375" s="910"/>
      <c r="R375" s="10"/>
      <c r="S375" s="50" t="s">
        <v>1541</v>
      </c>
      <c r="T375" s="256" t="s">
        <v>1564</v>
      </c>
      <c r="U375" s="256" t="s">
        <v>1565</v>
      </c>
      <c r="V375" s="910" t="s">
        <v>1066</v>
      </c>
      <c r="W375" s="910"/>
      <c r="X375" s="910"/>
      <c r="Y375" s="910"/>
      <c r="Z375" s="256" t="s">
        <v>2175</v>
      </c>
      <c r="AA375" s="256" t="s">
        <v>2176</v>
      </c>
      <c r="AB375" s="127" t="s">
        <v>1188</v>
      </c>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c r="HA375" s="10"/>
      <c r="HB375" s="10"/>
      <c r="HC375" s="10"/>
      <c r="HD375" s="10"/>
      <c r="HE375" s="10"/>
      <c r="HF375" s="10"/>
      <c r="HG375" s="10"/>
      <c r="HH375" s="10"/>
      <c r="HI375" s="10"/>
      <c r="HJ375" s="10"/>
      <c r="HK375" s="10"/>
      <c r="HL375" s="10"/>
      <c r="HM375" s="10"/>
      <c r="HN375" s="10"/>
      <c r="HO375" s="10"/>
      <c r="HP375" s="10"/>
      <c r="HQ375" s="10"/>
      <c r="HR375" s="10"/>
      <c r="HS375" s="10"/>
      <c r="HT375" s="10"/>
    </row>
    <row r="376" spans="1:228" ht="13.5" customHeight="1" x14ac:dyDescent="0.2">
      <c r="B376" s="147" t="s">
        <v>1182</v>
      </c>
      <c r="C376" s="694"/>
      <c r="D376" s="694"/>
      <c r="E376" s="921">
        <f>LETable!AT55</f>
        <v>0</v>
      </c>
      <c r="F376" s="921"/>
      <c r="G376" s="694"/>
      <c r="H376" s="694"/>
      <c r="I376" s="694"/>
      <c r="J376" s="936">
        <f>IF(C376="",0,IF(OR(C376&lt;=0,G376&lt;=0),E376,IF(G376&lt;C376,0,LETable!AY55)))</f>
        <v>0</v>
      </c>
      <c r="K376" s="936"/>
      <c r="L376" s="930" t="str">
        <f>IF(OR(C376="NA",G376="NA"),"",IF(AND(C376&lt;&gt;"",G376=""),"Enter contralateral or NA.",IF(AND(C376="",G376&lt;&gt;""),"Need data","")))</f>
        <v/>
      </c>
      <c r="M376" s="930"/>
      <c r="N376" s="930"/>
      <c r="O376" s="930"/>
      <c r="P376" s="910"/>
      <c r="R376" s="50" t="s">
        <v>1183</v>
      </c>
      <c r="S376" s="50">
        <v>150</v>
      </c>
      <c r="T376" s="50" t="str">
        <f>IF(OR(C376="",C376="NA"),"",IF(C376&gt;S376,S376,IF(C376&lt;0,0,C376)))</f>
        <v/>
      </c>
      <c r="U376" s="50" t="str">
        <f>IF(OR(G376="",G376="NA"),"",IF(G376&gt;S376,S376,IF(G376&lt;0,0,G376)))</f>
        <v/>
      </c>
      <c r="V376" s="553" t="str">
        <f>IF(Y376="","",ROUND(Y376,0))</f>
        <v/>
      </c>
      <c r="W376" s="910" t="s">
        <v>1184</v>
      </c>
      <c r="X376" s="910"/>
      <c r="Y376" s="609" t="str">
        <f>IF(T376="","",IF(OR(U376="",U376=0,U376&lt;T376),T376,(T376*S376)/U376))</f>
        <v/>
      </c>
      <c r="Z376" s="50">
        <f>IF(AND(C377&lt;&gt;"",C377&lt;&gt;"NA"),1,0)</f>
        <v>0</v>
      </c>
      <c r="AA376" s="50">
        <f>IF(AND(C376&lt;&gt;"",C376&lt;&gt;"NA"),1,0)</f>
        <v>0</v>
      </c>
      <c r="AB376" s="192">
        <f>MAX(E377,E379)</f>
        <v>0</v>
      </c>
      <c r="AC376" s="10"/>
      <c r="AD376" s="10"/>
      <c r="AE376" s="10"/>
      <c r="AF376" s="10"/>
      <c r="AG376" s="10"/>
      <c r="AH376" s="10"/>
      <c r="AI376" s="94"/>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c r="GY376" s="10"/>
      <c r="GZ376" s="10"/>
      <c r="HA376" s="10"/>
      <c r="HB376" s="10"/>
      <c r="HC376" s="10"/>
      <c r="HD376" s="10"/>
      <c r="HE376" s="10"/>
      <c r="HF376" s="10"/>
      <c r="HG376" s="10"/>
      <c r="HH376" s="10"/>
      <c r="HI376" s="10"/>
      <c r="HJ376" s="10"/>
      <c r="HK376" s="10"/>
      <c r="HL376" s="10"/>
      <c r="HM376" s="10"/>
      <c r="HN376" s="10"/>
      <c r="HO376" s="10"/>
      <c r="HP376" s="10"/>
      <c r="HQ376" s="10"/>
      <c r="HR376" s="10"/>
      <c r="HS376" s="10"/>
      <c r="HT376" s="10"/>
    </row>
    <row r="377" spans="1:228" ht="13.5" customHeight="1" x14ac:dyDescent="0.2">
      <c r="B377" s="147" t="s">
        <v>1185</v>
      </c>
      <c r="C377" s="694"/>
      <c r="D377" s="694"/>
      <c r="E377" s="921">
        <f>IF(AND($Z$378&gt;0,$AA$378&gt;0),"ERROR",LETable!AT56)</f>
        <v>0</v>
      </c>
      <c r="F377" s="921"/>
      <c r="G377" s="1203" t="str">
        <f>IF(E379="ERROR","Cannot rate ROM and ankylosis.",IF(AND(C377&lt;&gt;"",C377&lt;&gt;"NA",C379&lt;&gt;"",C379&lt;&gt;"NA"),"Multiple ankylosis values; use higher value only.",""))</f>
        <v/>
      </c>
      <c r="H377" s="1204"/>
      <c r="I377" s="1204"/>
      <c r="J377" s="1204"/>
      <c r="K377" s="1204"/>
      <c r="L377" s="1204"/>
      <c r="M377" s="1204"/>
      <c r="N377" s="1204"/>
      <c r="O377" s="1205"/>
      <c r="P377" s="910"/>
      <c r="R377" s="50">
        <f>IF(R378="ERROR",1,0)</f>
        <v>0</v>
      </c>
      <c r="S377" s="50">
        <v>150</v>
      </c>
      <c r="T377" s="50" t="str">
        <f>IF(OR(C377="",C377="NA"),"",IF(C377&gt;S377,S377,IF(C377&lt;0,0,C377)))</f>
        <v/>
      </c>
      <c r="U377" s="10"/>
      <c r="V377" s="61"/>
      <c r="W377" s="10"/>
      <c r="X377" s="10"/>
      <c r="Y377" s="130"/>
      <c r="Z377" s="50">
        <f>IF(AND(C379&lt;&gt;"",C379&lt;&gt;"NA"),1,0)</f>
        <v>0</v>
      </c>
      <c r="AA377" s="50">
        <f>IF(AND(C378&lt;&gt;"",C378&lt;&gt;"NA"),1,0)</f>
        <v>0</v>
      </c>
      <c r="AB377" s="61"/>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c r="HD377" s="10"/>
      <c r="HE377" s="10"/>
      <c r="HF377" s="10"/>
      <c r="HG377" s="10"/>
      <c r="HH377" s="10"/>
      <c r="HI377" s="10"/>
      <c r="HJ377" s="10"/>
      <c r="HK377" s="10"/>
      <c r="HL377" s="10"/>
      <c r="HM377" s="10"/>
      <c r="HN377" s="10"/>
      <c r="HO377" s="10"/>
      <c r="HP377" s="10"/>
      <c r="HQ377" s="10"/>
      <c r="HR377" s="10"/>
      <c r="HS377" s="10"/>
      <c r="HT377" s="10"/>
    </row>
    <row r="378" spans="1:228" ht="13.5" customHeight="1" x14ac:dyDescent="0.2">
      <c r="B378" s="147" t="s">
        <v>1186</v>
      </c>
      <c r="C378" s="694"/>
      <c r="D378" s="694"/>
      <c r="E378" s="921">
        <f>LETable!AT57</f>
        <v>0</v>
      </c>
      <c r="F378" s="921"/>
      <c r="G378" s="694"/>
      <c r="H378" s="694"/>
      <c r="I378" s="694"/>
      <c r="J378" s="936">
        <f>IF(C378="",0,IF(OR(C378&gt;=150,G378&gt;=150),E378,IF(G378&gt;C378,0,LETable!AY57)))</f>
        <v>0</v>
      </c>
      <c r="K378" s="936"/>
      <c r="L378" s="930" t="str">
        <f>IF(OR(C378="NA",G378="NA"),"",IF(AND(C378&lt;&gt;"",G378=""),"Enter contralateral or NA.",IF(AND(C378="",G378&lt;&gt;""),"Need data","")))</f>
        <v/>
      </c>
      <c r="M378" s="930"/>
      <c r="N378" s="930"/>
      <c r="O378" s="930"/>
      <c r="P378" s="910"/>
      <c r="R378" s="604">
        <f>IF(OR(E377="ERROR",E379="ERROR"),"ERROR",J376+J378+AB376)</f>
        <v>0</v>
      </c>
      <c r="S378" s="50">
        <v>150</v>
      </c>
      <c r="T378" s="50" t="str">
        <f>IF(OR(C378="",C378="NA"),"",IF(C378&gt;S378,S378,IF(C378&lt;0,0,C378)))</f>
        <v/>
      </c>
      <c r="U378" s="50" t="str">
        <f>IF(OR(G378="",G378="NA"),"",IF(G378&gt;S378,S378,IF(G378&lt;0,0,G378)))</f>
        <v/>
      </c>
      <c r="V378" s="553" t="str">
        <f>IF(Y378="","",ROUND(Y378,0))</f>
        <v/>
      </c>
      <c r="W378" s="50">
        <f>IF(T378="",0,S378-T378)</f>
        <v>0</v>
      </c>
      <c r="X378" s="50">
        <f>IF(U378="",0,S378-U378)</f>
        <v>0</v>
      </c>
      <c r="Y378" s="609" t="str">
        <f>IF(T378="","",IF(OR(U378="",U378=0,U378&gt;T378),T378,S378-(W378*S378)/X378))</f>
        <v/>
      </c>
      <c r="Z378" s="50">
        <f>Z376+Z377</f>
        <v>0</v>
      </c>
      <c r="AA378" s="50">
        <f>AA376+AA377</f>
        <v>0</v>
      </c>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c r="HA378" s="10"/>
      <c r="HB378" s="10"/>
      <c r="HC378" s="10"/>
      <c r="HD378" s="10"/>
      <c r="HE378" s="10"/>
      <c r="HF378" s="10"/>
      <c r="HG378" s="10"/>
      <c r="HH378" s="10"/>
      <c r="HI378" s="10"/>
      <c r="HJ378" s="10"/>
      <c r="HK378" s="10"/>
      <c r="HL378" s="10"/>
      <c r="HM378" s="10"/>
      <c r="HN378" s="10"/>
      <c r="HO378" s="10"/>
      <c r="HP378" s="10"/>
      <c r="HQ378" s="10"/>
      <c r="HR378" s="10"/>
      <c r="HS378" s="10"/>
      <c r="HT378" s="10"/>
    </row>
    <row r="379" spans="1:228" ht="15" customHeight="1" x14ac:dyDescent="0.2">
      <c r="B379" s="147" t="s">
        <v>1187</v>
      </c>
      <c r="C379" s="694"/>
      <c r="D379" s="694"/>
      <c r="E379" s="921">
        <f>IF(AND($Z$378&gt;0,$AA$378&gt;0),"ERROR",LETable!AT58)</f>
        <v>0</v>
      </c>
      <c r="F379" s="921"/>
      <c r="G379" s="1203" t="str">
        <f>IF(E379="ERROR","Cannot rate ROM and ankylosis.",IF(AND(C377&lt;&gt;"",C377&lt;&gt;"NA",C379&lt;&gt;"",C379&lt;&gt;"NA"),"Multiple ankylosis values; use higher value only.",""))</f>
        <v/>
      </c>
      <c r="H379" s="1204"/>
      <c r="I379" s="1204"/>
      <c r="J379" s="1204"/>
      <c r="K379" s="1204"/>
      <c r="L379" s="1204"/>
      <c r="M379" s="1204"/>
      <c r="N379" s="1204"/>
      <c r="O379" s="1205"/>
      <c r="P379" s="910"/>
      <c r="R379" s="147">
        <f>IF(R377=1,"ERROR",IF(AND(R378&gt;0,R378&lt;0.01),0.01,ROUND(R378,2)))</f>
        <v>0</v>
      </c>
      <c r="S379" s="50">
        <v>150</v>
      </c>
      <c r="T379" s="50" t="str">
        <f>IF(OR(C379="",C379="NA"),"",IF(C379&gt;S379,S379,IF(C379&lt;0,0,C379)))</f>
        <v/>
      </c>
      <c r="U379" s="58"/>
      <c r="V379" s="58"/>
      <c r="W379" s="58"/>
      <c r="Y379" s="10"/>
      <c r="Z379" s="10"/>
      <c r="AA379" s="10"/>
      <c r="AB379" s="10"/>
      <c r="AC379" s="10"/>
      <c r="AD379" s="10"/>
      <c r="AE379" s="10"/>
      <c r="AF379" s="10"/>
      <c r="AG379" s="10"/>
      <c r="AH379" s="10"/>
      <c r="AI379" s="10"/>
      <c r="AJ379" s="39"/>
      <c r="AK379" s="39"/>
      <c r="AL379" s="39"/>
      <c r="AM379" s="39"/>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c r="HA379" s="10"/>
      <c r="HB379" s="10"/>
      <c r="HC379" s="10"/>
      <c r="HD379" s="10"/>
      <c r="HE379" s="10"/>
      <c r="HF379" s="10"/>
      <c r="HG379" s="10"/>
      <c r="HH379" s="10"/>
      <c r="HI379" s="10"/>
      <c r="HJ379" s="10"/>
      <c r="HK379" s="10"/>
      <c r="HL379" s="10"/>
      <c r="HM379" s="10"/>
      <c r="HN379" s="10"/>
      <c r="HO379" s="10"/>
      <c r="HP379" s="10"/>
      <c r="HQ379" s="10"/>
      <c r="HR379" s="10"/>
      <c r="HS379" s="10"/>
      <c r="HT379" s="10"/>
    </row>
    <row r="380" spans="1:228" ht="13.5" customHeight="1" x14ac:dyDescent="0.25">
      <c r="B380" s="1195"/>
      <c r="C380" s="1195"/>
      <c r="D380" s="1195"/>
      <c r="E380" s="1195"/>
      <c r="F380" s="1195"/>
      <c r="G380" s="1195"/>
      <c r="H380" s="1006" t="s">
        <v>1189</v>
      </c>
      <c r="I380" s="1007"/>
      <c r="J380" s="1007"/>
      <c r="K380" s="1007"/>
      <c r="L380" s="1007"/>
      <c r="M380" s="1007"/>
      <c r="N380" s="1007"/>
      <c r="O380" s="1008"/>
      <c r="P380" s="245">
        <f>IF(R379="ERROR","ERROR",IF(R379&gt;1,1,R379))</f>
        <v>0</v>
      </c>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c r="HA380" s="10"/>
      <c r="HB380" s="10"/>
      <c r="HC380" s="10"/>
      <c r="HD380" s="10"/>
      <c r="HE380" s="10"/>
      <c r="HF380" s="10"/>
      <c r="HG380" s="10"/>
      <c r="HH380" s="10"/>
      <c r="HI380" s="10"/>
      <c r="HJ380" s="10"/>
      <c r="HK380" s="10"/>
      <c r="HL380" s="10"/>
      <c r="HM380" s="10"/>
      <c r="HN380" s="10"/>
      <c r="HO380" s="10"/>
      <c r="HP380" s="10"/>
      <c r="HQ380" s="10"/>
      <c r="HR380" s="10"/>
      <c r="HS380" s="10"/>
      <c r="HT380" s="10"/>
    </row>
    <row r="381" spans="1:228" ht="15" customHeight="1" x14ac:dyDescent="0.2">
      <c r="B381" s="147" t="s">
        <v>165</v>
      </c>
      <c r="C381" s="694"/>
      <c r="D381" s="694"/>
      <c r="E381" s="921">
        <f>LETable!AT61</f>
        <v>0</v>
      </c>
      <c r="F381" s="921"/>
      <c r="G381" s="694"/>
      <c r="H381" s="694"/>
      <c r="I381" s="694"/>
      <c r="J381" s="936">
        <f>IF(C381="",0,IF(OR(C381&lt;=0,G381&lt;=0),E381,IF(G381&lt;C381,0,LETable!AY61)))</f>
        <v>0</v>
      </c>
      <c r="K381" s="936"/>
      <c r="L381" s="1141" t="str">
        <f t="shared" ref="L381:L386" si="85">IF(OR(C381="NA",G381="NA"),"",IF(AND(C381&lt;&gt;"",G381=""),"Enter contralateral or NA.",IF(AND(C381="",G381&lt;&gt;""),"Need data","")))</f>
        <v/>
      </c>
      <c r="M381" s="1141"/>
      <c r="N381" s="1141"/>
      <c r="O381" s="1141"/>
      <c r="P381" s="1202"/>
      <c r="R381" s="10"/>
      <c r="S381" s="50">
        <v>100</v>
      </c>
      <c r="T381" s="50" t="str">
        <f t="shared" ref="T381:T386" si="86">IF(OR(C381="",C381="NA"),"",IF(C381&gt;S381,S381,IF(C381&lt;0,0,C381)))</f>
        <v/>
      </c>
      <c r="U381" s="50" t="str">
        <f t="shared" ref="U381:U386" si="87">IF(OR(G381="",G381="NA"),"",IF(G381&gt;S381,S381,IF(G381&lt;0,0,G381)))</f>
        <v/>
      </c>
      <c r="V381" s="553" t="str">
        <f t="shared" ref="V381:V386" si="88">IF(Y381="","",ROUND(Y381,0))</f>
        <v/>
      </c>
      <c r="W381" s="607"/>
      <c r="X381" s="593"/>
      <c r="Y381" s="554" t="str">
        <f t="shared" ref="Y381:Y386" si="89">IF(T381="","",IF(OR(U381="",U381=0,U381&lt;T381),T381,(T381*S381)/U381))</f>
        <v/>
      </c>
      <c r="Z381" s="10"/>
      <c r="AA381" s="742" t="s">
        <v>2291</v>
      </c>
      <c r="AB381" s="743"/>
      <c r="AC381" s="744"/>
      <c r="AD381" s="10"/>
      <c r="AE381" s="10"/>
      <c r="AF381" s="10"/>
      <c r="AG381" s="10"/>
      <c r="AH381" s="10"/>
      <c r="AI381" s="94"/>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c r="HE381" s="10"/>
      <c r="HF381" s="10"/>
      <c r="HG381" s="10"/>
      <c r="HH381" s="10"/>
      <c r="HI381" s="10"/>
      <c r="HJ381" s="10"/>
      <c r="HK381" s="10"/>
      <c r="HL381" s="10"/>
      <c r="HM381" s="10"/>
      <c r="HN381" s="10"/>
      <c r="HO381" s="10"/>
      <c r="HP381" s="10"/>
      <c r="HQ381" s="10"/>
      <c r="HR381" s="10"/>
      <c r="HS381" s="10"/>
      <c r="HT381" s="10"/>
    </row>
    <row r="382" spans="1:228" ht="15" customHeight="1" x14ac:dyDescent="0.2">
      <c r="B382" s="147" t="s">
        <v>1003</v>
      </c>
      <c r="C382" s="694"/>
      <c r="D382" s="694"/>
      <c r="E382" s="921">
        <f>LETable!AT62</f>
        <v>0</v>
      </c>
      <c r="F382" s="921"/>
      <c r="G382" s="694"/>
      <c r="H382" s="694"/>
      <c r="I382" s="694"/>
      <c r="J382" s="936">
        <f>IF(C382="",0,IF(OR(C382&lt;=0,G382&lt;=0),E382,IF(G382&lt;C382,0,LETable!AY62)))</f>
        <v>0</v>
      </c>
      <c r="K382" s="936"/>
      <c r="L382" s="1141" t="str">
        <f t="shared" si="85"/>
        <v/>
      </c>
      <c r="M382" s="1141"/>
      <c r="N382" s="1141"/>
      <c r="O382" s="1141"/>
      <c r="P382" s="1202"/>
      <c r="R382" s="10"/>
      <c r="S382" s="50">
        <v>30</v>
      </c>
      <c r="T382" s="50" t="str">
        <f t="shared" si="86"/>
        <v/>
      </c>
      <c r="U382" s="50" t="str">
        <f t="shared" si="87"/>
        <v/>
      </c>
      <c r="V382" s="553" t="str">
        <f t="shared" si="88"/>
        <v/>
      </c>
      <c r="W382" s="569"/>
      <c r="X382" s="189"/>
      <c r="Y382" s="554" t="str">
        <f t="shared" si="89"/>
        <v/>
      </c>
      <c r="Z382" s="10"/>
      <c r="AA382" s="10"/>
      <c r="AB382" s="10"/>
      <c r="AC382" s="10"/>
      <c r="AD382" s="10"/>
      <c r="AE382" s="10"/>
      <c r="AF382" s="10"/>
      <c r="AG382" s="10"/>
      <c r="AH382" s="10"/>
      <c r="AI382" s="94"/>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0"/>
      <c r="FH382" s="10"/>
      <c r="FI382" s="10"/>
      <c r="FJ382" s="10"/>
      <c r="FK382" s="10"/>
      <c r="FL382" s="10"/>
      <c r="FM382" s="10"/>
      <c r="FN382" s="10"/>
      <c r="FO382" s="10"/>
      <c r="FP382" s="10"/>
      <c r="FQ382" s="10"/>
      <c r="FR382" s="10"/>
      <c r="FS382" s="10"/>
      <c r="FT382" s="10"/>
      <c r="FU382" s="10"/>
      <c r="FV382" s="10"/>
      <c r="FW382" s="10"/>
      <c r="FX382" s="10"/>
      <c r="FY382" s="10"/>
      <c r="FZ382" s="10"/>
      <c r="GA382" s="10"/>
      <c r="GB382" s="10"/>
      <c r="GC382" s="10"/>
      <c r="GD382" s="10"/>
      <c r="GE382" s="10"/>
      <c r="GF382" s="10"/>
      <c r="GG382" s="10"/>
      <c r="GH382" s="10"/>
      <c r="GI382" s="10"/>
      <c r="GJ382" s="10"/>
      <c r="GK382" s="10"/>
      <c r="GL382" s="10"/>
      <c r="GM382" s="10"/>
      <c r="GN382" s="10"/>
      <c r="GO382" s="10"/>
      <c r="GP382" s="10"/>
      <c r="GQ382" s="10"/>
      <c r="GR382" s="10"/>
      <c r="GS382" s="10"/>
      <c r="GT382" s="10"/>
      <c r="GU382" s="10"/>
      <c r="GV382" s="10"/>
      <c r="GW382" s="10"/>
      <c r="GX382" s="10"/>
      <c r="GY382" s="10"/>
      <c r="GZ382" s="10"/>
      <c r="HA382" s="10"/>
      <c r="HB382" s="10"/>
      <c r="HC382" s="10"/>
      <c r="HD382" s="10"/>
      <c r="HE382" s="10"/>
      <c r="HF382" s="10"/>
      <c r="HG382" s="10"/>
      <c r="HH382" s="10"/>
      <c r="HI382" s="10"/>
      <c r="HJ382" s="10"/>
      <c r="HK382" s="10"/>
      <c r="HL382" s="10"/>
      <c r="HM382" s="10"/>
      <c r="HN382" s="10"/>
      <c r="HO382" s="10"/>
      <c r="HP382" s="10"/>
      <c r="HQ382" s="10"/>
      <c r="HR382" s="10"/>
      <c r="HS382" s="10"/>
      <c r="HT382" s="10"/>
    </row>
    <row r="383" spans="1:228" ht="15" customHeight="1" x14ac:dyDescent="0.2">
      <c r="B383" s="147" t="s">
        <v>1004</v>
      </c>
      <c r="C383" s="694"/>
      <c r="D383" s="694"/>
      <c r="E383" s="921">
        <f>LETable!AT63</f>
        <v>0</v>
      </c>
      <c r="F383" s="921"/>
      <c r="G383" s="694"/>
      <c r="H383" s="694"/>
      <c r="I383" s="694"/>
      <c r="J383" s="936">
        <f>IF(C383="",0,IF(OR(C383&lt;=0,G383&lt;=0),E383,IF(G383&lt;C383,0,LETable!AY63)))</f>
        <v>0</v>
      </c>
      <c r="K383" s="936"/>
      <c r="L383" s="1141" t="str">
        <f t="shared" si="85"/>
        <v/>
      </c>
      <c r="M383" s="1141"/>
      <c r="N383" s="1141"/>
      <c r="O383" s="1141"/>
      <c r="P383" s="1202"/>
      <c r="R383" s="10"/>
      <c r="S383" s="50">
        <v>40</v>
      </c>
      <c r="T383" s="50" t="str">
        <f t="shared" si="86"/>
        <v/>
      </c>
      <c r="U383" s="50" t="str">
        <f t="shared" si="87"/>
        <v/>
      </c>
      <c r="V383" s="553" t="str">
        <f t="shared" si="88"/>
        <v/>
      </c>
      <c r="W383" s="569"/>
      <c r="X383" s="189"/>
      <c r="Y383" s="554" t="str">
        <f t="shared" si="89"/>
        <v/>
      </c>
      <c r="Z383" s="10"/>
      <c r="AA383" s="10"/>
      <c r="AB383" s="10"/>
      <c r="AC383" s="10"/>
      <c r="AD383" s="10"/>
      <c r="AE383" s="10"/>
      <c r="AF383" s="10"/>
      <c r="AG383" s="10"/>
      <c r="AH383" s="10"/>
      <c r="AI383" s="94"/>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0"/>
      <c r="EF383" s="10"/>
      <c r="EG383" s="10"/>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0"/>
      <c r="FH383" s="10"/>
      <c r="FI383" s="10"/>
      <c r="FJ383" s="10"/>
      <c r="FK383" s="10"/>
      <c r="FL383" s="10"/>
      <c r="FM383" s="10"/>
      <c r="FN383" s="10"/>
      <c r="FO383" s="10"/>
      <c r="FP383" s="10"/>
      <c r="FQ383" s="10"/>
      <c r="FR383" s="10"/>
      <c r="FS383" s="10"/>
      <c r="FT383" s="10"/>
      <c r="FU383" s="10"/>
      <c r="FV383" s="10"/>
      <c r="FW383" s="10"/>
      <c r="FX383" s="10"/>
      <c r="FY383" s="10"/>
      <c r="FZ383" s="10"/>
      <c r="GA383" s="10"/>
      <c r="GB383" s="10"/>
      <c r="GC383" s="10"/>
      <c r="GD383" s="10"/>
      <c r="GE383" s="10"/>
      <c r="GF383" s="10"/>
      <c r="GG383" s="10"/>
      <c r="GH383" s="10"/>
      <c r="GI383" s="10"/>
      <c r="GJ383" s="10"/>
      <c r="GK383" s="10"/>
      <c r="GL383" s="10"/>
      <c r="GM383" s="10"/>
      <c r="GN383" s="10"/>
      <c r="GO383" s="10"/>
      <c r="GP383" s="10"/>
      <c r="GQ383" s="10"/>
      <c r="GR383" s="10"/>
      <c r="GS383" s="10"/>
      <c r="GT383" s="10"/>
      <c r="GU383" s="10"/>
      <c r="GV383" s="10"/>
      <c r="GW383" s="10"/>
      <c r="GX383" s="10"/>
      <c r="GY383" s="10"/>
      <c r="GZ383" s="10"/>
      <c r="HA383" s="10"/>
      <c r="HB383" s="10"/>
      <c r="HC383" s="10"/>
      <c r="HD383" s="10"/>
      <c r="HE383" s="10"/>
      <c r="HF383" s="10"/>
      <c r="HG383" s="10"/>
      <c r="HH383" s="10"/>
      <c r="HI383" s="10"/>
      <c r="HJ383" s="10"/>
      <c r="HK383" s="10"/>
      <c r="HL383" s="10"/>
      <c r="HM383" s="10"/>
      <c r="HN383" s="10"/>
      <c r="HO383" s="10"/>
      <c r="HP383" s="10"/>
      <c r="HQ383" s="10"/>
      <c r="HR383" s="10"/>
      <c r="HS383" s="10"/>
      <c r="HT383" s="10"/>
    </row>
    <row r="384" spans="1:228" ht="15" customHeight="1" x14ac:dyDescent="0.2">
      <c r="B384" s="147" t="s">
        <v>1005</v>
      </c>
      <c r="C384" s="694"/>
      <c r="D384" s="694"/>
      <c r="E384" s="921">
        <f>LETable!AT64</f>
        <v>0</v>
      </c>
      <c r="F384" s="921"/>
      <c r="G384" s="694"/>
      <c r="H384" s="694"/>
      <c r="I384" s="694"/>
      <c r="J384" s="936">
        <f>IF(C384="",0,IF(OR(C384&lt;=0,G384&lt;=0),E384,IF(G384&lt;C384,0,LETable!AY64)))</f>
        <v>0</v>
      </c>
      <c r="K384" s="936"/>
      <c r="L384" s="1141" t="str">
        <f t="shared" si="85"/>
        <v/>
      </c>
      <c r="M384" s="1141"/>
      <c r="N384" s="1141"/>
      <c r="O384" s="1141"/>
      <c r="P384" s="1202"/>
      <c r="R384" s="10"/>
      <c r="S384" s="50">
        <v>20</v>
      </c>
      <c r="T384" s="50" t="str">
        <f t="shared" si="86"/>
        <v/>
      </c>
      <c r="U384" s="50" t="str">
        <f t="shared" si="87"/>
        <v/>
      </c>
      <c r="V384" s="553" t="str">
        <f t="shared" si="88"/>
        <v/>
      </c>
      <c r="W384" s="569"/>
      <c r="X384" s="189"/>
      <c r="Y384" s="554" t="str">
        <f t="shared" si="89"/>
        <v/>
      </c>
      <c r="Z384" s="10"/>
      <c r="AA384" s="10"/>
      <c r="AB384" s="10"/>
      <c r="AC384" s="10"/>
      <c r="AD384" s="10"/>
      <c r="AE384" s="10"/>
      <c r="AF384" s="10"/>
      <c r="AG384" s="10"/>
      <c r="AH384" s="10"/>
      <c r="AI384" s="94"/>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10"/>
      <c r="GP384" s="10"/>
      <c r="GQ384" s="10"/>
      <c r="GR384" s="10"/>
      <c r="GS384" s="10"/>
      <c r="GT384" s="10"/>
      <c r="GU384" s="10"/>
      <c r="GV384" s="10"/>
      <c r="GW384" s="10"/>
      <c r="GX384" s="10"/>
      <c r="GY384" s="10"/>
      <c r="GZ384" s="10"/>
      <c r="HA384" s="10"/>
      <c r="HB384" s="10"/>
      <c r="HC384" s="10"/>
      <c r="HD384" s="10"/>
      <c r="HE384" s="10"/>
      <c r="HF384" s="10"/>
      <c r="HG384" s="10"/>
      <c r="HH384" s="10"/>
      <c r="HI384" s="10"/>
      <c r="HJ384" s="10"/>
      <c r="HK384" s="10"/>
      <c r="HL384" s="10"/>
      <c r="HM384" s="10"/>
      <c r="HN384" s="10"/>
      <c r="HO384" s="10"/>
      <c r="HP384" s="10"/>
      <c r="HQ384" s="10"/>
      <c r="HR384" s="10"/>
      <c r="HS384" s="10"/>
      <c r="HT384" s="10"/>
    </row>
    <row r="385" spans="2:228" ht="15" customHeight="1" x14ac:dyDescent="0.2">
      <c r="B385" s="147" t="s">
        <v>616</v>
      </c>
      <c r="C385" s="694"/>
      <c r="D385" s="694"/>
      <c r="E385" s="921">
        <f>LETable!AT65</f>
        <v>0</v>
      </c>
      <c r="F385" s="921"/>
      <c r="G385" s="694"/>
      <c r="H385" s="694"/>
      <c r="I385" s="694"/>
      <c r="J385" s="936">
        <f>IF(C385="",0,IF(OR(C385&lt;=0,G385&lt;=0),E385,IF(G385&lt;C385,0,LETable!AY65)))</f>
        <v>0</v>
      </c>
      <c r="K385" s="936"/>
      <c r="L385" s="1141" t="str">
        <f t="shared" si="85"/>
        <v/>
      </c>
      <c r="M385" s="1141"/>
      <c r="N385" s="1141"/>
      <c r="O385" s="1141"/>
      <c r="P385" s="1202"/>
      <c r="R385" s="544">
        <f>SUM(J381:K386)</f>
        <v>0</v>
      </c>
      <c r="S385" s="50">
        <v>40</v>
      </c>
      <c r="T385" s="50" t="str">
        <f t="shared" si="86"/>
        <v/>
      </c>
      <c r="U385" s="50" t="str">
        <f t="shared" si="87"/>
        <v/>
      </c>
      <c r="V385" s="553" t="str">
        <f t="shared" si="88"/>
        <v/>
      </c>
      <c r="W385" s="569"/>
      <c r="X385" s="189"/>
      <c r="Y385" s="554" t="str">
        <f t="shared" si="89"/>
        <v/>
      </c>
      <c r="Z385" s="10"/>
      <c r="AA385" s="10"/>
      <c r="AB385" s="10"/>
      <c r="AC385" s="10"/>
      <c r="AD385" s="10"/>
      <c r="AE385" s="10"/>
      <c r="AF385" s="10"/>
      <c r="AG385" s="10"/>
      <c r="AH385" s="10"/>
      <c r="AI385" s="94"/>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0"/>
      <c r="FH385" s="10"/>
      <c r="FI385" s="10"/>
      <c r="FJ385" s="10"/>
      <c r="FK385" s="10"/>
      <c r="FL385" s="10"/>
      <c r="FM385" s="10"/>
      <c r="FN385" s="10"/>
      <c r="FO385" s="10"/>
      <c r="FP385" s="10"/>
      <c r="FQ385" s="10"/>
      <c r="FR385" s="10"/>
      <c r="FS385" s="10"/>
      <c r="FT385" s="10"/>
      <c r="FU385" s="10"/>
      <c r="FV385" s="10"/>
      <c r="FW385" s="10"/>
      <c r="FX385" s="10"/>
      <c r="FY385" s="10"/>
      <c r="FZ385" s="10"/>
      <c r="GA385" s="10"/>
      <c r="GB385" s="10"/>
      <c r="GC385" s="10"/>
      <c r="GD385" s="10"/>
      <c r="GE385" s="10"/>
      <c r="GF385" s="10"/>
      <c r="GG385" s="10"/>
      <c r="GH385" s="10"/>
      <c r="GI385" s="10"/>
      <c r="GJ385" s="10"/>
      <c r="GK385" s="10"/>
      <c r="GL385" s="10"/>
      <c r="GM385" s="10"/>
      <c r="GN385" s="10"/>
      <c r="GO385" s="10"/>
      <c r="GP385" s="10"/>
      <c r="GQ385" s="10"/>
      <c r="GR385" s="10"/>
      <c r="GS385" s="10"/>
      <c r="GT385" s="10"/>
      <c r="GU385" s="10"/>
      <c r="GV385" s="10"/>
      <c r="GW385" s="10"/>
      <c r="GX385" s="10"/>
      <c r="GY385" s="10"/>
      <c r="GZ385" s="10"/>
      <c r="HA385" s="10"/>
      <c r="HB385" s="10"/>
      <c r="HC385" s="10"/>
      <c r="HD385" s="10"/>
      <c r="HE385" s="10"/>
      <c r="HF385" s="10"/>
      <c r="HG385" s="10"/>
      <c r="HH385" s="10"/>
      <c r="HI385" s="10"/>
      <c r="HJ385" s="10"/>
      <c r="HK385" s="10"/>
      <c r="HL385" s="10"/>
      <c r="HM385" s="10"/>
      <c r="HN385" s="10"/>
      <c r="HO385" s="10"/>
      <c r="HP385" s="10"/>
      <c r="HQ385" s="10"/>
      <c r="HR385" s="10"/>
      <c r="HS385" s="10"/>
      <c r="HT385" s="10"/>
    </row>
    <row r="386" spans="2:228" ht="15" customHeight="1" x14ac:dyDescent="0.2">
      <c r="B386" s="147" t="s">
        <v>617</v>
      </c>
      <c r="C386" s="694"/>
      <c r="D386" s="694"/>
      <c r="E386" s="921">
        <f>LETable!AT66</f>
        <v>0</v>
      </c>
      <c r="F386" s="921"/>
      <c r="G386" s="694"/>
      <c r="H386" s="694"/>
      <c r="I386" s="694"/>
      <c r="J386" s="936">
        <f>IF(C386="",0,IF(OR(C386&lt;=0,G386&lt;=0),E386,IF(G386&lt;C386,0,LETable!AY66)))</f>
        <v>0</v>
      </c>
      <c r="K386" s="936"/>
      <c r="L386" s="1141" t="str">
        <f t="shared" si="85"/>
        <v/>
      </c>
      <c r="M386" s="1141"/>
      <c r="N386" s="1141"/>
      <c r="O386" s="1141"/>
      <c r="P386" s="1202"/>
      <c r="R386" s="147">
        <f>IF(AND(R385&gt;0,R385&lt;0.01),0.01,ROUND(R385,2))</f>
        <v>0</v>
      </c>
      <c r="S386" s="50">
        <v>50</v>
      </c>
      <c r="T386" s="50" t="str">
        <f t="shared" si="86"/>
        <v/>
      </c>
      <c r="U386" s="50" t="str">
        <f t="shared" si="87"/>
        <v/>
      </c>
      <c r="V386" s="553" t="str">
        <f t="shared" si="88"/>
        <v/>
      </c>
      <c r="W386" s="589"/>
      <c r="X386" s="608"/>
      <c r="Y386" s="554" t="str">
        <f t="shared" si="89"/>
        <v/>
      </c>
      <c r="Z386" s="10"/>
      <c r="AA386" s="10"/>
      <c r="AB386" s="10"/>
      <c r="AC386" s="10"/>
      <c r="AD386" s="10"/>
      <c r="AE386" s="10"/>
      <c r="AF386" s="10"/>
      <c r="AG386" s="10"/>
      <c r="AH386" s="10"/>
      <c r="AI386" s="94"/>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0"/>
      <c r="FH386" s="10"/>
      <c r="FI386" s="10"/>
      <c r="FJ386" s="10"/>
      <c r="FK386" s="10"/>
      <c r="FL386" s="10"/>
      <c r="FM386" s="10"/>
      <c r="FN386" s="10"/>
      <c r="FO386" s="10"/>
      <c r="FP386" s="10"/>
      <c r="FQ386" s="10"/>
      <c r="FR386" s="10"/>
      <c r="FS386" s="10"/>
      <c r="FT386" s="10"/>
      <c r="FU386" s="10"/>
      <c r="FV386" s="10"/>
      <c r="FW386" s="10"/>
      <c r="FX386" s="10"/>
      <c r="FY386" s="10"/>
      <c r="FZ386" s="10"/>
      <c r="GA386" s="10"/>
      <c r="GB386" s="10"/>
      <c r="GC386" s="10"/>
      <c r="GD386" s="10"/>
      <c r="GE386" s="10"/>
      <c r="GF386" s="10"/>
      <c r="GG386" s="10"/>
      <c r="GH386" s="10"/>
      <c r="GI386" s="10"/>
      <c r="GJ386" s="10"/>
      <c r="GK386" s="10"/>
      <c r="GL386" s="10"/>
      <c r="GM386" s="10"/>
      <c r="GN386" s="10"/>
      <c r="GO386" s="10"/>
      <c r="GP386" s="10"/>
      <c r="GQ386" s="10"/>
      <c r="GR386" s="10"/>
      <c r="GS386" s="10"/>
      <c r="GT386" s="10"/>
      <c r="GU386" s="10"/>
      <c r="GV386" s="10"/>
      <c r="GW386" s="10"/>
      <c r="GX386" s="10"/>
      <c r="GY386" s="10"/>
      <c r="GZ386" s="10"/>
      <c r="HA386" s="10"/>
      <c r="HB386" s="10"/>
      <c r="HC386" s="10"/>
      <c r="HD386" s="10"/>
      <c r="HE386" s="10"/>
      <c r="HF386" s="10"/>
      <c r="HG386" s="10"/>
      <c r="HH386" s="10"/>
      <c r="HI386" s="10"/>
      <c r="HJ386" s="10"/>
      <c r="HK386" s="10"/>
      <c r="HL386" s="10"/>
      <c r="HM386" s="10"/>
      <c r="HN386" s="10"/>
      <c r="HO386" s="10"/>
      <c r="HP386" s="10"/>
      <c r="HQ386" s="10"/>
      <c r="HR386" s="10"/>
      <c r="HS386" s="10"/>
      <c r="HT386" s="10"/>
    </row>
    <row r="387" spans="2:228" ht="15" customHeight="1" x14ac:dyDescent="0.2">
      <c r="B387" s="1006" t="s">
        <v>154</v>
      </c>
      <c r="C387" s="1007"/>
      <c r="D387" s="1007"/>
      <c r="E387" s="1007"/>
      <c r="F387" s="1007"/>
      <c r="G387" s="1007"/>
      <c r="H387" s="1007"/>
      <c r="I387" s="1007"/>
      <c r="J387" s="1007"/>
      <c r="K387" s="1007"/>
      <c r="L387" s="1007"/>
      <c r="M387" s="1007"/>
      <c r="N387" s="1007"/>
      <c r="O387" s="1008"/>
      <c r="P387" s="245">
        <f>IF(R386&gt;1,1,R386)</f>
        <v>0</v>
      </c>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0"/>
      <c r="FH387" s="10"/>
      <c r="FI387" s="10"/>
      <c r="FJ387" s="10"/>
      <c r="FK387" s="10"/>
      <c r="FL387" s="10"/>
      <c r="FM387" s="10"/>
      <c r="FN387" s="10"/>
      <c r="FO387" s="10"/>
      <c r="FP387" s="10"/>
      <c r="FQ387" s="10"/>
      <c r="FR387" s="10"/>
      <c r="FS387" s="10"/>
      <c r="FT387" s="10"/>
      <c r="FU387" s="10"/>
      <c r="FV387" s="10"/>
      <c r="FW387" s="10"/>
      <c r="FX387" s="10"/>
      <c r="FY387" s="10"/>
      <c r="FZ387" s="10"/>
      <c r="GA387" s="10"/>
      <c r="GB387" s="10"/>
      <c r="GC387" s="10"/>
      <c r="GD387" s="10"/>
      <c r="GE387" s="10"/>
      <c r="GF387" s="10"/>
      <c r="GG387" s="10"/>
      <c r="GH387" s="10"/>
      <c r="GI387" s="10"/>
      <c r="GJ387" s="10"/>
      <c r="GK387" s="10"/>
      <c r="GL387" s="10"/>
      <c r="GM387" s="10"/>
      <c r="GN387" s="10"/>
      <c r="GO387" s="10"/>
      <c r="GP387" s="10"/>
      <c r="GQ387" s="10"/>
      <c r="GR387" s="10"/>
      <c r="GS387" s="10"/>
      <c r="GT387" s="10"/>
      <c r="GU387" s="10"/>
      <c r="GV387" s="10"/>
      <c r="GW387" s="10"/>
      <c r="GX387" s="10"/>
      <c r="GY387" s="10"/>
      <c r="GZ387" s="10"/>
      <c r="HA387" s="10"/>
      <c r="HB387" s="10"/>
      <c r="HC387" s="10"/>
      <c r="HD387" s="10"/>
      <c r="HE387" s="10"/>
      <c r="HF387" s="10"/>
      <c r="HG387" s="10"/>
      <c r="HH387" s="10"/>
      <c r="HI387" s="10"/>
      <c r="HJ387" s="10"/>
      <c r="HK387" s="10"/>
      <c r="HL387" s="10"/>
      <c r="HM387" s="10"/>
      <c r="HN387" s="10"/>
      <c r="HO387" s="10"/>
      <c r="HP387" s="10"/>
      <c r="HQ387" s="10"/>
      <c r="HR387" s="10"/>
      <c r="HS387" s="10"/>
      <c r="HT387" s="10"/>
    </row>
    <row r="388" spans="2:228" ht="12" customHeight="1" x14ac:dyDescent="0.25">
      <c r="B388" s="1137"/>
      <c r="C388" s="1137"/>
      <c r="D388" s="1137"/>
      <c r="E388" s="1137"/>
      <c r="F388" s="1137"/>
      <c r="G388" s="1137"/>
      <c r="H388" s="1137"/>
      <c r="I388" s="1137"/>
      <c r="J388" s="1137"/>
      <c r="K388" s="1137"/>
      <c r="L388" s="1137"/>
      <c r="M388" s="1137"/>
      <c r="N388" s="1137"/>
      <c r="O388" s="1137"/>
      <c r="P388" s="63"/>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10"/>
      <c r="ED388" s="10"/>
      <c r="EE388" s="10"/>
      <c r="EF388" s="10"/>
      <c r="EG388" s="10"/>
      <c r="EH388" s="10"/>
      <c r="EI388" s="10"/>
      <c r="EJ388" s="10"/>
      <c r="EK388" s="10"/>
      <c r="EL388" s="10"/>
      <c r="EM388" s="10"/>
      <c r="EN388" s="10"/>
      <c r="EO388" s="10"/>
      <c r="EP388" s="10"/>
      <c r="EQ388" s="10"/>
      <c r="ER388" s="10"/>
      <c r="ES388" s="10"/>
      <c r="ET388" s="10"/>
      <c r="EU388" s="10"/>
      <c r="EV388" s="10"/>
      <c r="EW388" s="10"/>
      <c r="EX388" s="10"/>
      <c r="EY388" s="10"/>
      <c r="EZ388" s="10"/>
      <c r="FA388" s="10"/>
      <c r="FB388" s="10"/>
      <c r="FC388" s="10"/>
      <c r="FD388" s="10"/>
      <c r="FE388" s="10"/>
      <c r="FF388" s="10"/>
      <c r="FG388" s="10"/>
      <c r="FH388" s="10"/>
      <c r="FI388" s="10"/>
      <c r="FJ388" s="10"/>
      <c r="FK388" s="10"/>
      <c r="FL388" s="10"/>
      <c r="FM388" s="10"/>
      <c r="FN388" s="10"/>
      <c r="FO388" s="10"/>
      <c r="FP388" s="10"/>
      <c r="FQ388" s="10"/>
      <c r="FR388" s="10"/>
      <c r="FS388" s="10"/>
      <c r="FT388" s="10"/>
      <c r="FU388" s="10"/>
      <c r="FV388" s="10"/>
      <c r="FW388" s="10"/>
      <c r="FX388" s="10"/>
      <c r="FY388" s="10"/>
      <c r="FZ388" s="10"/>
      <c r="GA388" s="10"/>
      <c r="GB388" s="10"/>
      <c r="GC388" s="10"/>
      <c r="GD388" s="10"/>
      <c r="GE388" s="10"/>
      <c r="GF388" s="10"/>
      <c r="GG388" s="10"/>
      <c r="GH388" s="10"/>
      <c r="GI388" s="10"/>
      <c r="GJ388" s="10"/>
      <c r="GK388" s="10"/>
      <c r="GL388" s="10"/>
      <c r="GM388" s="10"/>
      <c r="GN388" s="10"/>
      <c r="GO388" s="10"/>
      <c r="GP388" s="10"/>
      <c r="GQ388" s="10"/>
      <c r="GR388" s="10"/>
      <c r="GS388" s="10"/>
      <c r="GT388" s="10"/>
      <c r="GU388" s="10"/>
      <c r="GV388" s="10"/>
      <c r="GW388" s="10"/>
      <c r="GX388" s="10"/>
      <c r="GY388" s="10"/>
      <c r="GZ388" s="10"/>
      <c r="HA388" s="10"/>
      <c r="HB388" s="10"/>
      <c r="HC388" s="10"/>
      <c r="HD388" s="10"/>
      <c r="HE388" s="10"/>
      <c r="HF388" s="10"/>
      <c r="HG388" s="10"/>
      <c r="HH388" s="10"/>
      <c r="HI388" s="10"/>
      <c r="HJ388" s="10"/>
      <c r="HK388" s="10"/>
      <c r="HL388" s="10"/>
      <c r="HM388" s="10"/>
      <c r="HN388" s="10"/>
      <c r="HO388" s="10"/>
      <c r="HP388" s="10"/>
      <c r="HQ388" s="10"/>
      <c r="HR388" s="10"/>
      <c r="HS388" s="10"/>
      <c r="HT388" s="10"/>
    </row>
    <row r="389" spans="2:228" ht="18" customHeight="1" x14ac:dyDescent="0.2">
      <c r="B389" s="1161" t="s">
        <v>618</v>
      </c>
      <c r="C389" s="1161"/>
      <c r="D389" s="1161"/>
      <c r="E389" s="1161"/>
      <c r="F389" s="1161"/>
      <c r="G389" s="1161"/>
      <c r="H389" s="1161"/>
      <c r="I389" s="1161"/>
      <c r="J389" s="1161"/>
      <c r="K389" s="1161"/>
      <c r="L389" s="1161"/>
      <c r="M389" s="1161"/>
      <c r="N389" s="1161"/>
      <c r="O389" s="1161"/>
      <c r="P389" s="1199"/>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c r="EM389" s="10"/>
      <c r="EN389" s="10"/>
      <c r="EO389" s="10"/>
      <c r="EP389" s="10"/>
      <c r="EQ389" s="10"/>
      <c r="ER389" s="10"/>
      <c r="ES389" s="10"/>
      <c r="ET389" s="10"/>
      <c r="EU389" s="10"/>
      <c r="EV389" s="10"/>
      <c r="EW389" s="10"/>
      <c r="EX389" s="10"/>
      <c r="EY389" s="10"/>
      <c r="EZ389" s="10"/>
      <c r="FA389" s="10"/>
      <c r="FB389" s="10"/>
      <c r="FC389" s="10"/>
      <c r="FD389" s="10"/>
      <c r="FE389" s="10"/>
      <c r="FF389" s="10"/>
      <c r="FG389" s="10"/>
      <c r="FH389" s="10"/>
      <c r="FI389" s="10"/>
      <c r="FJ389" s="10"/>
      <c r="FK389" s="10"/>
      <c r="FL389" s="10"/>
      <c r="FM389" s="10"/>
      <c r="FN389" s="10"/>
      <c r="FO389" s="10"/>
      <c r="FP389" s="10"/>
      <c r="FQ389" s="10"/>
      <c r="FR389" s="10"/>
      <c r="FS389" s="10"/>
      <c r="FT389" s="10"/>
      <c r="FU389" s="10"/>
      <c r="FV389" s="10"/>
      <c r="FW389" s="10"/>
      <c r="FX389" s="10"/>
      <c r="FY389" s="10"/>
      <c r="FZ389" s="10"/>
      <c r="GA389" s="10"/>
      <c r="GB389" s="10"/>
      <c r="GC389" s="10"/>
      <c r="GD389" s="10"/>
      <c r="GE389" s="10"/>
      <c r="GF389" s="10"/>
      <c r="GG389" s="10"/>
      <c r="GH389" s="10"/>
      <c r="GI389" s="10"/>
      <c r="GJ389" s="10"/>
      <c r="GK389" s="10"/>
      <c r="GL389" s="10"/>
      <c r="GM389" s="10"/>
      <c r="GN389" s="10"/>
      <c r="GO389" s="10"/>
      <c r="GP389" s="10"/>
      <c r="GQ389" s="10"/>
      <c r="GR389" s="10"/>
      <c r="GS389" s="10"/>
      <c r="GT389" s="10"/>
      <c r="GU389" s="10"/>
      <c r="GV389" s="10"/>
      <c r="GW389" s="10"/>
      <c r="GX389" s="10"/>
      <c r="GY389" s="10"/>
      <c r="GZ389" s="10"/>
      <c r="HA389" s="10"/>
      <c r="HB389" s="10"/>
      <c r="HC389" s="10"/>
      <c r="HD389" s="10"/>
      <c r="HE389" s="10"/>
      <c r="HF389" s="10"/>
      <c r="HG389" s="10"/>
      <c r="HH389" s="10"/>
      <c r="HI389" s="10"/>
      <c r="HJ389" s="10"/>
      <c r="HK389" s="10"/>
      <c r="HL389" s="10"/>
      <c r="HM389" s="10"/>
      <c r="HN389" s="10"/>
      <c r="HO389" s="10"/>
      <c r="HP389" s="10"/>
      <c r="HQ389" s="10"/>
      <c r="HR389" s="10"/>
      <c r="HS389" s="10"/>
      <c r="HT389" s="10"/>
    </row>
    <row r="390" spans="2:228" ht="27" customHeight="1" x14ac:dyDescent="0.2">
      <c r="B390" s="761" t="s">
        <v>595</v>
      </c>
      <c r="C390" s="761"/>
      <c r="D390" s="761"/>
      <c r="E390" s="761"/>
      <c r="F390" s="761"/>
      <c r="G390" s="761"/>
      <c r="H390" s="761"/>
      <c r="I390" s="761"/>
      <c r="J390" s="761"/>
      <c r="K390" s="761"/>
      <c r="L390" s="761"/>
      <c r="M390" s="761"/>
      <c r="N390" s="761"/>
      <c r="O390" s="761"/>
      <c r="P390" s="1199"/>
      <c r="R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c r="EM390" s="10"/>
      <c r="EN390" s="10"/>
      <c r="EO390" s="10"/>
      <c r="EP390" s="10"/>
      <c r="EQ390" s="10"/>
      <c r="ER390" s="10"/>
      <c r="ES390" s="10"/>
      <c r="ET390" s="10"/>
      <c r="EU390" s="10"/>
      <c r="EV390" s="10"/>
      <c r="EW390" s="10"/>
      <c r="EX390" s="10"/>
      <c r="EY390" s="10"/>
      <c r="EZ390" s="10"/>
      <c r="FA390" s="10"/>
      <c r="FB390" s="10"/>
      <c r="FC390" s="10"/>
      <c r="FD390" s="10"/>
      <c r="FE390" s="10"/>
      <c r="FF390" s="10"/>
      <c r="FG390" s="10"/>
      <c r="FH390" s="10"/>
      <c r="FI390" s="10"/>
      <c r="FJ390" s="10"/>
      <c r="FK390" s="10"/>
      <c r="FL390" s="10"/>
      <c r="FM390" s="10"/>
      <c r="FN390" s="10"/>
      <c r="FO390" s="10"/>
      <c r="FP390" s="10"/>
      <c r="FQ390" s="10"/>
      <c r="FR390" s="10"/>
      <c r="FS390" s="10"/>
      <c r="FT390" s="10"/>
      <c r="FU390" s="10"/>
      <c r="FV390" s="10"/>
      <c r="FW390" s="10"/>
      <c r="FX390" s="10"/>
      <c r="FY390" s="10"/>
      <c r="FZ390" s="10"/>
      <c r="GA390" s="10"/>
      <c r="GB390" s="10"/>
      <c r="GC390" s="10"/>
      <c r="GD390" s="10"/>
      <c r="GE390" s="10"/>
      <c r="GF390" s="10"/>
      <c r="GG390" s="10"/>
      <c r="GH390" s="10"/>
      <c r="GI390" s="10"/>
      <c r="GJ390" s="10"/>
      <c r="GK390" s="10"/>
      <c r="GL390" s="10"/>
      <c r="GM390" s="10"/>
      <c r="GN390" s="10"/>
      <c r="GO390" s="10"/>
      <c r="GP390" s="10"/>
      <c r="GQ390" s="10"/>
      <c r="GR390" s="10"/>
      <c r="GS390" s="10"/>
      <c r="GT390" s="10"/>
      <c r="GU390" s="10"/>
      <c r="GV390" s="10"/>
      <c r="GW390" s="10"/>
      <c r="GX390" s="10"/>
      <c r="GY390" s="10"/>
      <c r="GZ390" s="10"/>
      <c r="HA390" s="10"/>
      <c r="HB390" s="10"/>
      <c r="HC390" s="10"/>
      <c r="HD390" s="10"/>
      <c r="HE390" s="10"/>
      <c r="HF390" s="10"/>
      <c r="HG390" s="10"/>
      <c r="HH390" s="10"/>
      <c r="HI390" s="10"/>
      <c r="HJ390" s="10"/>
      <c r="HK390" s="10"/>
      <c r="HL390" s="10"/>
      <c r="HM390" s="10"/>
      <c r="HN390" s="10"/>
      <c r="HO390" s="10"/>
      <c r="HP390" s="10"/>
      <c r="HQ390" s="10"/>
      <c r="HR390" s="10"/>
      <c r="HS390" s="10"/>
      <c r="HT390" s="10"/>
    </row>
    <row r="391" spans="2:228" ht="18" customHeight="1" x14ac:dyDescent="0.2">
      <c r="B391" s="289" t="s">
        <v>147</v>
      </c>
      <c r="C391" s="1030"/>
      <c r="D391" s="1198"/>
      <c r="E391" s="1198"/>
      <c r="F391" s="1198"/>
      <c r="G391" s="1198"/>
      <c r="H391" s="1198"/>
      <c r="I391" s="1198"/>
      <c r="J391" s="1198"/>
      <c r="K391" s="1198"/>
      <c r="L391" s="1198"/>
      <c r="M391" s="1198"/>
      <c r="N391" s="1198"/>
      <c r="O391" s="1198"/>
      <c r="P391" s="82">
        <f>IF(C391=S391,0,IF(C391=T391,0.05,IF(C391=U391,0.1,IF(C391=V391,0.15,IF(C391=W391,0.2,0)))))</f>
        <v>0</v>
      </c>
      <c r="R391" s="336" t="s">
        <v>2147</v>
      </c>
      <c r="S391" s="50" t="s">
        <v>1901</v>
      </c>
      <c r="T391" s="50" t="s">
        <v>596</v>
      </c>
      <c r="U391" s="50" t="s">
        <v>597</v>
      </c>
      <c r="V391" s="50" t="s">
        <v>145</v>
      </c>
      <c r="W391" s="50" t="s">
        <v>146</v>
      </c>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10"/>
      <c r="GP391" s="10"/>
      <c r="GQ391" s="10"/>
      <c r="GR391" s="10"/>
      <c r="GS391" s="10"/>
      <c r="GT391" s="10"/>
      <c r="GU391" s="10"/>
      <c r="GV391" s="10"/>
      <c r="GW391" s="10"/>
      <c r="GX391" s="10"/>
      <c r="GY391" s="10"/>
      <c r="GZ391" s="10"/>
      <c r="HA391" s="10"/>
      <c r="HB391" s="10"/>
      <c r="HC391" s="10"/>
      <c r="HD391" s="10"/>
      <c r="HE391" s="10"/>
      <c r="HF391" s="10"/>
      <c r="HG391" s="10"/>
      <c r="HH391" s="10"/>
      <c r="HI391" s="10"/>
      <c r="HJ391" s="10"/>
      <c r="HK391" s="10"/>
      <c r="HL391" s="10"/>
      <c r="HM391" s="10"/>
      <c r="HN391" s="10"/>
      <c r="HO391" s="10"/>
      <c r="HP391" s="10"/>
      <c r="HQ391" s="10"/>
      <c r="HR391" s="10"/>
      <c r="HS391" s="10"/>
      <c r="HT391" s="10"/>
    </row>
    <row r="392" spans="2:228" ht="12" customHeight="1" x14ac:dyDescent="0.25">
      <c r="B392" s="1137"/>
      <c r="C392" s="1137"/>
      <c r="D392" s="1137"/>
      <c r="E392" s="1137"/>
      <c r="F392" s="1137"/>
      <c r="G392" s="1137"/>
      <c r="H392" s="1137"/>
      <c r="I392" s="1137"/>
      <c r="J392" s="1137"/>
      <c r="K392" s="1137"/>
      <c r="L392" s="1137"/>
      <c r="M392" s="1137"/>
      <c r="N392" s="1137"/>
      <c r="O392" s="1137"/>
      <c r="P392" s="63"/>
      <c r="R392" s="10"/>
      <c r="S392" s="14"/>
      <c r="T392" s="14"/>
      <c r="U392" s="14"/>
      <c r="V392" s="14"/>
      <c r="W392" s="14"/>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c r="GY392" s="10"/>
      <c r="GZ392" s="10"/>
      <c r="HA392" s="10"/>
      <c r="HB392" s="10"/>
      <c r="HC392" s="10"/>
      <c r="HD392" s="10"/>
      <c r="HE392" s="10"/>
      <c r="HF392" s="10"/>
      <c r="HG392" s="10"/>
      <c r="HH392" s="10"/>
      <c r="HI392" s="10"/>
      <c r="HJ392" s="10"/>
      <c r="HK392" s="10"/>
      <c r="HL392" s="10"/>
      <c r="HM392" s="10"/>
      <c r="HN392" s="10"/>
      <c r="HO392" s="10"/>
      <c r="HP392" s="10"/>
      <c r="HQ392" s="10"/>
      <c r="HR392" s="10"/>
      <c r="HS392" s="10"/>
      <c r="HT392" s="10"/>
    </row>
    <row r="393" spans="2:228" ht="18" customHeight="1" x14ac:dyDescent="0.2">
      <c r="B393" s="1161" t="s">
        <v>148</v>
      </c>
      <c r="C393" s="1161"/>
      <c r="D393" s="1161"/>
      <c r="E393" s="1161"/>
      <c r="F393" s="1161"/>
      <c r="G393" s="1161"/>
      <c r="H393" s="1161"/>
      <c r="I393" s="1161"/>
      <c r="J393" s="1161"/>
      <c r="K393" s="1161"/>
      <c r="L393" s="1161"/>
      <c r="M393" s="1161"/>
      <c r="N393" s="1161"/>
      <c r="O393" s="1161"/>
      <c r="P393" s="1199"/>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c r="HH393" s="10"/>
      <c r="HI393" s="10"/>
      <c r="HJ393" s="10"/>
      <c r="HK393" s="10"/>
      <c r="HL393" s="10"/>
      <c r="HM393" s="10"/>
      <c r="HN393" s="10"/>
      <c r="HO393" s="10"/>
      <c r="HP393" s="10"/>
      <c r="HQ393" s="10"/>
      <c r="HR393" s="10"/>
      <c r="HS393" s="10"/>
      <c r="HT393" s="10"/>
    </row>
    <row r="394" spans="2:228" ht="40.5" customHeight="1" x14ac:dyDescent="0.2">
      <c r="B394" s="761" t="s">
        <v>333</v>
      </c>
      <c r="C394" s="761"/>
      <c r="D394" s="761"/>
      <c r="E394" s="761"/>
      <c r="F394" s="761"/>
      <c r="G394" s="761"/>
      <c r="H394" s="761"/>
      <c r="I394" s="761"/>
      <c r="J394" s="761"/>
      <c r="K394" s="761"/>
      <c r="L394" s="761"/>
      <c r="M394" s="761"/>
      <c r="N394" s="761"/>
      <c r="O394" s="761"/>
      <c r="P394" s="1199"/>
      <c r="R394" s="10"/>
      <c r="S394" s="50" t="s">
        <v>1901</v>
      </c>
      <c r="T394" s="256" t="s">
        <v>149</v>
      </c>
      <c r="U394" s="256" t="s">
        <v>150</v>
      </c>
      <c r="V394" s="256" t="s">
        <v>1288</v>
      </c>
      <c r="W394" s="10"/>
      <c r="X394" s="10"/>
      <c r="Y394" s="50" t="s">
        <v>1285</v>
      </c>
      <c r="Z394" s="50" t="s">
        <v>1286</v>
      </c>
      <c r="AA394" s="50" t="s">
        <v>1287</v>
      </c>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c r="HA394" s="10"/>
      <c r="HB394" s="10"/>
      <c r="HC394" s="10"/>
      <c r="HD394" s="10"/>
      <c r="HE394" s="10"/>
      <c r="HF394" s="10"/>
      <c r="HG394" s="10"/>
      <c r="HH394" s="10"/>
      <c r="HI394" s="10"/>
      <c r="HJ394" s="10"/>
      <c r="HK394" s="10"/>
      <c r="HL394" s="10"/>
      <c r="HM394" s="10"/>
      <c r="HN394" s="10"/>
      <c r="HO394" s="10"/>
      <c r="HP394" s="10"/>
      <c r="HQ394" s="10"/>
      <c r="HR394" s="10"/>
      <c r="HS394" s="10"/>
      <c r="HT394" s="10"/>
    </row>
    <row r="395" spans="2:228" ht="18" customHeight="1" x14ac:dyDescent="0.25">
      <c r="B395" s="19" t="s">
        <v>1289</v>
      </c>
      <c r="C395" s="912" t="s">
        <v>1290</v>
      </c>
      <c r="D395" s="912"/>
      <c r="E395" s="912"/>
      <c r="F395" s="912"/>
      <c r="G395" s="912"/>
      <c r="H395" s="912"/>
      <c r="I395" s="912"/>
      <c r="J395" s="912"/>
      <c r="K395" s="912"/>
      <c r="L395" s="912"/>
      <c r="M395" s="912"/>
      <c r="N395" s="912"/>
      <c r="O395" s="912"/>
      <c r="P395" s="297"/>
      <c r="R395" s="10"/>
      <c r="S395" s="147">
        <v>0</v>
      </c>
      <c r="T395" s="147">
        <v>0.05</v>
      </c>
      <c r="U395" s="147">
        <v>0.1</v>
      </c>
      <c r="V395" s="147">
        <v>0.15</v>
      </c>
      <c r="W395" s="10"/>
      <c r="X395" s="10"/>
      <c r="Y395" s="514">
        <f>LARGE($O$396:$O$399,1)</f>
        <v>0</v>
      </c>
      <c r="Z395" s="544">
        <f>Y395+Y396*(1-Y395)</f>
        <v>0</v>
      </c>
      <c r="AA395" s="548">
        <f>ROUND(Z395,2)</f>
        <v>0</v>
      </c>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c r="HA395" s="10"/>
      <c r="HB395" s="10"/>
      <c r="HC395" s="10"/>
      <c r="HD395" s="10"/>
      <c r="HE395" s="10"/>
      <c r="HF395" s="10"/>
      <c r="HG395" s="10"/>
      <c r="HH395" s="10"/>
      <c r="HI395" s="10"/>
      <c r="HJ395" s="10"/>
      <c r="HK395" s="10"/>
      <c r="HL395" s="10"/>
      <c r="HM395" s="10"/>
      <c r="HN395" s="10"/>
      <c r="HO395" s="10"/>
      <c r="HP395" s="10"/>
      <c r="HQ395" s="10"/>
      <c r="HR395" s="10"/>
      <c r="HS395" s="10"/>
      <c r="HT395" s="10"/>
    </row>
    <row r="396" spans="2:228" ht="15" customHeight="1" x14ac:dyDescent="0.2">
      <c r="B396" s="289" t="s">
        <v>1291</v>
      </c>
      <c r="C396" s="1030"/>
      <c r="D396" s="1030"/>
      <c r="E396" s="1030"/>
      <c r="F396" s="1030"/>
      <c r="G396" s="1030"/>
      <c r="H396" s="1030"/>
      <c r="I396" s="1030"/>
      <c r="J396" s="1030"/>
      <c r="K396" s="1030"/>
      <c r="L396" s="1030"/>
      <c r="M396" s="1030"/>
      <c r="N396" s="1030"/>
      <c r="O396" s="82">
        <f>IF(AND(S416=1,R396=1),0,SUMIF(S394:V394,C396,S395:W395))</f>
        <v>0</v>
      </c>
      <c r="P396" s="910"/>
      <c r="R396" s="50">
        <f>IF(C396=$T$394,1,0)</f>
        <v>0</v>
      </c>
      <c r="S396" s="147">
        <v>0</v>
      </c>
      <c r="T396" s="147">
        <v>0.1</v>
      </c>
      <c r="U396" s="147">
        <v>0.15</v>
      </c>
      <c r="V396" s="147">
        <v>0.2</v>
      </c>
      <c r="W396" s="14"/>
      <c r="X396" s="10"/>
      <c r="Y396" s="514">
        <f>LARGE($O$396:$O$399,2)</f>
        <v>0</v>
      </c>
      <c r="Z396" s="544">
        <f>AA395+Y397*(1-AA395)</f>
        <v>0</v>
      </c>
      <c r="AA396" s="548">
        <f>ROUND(Z396,2)</f>
        <v>0</v>
      </c>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10"/>
      <c r="GP396" s="10"/>
      <c r="GQ396" s="10"/>
      <c r="GR396" s="10"/>
      <c r="GS396" s="10"/>
      <c r="GT396" s="10"/>
      <c r="GU396" s="10"/>
      <c r="GV396" s="10"/>
      <c r="GW396" s="10"/>
      <c r="GX396" s="10"/>
      <c r="GY396" s="10"/>
      <c r="GZ396" s="10"/>
      <c r="HA396" s="10"/>
      <c r="HB396" s="10"/>
      <c r="HC396" s="10"/>
      <c r="HD396" s="10"/>
      <c r="HE396" s="10"/>
      <c r="HF396" s="10"/>
      <c r="HG396" s="10"/>
      <c r="HH396" s="10"/>
      <c r="HI396" s="10"/>
      <c r="HJ396" s="10"/>
      <c r="HK396" s="10"/>
      <c r="HL396" s="10"/>
      <c r="HM396" s="10"/>
      <c r="HN396" s="10"/>
      <c r="HO396" s="10"/>
      <c r="HP396" s="10"/>
      <c r="HQ396" s="10"/>
      <c r="HR396" s="10"/>
      <c r="HS396" s="10"/>
      <c r="HT396" s="10"/>
    </row>
    <row r="397" spans="2:228" ht="15" customHeight="1" x14ac:dyDescent="0.2">
      <c r="B397" s="289" t="s">
        <v>1292</v>
      </c>
      <c r="C397" s="1030"/>
      <c r="D397" s="1030"/>
      <c r="E397" s="1030"/>
      <c r="F397" s="1030"/>
      <c r="G397" s="1030"/>
      <c r="H397" s="1030"/>
      <c r="I397" s="1030"/>
      <c r="J397" s="1030"/>
      <c r="K397" s="1030"/>
      <c r="L397" s="1030"/>
      <c r="M397" s="1030"/>
      <c r="N397" s="1030"/>
      <c r="O397" s="82">
        <f>IF(AND(S416=1,R397=1),0,SUMIF(S394:V394,C397,S395:V395))</f>
        <v>0</v>
      </c>
      <c r="P397" s="910"/>
      <c r="R397" s="50">
        <f>IF(C397=$T$394,1,0)</f>
        <v>0</v>
      </c>
      <c r="S397" s="10"/>
      <c r="T397" s="10"/>
      <c r="U397" s="10"/>
      <c r="V397" s="10"/>
      <c r="W397" s="10"/>
      <c r="X397" s="10"/>
      <c r="Y397" s="514">
        <f>LARGE($O$396:$O$399,3)</f>
        <v>0</v>
      </c>
      <c r="Z397" s="544">
        <f>AA396+Y398*(1-AA396)</f>
        <v>0</v>
      </c>
      <c r="AA397" s="548">
        <f>ROUND(Z397,2)</f>
        <v>0</v>
      </c>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c r="HA397" s="10"/>
      <c r="HB397" s="10"/>
      <c r="HC397" s="10"/>
      <c r="HD397" s="10"/>
      <c r="HE397" s="10"/>
      <c r="HF397" s="10"/>
      <c r="HG397" s="10"/>
      <c r="HH397" s="10"/>
      <c r="HI397" s="10"/>
      <c r="HJ397" s="10"/>
      <c r="HK397" s="10"/>
      <c r="HL397" s="10"/>
      <c r="HM397" s="10"/>
      <c r="HN397" s="10"/>
      <c r="HO397" s="10"/>
      <c r="HP397" s="10"/>
      <c r="HQ397" s="10"/>
      <c r="HR397" s="10"/>
      <c r="HS397" s="10"/>
      <c r="HT397" s="10"/>
    </row>
    <row r="398" spans="2:228" ht="15" customHeight="1" x14ac:dyDescent="0.2">
      <c r="B398" s="289" t="s">
        <v>1293</v>
      </c>
      <c r="C398" s="1030"/>
      <c r="D398" s="1030"/>
      <c r="E398" s="1030"/>
      <c r="F398" s="1030"/>
      <c r="G398" s="1030"/>
      <c r="H398" s="1030"/>
      <c r="I398" s="1030"/>
      <c r="J398" s="1030"/>
      <c r="K398" s="1030"/>
      <c r="L398" s="1030"/>
      <c r="M398" s="1030"/>
      <c r="N398" s="1030"/>
      <c r="O398" s="82">
        <f>IF(AND(S416=1,R398=1),0,SUMIF(S394:V394,C398,S396:V396))</f>
        <v>0</v>
      </c>
      <c r="P398" s="910"/>
      <c r="R398" s="50">
        <f>IF(C398=$T$394,1,0)</f>
        <v>0</v>
      </c>
      <c r="S398" s="10"/>
      <c r="T398" s="10"/>
      <c r="U398" s="10"/>
      <c r="V398" s="10"/>
      <c r="W398" s="10"/>
      <c r="X398" s="10"/>
      <c r="Y398" s="514">
        <f>LARGE($O$396:$O$399,4)</f>
        <v>0</v>
      </c>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row>
    <row r="399" spans="2:228" ht="15" customHeight="1" x14ac:dyDescent="0.2">
      <c r="B399" s="289" t="s">
        <v>1294</v>
      </c>
      <c r="C399" s="1030"/>
      <c r="D399" s="1030"/>
      <c r="E399" s="1030"/>
      <c r="F399" s="1030"/>
      <c r="G399" s="1030"/>
      <c r="H399" s="1030"/>
      <c r="I399" s="1030"/>
      <c r="J399" s="1030"/>
      <c r="K399" s="1030"/>
      <c r="L399" s="1030"/>
      <c r="M399" s="1030"/>
      <c r="N399" s="1030"/>
      <c r="O399" s="82">
        <f>IF(AND(S416=1,R399=1),0,SUMIF(S394:V394,C399,S396:V396))</f>
        <v>0</v>
      </c>
      <c r="P399" s="910"/>
      <c r="R399" s="50">
        <f>IF(C399=$T$394,1,0)</f>
        <v>0</v>
      </c>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row>
    <row r="400" spans="2:228" ht="27" customHeight="1" x14ac:dyDescent="0.2">
      <c r="B400" s="1175" t="str">
        <f>IF(AND(S416=1,R400&gt;0),"When there is a prosthetic knee replacement, instability only receives a value if the severity is Grade 2 or greater.","")</f>
        <v/>
      </c>
      <c r="C400" s="1176"/>
      <c r="D400" s="1176"/>
      <c r="E400" s="1176"/>
      <c r="F400" s="1176"/>
      <c r="G400" s="1176"/>
      <c r="H400" s="1176"/>
      <c r="I400" s="1177"/>
      <c r="J400" s="1299" t="s">
        <v>1295</v>
      </c>
      <c r="K400" s="1299"/>
      <c r="L400" s="1299"/>
      <c r="M400" s="1299"/>
      <c r="N400" s="1299"/>
      <c r="O400" s="1299"/>
      <c r="P400" s="82">
        <f>AA397</f>
        <v>0</v>
      </c>
      <c r="R400" s="50">
        <f>SUM(R396:R399)</f>
        <v>0</v>
      </c>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GL400" s="10"/>
      <c r="GM400" s="10"/>
      <c r="GN400" s="10"/>
      <c r="GO400" s="10"/>
      <c r="GP400" s="10"/>
      <c r="GQ400" s="10"/>
      <c r="GR400" s="10"/>
      <c r="GS400" s="10"/>
      <c r="GT400" s="10"/>
      <c r="GU400" s="10"/>
      <c r="GV400" s="10"/>
      <c r="GW400" s="10"/>
      <c r="GX400" s="10"/>
      <c r="GY400" s="10"/>
      <c r="GZ400" s="10"/>
      <c r="HA400" s="10"/>
      <c r="HB400" s="10"/>
      <c r="HC400" s="10"/>
      <c r="HD400" s="10"/>
      <c r="HE400" s="10"/>
      <c r="HF400" s="10"/>
      <c r="HG400" s="10"/>
      <c r="HH400" s="10"/>
      <c r="HI400" s="10"/>
      <c r="HJ400" s="10"/>
      <c r="HK400" s="10"/>
      <c r="HL400" s="10"/>
      <c r="HM400" s="10"/>
      <c r="HN400" s="10"/>
      <c r="HO400" s="10"/>
      <c r="HP400" s="10"/>
      <c r="HQ400" s="10"/>
      <c r="HR400" s="10"/>
      <c r="HS400" s="10"/>
      <c r="HT400" s="10"/>
    </row>
    <row r="401" spans="1:228" ht="12" customHeight="1" x14ac:dyDescent="0.25">
      <c r="B401" s="1137"/>
      <c r="C401" s="1137"/>
      <c r="D401" s="1137"/>
      <c r="E401" s="1137"/>
      <c r="F401" s="1137"/>
      <c r="G401" s="1137"/>
      <c r="H401" s="1137"/>
      <c r="I401" s="1137"/>
      <c r="J401" s="1137"/>
      <c r="K401" s="1137"/>
      <c r="L401" s="1137"/>
      <c r="M401" s="1137"/>
      <c r="N401" s="1137"/>
      <c r="O401" s="1137"/>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0"/>
      <c r="FB401" s="10"/>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0"/>
      <c r="GD401" s="10"/>
      <c r="GE401" s="10"/>
      <c r="GF401" s="10"/>
      <c r="GG401" s="10"/>
      <c r="GH401" s="10"/>
      <c r="GI401" s="10"/>
      <c r="GJ401" s="10"/>
      <c r="GK401" s="10"/>
      <c r="GL401" s="10"/>
      <c r="GM401" s="10"/>
      <c r="GN401" s="10"/>
      <c r="GO401" s="10"/>
      <c r="GP401" s="10"/>
      <c r="GQ401" s="10"/>
      <c r="GR401" s="10"/>
      <c r="GS401" s="10"/>
      <c r="GT401" s="10"/>
      <c r="GU401" s="10"/>
      <c r="GV401" s="10"/>
      <c r="GW401" s="10"/>
      <c r="GX401" s="10"/>
      <c r="GY401" s="10"/>
      <c r="GZ401" s="10"/>
      <c r="HA401" s="10"/>
      <c r="HB401" s="10"/>
      <c r="HC401" s="10"/>
      <c r="HD401" s="10"/>
      <c r="HE401" s="10"/>
      <c r="HF401" s="10"/>
      <c r="HG401" s="10"/>
      <c r="HH401" s="10"/>
      <c r="HI401" s="10"/>
      <c r="HJ401" s="10"/>
      <c r="HK401" s="10"/>
      <c r="HL401" s="10"/>
      <c r="HM401" s="10"/>
      <c r="HN401" s="10"/>
      <c r="HO401" s="10"/>
      <c r="HP401" s="10"/>
      <c r="HQ401" s="10"/>
      <c r="HR401" s="10"/>
      <c r="HS401" s="10"/>
      <c r="HT401" s="10"/>
    </row>
    <row r="402" spans="1:228" ht="15" x14ac:dyDescent="0.25">
      <c r="B402" s="910" t="s">
        <v>1296</v>
      </c>
      <c r="C402" s="910"/>
      <c r="D402" s="910"/>
      <c r="E402" s="910"/>
      <c r="F402" s="910"/>
      <c r="G402" s="910"/>
      <c r="H402" s="910"/>
      <c r="I402" s="910"/>
      <c r="J402" s="910"/>
      <c r="K402" s="910"/>
      <c r="L402" s="910"/>
      <c r="M402" s="910"/>
      <c r="N402" s="910"/>
      <c r="O402" s="910"/>
      <c r="P402" s="38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c r="GY402" s="10"/>
      <c r="GZ402" s="10"/>
      <c r="HA402" s="10"/>
      <c r="HB402" s="10"/>
      <c r="HC402" s="10"/>
      <c r="HD402" s="10"/>
      <c r="HE402" s="10"/>
      <c r="HF402" s="10"/>
      <c r="HG402" s="10"/>
      <c r="HH402" s="10"/>
      <c r="HI402" s="10"/>
      <c r="HJ402" s="10"/>
      <c r="HK402" s="10"/>
      <c r="HL402" s="10"/>
      <c r="HM402" s="10"/>
      <c r="HN402" s="10"/>
      <c r="HO402" s="10"/>
      <c r="HP402" s="10"/>
      <c r="HQ402" s="10"/>
      <c r="HR402" s="10"/>
      <c r="HS402" s="10"/>
      <c r="HT402" s="10"/>
    </row>
    <row r="403" spans="1:228" ht="18" customHeight="1" x14ac:dyDescent="0.2">
      <c r="A403" s="15"/>
      <c r="B403" s="146" t="s">
        <v>1297</v>
      </c>
      <c r="C403" s="910"/>
      <c r="D403" s="910"/>
      <c r="E403" s="910"/>
      <c r="F403" s="910"/>
      <c r="G403" s="910"/>
      <c r="H403" s="910"/>
      <c r="I403" s="910"/>
      <c r="J403" s="910"/>
      <c r="K403" s="910"/>
      <c r="L403" s="910"/>
      <c r="M403" s="910"/>
      <c r="N403" s="910"/>
      <c r="O403" s="910"/>
      <c r="P403" s="82">
        <f>IF(R403=1,0,IF(R403=2,0.1,IF(R403=3,0.1)))</f>
        <v>0</v>
      </c>
      <c r="R403" s="546">
        <v>1</v>
      </c>
      <c r="S403" s="10"/>
      <c r="T403" s="10"/>
      <c r="U403" s="10"/>
      <c r="V403" s="10"/>
      <c r="W403" s="10">
        <v>1E-4</v>
      </c>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GL403" s="10"/>
      <c r="GM403" s="10"/>
      <c r="GN403" s="10"/>
      <c r="GO403" s="10"/>
      <c r="GP403" s="10"/>
      <c r="GQ403" s="10"/>
      <c r="GR403" s="10"/>
      <c r="GS403" s="10"/>
      <c r="GT403" s="10"/>
      <c r="GU403" s="10"/>
      <c r="GV403" s="10"/>
      <c r="GW403" s="10"/>
      <c r="GX403" s="10"/>
      <c r="GY403" s="10"/>
      <c r="GZ403" s="10"/>
      <c r="HA403" s="10"/>
      <c r="HB403" s="10"/>
      <c r="HC403" s="10"/>
      <c r="HD403" s="10"/>
      <c r="HE403" s="10"/>
      <c r="HF403" s="10"/>
      <c r="HG403" s="10"/>
      <c r="HH403" s="10"/>
      <c r="HI403" s="10"/>
      <c r="HJ403" s="10"/>
      <c r="HK403" s="10"/>
      <c r="HL403" s="10"/>
      <c r="HM403" s="10"/>
      <c r="HN403" s="10"/>
      <c r="HO403" s="10"/>
      <c r="HP403" s="10"/>
      <c r="HQ403" s="10"/>
      <c r="HR403" s="10"/>
      <c r="HS403" s="10"/>
      <c r="HT403" s="10"/>
    </row>
    <row r="404" spans="1:228" ht="12" customHeight="1" x14ac:dyDescent="0.25">
      <c r="B404" s="1137"/>
      <c r="C404" s="1137"/>
      <c r="D404" s="1137"/>
      <c r="E404" s="1137"/>
      <c r="F404" s="1137"/>
      <c r="G404" s="1137"/>
      <c r="H404" s="1137"/>
      <c r="I404" s="1137"/>
      <c r="J404" s="1137"/>
      <c r="K404" s="1137"/>
      <c r="L404" s="1137"/>
      <c r="M404" s="1137"/>
      <c r="N404" s="1137"/>
      <c r="O404" s="1137"/>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c r="HD404" s="10"/>
      <c r="HE404" s="10"/>
      <c r="HF404" s="10"/>
      <c r="HG404" s="10"/>
      <c r="HH404" s="10"/>
      <c r="HI404" s="10"/>
      <c r="HJ404" s="10"/>
      <c r="HK404" s="10"/>
      <c r="HL404" s="10"/>
      <c r="HM404" s="10"/>
      <c r="HN404" s="10"/>
      <c r="HO404" s="10"/>
      <c r="HP404" s="10"/>
      <c r="HQ404" s="10"/>
      <c r="HR404" s="10"/>
      <c r="HS404" s="10"/>
      <c r="HT404" s="10"/>
    </row>
    <row r="405" spans="1:228" ht="18" customHeight="1" x14ac:dyDescent="0.25">
      <c r="B405" s="910" t="s">
        <v>1811</v>
      </c>
      <c r="C405" s="910"/>
      <c r="D405" s="910"/>
      <c r="E405" s="910"/>
      <c r="F405" s="910"/>
      <c r="G405" s="910"/>
      <c r="H405" s="910"/>
      <c r="I405" s="910"/>
      <c r="J405" s="910"/>
      <c r="K405" s="910"/>
      <c r="L405" s="910"/>
      <c r="M405" s="910"/>
      <c r="N405" s="910"/>
      <c r="O405" s="910"/>
      <c r="P405" s="380"/>
      <c r="R405" s="947" t="s">
        <v>2177</v>
      </c>
      <c r="S405" s="50" t="s">
        <v>1901</v>
      </c>
      <c r="T405" s="50" t="s">
        <v>1812</v>
      </c>
      <c r="U405" s="50" t="s">
        <v>1813</v>
      </c>
      <c r="V405" s="50" t="s">
        <v>1814</v>
      </c>
      <c r="W405" s="50" t="s">
        <v>1815</v>
      </c>
      <c r="X405" s="50" t="s">
        <v>1816</v>
      </c>
      <c r="Y405" s="50" t="s">
        <v>1817</v>
      </c>
      <c r="Z405" s="50" t="s">
        <v>1818</v>
      </c>
      <c r="AA405" s="50" t="s">
        <v>1819</v>
      </c>
      <c r="AB405" s="50" t="s">
        <v>1820</v>
      </c>
      <c r="AC405" s="50" t="s">
        <v>1314</v>
      </c>
      <c r="AD405" s="50" t="s">
        <v>476</v>
      </c>
      <c r="AE405" s="50" t="s">
        <v>477</v>
      </c>
      <c r="AF405" s="50" t="s">
        <v>478</v>
      </c>
      <c r="AG405" s="50" t="s">
        <v>479</v>
      </c>
      <c r="AH405" s="50" t="s">
        <v>480</v>
      </c>
      <c r="AI405" s="50" t="s">
        <v>481</v>
      </c>
      <c r="AJ405" s="50" t="s">
        <v>482</v>
      </c>
      <c r="AK405" s="50" t="s">
        <v>483</v>
      </c>
      <c r="AL405" s="50" t="s">
        <v>484</v>
      </c>
      <c r="AM405" s="50" t="s">
        <v>1731</v>
      </c>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0"/>
      <c r="HC405" s="10"/>
      <c r="HD405" s="10"/>
      <c r="HE405" s="10"/>
      <c r="HF405" s="10"/>
      <c r="HG405" s="10"/>
      <c r="HH405" s="10"/>
      <c r="HI405" s="10"/>
      <c r="HJ405" s="10"/>
      <c r="HK405" s="10"/>
      <c r="HL405" s="10"/>
      <c r="HM405" s="10"/>
      <c r="HN405" s="10"/>
      <c r="HO405" s="10"/>
      <c r="HP405" s="10"/>
      <c r="HQ405" s="10"/>
      <c r="HR405" s="10"/>
      <c r="HS405" s="10"/>
      <c r="HT405" s="10"/>
    </row>
    <row r="406" spans="1:228" ht="18" customHeight="1" x14ac:dyDescent="0.2">
      <c r="B406" s="146" t="s">
        <v>1732</v>
      </c>
      <c r="C406" s="1030"/>
      <c r="D406" s="1030"/>
      <c r="E406" s="1030"/>
      <c r="F406" s="1030"/>
      <c r="G406" s="1030"/>
      <c r="H406" s="1030"/>
      <c r="I406" s="1030"/>
      <c r="J406" s="1030"/>
      <c r="K406" s="1030"/>
      <c r="L406" s="1030"/>
      <c r="M406" s="1030"/>
      <c r="N406" s="1030"/>
      <c r="O406" s="1030"/>
      <c r="P406" s="82">
        <f>SUMIF(S405:AM405,C406,S406:AM406)</f>
        <v>0</v>
      </c>
      <c r="R406" s="863"/>
      <c r="S406" s="514">
        <v>0</v>
      </c>
      <c r="T406" s="514">
        <v>0.17</v>
      </c>
      <c r="U406" s="514">
        <v>0.26</v>
      </c>
      <c r="V406" s="514">
        <v>0.26</v>
      </c>
      <c r="W406" s="514">
        <v>0.27</v>
      </c>
      <c r="X406" s="514">
        <v>0.28000000000000003</v>
      </c>
      <c r="Y406" s="514">
        <v>0.28999999999999998</v>
      </c>
      <c r="Z406" s="514">
        <v>0.3</v>
      </c>
      <c r="AA406" s="514">
        <v>0.31</v>
      </c>
      <c r="AB406" s="514">
        <v>0.32</v>
      </c>
      <c r="AC406" s="514">
        <v>0.33</v>
      </c>
      <c r="AD406" s="514">
        <v>0.34</v>
      </c>
      <c r="AE406" s="514">
        <v>0.35</v>
      </c>
      <c r="AF406" s="514">
        <v>0.36</v>
      </c>
      <c r="AG406" s="514">
        <v>0.37</v>
      </c>
      <c r="AH406" s="514">
        <v>0.38</v>
      </c>
      <c r="AI406" s="514">
        <v>0.39</v>
      </c>
      <c r="AJ406" s="514">
        <v>0.4</v>
      </c>
      <c r="AK406" s="514">
        <v>0.41</v>
      </c>
      <c r="AL406" s="514">
        <v>0.42</v>
      </c>
      <c r="AM406" s="514">
        <v>0.43</v>
      </c>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0"/>
      <c r="FJ406" s="10"/>
      <c r="FK406" s="10"/>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0"/>
      <c r="GH406" s="10"/>
      <c r="GI406" s="10"/>
      <c r="GJ406" s="10"/>
      <c r="GK406" s="10"/>
      <c r="GL406" s="10"/>
      <c r="GM406" s="10"/>
      <c r="GN406" s="10"/>
      <c r="GO406" s="10"/>
      <c r="GP406" s="10"/>
      <c r="GQ406" s="10"/>
      <c r="GR406" s="10"/>
      <c r="GS406" s="10"/>
      <c r="GT406" s="10"/>
      <c r="GU406" s="10"/>
      <c r="GV406" s="10"/>
      <c r="GW406" s="10"/>
      <c r="GX406" s="10"/>
      <c r="GY406" s="10"/>
      <c r="GZ406" s="10"/>
      <c r="HA406" s="10"/>
      <c r="HB406" s="10"/>
      <c r="HC406" s="10"/>
      <c r="HD406" s="10"/>
      <c r="HE406" s="10"/>
      <c r="HF406" s="10"/>
      <c r="HG406" s="10"/>
      <c r="HH406" s="10"/>
      <c r="HI406" s="10"/>
      <c r="HJ406" s="10"/>
      <c r="HK406" s="10"/>
      <c r="HL406" s="10"/>
      <c r="HM406" s="10"/>
      <c r="HN406" s="10"/>
      <c r="HO406" s="10"/>
      <c r="HP406" s="10"/>
      <c r="HQ406" s="10"/>
      <c r="HR406" s="10"/>
      <c r="HS406" s="10"/>
      <c r="HT406" s="10"/>
    </row>
    <row r="407" spans="1:228" ht="9" customHeight="1" x14ac:dyDescent="0.2">
      <c r="B407" s="777"/>
      <c r="C407" s="777"/>
      <c r="D407" s="777"/>
      <c r="E407" s="777"/>
      <c r="F407" s="777"/>
      <c r="G407" s="777"/>
      <c r="H407" s="777"/>
      <c r="I407" s="777"/>
      <c r="J407" s="777"/>
      <c r="K407" s="777"/>
      <c r="L407" s="777"/>
      <c r="M407" s="777"/>
      <c r="N407" s="777"/>
      <c r="O407" s="777"/>
      <c r="P407" s="777"/>
      <c r="R407" s="10"/>
      <c r="S407" s="97"/>
      <c r="T407" s="97"/>
      <c r="U407" s="97"/>
      <c r="V407" s="97"/>
      <c r="W407" s="97"/>
      <c r="X407" s="97"/>
      <c r="Y407" s="97"/>
      <c r="Z407" s="97"/>
      <c r="AA407" s="97"/>
      <c r="AB407" s="97"/>
      <c r="AC407" s="97"/>
      <c r="AD407" s="97"/>
      <c r="AE407" s="97"/>
      <c r="AF407" s="97"/>
      <c r="AG407" s="97"/>
      <c r="AH407" s="97"/>
      <c r="AI407" s="97"/>
      <c r="AJ407" s="97"/>
      <c r="AK407" s="97"/>
      <c r="AL407" s="97"/>
      <c r="AM407" s="97"/>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c r="HA407" s="10"/>
      <c r="HB407" s="10"/>
      <c r="HC407" s="10"/>
      <c r="HD407" s="10"/>
      <c r="HE407" s="10"/>
      <c r="HF407" s="10"/>
      <c r="HG407" s="10"/>
      <c r="HH407" s="10"/>
      <c r="HI407" s="10"/>
      <c r="HJ407" s="10"/>
      <c r="HK407" s="10"/>
      <c r="HL407" s="10"/>
      <c r="HM407" s="10"/>
      <c r="HN407" s="10"/>
      <c r="HO407" s="10"/>
      <c r="HP407" s="10"/>
      <c r="HQ407" s="10"/>
      <c r="HR407" s="10"/>
      <c r="HS407" s="10"/>
      <c r="HT407" s="10"/>
    </row>
    <row r="408" spans="1:228" ht="9" customHeight="1" x14ac:dyDescent="0.25">
      <c r="B408" s="1137"/>
      <c r="C408" s="1137"/>
      <c r="D408" s="1137"/>
      <c r="E408" s="1137"/>
      <c r="F408" s="1137"/>
      <c r="G408" s="1137"/>
      <c r="H408" s="1137"/>
      <c r="I408" s="1137"/>
      <c r="J408" s="1137"/>
      <c r="K408" s="1137"/>
      <c r="L408" s="1137"/>
      <c r="M408" s="1137"/>
      <c r="N408" s="1137"/>
      <c r="O408" s="1137"/>
      <c r="P408" s="1137"/>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97"/>
      <c r="AO408" s="97"/>
      <c r="AP408" s="97"/>
      <c r="AQ408" s="97"/>
      <c r="AR408" s="97"/>
      <c r="AS408" s="97"/>
      <c r="AT408" s="97"/>
      <c r="AU408" s="97"/>
      <c r="AV408" s="97"/>
      <c r="AW408" s="97"/>
      <c r="AX408" s="97"/>
      <c r="AY408" s="97"/>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0"/>
      <c r="EF408" s="10"/>
      <c r="EG408" s="10"/>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0"/>
      <c r="FJ408" s="10"/>
      <c r="FK408" s="10"/>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0"/>
      <c r="GH408" s="10"/>
      <c r="GI408" s="10"/>
      <c r="GJ408" s="10"/>
      <c r="GK408" s="10"/>
      <c r="GL408" s="10"/>
      <c r="GM408" s="10"/>
      <c r="GN408" s="10"/>
      <c r="GO408" s="10"/>
      <c r="GP408" s="10"/>
      <c r="GQ408" s="10"/>
      <c r="GR408" s="10"/>
      <c r="GS408" s="10"/>
      <c r="GT408" s="10"/>
      <c r="GU408" s="10"/>
      <c r="GV408" s="10"/>
      <c r="GW408" s="10"/>
      <c r="GX408" s="10"/>
      <c r="GY408" s="10"/>
      <c r="GZ408" s="10"/>
      <c r="HA408" s="10"/>
      <c r="HB408" s="10"/>
      <c r="HC408" s="10"/>
      <c r="HD408" s="10"/>
      <c r="HE408" s="10"/>
      <c r="HF408" s="10"/>
      <c r="HG408" s="10"/>
      <c r="HH408" s="10"/>
      <c r="HI408" s="10"/>
      <c r="HJ408" s="10"/>
      <c r="HK408" s="10"/>
      <c r="HL408" s="10"/>
      <c r="HM408" s="10"/>
      <c r="HN408" s="10"/>
      <c r="HO408" s="10"/>
      <c r="HP408" s="10"/>
      <c r="HQ408" s="10"/>
      <c r="HR408" s="10"/>
      <c r="HS408" s="10"/>
      <c r="HT408" s="10"/>
    </row>
    <row r="409" spans="1:228" s="6" customFormat="1" ht="18" customHeight="1" x14ac:dyDescent="0.25">
      <c r="A409" s="2"/>
      <c r="B409" s="910" t="s">
        <v>300</v>
      </c>
      <c r="C409" s="910"/>
      <c r="D409" s="910"/>
      <c r="E409" s="910"/>
      <c r="F409" s="910"/>
      <c r="G409" s="910"/>
      <c r="H409" s="910"/>
      <c r="I409" s="910"/>
      <c r="J409" s="910"/>
      <c r="K409" s="910"/>
      <c r="L409" s="910"/>
      <c r="M409" s="910"/>
      <c r="N409" s="910"/>
      <c r="O409" s="910"/>
      <c r="P409" s="297"/>
      <c r="Q409" s="2"/>
      <c r="R409" s="947" t="s">
        <v>2177</v>
      </c>
      <c r="S409" s="147" t="s">
        <v>301</v>
      </c>
      <c r="T409" s="50" t="s">
        <v>302</v>
      </c>
      <c r="U409" s="50" t="s">
        <v>1471</v>
      </c>
      <c r="V409" s="50" t="s">
        <v>303</v>
      </c>
      <c r="W409" s="50" t="s">
        <v>1335</v>
      </c>
      <c r="X409" s="10"/>
      <c r="Y409" s="135"/>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c r="DO409" s="10"/>
      <c r="DP409" s="10"/>
      <c r="DQ409" s="10"/>
      <c r="DR409" s="10"/>
      <c r="DS409" s="10"/>
      <c r="DT409" s="10"/>
      <c r="DU409" s="10"/>
      <c r="DV409" s="10"/>
      <c r="DW409" s="10"/>
      <c r="DX409" s="10"/>
      <c r="DY409" s="10"/>
      <c r="DZ409" s="10"/>
      <c r="EA409" s="10"/>
      <c r="EB409" s="10"/>
      <c r="EC409" s="10"/>
      <c r="ED409" s="10"/>
      <c r="EE409" s="10"/>
      <c r="EF409" s="10"/>
      <c r="EG409" s="10"/>
      <c r="EH409" s="10"/>
      <c r="EI409" s="10"/>
      <c r="EJ409" s="10"/>
      <c r="EK409" s="10"/>
      <c r="EL409" s="10"/>
    </row>
    <row r="410" spans="1:228" s="6" customFormat="1" ht="18" customHeight="1" x14ac:dyDescent="0.2">
      <c r="A410" s="15"/>
      <c r="B410" s="1152" t="s">
        <v>1470</v>
      </c>
      <c r="C410" s="694"/>
      <c r="D410" s="694"/>
      <c r="E410" s="694"/>
      <c r="F410" s="694"/>
      <c r="G410" s="694"/>
      <c r="H410" s="694"/>
      <c r="I410" s="694"/>
      <c r="J410" s="694"/>
      <c r="K410" s="694"/>
      <c r="L410" s="694"/>
      <c r="M410" s="694"/>
      <c r="N410" s="694"/>
      <c r="O410" s="694"/>
      <c r="P410" s="21">
        <f>IF(S416=1,0,SUMIF(S409:X409,C410,S410:X410))</f>
        <v>0</v>
      </c>
      <c r="Q410" s="2"/>
      <c r="R410" s="863"/>
      <c r="S410" s="147">
        <v>0.05</v>
      </c>
      <c r="T410" s="147">
        <v>0.1</v>
      </c>
      <c r="U410" s="548">
        <v>0.05</v>
      </c>
      <c r="V410" s="147">
        <v>0.15</v>
      </c>
      <c r="W410" s="147">
        <v>0.25</v>
      </c>
      <c r="X410" s="14"/>
      <c r="Y410" s="97"/>
      <c r="Z410" s="14"/>
      <c r="AA410" s="10"/>
      <c r="AB410" s="14"/>
      <c r="AC410" s="10"/>
      <c r="AD410" s="10"/>
      <c r="AE410" s="10"/>
      <c r="AF410" s="10"/>
      <c r="AG410" s="10"/>
      <c r="AH410" s="10"/>
      <c r="AI410" s="94">
        <f>IF(AND(AJ522=1,AK522=1),"ERROR",SUM(M519,M520,AC520))</f>
        <v>0</v>
      </c>
      <c r="AJ410" s="724" t="s">
        <v>340</v>
      </c>
      <c r="AK410" s="724"/>
      <c r="AL410" s="724"/>
      <c r="AM410" s="724"/>
      <c r="AN410" s="724"/>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row>
    <row r="411" spans="1:228" s="6" customFormat="1" ht="18" customHeight="1" x14ac:dyDescent="0.2">
      <c r="A411" s="15"/>
      <c r="B411" s="1153"/>
      <c r="C411" s="944" t="str">
        <f>IF(S416=1,"",IF(P411&gt;0,"(For partial loss of both menisci, each loss is valued at 5%.)",""))</f>
        <v/>
      </c>
      <c r="D411" s="945"/>
      <c r="E411" s="945"/>
      <c r="F411" s="945"/>
      <c r="G411" s="945"/>
      <c r="H411" s="945"/>
      <c r="I411" s="945"/>
      <c r="J411" s="945"/>
      <c r="K411" s="945"/>
      <c r="L411" s="945"/>
      <c r="M411" s="945"/>
      <c r="N411" s="945"/>
      <c r="O411" s="946"/>
      <c r="P411" s="21">
        <f>IF(S416=1,0,IF(C410=U409,0.05,0))</f>
        <v>0</v>
      </c>
      <c r="Q411" s="2"/>
      <c r="R411" s="10"/>
      <c r="S411" s="14"/>
      <c r="T411" s="14"/>
      <c r="U411" s="14"/>
      <c r="V411" s="14"/>
      <c r="W411" s="14"/>
      <c r="X411" s="14"/>
      <c r="Y411" s="97"/>
      <c r="Z411" s="14"/>
      <c r="AA411" s="10"/>
      <c r="AB411" s="14"/>
      <c r="AC411" s="10"/>
      <c r="AD411" s="10"/>
      <c r="AE411" s="10"/>
      <c r="AF411" s="10"/>
      <c r="AG411" s="10"/>
      <c r="AH411" s="10"/>
      <c r="AI411" s="94"/>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row>
    <row r="412" spans="1:228" ht="18" customHeight="1" x14ac:dyDescent="0.2">
      <c r="B412" s="1310" t="str">
        <f>IF(AND(S412=1,S416=1),"Prosthetic knee replacement - no separate award is given for meniscectomy or patellectomy.","")</f>
        <v/>
      </c>
      <c r="C412" s="1260"/>
      <c r="D412" s="1260"/>
      <c r="E412" s="1260"/>
      <c r="F412" s="1260"/>
      <c r="G412" s="1260"/>
      <c r="H412" s="1260"/>
      <c r="I412" s="1260"/>
      <c r="J412" s="1260"/>
      <c r="K412" s="1260"/>
      <c r="L412" s="1260"/>
      <c r="M412" s="1260"/>
      <c r="N412" s="1260"/>
      <c r="O412" s="1260"/>
      <c r="P412" s="21">
        <f>IF($S$416=1,0,IF(OR(R412=2,R412=3,R412=4,R412=5),0.05,0))</f>
        <v>0</v>
      </c>
      <c r="R412" s="546">
        <v>1</v>
      </c>
      <c r="S412" s="50">
        <f>IF(OR(C410&lt;&gt;"",R412&gt;1),1,0)</f>
        <v>0</v>
      </c>
      <c r="T412" s="10"/>
      <c r="U412" s="10"/>
      <c r="V412" s="10"/>
      <c r="W412" s="10">
        <v>1E-4</v>
      </c>
      <c r="X412" s="10"/>
      <c r="Y412" s="10"/>
      <c r="Z412" s="10"/>
      <c r="AA412" s="10"/>
      <c r="AB412" s="10"/>
      <c r="AC412" s="10"/>
      <c r="AD412" s="10"/>
      <c r="AE412" s="10"/>
      <c r="AF412" s="10"/>
      <c r="AG412" s="10"/>
      <c r="AH412" s="10"/>
      <c r="AI412" s="94"/>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c r="EM412" s="10"/>
      <c r="EN412" s="10"/>
      <c r="EO412" s="10"/>
      <c r="EP412" s="10"/>
      <c r="EQ412" s="10"/>
      <c r="ER412" s="10"/>
      <c r="ES412" s="10"/>
      <c r="ET412" s="10"/>
      <c r="EU412" s="10"/>
      <c r="EV412" s="10"/>
      <c r="EW412" s="10"/>
      <c r="EX412" s="10"/>
      <c r="EY412" s="10"/>
      <c r="EZ412" s="10"/>
      <c r="FA412" s="10"/>
      <c r="FB412" s="10"/>
      <c r="FC412" s="10"/>
      <c r="FD412" s="10"/>
      <c r="FE412" s="10"/>
      <c r="FF412" s="10"/>
      <c r="FG412" s="10"/>
      <c r="FH412" s="10"/>
      <c r="FI412" s="10"/>
      <c r="FJ412" s="10"/>
      <c r="FK412" s="10"/>
      <c r="FL412" s="10"/>
      <c r="FM412" s="10"/>
      <c r="FN412" s="10"/>
      <c r="FO412" s="10"/>
      <c r="FP412" s="10"/>
      <c r="FQ412" s="10"/>
      <c r="FR412" s="10"/>
      <c r="FS412" s="10"/>
      <c r="FT412" s="10"/>
      <c r="FU412" s="10"/>
      <c r="FV412" s="10"/>
      <c r="FW412" s="10"/>
      <c r="FX412" s="10"/>
      <c r="FY412" s="10"/>
      <c r="FZ412" s="10"/>
      <c r="GA412" s="10"/>
      <c r="GB412" s="10"/>
      <c r="GC412" s="10"/>
      <c r="GD412" s="10"/>
      <c r="GE412" s="10"/>
      <c r="GF412" s="10"/>
      <c r="GG412" s="10"/>
      <c r="GH412" s="10"/>
      <c r="GI412" s="10"/>
      <c r="GJ412" s="10"/>
      <c r="GK412" s="10"/>
      <c r="GL412" s="10"/>
      <c r="GM412" s="10"/>
      <c r="GN412" s="10"/>
      <c r="GO412" s="10"/>
      <c r="GP412" s="10"/>
      <c r="GQ412" s="10"/>
      <c r="GR412" s="10"/>
      <c r="GS412" s="10"/>
      <c r="GT412" s="10"/>
      <c r="GU412" s="10"/>
      <c r="GV412" s="10"/>
      <c r="GW412" s="10"/>
      <c r="GX412" s="10"/>
      <c r="GY412" s="10"/>
      <c r="GZ412" s="10"/>
      <c r="HA412" s="10"/>
      <c r="HB412" s="10"/>
      <c r="HC412" s="10"/>
      <c r="HD412" s="10"/>
      <c r="HE412" s="10"/>
      <c r="HF412" s="10"/>
      <c r="HG412" s="10"/>
      <c r="HH412" s="10"/>
      <c r="HI412" s="10"/>
      <c r="HJ412" s="10"/>
      <c r="HK412" s="10"/>
      <c r="HL412" s="10"/>
      <c r="HM412" s="10"/>
      <c r="HN412" s="10"/>
      <c r="HO412" s="10"/>
      <c r="HP412" s="10"/>
      <c r="HQ412" s="10"/>
      <c r="HR412" s="10"/>
      <c r="HS412" s="10"/>
      <c r="HT412" s="10"/>
    </row>
    <row r="413" spans="1:228" ht="18" customHeight="1" x14ac:dyDescent="0.2">
      <c r="B413" s="1310"/>
      <c r="C413" s="1002"/>
      <c r="D413" s="1002"/>
      <c r="E413" s="1002"/>
      <c r="F413" s="1002"/>
      <c r="G413" s="1002"/>
      <c r="H413" s="1002"/>
      <c r="I413" s="1002"/>
      <c r="J413" s="1002"/>
      <c r="K413" s="1002"/>
      <c r="L413" s="1002"/>
      <c r="M413" s="1002"/>
      <c r="N413" s="1002"/>
      <c r="O413" s="1002"/>
      <c r="P413" s="21">
        <f>IF($S$416=1,0,IF(OR(R412=3,R412=4,R412=5),0.05,0))</f>
        <v>0</v>
      </c>
      <c r="R413" s="10"/>
      <c r="S413" s="10"/>
      <c r="T413" s="10"/>
      <c r="U413" s="10"/>
      <c r="V413" s="10"/>
      <c r="W413" s="10"/>
      <c r="X413" s="10"/>
      <c r="Y413" s="10"/>
      <c r="Z413" s="10"/>
      <c r="AA413" s="10"/>
      <c r="AB413" s="10"/>
      <c r="AC413" s="10"/>
      <c r="AD413" s="10"/>
      <c r="AE413" s="10"/>
      <c r="AF413" s="10"/>
      <c r="AG413" s="10"/>
      <c r="AH413" s="10"/>
      <c r="AI413" s="94"/>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c r="DO413" s="10"/>
      <c r="DP413" s="10"/>
      <c r="DQ413" s="10"/>
      <c r="DR413" s="10"/>
      <c r="DS413" s="10"/>
      <c r="DT413" s="10"/>
      <c r="DU413" s="10"/>
      <c r="DV413" s="10"/>
      <c r="DW413" s="10"/>
      <c r="DX413" s="10"/>
      <c r="DY413" s="10"/>
      <c r="DZ413" s="10"/>
      <c r="EA413" s="10"/>
      <c r="EB413" s="10"/>
      <c r="EC413" s="10"/>
      <c r="ED413" s="10"/>
      <c r="EE413" s="10"/>
      <c r="EF413" s="10"/>
      <c r="EG413" s="10"/>
      <c r="EH413" s="10"/>
      <c r="EI413" s="10"/>
      <c r="EJ413" s="10"/>
      <c r="EK413" s="10"/>
      <c r="EL413" s="10"/>
      <c r="EM413" s="10"/>
      <c r="EN413" s="10"/>
      <c r="EO413" s="10"/>
      <c r="EP413" s="10"/>
      <c r="EQ413" s="10"/>
      <c r="ER413" s="10"/>
      <c r="ES413" s="10"/>
      <c r="ET413" s="10"/>
      <c r="EU413" s="10"/>
      <c r="EV413" s="10"/>
      <c r="EW413" s="10"/>
      <c r="EX413" s="10"/>
      <c r="EY413" s="10"/>
      <c r="EZ413" s="10"/>
      <c r="FA413" s="10"/>
      <c r="FB413" s="10"/>
      <c r="FC413" s="10"/>
      <c r="FD413" s="10"/>
      <c r="FE413" s="10"/>
      <c r="FF413" s="10"/>
      <c r="FG413" s="10"/>
      <c r="FH413" s="10"/>
      <c r="FI413" s="10"/>
      <c r="FJ413" s="10"/>
      <c r="FK413" s="10"/>
      <c r="FL413" s="10"/>
      <c r="FM413" s="10"/>
      <c r="FN413" s="10"/>
      <c r="FO413" s="10"/>
      <c r="FP413" s="10"/>
      <c r="FQ413" s="10"/>
      <c r="FR413" s="10"/>
      <c r="FS413" s="10"/>
      <c r="FT413" s="10"/>
      <c r="FU413" s="10"/>
      <c r="FV413" s="10"/>
      <c r="FW413" s="10"/>
      <c r="FX413" s="10"/>
      <c r="FY413" s="10"/>
      <c r="FZ413" s="10"/>
      <c r="GA413" s="10"/>
      <c r="GB413" s="10"/>
      <c r="GC413" s="10"/>
      <c r="GD413" s="10"/>
      <c r="GE413" s="10"/>
      <c r="GF413" s="10"/>
      <c r="GG413" s="10"/>
      <c r="GH413" s="10"/>
      <c r="GI413" s="10"/>
      <c r="GJ413" s="10"/>
      <c r="GK413" s="10"/>
      <c r="GL413" s="10"/>
      <c r="GM413" s="10"/>
      <c r="GN413" s="10"/>
      <c r="GO413" s="10"/>
      <c r="GP413" s="10"/>
      <c r="GQ413" s="10"/>
      <c r="GR413" s="10"/>
      <c r="GS413" s="10"/>
      <c r="GT413" s="10"/>
      <c r="GU413" s="10"/>
      <c r="GV413" s="10"/>
      <c r="GW413" s="10"/>
      <c r="GX413" s="10"/>
      <c r="GY413" s="10"/>
      <c r="GZ413" s="10"/>
      <c r="HA413" s="10"/>
      <c r="HB413" s="10"/>
      <c r="HC413" s="10"/>
      <c r="HD413" s="10"/>
      <c r="HE413" s="10"/>
      <c r="HF413" s="10"/>
      <c r="HG413" s="10"/>
      <c r="HH413" s="10"/>
      <c r="HI413" s="10"/>
      <c r="HJ413" s="10"/>
      <c r="HK413" s="10"/>
      <c r="HL413" s="10"/>
      <c r="HM413" s="10"/>
      <c r="HN413" s="10"/>
      <c r="HO413" s="10"/>
      <c r="HP413" s="10"/>
      <c r="HQ413" s="10"/>
      <c r="HR413" s="10"/>
      <c r="HS413" s="10"/>
      <c r="HT413" s="10"/>
    </row>
    <row r="414" spans="1:228" ht="18" customHeight="1" x14ac:dyDescent="0.2">
      <c r="B414" s="1310"/>
      <c r="C414" s="1002"/>
      <c r="D414" s="1002"/>
      <c r="E414" s="1002"/>
      <c r="F414" s="1002"/>
      <c r="G414" s="1002"/>
      <c r="H414" s="1002"/>
      <c r="I414" s="1002"/>
      <c r="J414" s="1002"/>
      <c r="K414" s="1002"/>
      <c r="L414" s="1002"/>
      <c r="M414" s="1002"/>
      <c r="N414" s="1002"/>
      <c r="O414" s="1002"/>
      <c r="P414" s="21">
        <f>IF($S$416=1,0,IF(OR(R412=4,R412=5),0.05,0))</f>
        <v>0</v>
      </c>
      <c r="R414" s="10"/>
      <c r="S414" s="10"/>
      <c r="T414" s="10"/>
      <c r="U414" s="10"/>
      <c r="V414" s="10"/>
      <c r="W414" s="10"/>
      <c r="X414" s="10"/>
      <c r="Y414" s="10"/>
      <c r="Z414" s="10"/>
      <c r="AA414" s="10"/>
      <c r="AB414" s="10"/>
      <c r="AC414" s="10"/>
      <c r="AD414" s="10"/>
      <c r="AE414" s="10"/>
      <c r="AF414" s="10"/>
      <c r="AG414" s="10"/>
      <c r="AH414" s="10"/>
      <c r="AI414" s="94"/>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0"/>
      <c r="FC414" s="10"/>
      <c r="FD414" s="10"/>
      <c r="FE414" s="10"/>
      <c r="FF414" s="10"/>
      <c r="FG414" s="10"/>
      <c r="FH414" s="10"/>
      <c r="FI414" s="10"/>
      <c r="FJ414" s="10"/>
      <c r="FK414" s="10"/>
      <c r="FL414" s="10"/>
      <c r="FM414" s="10"/>
      <c r="FN414" s="10"/>
      <c r="FO414" s="10"/>
      <c r="FP414" s="10"/>
      <c r="FQ414" s="10"/>
      <c r="FR414" s="10"/>
      <c r="FS414" s="10"/>
      <c r="FT414" s="10"/>
      <c r="FU414" s="10"/>
      <c r="FV414" s="10"/>
      <c r="FW414" s="10"/>
      <c r="FX414" s="10"/>
      <c r="FY414" s="10"/>
      <c r="FZ414" s="10"/>
      <c r="GA414" s="10"/>
      <c r="GB414" s="10"/>
      <c r="GC414" s="10"/>
      <c r="GD414" s="10"/>
      <c r="GE414" s="10"/>
      <c r="GF414" s="10"/>
      <c r="GG414" s="10"/>
      <c r="GH414" s="10"/>
      <c r="GI414" s="10"/>
      <c r="GJ414" s="10"/>
      <c r="GK414" s="10"/>
      <c r="GL414" s="10"/>
      <c r="GM414" s="10"/>
      <c r="GN414" s="10"/>
      <c r="GO414" s="10"/>
      <c r="GP414" s="10"/>
      <c r="GQ414" s="10"/>
      <c r="GR414" s="10"/>
      <c r="GS414" s="10"/>
      <c r="GT414" s="10"/>
      <c r="GU414" s="10"/>
      <c r="GV414" s="10"/>
      <c r="GW414" s="10"/>
      <c r="GX414" s="10"/>
      <c r="GY414" s="10"/>
      <c r="GZ414" s="10"/>
      <c r="HA414" s="10"/>
      <c r="HB414" s="10"/>
      <c r="HC414" s="10"/>
      <c r="HD414" s="10"/>
      <c r="HE414" s="10"/>
      <c r="HF414" s="10"/>
      <c r="HG414" s="10"/>
      <c r="HH414" s="10"/>
      <c r="HI414" s="10"/>
      <c r="HJ414" s="10"/>
      <c r="HK414" s="10"/>
      <c r="HL414" s="10"/>
      <c r="HM414" s="10"/>
      <c r="HN414" s="10"/>
      <c r="HO414" s="10"/>
      <c r="HP414" s="10"/>
      <c r="HQ414" s="10"/>
      <c r="HR414" s="10"/>
      <c r="HS414" s="10"/>
      <c r="HT414" s="10"/>
    </row>
    <row r="415" spans="1:228" ht="18" customHeight="1" x14ac:dyDescent="0.2">
      <c r="B415" s="1310"/>
      <c r="C415" s="1002"/>
      <c r="D415" s="1002"/>
      <c r="E415" s="1002"/>
      <c r="F415" s="1002"/>
      <c r="G415" s="1002"/>
      <c r="H415" s="1002"/>
      <c r="I415" s="1002"/>
      <c r="J415" s="1002"/>
      <c r="K415" s="1002"/>
      <c r="L415" s="1002"/>
      <c r="M415" s="1002"/>
      <c r="N415" s="1002"/>
      <c r="O415" s="1002"/>
      <c r="P415" s="21">
        <f>IF($S$416=1,0,IF(R412=5,0.05,0))</f>
        <v>0</v>
      </c>
      <c r="R415" s="10"/>
      <c r="S415" s="10"/>
      <c r="T415" s="10"/>
      <c r="U415" s="10"/>
      <c r="V415" s="10"/>
      <c r="W415" s="10"/>
      <c r="X415" s="10"/>
      <c r="Y415" s="10"/>
      <c r="Z415" s="10"/>
      <c r="AA415" s="10"/>
      <c r="AB415" s="10"/>
      <c r="AC415" s="10"/>
      <c r="AD415" s="10"/>
      <c r="AE415" s="10"/>
      <c r="AF415" s="10"/>
      <c r="AG415" s="10"/>
      <c r="AH415" s="10"/>
      <c r="AI415" s="94"/>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c r="EM415" s="10"/>
      <c r="EN415" s="10"/>
      <c r="EO415" s="10"/>
      <c r="EP415" s="10"/>
      <c r="EQ415" s="10"/>
      <c r="ER415" s="10"/>
      <c r="ES415" s="10"/>
      <c r="ET415" s="10"/>
      <c r="EU415" s="10"/>
      <c r="EV415" s="10"/>
      <c r="EW415" s="10"/>
      <c r="EX415" s="10"/>
      <c r="EY415" s="10"/>
      <c r="EZ415" s="10"/>
      <c r="FA415" s="10"/>
      <c r="FB415" s="10"/>
      <c r="FC415" s="10"/>
      <c r="FD415" s="10"/>
      <c r="FE415" s="10"/>
      <c r="FF415" s="10"/>
      <c r="FG415" s="10"/>
      <c r="FH415" s="10"/>
      <c r="FI415" s="10"/>
      <c r="FJ415" s="10"/>
      <c r="FK415" s="10"/>
      <c r="FL415" s="10"/>
      <c r="FM415" s="10"/>
      <c r="FN415" s="10"/>
      <c r="FO415" s="10"/>
      <c r="FP415" s="10"/>
      <c r="FQ415" s="10"/>
      <c r="FR415" s="10"/>
      <c r="FS415" s="10"/>
      <c r="FT415" s="10"/>
      <c r="FU415" s="10"/>
      <c r="FV415" s="10"/>
      <c r="FW415" s="10"/>
      <c r="FX415" s="10"/>
      <c r="FY415" s="10"/>
      <c r="FZ415" s="10"/>
      <c r="GA415" s="10"/>
      <c r="GB415" s="10"/>
      <c r="GC415" s="10"/>
      <c r="GD415" s="10"/>
      <c r="GE415" s="10"/>
      <c r="GF415" s="10"/>
      <c r="GG415" s="10"/>
      <c r="GH415" s="10"/>
      <c r="GI415" s="10"/>
      <c r="GJ415" s="10"/>
      <c r="GK415" s="10"/>
      <c r="GL415" s="10"/>
      <c r="GM415" s="10"/>
      <c r="GN415" s="10"/>
      <c r="GO415" s="10"/>
      <c r="GP415" s="10"/>
      <c r="GQ415" s="10"/>
      <c r="GR415" s="10"/>
      <c r="GS415" s="10"/>
      <c r="GT415" s="10"/>
      <c r="GU415" s="10"/>
      <c r="GV415" s="10"/>
      <c r="GW415" s="10"/>
      <c r="GX415" s="10"/>
      <c r="GY415" s="10"/>
      <c r="GZ415" s="10"/>
      <c r="HA415" s="10"/>
      <c r="HB415" s="10"/>
      <c r="HC415" s="10"/>
      <c r="HD415" s="10"/>
      <c r="HE415" s="10"/>
      <c r="HF415" s="10"/>
      <c r="HG415" s="10"/>
      <c r="HH415" s="10"/>
      <c r="HI415" s="10"/>
      <c r="HJ415" s="10"/>
      <c r="HK415" s="10"/>
      <c r="HL415" s="10"/>
      <c r="HM415" s="10"/>
      <c r="HN415" s="10"/>
      <c r="HO415" s="10"/>
      <c r="HP415" s="10"/>
      <c r="HQ415" s="10"/>
      <c r="HR415" s="10"/>
      <c r="HS415" s="10"/>
      <c r="HT415" s="10"/>
    </row>
    <row r="416" spans="1:228" ht="18" customHeight="1" x14ac:dyDescent="0.2">
      <c r="B416" s="1310"/>
      <c r="C416" s="51"/>
      <c r="D416" s="791" t="s">
        <v>1821</v>
      </c>
      <c r="E416" s="791"/>
      <c r="F416" s="791"/>
      <c r="G416" s="791"/>
      <c r="H416" s="791"/>
      <c r="I416" s="791"/>
      <c r="J416" s="791"/>
      <c r="K416" s="791"/>
      <c r="L416" s="791"/>
      <c r="M416" s="791"/>
      <c r="N416" s="791"/>
      <c r="O416" s="791"/>
      <c r="P416" s="21">
        <f>IF(S416=1,0.2,0)</f>
        <v>0</v>
      </c>
      <c r="R416" s="546" t="b">
        <v>0</v>
      </c>
      <c r="S416" s="50">
        <f>IF(R416=TRUE,1,0)</f>
        <v>0</v>
      </c>
      <c r="T416" s="10"/>
      <c r="U416" s="10"/>
      <c r="V416" s="10"/>
      <c r="W416" s="10"/>
      <c r="X416" s="10"/>
      <c r="Y416" s="10"/>
      <c r="Z416" s="10"/>
      <c r="AA416" s="10"/>
      <c r="AB416" s="10"/>
      <c r="AC416" s="10"/>
      <c r="AD416" s="10"/>
      <c r="AE416" s="10"/>
      <c r="AF416" s="10"/>
      <c r="AG416" s="10"/>
      <c r="AH416" s="10"/>
      <c r="AI416" s="10"/>
      <c r="AJ416" s="10"/>
      <c r="AK416" s="10"/>
      <c r="AL416" s="10"/>
      <c r="AM416" s="10"/>
      <c r="AN416" s="97"/>
      <c r="AO416" s="97"/>
      <c r="AP416" s="97"/>
      <c r="AQ416" s="97"/>
      <c r="AR416" s="97"/>
      <c r="AS416" s="97"/>
      <c r="AT416" s="97"/>
      <c r="AU416" s="97"/>
      <c r="AV416" s="97"/>
      <c r="AW416" s="97"/>
      <c r="AX416" s="97"/>
      <c r="AY416" s="97"/>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c r="EM416" s="10"/>
      <c r="EN416" s="10"/>
      <c r="EO416" s="10"/>
      <c r="EP416" s="10"/>
      <c r="EQ416" s="10"/>
      <c r="ER416" s="10"/>
      <c r="ES416" s="10"/>
      <c r="ET416" s="10"/>
      <c r="EU416" s="10"/>
      <c r="EV416" s="10"/>
      <c r="EW416" s="10"/>
      <c r="EX416" s="10"/>
      <c r="EY416" s="10"/>
      <c r="EZ416" s="10"/>
      <c r="FA416" s="10"/>
      <c r="FB416" s="10"/>
      <c r="FC416" s="10"/>
      <c r="FD416" s="10"/>
      <c r="FE416" s="10"/>
      <c r="FF416" s="10"/>
      <c r="FG416" s="10"/>
      <c r="FH416" s="10"/>
      <c r="FI416" s="10"/>
      <c r="FJ416" s="10"/>
      <c r="FK416" s="10"/>
      <c r="FL416" s="10"/>
      <c r="FM416" s="10"/>
      <c r="FN416" s="10"/>
      <c r="FO416" s="10"/>
      <c r="FP416" s="10"/>
      <c r="FQ416" s="10"/>
      <c r="FR416" s="10"/>
      <c r="FS416" s="10"/>
      <c r="FT416" s="10"/>
      <c r="FU416" s="10"/>
      <c r="FV416" s="10"/>
      <c r="FW416" s="10"/>
      <c r="FX416" s="10"/>
      <c r="FY416" s="10"/>
      <c r="FZ416" s="10"/>
      <c r="GA416" s="10"/>
      <c r="GB416" s="10"/>
      <c r="GC416" s="10"/>
      <c r="GD416" s="10"/>
      <c r="GE416" s="10"/>
      <c r="GF416" s="10"/>
      <c r="GG416" s="10"/>
      <c r="GH416" s="10"/>
      <c r="GI416" s="10"/>
      <c r="GJ416" s="10"/>
      <c r="GK416" s="10"/>
      <c r="GL416" s="10"/>
      <c r="GM416" s="10"/>
      <c r="GN416" s="10"/>
      <c r="GO416" s="10"/>
      <c r="GP416" s="10"/>
      <c r="GQ416" s="10"/>
      <c r="GR416" s="10"/>
      <c r="GS416" s="10"/>
      <c r="GT416" s="10"/>
      <c r="GU416" s="10"/>
      <c r="GV416" s="10"/>
      <c r="GW416" s="10"/>
      <c r="GX416" s="10"/>
      <c r="GY416" s="10"/>
      <c r="GZ416" s="10"/>
      <c r="HA416" s="10"/>
      <c r="HB416" s="10"/>
      <c r="HC416" s="10"/>
      <c r="HD416" s="10"/>
      <c r="HE416" s="10"/>
      <c r="HF416" s="10"/>
      <c r="HG416" s="10"/>
      <c r="HH416" s="10"/>
      <c r="HI416" s="10"/>
      <c r="HJ416" s="10"/>
      <c r="HK416" s="10"/>
      <c r="HL416" s="10"/>
      <c r="HM416" s="10"/>
      <c r="HN416" s="10"/>
      <c r="HO416" s="10"/>
      <c r="HP416" s="10"/>
      <c r="HQ416" s="10"/>
      <c r="HR416" s="10"/>
      <c r="HS416" s="10"/>
      <c r="HT416" s="10"/>
    </row>
    <row r="417" spans="1:228" ht="18" customHeight="1" x14ac:dyDescent="0.2">
      <c r="B417" s="1310"/>
      <c r="C417" s="51"/>
      <c r="D417" s="791" t="s">
        <v>1822</v>
      </c>
      <c r="E417" s="791"/>
      <c r="F417" s="791"/>
      <c r="G417" s="791"/>
      <c r="H417" s="791"/>
      <c r="I417" s="791"/>
      <c r="J417" s="791"/>
      <c r="K417" s="791"/>
      <c r="L417" s="791"/>
      <c r="M417" s="791"/>
      <c r="N417" s="791"/>
      <c r="O417" s="791"/>
      <c r="P417" s="21">
        <f>IF(S417=1,0.15,0)</f>
        <v>0</v>
      </c>
      <c r="R417" s="546" t="b">
        <v>0</v>
      </c>
      <c r="S417" s="50">
        <f>IF(R417=TRUE,1,0)</f>
        <v>0</v>
      </c>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c r="EM417" s="10"/>
      <c r="EN417" s="10"/>
      <c r="EO417" s="10"/>
      <c r="EP417" s="10"/>
      <c r="EQ417" s="10"/>
      <c r="ER417" s="10"/>
      <c r="ES417" s="10"/>
      <c r="ET417" s="10"/>
      <c r="EU417" s="10"/>
      <c r="EV417" s="10"/>
      <c r="EW417" s="10"/>
      <c r="EX417" s="10"/>
      <c r="EY417" s="10"/>
      <c r="EZ417" s="10"/>
      <c r="FA417" s="10"/>
      <c r="FB417" s="10"/>
      <c r="FC417" s="10"/>
      <c r="FD417" s="10"/>
      <c r="FE417" s="10"/>
      <c r="FF417" s="10"/>
      <c r="FG417" s="10"/>
      <c r="FH417" s="10"/>
      <c r="FI417" s="10"/>
      <c r="FJ417" s="10"/>
      <c r="FK417" s="10"/>
      <c r="FL417" s="10"/>
      <c r="FM417" s="10"/>
      <c r="FN417" s="10"/>
      <c r="FO417" s="10"/>
      <c r="FP417" s="10"/>
      <c r="FQ417" s="10"/>
      <c r="FR417" s="10"/>
      <c r="FS417" s="10"/>
      <c r="FT417" s="10"/>
      <c r="FU417" s="10"/>
      <c r="FV417" s="10"/>
      <c r="FW417" s="10"/>
      <c r="FX417" s="10"/>
      <c r="FY417" s="10"/>
      <c r="FZ417" s="10"/>
      <c r="GA417" s="10"/>
      <c r="GB417" s="10"/>
      <c r="GC417" s="10"/>
      <c r="GD417" s="10"/>
      <c r="GE417" s="10"/>
      <c r="GF417" s="10"/>
      <c r="GG417" s="10"/>
      <c r="GH417" s="10"/>
      <c r="GI417" s="10"/>
      <c r="GJ417" s="10"/>
      <c r="GK417" s="10"/>
      <c r="GL417" s="10"/>
      <c r="GM417" s="10"/>
      <c r="GN417" s="10"/>
      <c r="GO417" s="10"/>
      <c r="GP417" s="10"/>
      <c r="GQ417" s="10"/>
      <c r="GR417" s="10"/>
      <c r="GS417" s="10"/>
      <c r="GT417" s="10"/>
      <c r="GU417" s="10"/>
      <c r="GV417" s="10"/>
      <c r="GW417" s="10"/>
      <c r="GX417" s="10"/>
      <c r="GY417" s="10"/>
      <c r="GZ417" s="10"/>
      <c r="HA417" s="10"/>
      <c r="HB417" s="10"/>
      <c r="HC417" s="10"/>
      <c r="HD417" s="10"/>
      <c r="HE417" s="10"/>
      <c r="HF417" s="10"/>
      <c r="HG417" s="10"/>
      <c r="HH417" s="10"/>
      <c r="HI417" s="10"/>
      <c r="HJ417" s="10"/>
      <c r="HK417" s="10"/>
      <c r="HL417" s="10"/>
      <c r="HM417" s="10"/>
      <c r="HN417" s="10"/>
      <c r="HO417" s="10"/>
      <c r="HP417" s="10"/>
      <c r="HQ417" s="10"/>
      <c r="HR417" s="10"/>
      <c r="HS417" s="10"/>
      <c r="HT417" s="10"/>
    </row>
    <row r="418" spans="1:228" ht="12" customHeight="1" x14ac:dyDescent="0.25">
      <c r="B418" s="1137"/>
      <c r="C418" s="1137"/>
      <c r="D418" s="1137"/>
      <c r="E418" s="1137"/>
      <c r="F418" s="1137"/>
      <c r="G418" s="1137"/>
      <c r="H418" s="1137"/>
      <c r="I418" s="1137"/>
      <c r="J418" s="1137"/>
      <c r="K418" s="1137"/>
      <c r="L418" s="1137"/>
      <c r="M418" s="1137"/>
      <c r="N418" s="1137"/>
      <c r="O418" s="1137"/>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c r="DO418" s="10"/>
      <c r="DP418" s="10"/>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c r="EM418" s="10"/>
      <c r="EN418" s="10"/>
      <c r="EO418" s="10"/>
      <c r="EP418" s="10"/>
      <c r="EQ418" s="10"/>
      <c r="ER418" s="10"/>
      <c r="ES418" s="10"/>
      <c r="ET418" s="10"/>
      <c r="EU418" s="10"/>
      <c r="EV418" s="10"/>
      <c r="EW418" s="10"/>
      <c r="EX418" s="10"/>
      <c r="EY418" s="10"/>
      <c r="EZ418" s="10"/>
      <c r="FA418" s="10"/>
      <c r="FB418" s="10"/>
      <c r="FC418" s="10"/>
      <c r="FD418" s="10"/>
      <c r="FE418" s="10"/>
      <c r="FF418" s="10"/>
      <c r="FG418" s="10"/>
      <c r="FH418" s="10"/>
      <c r="FI418" s="10"/>
      <c r="FJ418" s="10"/>
      <c r="FK418" s="10"/>
      <c r="FL418" s="10"/>
      <c r="FM418" s="10"/>
      <c r="FN418" s="10"/>
      <c r="FO418" s="10"/>
      <c r="FP418" s="10"/>
      <c r="FQ418" s="10"/>
      <c r="FR418" s="10"/>
      <c r="FS418" s="10"/>
      <c r="FT418" s="10"/>
      <c r="FU418" s="10"/>
      <c r="FV418" s="10"/>
      <c r="FW418" s="10"/>
      <c r="FX418" s="10"/>
      <c r="FY418" s="10"/>
      <c r="FZ418" s="10"/>
      <c r="GA418" s="10"/>
      <c r="GB418" s="10"/>
      <c r="GC418" s="10"/>
      <c r="GD418" s="10"/>
      <c r="GE418" s="10"/>
      <c r="GF418" s="10"/>
      <c r="GG418" s="10"/>
      <c r="GH418" s="10"/>
      <c r="GI418" s="10"/>
      <c r="GJ418" s="10"/>
      <c r="GK418" s="10"/>
      <c r="GL418" s="10"/>
      <c r="GM418" s="10"/>
      <c r="GN418" s="10"/>
      <c r="GO418" s="10"/>
      <c r="GP418" s="10"/>
      <c r="GQ418" s="10"/>
      <c r="GR418" s="10"/>
      <c r="GS418" s="10"/>
      <c r="GT418" s="10"/>
      <c r="GU418" s="10"/>
      <c r="GV418" s="10"/>
      <c r="GW418" s="10"/>
      <c r="GX418" s="10"/>
      <c r="GY418" s="10"/>
      <c r="GZ418" s="10"/>
      <c r="HA418" s="10"/>
      <c r="HB418" s="10"/>
      <c r="HC418" s="10"/>
      <c r="HD418" s="10"/>
      <c r="HE418" s="10"/>
      <c r="HF418" s="10"/>
      <c r="HG418" s="10"/>
      <c r="HH418" s="10"/>
      <c r="HI418" s="10"/>
      <c r="HJ418" s="10"/>
      <c r="HK418" s="10"/>
      <c r="HL418" s="10"/>
      <c r="HM418" s="10"/>
      <c r="HN418" s="10"/>
      <c r="HO418" s="10"/>
      <c r="HP418" s="10"/>
      <c r="HQ418" s="10"/>
      <c r="HR418" s="10"/>
      <c r="HS418" s="10"/>
      <c r="HT418" s="10"/>
    </row>
    <row r="419" spans="1:228" ht="18" customHeight="1" x14ac:dyDescent="0.2">
      <c r="B419" s="761" t="s">
        <v>214</v>
      </c>
      <c r="C419" s="761"/>
      <c r="D419" s="761"/>
      <c r="E419" s="761"/>
      <c r="F419" s="761"/>
      <c r="G419" s="761"/>
      <c r="H419" s="761"/>
      <c r="I419" s="761"/>
      <c r="J419" s="761"/>
      <c r="K419" s="761"/>
      <c r="L419" s="761"/>
      <c r="M419" s="761"/>
      <c r="N419" s="694"/>
      <c r="O419" s="694"/>
      <c r="P419" s="21">
        <f>IF(N419=S419,0.03,IF(N419=T419,0.15,IF(N419=U419,0.38,IF(N419=V419,0.68,IF(N419=W419,0.9,0)))))</f>
        <v>0</v>
      </c>
      <c r="R419" s="947" t="s">
        <v>2147</v>
      </c>
      <c r="S419" s="50" t="s">
        <v>1928</v>
      </c>
      <c r="T419" s="50" t="s">
        <v>1929</v>
      </c>
      <c r="U419" s="147" t="s">
        <v>1931</v>
      </c>
      <c r="V419" s="50" t="s">
        <v>929</v>
      </c>
      <c r="W419" s="147" t="s">
        <v>545</v>
      </c>
      <c r="X419" s="10"/>
      <c r="Y419" s="10"/>
      <c r="Z419" s="10"/>
      <c r="AA419" s="14"/>
      <c r="AB419" s="10"/>
      <c r="AC419" s="14"/>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c r="DF419" s="10"/>
      <c r="DG419" s="10"/>
      <c r="DH419" s="10"/>
      <c r="DI419" s="10"/>
      <c r="DJ419" s="10"/>
      <c r="DK419" s="10"/>
      <c r="DL419" s="10"/>
      <c r="DM419" s="10"/>
      <c r="DN419" s="10"/>
      <c r="DO419" s="10"/>
      <c r="DP419" s="10"/>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c r="EM419" s="10"/>
      <c r="EN419" s="10"/>
      <c r="EO419" s="10"/>
      <c r="EP419" s="10"/>
      <c r="EQ419" s="10"/>
      <c r="ER419" s="10"/>
      <c r="ES419" s="10"/>
      <c r="ET419" s="10"/>
      <c r="EU419" s="10"/>
      <c r="EV419" s="10"/>
      <c r="EW419" s="10"/>
      <c r="EX419" s="10"/>
      <c r="EY419" s="10"/>
      <c r="EZ419" s="10"/>
      <c r="FA419" s="10"/>
      <c r="FB419" s="10"/>
      <c r="FC419" s="10"/>
      <c r="FD419" s="10"/>
      <c r="FE419" s="10"/>
      <c r="FF419" s="10"/>
      <c r="FG419" s="10"/>
      <c r="FH419" s="10"/>
      <c r="FI419" s="10"/>
      <c r="FJ419" s="10"/>
      <c r="FK419" s="10"/>
      <c r="FL419" s="10"/>
      <c r="FM419" s="10"/>
      <c r="FN419" s="10"/>
      <c r="FO419" s="10"/>
      <c r="FP419" s="10"/>
      <c r="FQ419" s="10"/>
      <c r="FR419" s="10"/>
      <c r="FS419" s="10"/>
      <c r="FT419" s="10"/>
      <c r="FU419" s="10"/>
      <c r="FV419" s="10"/>
      <c r="FW419" s="10"/>
      <c r="FX419" s="10"/>
      <c r="FY419" s="10"/>
      <c r="FZ419" s="10"/>
      <c r="GA419" s="10"/>
      <c r="GB419" s="10"/>
      <c r="GC419" s="10"/>
      <c r="GD419" s="10"/>
      <c r="GE419" s="10"/>
      <c r="GF419" s="10"/>
      <c r="GG419" s="10"/>
      <c r="GH419" s="10"/>
      <c r="GI419" s="10"/>
      <c r="GJ419" s="10"/>
      <c r="GK419" s="10"/>
      <c r="GL419" s="10"/>
      <c r="GM419" s="10"/>
      <c r="GN419" s="10"/>
      <c r="GO419" s="10"/>
      <c r="GP419" s="10"/>
      <c r="GQ419" s="10"/>
      <c r="GR419" s="10"/>
      <c r="GS419" s="10"/>
      <c r="GT419" s="10"/>
      <c r="GU419" s="10"/>
      <c r="GV419" s="10"/>
      <c r="GW419" s="10"/>
      <c r="GX419" s="10"/>
      <c r="GY419" s="10"/>
      <c r="GZ419" s="10"/>
      <c r="HA419" s="10"/>
      <c r="HB419" s="10"/>
      <c r="HC419" s="10"/>
      <c r="HD419" s="10"/>
      <c r="HE419" s="10"/>
      <c r="HF419" s="10"/>
      <c r="HG419" s="10"/>
      <c r="HH419" s="10"/>
      <c r="HI419" s="10"/>
      <c r="HJ419" s="10"/>
      <c r="HK419" s="10"/>
      <c r="HL419" s="10"/>
      <c r="HM419" s="10"/>
      <c r="HN419" s="10"/>
      <c r="HO419" s="10"/>
      <c r="HP419" s="10"/>
      <c r="HQ419" s="10"/>
      <c r="HR419" s="10"/>
      <c r="HS419" s="10"/>
      <c r="HT419" s="10"/>
    </row>
    <row r="420" spans="1:228" ht="18" customHeight="1" x14ac:dyDescent="0.2">
      <c r="B420" s="761" t="s">
        <v>724</v>
      </c>
      <c r="C420" s="761"/>
      <c r="D420" s="761"/>
      <c r="E420" s="761"/>
      <c r="F420" s="761"/>
      <c r="G420" s="761"/>
      <c r="H420" s="761"/>
      <c r="I420" s="761"/>
      <c r="J420" s="761"/>
      <c r="K420" s="761"/>
      <c r="L420" s="761"/>
      <c r="M420" s="761"/>
      <c r="N420" s="694"/>
      <c r="O420" s="694"/>
      <c r="P420" s="21">
        <f>IF(N420=S419,0.03,IF(N420=T419,0.15,IF(N420=U419,0.35,IF(N420=V419,0.63,IF(N420=W419,0.88,0)))))</f>
        <v>0</v>
      </c>
      <c r="R420" s="947"/>
      <c r="S420" s="14"/>
      <c r="T420" s="14"/>
      <c r="U420" s="14"/>
      <c r="V420" s="14"/>
      <c r="W420" s="14"/>
      <c r="X420" s="10"/>
      <c r="Y420" s="14"/>
      <c r="Z420" s="14"/>
      <c r="AA420" s="14"/>
      <c r="AB420" s="14"/>
      <c r="AC420" s="14"/>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c r="DF420" s="10"/>
      <c r="DG420" s="10"/>
      <c r="DH420" s="10"/>
      <c r="DI420" s="10"/>
      <c r="DJ420" s="10"/>
      <c r="DK420" s="10"/>
      <c r="DL420" s="10"/>
      <c r="DM420" s="10"/>
      <c r="DN420" s="10"/>
      <c r="DO420" s="10"/>
      <c r="DP420" s="10"/>
      <c r="DQ420" s="10"/>
      <c r="DR420" s="10"/>
      <c r="DS420" s="10"/>
      <c r="DT420" s="10"/>
      <c r="DU420" s="10"/>
      <c r="DV420" s="10"/>
      <c r="DW420" s="10"/>
      <c r="DX420" s="10"/>
      <c r="DY420" s="10"/>
      <c r="DZ420" s="10"/>
      <c r="EA420" s="10"/>
      <c r="EB420" s="10"/>
      <c r="EC420" s="10"/>
      <c r="ED420" s="10"/>
      <c r="EE420" s="10"/>
      <c r="EF420" s="10"/>
      <c r="EG420" s="10"/>
      <c r="EH420" s="10"/>
      <c r="EI420" s="10"/>
      <c r="EJ420" s="10"/>
      <c r="EK420" s="10"/>
      <c r="EL420" s="10"/>
      <c r="EM420" s="10"/>
      <c r="EN420" s="10"/>
      <c r="EO420" s="10"/>
      <c r="EP420" s="10"/>
      <c r="EQ420" s="10"/>
      <c r="ER420" s="10"/>
      <c r="ES420" s="10"/>
      <c r="ET420" s="10"/>
      <c r="EU420" s="10"/>
      <c r="EV420" s="10"/>
      <c r="EW420" s="10"/>
      <c r="EX420" s="10"/>
      <c r="EY420" s="10"/>
      <c r="EZ420" s="10"/>
      <c r="FA420" s="10"/>
      <c r="FB420" s="10"/>
      <c r="FC420" s="10"/>
      <c r="FD420" s="10"/>
      <c r="FE420" s="10"/>
      <c r="FF420" s="10"/>
      <c r="FG420" s="10"/>
      <c r="FH420" s="10"/>
      <c r="FI420" s="10"/>
      <c r="FJ420" s="10"/>
      <c r="FK420" s="10"/>
      <c r="FL420" s="10"/>
      <c r="FM420" s="10"/>
      <c r="FN420" s="10"/>
      <c r="FO420" s="10"/>
      <c r="FP420" s="10"/>
      <c r="FQ420" s="10"/>
      <c r="FR420" s="10"/>
      <c r="FS420" s="10"/>
      <c r="FT420" s="10"/>
      <c r="FU420" s="10"/>
      <c r="FV420" s="10"/>
      <c r="FW420" s="10"/>
      <c r="FX420" s="10"/>
      <c r="FY420" s="10"/>
      <c r="FZ420" s="10"/>
      <c r="GA420" s="10"/>
      <c r="GB420" s="10"/>
      <c r="GC420" s="10"/>
      <c r="GD420" s="10"/>
      <c r="GE420" s="10"/>
      <c r="GF420" s="10"/>
      <c r="GG420" s="10"/>
      <c r="GH420" s="10"/>
      <c r="GI420" s="10"/>
      <c r="GJ420" s="10"/>
      <c r="GK420" s="10"/>
      <c r="GL420" s="10"/>
      <c r="GM420" s="10"/>
      <c r="GN420" s="10"/>
      <c r="GO420" s="10"/>
      <c r="GP420" s="10"/>
      <c r="GQ420" s="10"/>
      <c r="GR420" s="10"/>
      <c r="GS420" s="10"/>
      <c r="GT420" s="10"/>
      <c r="GU420" s="10"/>
      <c r="GV420" s="10"/>
      <c r="GW420" s="10"/>
      <c r="GX420" s="10"/>
      <c r="GY420" s="10"/>
      <c r="GZ420" s="10"/>
      <c r="HA420" s="10"/>
      <c r="HB420" s="10"/>
      <c r="HC420" s="10"/>
      <c r="HD420" s="10"/>
      <c r="HE420" s="10"/>
      <c r="HF420" s="10"/>
      <c r="HG420" s="10"/>
      <c r="HH420" s="10"/>
      <c r="HI420" s="10"/>
      <c r="HJ420" s="10"/>
      <c r="HK420" s="10"/>
      <c r="HL420" s="10"/>
      <c r="HM420" s="10"/>
      <c r="HN420" s="10"/>
      <c r="HO420" s="10"/>
      <c r="HP420" s="10"/>
      <c r="HQ420" s="10"/>
      <c r="HR420" s="10"/>
      <c r="HS420" s="10"/>
      <c r="HT420" s="10"/>
    </row>
    <row r="421" spans="1:228" x14ac:dyDescent="0.2">
      <c r="B421" s="777"/>
      <c r="C421" s="777"/>
      <c r="D421" s="777"/>
      <c r="E421" s="777"/>
      <c r="F421" s="777"/>
      <c r="G421" s="777"/>
      <c r="H421" s="777"/>
      <c r="I421" s="777"/>
      <c r="J421" s="777"/>
      <c r="K421" s="777"/>
      <c r="L421" s="777"/>
      <c r="M421" s="777"/>
      <c r="N421" s="777"/>
      <c r="O421" s="777"/>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c r="DF421" s="10"/>
      <c r="DG421" s="10"/>
      <c r="DH421" s="10"/>
      <c r="DI421" s="10"/>
      <c r="DJ421" s="10"/>
      <c r="DK421" s="10"/>
      <c r="DL421" s="10"/>
      <c r="DM421" s="10"/>
      <c r="DN421" s="10"/>
      <c r="DO421" s="10"/>
      <c r="DP421" s="10"/>
      <c r="DQ421" s="10"/>
      <c r="DR421" s="10"/>
      <c r="DS421" s="10"/>
      <c r="DT421" s="10"/>
      <c r="DU421" s="10"/>
      <c r="DV421" s="10"/>
      <c r="DW421" s="10"/>
      <c r="DX421" s="10"/>
      <c r="DY421" s="10"/>
      <c r="DZ421" s="10"/>
      <c r="EA421" s="10"/>
      <c r="EB421" s="10"/>
      <c r="EC421" s="10"/>
      <c r="ED421" s="10"/>
      <c r="EE421" s="10"/>
      <c r="EF421" s="10"/>
      <c r="EG421" s="10"/>
      <c r="EH421" s="10"/>
      <c r="EI421" s="10"/>
      <c r="EJ421" s="10"/>
      <c r="EK421" s="10"/>
      <c r="EL421" s="10"/>
      <c r="EM421" s="10"/>
      <c r="EN421" s="10"/>
      <c r="EO421" s="10"/>
      <c r="EP421" s="10"/>
      <c r="EQ421" s="10"/>
      <c r="ER421" s="10"/>
      <c r="ES421" s="10"/>
      <c r="ET421" s="10"/>
      <c r="EU421" s="10"/>
      <c r="EV421" s="10"/>
      <c r="EW421" s="10"/>
      <c r="EX421" s="10"/>
      <c r="EY421" s="10"/>
      <c r="EZ421" s="10"/>
      <c r="FA421" s="10"/>
      <c r="FB421" s="10"/>
      <c r="FC421" s="10"/>
      <c r="FD421" s="10"/>
      <c r="FE421" s="10"/>
      <c r="FF421" s="10"/>
      <c r="FG421" s="10"/>
      <c r="FH421" s="10"/>
      <c r="FI421" s="10"/>
      <c r="FJ421" s="10"/>
      <c r="FK421" s="10"/>
      <c r="FL421" s="10"/>
      <c r="FM421" s="10"/>
      <c r="FN421" s="10"/>
      <c r="FO421" s="10"/>
      <c r="FP421" s="10"/>
      <c r="FQ421" s="10"/>
      <c r="FR421" s="10"/>
      <c r="FS421" s="10"/>
      <c r="FT421" s="10"/>
      <c r="FU421" s="10"/>
      <c r="FV421" s="10"/>
      <c r="FW421" s="10"/>
      <c r="FX421" s="10"/>
      <c r="FY421" s="10"/>
      <c r="FZ421" s="10"/>
      <c r="GA421" s="10"/>
      <c r="GB421" s="10"/>
      <c r="GC421" s="10"/>
      <c r="GD421" s="10"/>
      <c r="GE421" s="10"/>
      <c r="GF421" s="10"/>
      <c r="GG421" s="10"/>
      <c r="GH421" s="10"/>
      <c r="GI421" s="10"/>
      <c r="GJ421" s="10"/>
      <c r="GK421" s="10"/>
      <c r="GL421" s="10"/>
      <c r="GM421" s="10"/>
      <c r="GN421" s="10"/>
      <c r="GO421" s="10"/>
      <c r="GP421" s="10"/>
      <c r="GQ421" s="10"/>
      <c r="GR421" s="10"/>
      <c r="GS421" s="10"/>
      <c r="GT421" s="10"/>
      <c r="GU421" s="10"/>
      <c r="GV421" s="10"/>
      <c r="GW421" s="10"/>
      <c r="GX421" s="10"/>
      <c r="GY421" s="10"/>
      <c r="GZ421" s="10"/>
      <c r="HA421" s="10"/>
      <c r="HB421" s="10"/>
      <c r="HC421" s="10"/>
      <c r="HD421" s="10"/>
      <c r="HE421" s="10"/>
      <c r="HF421" s="10"/>
      <c r="HG421" s="10"/>
      <c r="HH421" s="10"/>
      <c r="HI421" s="10"/>
      <c r="HJ421" s="10"/>
      <c r="HK421" s="10"/>
      <c r="HL421" s="10"/>
      <c r="HM421" s="10"/>
      <c r="HN421" s="10"/>
      <c r="HO421" s="10"/>
      <c r="HP421" s="10"/>
      <c r="HQ421" s="10"/>
      <c r="HR421" s="10"/>
      <c r="HS421" s="10"/>
      <c r="HT421" s="10"/>
    </row>
    <row r="422" spans="1:228" ht="18" customHeight="1" x14ac:dyDescent="0.25">
      <c r="B422" s="1123" t="s">
        <v>725</v>
      </c>
      <c r="C422" s="910"/>
      <c r="D422" s="910"/>
      <c r="E422" s="910"/>
      <c r="F422" s="910"/>
      <c r="G422" s="910"/>
      <c r="H422" s="910"/>
      <c r="I422" s="910"/>
      <c r="J422" s="910"/>
      <c r="K422" s="910"/>
      <c r="L422" s="910"/>
      <c r="M422" s="910"/>
      <c r="N422" s="910"/>
      <c r="O422" s="910"/>
      <c r="P422" s="297"/>
      <c r="R422" s="10"/>
      <c r="S422" s="10"/>
      <c r="T422" s="10"/>
      <c r="U422" s="10"/>
      <c r="V422" s="10"/>
      <c r="W422" s="10"/>
      <c r="X422" s="14"/>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c r="EM422" s="10"/>
      <c r="EN422" s="10"/>
      <c r="EO422" s="10"/>
      <c r="EP422" s="10"/>
      <c r="EQ422" s="10"/>
      <c r="ER422" s="10"/>
      <c r="ES422" s="10"/>
      <c r="ET422" s="10"/>
      <c r="EU422" s="10"/>
      <c r="EV422" s="10"/>
      <c r="EW422" s="10"/>
      <c r="EX422" s="10"/>
      <c r="EY422" s="10"/>
      <c r="EZ422" s="10"/>
      <c r="FA422" s="10"/>
      <c r="FB422" s="10"/>
      <c r="FC422" s="10"/>
      <c r="FD422" s="10"/>
      <c r="FE422" s="10"/>
      <c r="FF422" s="10"/>
      <c r="FG422" s="10"/>
      <c r="FH422" s="10"/>
      <c r="FI422" s="10"/>
      <c r="FJ422" s="10"/>
      <c r="FK422" s="10"/>
      <c r="FL422" s="10"/>
      <c r="FM422" s="10"/>
      <c r="FN422" s="10"/>
      <c r="FO422" s="10"/>
      <c r="FP422" s="10"/>
      <c r="FQ422" s="10"/>
      <c r="FR422" s="10"/>
      <c r="FS422" s="10"/>
      <c r="FT422" s="10"/>
      <c r="FU422" s="10"/>
      <c r="FV422" s="10"/>
      <c r="FW422" s="10"/>
      <c r="FX422" s="10"/>
      <c r="FY422" s="10"/>
      <c r="FZ422" s="10"/>
      <c r="GA422" s="10"/>
      <c r="GB422" s="10"/>
      <c r="GC422" s="10"/>
      <c r="GD422" s="10"/>
      <c r="GE422" s="10"/>
      <c r="GF422" s="10"/>
      <c r="GG422" s="10"/>
      <c r="GH422" s="10"/>
      <c r="GI422" s="10"/>
      <c r="GJ422" s="10"/>
      <c r="GK422" s="10"/>
      <c r="GL422" s="10"/>
      <c r="GM422" s="10"/>
      <c r="GN422" s="10"/>
      <c r="GO422" s="10"/>
      <c r="GP422" s="10"/>
      <c r="GQ422" s="10"/>
      <c r="GR422" s="10"/>
      <c r="GS422" s="10"/>
      <c r="GT422" s="10"/>
      <c r="GU422" s="10"/>
      <c r="GV422" s="10"/>
      <c r="GW422" s="10"/>
      <c r="GX422" s="10"/>
      <c r="GY422" s="10"/>
      <c r="GZ422" s="10"/>
      <c r="HA422" s="10"/>
      <c r="HB422" s="10"/>
      <c r="HC422" s="10"/>
      <c r="HD422" s="10"/>
      <c r="HE422" s="10"/>
      <c r="HF422" s="10"/>
      <c r="HG422" s="10"/>
      <c r="HH422" s="10"/>
      <c r="HI422" s="10"/>
      <c r="HJ422" s="10"/>
      <c r="HK422" s="10"/>
      <c r="HL422" s="10"/>
      <c r="HM422" s="10"/>
      <c r="HN422" s="10"/>
      <c r="HO422" s="10"/>
      <c r="HP422" s="10"/>
      <c r="HQ422" s="10"/>
      <c r="HR422" s="10"/>
      <c r="HS422" s="10"/>
      <c r="HT422" s="10"/>
    </row>
    <row r="423" spans="1:228" ht="27" customHeight="1" x14ac:dyDescent="0.2">
      <c r="A423" s="15"/>
      <c r="B423" s="468" t="s">
        <v>1732</v>
      </c>
      <c r="C423" s="1278" t="s">
        <v>1981</v>
      </c>
      <c r="D423" s="1279"/>
      <c r="E423" s="1279"/>
      <c r="F423" s="1279"/>
      <c r="G423" s="1279"/>
      <c r="H423" s="1279"/>
      <c r="I423" s="1279"/>
      <c r="J423" s="1279"/>
      <c r="K423" s="1279"/>
      <c r="L423" s="1279"/>
      <c r="M423" s="1279"/>
      <c r="N423" s="1279"/>
      <c r="O423" s="1283"/>
      <c r="P423" s="910"/>
      <c r="R423" s="10"/>
      <c r="S423" s="10"/>
      <c r="T423" s="14"/>
      <c r="U423" s="14"/>
      <c r="V423" s="14"/>
      <c r="W423" s="98">
        <v>1E-4</v>
      </c>
      <c r="X423" s="14"/>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c r="DF423" s="10"/>
      <c r="DG423" s="10"/>
      <c r="DH423" s="10"/>
      <c r="DI423" s="10"/>
      <c r="DJ423" s="10"/>
      <c r="DK423" s="10"/>
      <c r="DL423" s="10"/>
      <c r="DM423" s="10"/>
      <c r="DN423" s="10"/>
      <c r="DO423" s="10"/>
      <c r="DP423" s="10"/>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c r="EM423" s="10"/>
      <c r="EN423" s="10"/>
      <c r="EO423" s="10"/>
      <c r="EP423" s="10"/>
      <c r="EQ423" s="10"/>
      <c r="ER423" s="10"/>
      <c r="ES423" s="10"/>
      <c r="ET423" s="10"/>
      <c r="EU423" s="10"/>
      <c r="EV423" s="10"/>
      <c r="EW423" s="10"/>
      <c r="EX423" s="10"/>
      <c r="EY423" s="10"/>
      <c r="EZ423" s="10"/>
      <c r="FA423" s="10"/>
      <c r="FB423" s="10"/>
      <c r="FC423" s="10"/>
      <c r="FD423" s="10"/>
      <c r="FE423" s="10"/>
      <c r="FF423" s="10"/>
      <c r="FG423" s="10"/>
      <c r="FH423" s="10"/>
      <c r="FI423" s="10"/>
      <c r="FJ423" s="10"/>
      <c r="FK423" s="10"/>
      <c r="FL423" s="10"/>
      <c r="FM423" s="10"/>
      <c r="FN423" s="10"/>
      <c r="FO423" s="10"/>
      <c r="FP423" s="10"/>
      <c r="FQ423" s="10"/>
      <c r="FR423" s="10"/>
      <c r="FS423" s="10"/>
      <c r="FT423" s="10"/>
      <c r="FU423" s="10"/>
      <c r="FV423" s="10"/>
      <c r="FW423" s="10"/>
      <c r="FX423" s="10"/>
      <c r="FY423" s="10"/>
      <c r="FZ423" s="10"/>
      <c r="GA423" s="10"/>
      <c r="GB423" s="10"/>
      <c r="GC423" s="10"/>
      <c r="GD423" s="10"/>
      <c r="GE423" s="10"/>
      <c r="GF423" s="10"/>
      <c r="GG423" s="10"/>
      <c r="GH423" s="10"/>
      <c r="GI423" s="10"/>
      <c r="GJ423" s="10"/>
      <c r="GK423" s="10"/>
      <c r="GL423" s="10"/>
      <c r="GM423" s="10"/>
      <c r="GN423" s="10"/>
      <c r="GO423" s="10"/>
      <c r="GP423" s="10"/>
      <c r="GQ423" s="10"/>
      <c r="GR423" s="10"/>
      <c r="GS423" s="10"/>
      <c r="GT423" s="10"/>
      <c r="GU423" s="10"/>
      <c r="GV423" s="10"/>
      <c r="GW423" s="10"/>
      <c r="GX423" s="10"/>
      <c r="GY423" s="10"/>
      <c r="GZ423" s="10"/>
      <c r="HA423" s="10"/>
      <c r="HB423" s="10"/>
      <c r="HC423" s="10"/>
      <c r="HD423" s="10"/>
      <c r="HE423" s="10"/>
      <c r="HF423" s="10"/>
      <c r="HG423" s="10"/>
      <c r="HH423" s="10"/>
      <c r="HI423" s="10"/>
      <c r="HJ423" s="10"/>
      <c r="HK423" s="10"/>
      <c r="HL423" s="10"/>
      <c r="HM423" s="10"/>
      <c r="HN423" s="10"/>
      <c r="HO423" s="10"/>
      <c r="HP423" s="10"/>
      <c r="HQ423" s="10"/>
      <c r="HR423" s="10"/>
      <c r="HS423" s="10"/>
      <c r="HT423" s="10"/>
    </row>
    <row r="424" spans="1:228" ht="37.5" customHeight="1" x14ac:dyDescent="0.2">
      <c r="B424" s="469"/>
      <c r="C424" s="1278" t="s">
        <v>1982</v>
      </c>
      <c r="D424" s="1279"/>
      <c r="E424" s="1279"/>
      <c r="F424" s="1279"/>
      <c r="G424" s="1279"/>
      <c r="H424" s="1279"/>
      <c r="I424" s="1279"/>
      <c r="J424" s="1279"/>
      <c r="K424" s="1279"/>
      <c r="L424" s="1279"/>
      <c r="M424" s="1279"/>
      <c r="N424" s="1279"/>
      <c r="O424" s="1283"/>
      <c r="P424" s="9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0"/>
      <c r="DZ424" s="10"/>
      <c r="EA424" s="10"/>
      <c r="EB424" s="10"/>
      <c r="EC424" s="10"/>
      <c r="ED424" s="10"/>
      <c r="EE424" s="10"/>
      <c r="EF424" s="10"/>
      <c r="EG424" s="10"/>
      <c r="EH424" s="10"/>
      <c r="EI424" s="10"/>
      <c r="EJ424" s="10"/>
      <c r="EK424" s="10"/>
      <c r="EL424" s="10"/>
      <c r="EM424" s="10"/>
      <c r="EN424" s="10"/>
      <c r="EO424" s="10"/>
      <c r="EP424" s="10"/>
      <c r="EQ424" s="10"/>
      <c r="ER424" s="10"/>
      <c r="ES424" s="10"/>
      <c r="ET424" s="10"/>
      <c r="EU424" s="10"/>
      <c r="EV424" s="10"/>
      <c r="EW424" s="10"/>
      <c r="EX424" s="10"/>
      <c r="EY424" s="10"/>
      <c r="EZ424" s="10"/>
      <c r="FA424" s="10"/>
      <c r="FB424" s="10"/>
      <c r="FC424" s="10"/>
      <c r="FD424" s="10"/>
      <c r="FE424" s="10"/>
      <c r="FF424" s="10"/>
      <c r="FG424" s="10"/>
      <c r="FH424" s="10"/>
      <c r="FI424" s="10"/>
      <c r="FJ424" s="10"/>
      <c r="FK424" s="10"/>
      <c r="FL424" s="10"/>
      <c r="FM424" s="10"/>
      <c r="FN424" s="10"/>
      <c r="FO424" s="10"/>
      <c r="FP424" s="10"/>
      <c r="FQ424" s="10"/>
      <c r="FR424" s="10"/>
      <c r="FS424" s="10"/>
      <c r="FT424" s="10"/>
      <c r="FU424" s="10"/>
      <c r="FV424" s="10"/>
      <c r="FW424" s="10"/>
      <c r="FX424" s="10"/>
      <c r="FY424" s="10"/>
      <c r="FZ424" s="10"/>
      <c r="GA424" s="10"/>
      <c r="GB424" s="10"/>
      <c r="GC424" s="10"/>
      <c r="GD424" s="10"/>
      <c r="GE424" s="10"/>
      <c r="GF424" s="10"/>
      <c r="GG424" s="10"/>
      <c r="GH424" s="10"/>
      <c r="GI424" s="10"/>
      <c r="GJ424" s="10"/>
      <c r="GK424" s="10"/>
      <c r="GL424" s="10"/>
      <c r="GM424" s="10"/>
      <c r="GN424" s="10"/>
      <c r="GO424" s="10"/>
      <c r="GP424" s="10"/>
      <c r="GQ424" s="10"/>
      <c r="GR424" s="10"/>
      <c r="GS424" s="10"/>
      <c r="GT424" s="10"/>
      <c r="GU424" s="10"/>
      <c r="GV424" s="10"/>
      <c r="GW424" s="10"/>
      <c r="GX424" s="10"/>
      <c r="GY424" s="10"/>
      <c r="GZ424" s="10"/>
      <c r="HA424" s="10"/>
      <c r="HB424" s="10"/>
      <c r="HC424" s="10"/>
      <c r="HD424" s="10"/>
      <c r="HE424" s="10"/>
      <c r="HF424" s="10"/>
      <c r="HG424" s="10"/>
      <c r="HH424" s="10"/>
      <c r="HI424" s="10"/>
      <c r="HJ424" s="10"/>
      <c r="HK424" s="10"/>
      <c r="HL424" s="10"/>
      <c r="HM424" s="10"/>
      <c r="HN424" s="10"/>
      <c r="HO424" s="10"/>
      <c r="HP424" s="10"/>
      <c r="HQ424" s="10"/>
      <c r="HR424" s="10"/>
      <c r="HS424" s="10"/>
      <c r="HT424" s="10"/>
    </row>
    <row r="425" spans="1:228" ht="27" customHeight="1" x14ac:dyDescent="0.2">
      <c r="B425" s="469"/>
      <c r="C425" s="1273" t="s">
        <v>1983</v>
      </c>
      <c r="D425" s="1274"/>
      <c r="E425" s="1274"/>
      <c r="F425" s="1274"/>
      <c r="G425" s="1274"/>
      <c r="H425" s="1274"/>
      <c r="I425" s="1274"/>
      <c r="J425" s="1274"/>
      <c r="K425" s="1274"/>
      <c r="L425" s="1274"/>
      <c r="M425" s="1274"/>
      <c r="N425" s="1274"/>
      <c r="O425" s="1275"/>
      <c r="P425" s="910"/>
      <c r="R425" s="546">
        <v>5</v>
      </c>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c r="DF425" s="10"/>
      <c r="DG425" s="10"/>
      <c r="DH425" s="10"/>
      <c r="DI425" s="10"/>
      <c r="DJ425" s="10"/>
      <c r="DK425" s="10"/>
      <c r="DL425" s="10"/>
      <c r="DM425" s="10"/>
      <c r="DN425" s="10"/>
      <c r="DO425" s="10"/>
      <c r="DP425" s="10"/>
      <c r="DQ425" s="10"/>
      <c r="DR425" s="10"/>
      <c r="DS425" s="10"/>
      <c r="DT425" s="10"/>
      <c r="DU425" s="10"/>
      <c r="DV425" s="10"/>
      <c r="DW425" s="10"/>
      <c r="DX425" s="10"/>
      <c r="DY425" s="10"/>
      <c r="DZ425" s="10"/>
      <c r="EA425" s="10"/>
      <c r="EB425" s="10"/>
      <c r="EC425" s="10"/>
      <c r="ED425" s="10"/>
      <c r="EE425" s="10"/>
      <c r="EF425" s="10"/>
      <c r="EG425" s="10"/>
      <c r="EH425" s="10"/>
      <c r="EI425" s="10"/>
      <c r="EJ425" s="10"/>
      <c r="EK425" s="10"/>
      <c r="EL425" s="10"/>
      <c r="EM425" s="10"/>
      <c r="EN425" s="10"/>
      <c r="EO425" s="10"/>
      <c r="EP425" s="10"/>
      <c r="EQ425" s="10"/>
      <c r="ER425" s="10"/>
      <c r="ES425" s="10"/>
      <c r="ET425" s="10"/>
      <c r="EU425" s="10"/>
      <c r="EV425" s="10"/>
      <c r="EW425" s="10"/>
      <c r="EX425" s="10"/>
      <c r="EY425" s="10"/>
      <c r="EZ425" s="10"/>
      <c r="FA425" s="10"/>
      <c r="FB425" s="10"/>
      <c r="FC425" s="10"/>
      <c r="FD425" s="10"/>
      <c r="FE425" s="10"/>
      <c r="FF425" s="10"/>
      <c r="FG425" s="10"/>
      <c r="FH425" s="10"/>
      <c r="FI425" s="10"/>
      <c r="FJ425" s="10"/>
      <c r="FK425" s="10"/>
      <c r="FL425" s="10"/>
      <c r="FM425" s="10"/>
      <c r="FN425" s="10"/>
      <c r="FO425" s="10"/>
      <c r="FP425" s="10"/>
      <c r="FQ425" s="10"/>
      <c r="FR425" s="10"/>
      <c r="FS425" s="10"/>
      <c r="FT425" s="10"/>
      <c r="FU425" s="10"/>
      <c r="FV425" s="10"/>
      <c r="FW425" s="10"/>
      <c r="FX425" s="10"/>
      <c r="FY425" s="10"/>
      <c r="FZ425" s="10"/>
      <c r="GA425" s="10"/>
      <c r="GB425" s="10"/>
      <c r="GC425" s="10"/>
      <c r="GD425" s="10"/>
      <c r="GE425" s="10"/>
      <c r="GF425" s="10"/>
      <c r="GG425" s="10"/>
      <c r="GH425" s="10"/>
      <c r="GI425" s="10"/>
      <c r="GJ425" s="10"/>
      <c r="GK425" s="10"/>
      <c r="GL425" s="10"/>
      <c r="GM425" s="10"/>
      <c r="GN425" s="10"/>
      <c r="GO425" s="10"/>
      <c r="GP425" s="10"/>
      <c r="GQ425" s="10"/>
      <c r="GR425" s="10"/>
      <c r="GS425" s="10"/>
      <c r="GT425" s="10"/>
      <c r="GU425" s="10"/>
      <c r="GV425" s="10"/>
      <c r="GW425" s="10"/>
      <c r="GX425" s="10"/>
      <c r="GY425" s="10"/>
      <c r="GZ425" s="10"/>
      <c r="HA425" s="10"/>
      <c r="HB425" s="10"/>
      <c r="HC425" s="10"/>
      <c r="HD425" s="10"/>
      <c r="HE425" s="10"/>
      <c r="HF425" s="10"/>
      <c r="HG425" s="10"/>
      <c r="HH425" s="10"/>
      <c r="HI425" s="10"/>
      <c r="HJ425" s="10"/>
      <c r="HK425" s="10"/>
      <c r="HL425" s="10"/>
      <c r="HM425" s="10"/>
      <c r="HN425" s="10"/>
      <c r="HO425" s="10"/>
      <c r="HP425" s="10"/>
      <c r="HQ425" s="10"/>
      <c r="HR425" s="10"/>
      <c r="HS425" s="10"/>
      <c r="HT425" s="10"/>
    </row>
    <row r="426" spans="1:228" ht="27" customHeight="1" x14ac:dyDescent="0.2">
      <c r="B426" s="470"/>
      <c r="C426" s="1278" t="s">
        <v>1984</v>
      </c>
      <c r="D426" s="1279"/>
      <c r="E426" s="1279"/>
      <c r="F426" s="1279"/>
      <c r="G426" s="1279"/>
      <c r="H426" s="1279"/>
      <c r="I426" s="1279"/>
      <c r="J426" s="1279"/>
      <c r="K426" s="1279"/>
      <c r="L426" s="1279"/>
      <c r="M426" s="1279"/>
      <c r="N426" s="1279"/>
      <c r="O426" s="1279"/>
      <c r="P426" s="21">
        <f>IF(R425=1,0.23,IF(R425=2,0.48,IF(R425=3,0.76,IF(R425=4,1,0))))</f>
        <v>0</v>
      </c>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c r="DF426" s="10"/>
      <c r="DG426" s="10"/>
      <c r="DH426" s="10"/>
      <c r="DI426" s="10"/>
      <c r="DJ426" s="10"/>
      <c r="DK426" s="10"/>
      <c r="DL426" s="10"/>
      <c r="DM426" s="10"/>
      <c r="DN426" s="10"/>
      <c r="DO426" s="10"/>
      <c r="DP426" s="10"/>
      <c r="DQ426" s="10"/>
      <c r="DR426" s="10"/>
      <c r="DS426" s="10"/>
      <c r="DT426" s="10"/>
      <c r="DU426" s="10"/>
      <c r="DV426" s="10"/>
      <c r="DW426" s="10"/>
      <c r="DX426" s="10"/>
      <c r="DY426" s="10"/>
      <c r="DZ426" s="10"/>
      <c r="EA426" s="10"/>
      <c r="EB426" s="10"/>
      <c r="EC426" s="10"/>
      <c r="ED426" s="10"/>
      <c r="EE426" s="10"/>
      <c r="EF426" s="10"/>
      <c r="EG426" s="10"/>
      <c r="EH426" s="10"/>
      <c r="EI426" s="10"/>
      <c r="EJ426" s="10"/>
      <c r="EK426" s="10"/>
      <c r="EL426" s="10"/>
      <c r="EM426" s="10"/>
      <c r="EN426" s="10"/>
      <c r="EO426" s="10"/>
      <c r="EP426" s="10"/>
      <c r="EQ426" s="10"/>
      <c r="ER426" s="10"/>
      <c r="ES426" s="10"/>
      <c r="ET426" s="10"/>
      <c r="EU426" s="10"/>
      <c r="EV426" s="10"/>
      <c r="EW426" s="10"/>
      <c r="EX426" s="10"/>
      <c r="EY426" s="10"/>
      <c r="EZ426" s="10"/>
      <c r="FA426" s="10"/>
      <c r="FB426" s="10"/>
      <c r="FC426" s="10"/>
      <c r="FD426" s="10"/>
      <c r="FE426" s="10"/>
      <c r="FF426" s="10"/>
      <c r="FG426" s="10"/>
      <c r="FH426" s="10"/>
      <c r="FI426" s="10"/>
      <c r="FJ426" s="10"/>
      <c r="FK426" s="10"/>
      <c r="FL426" s="10"/>
      <c r="FM426" s="10"/>
      <c r="FN426" s="10"/>
      <c r="FO426" s="10"/>
      <c r="FP426" s="10"/>
      <c r="FQ426" s="10"/>
      <c r="FR426" s="10"/>
      <c r="FS426" s="10"/>
      <c r="FT426" s="10"/>
      <c r="FU426" s="10"/>
      <c r="FV426" s="10"/>
      <c r="FW426" s="10"/>
      <c r="FX426" s="10"/>
      <c r="FY426" s="10"/>
      <c r="FZ426" s="10"/>
      <c r="GA426" s="10"/>
      <c r="GB426" s="10"/>
      <c r="GC426" s="10"/>
      <c r="GD426" s="10"/>
      <c r="GE426" s="10"/>
      <c r="GF426" s="10"/>
      <c r="GG426" s="10"/>
      <c r="GH426" s="10"/>
      <c r="GI426" s="10"/>
      <c r="GJ426" s="10"/>
      <c r="GK426" s="10"/>
      <c r="GL426" s="10"/>
      <c r="GM426" s="10"/>
      <c r="GN426" s="10"/>
      <c r="GO426" s="10"/>
      <c r="GP426" s="10"/>
      <c r="GQ426" s="10"/>
      <c r="GR426" s="10"/>
      <c r="GS426" s="10"/>
      <c r="GT426" s="10"/>
      <c r="GU426" s="10"/>
      <c r="GV426" s="10"/>
      <c r="GW426" s="10"/>
      <c r="GX426" s="10"/>
      <c r="GY426" s="10"/>
      <c r="GZ426" s="10"/>
      <c r="HA426" s="10"/>
      <c r="HB426" s="10"/>
      <c r="HC426" s="10"/>
      <c r="HD426" s="10"/>
      <c r="HE426" s="10"/>
      <c r="HF426" s="10"/>
      <c r="HG426" s="10"/>
      <c r="HH426" s="10"/>
      <c r="HI426" s="10"/>
      <c r="HJ426" s="10"/>
      <c r="HK426" s="10"/>
      <c r="HL426" s="10"/>
      <c r="HM426" s="10"/>
      <c r="HN426" s="10"/>
      <c r="HO426" s="10"/>
      <c r="HP426" s="10"/>
      <c r="HQ426" s="10"/>
      <c r="HR426" s="10"/>
      <c r="HS426" s="10"/>
      <c r="HT426" s="10"/>
    </row>
    <row r="427" spans="1:228" ht="12" customHeight="1" x14ac:dyDescent="0.2">
      <c r="B427" s="777"/>
      <c r="C427" s="777"/>
      <c r="D427" s="777"/>
      <c r="E427" s="777"/>
      <c r="F427" s="777"/>
      <c r="G427" s="777"/>
      <c r="H427" s="777"/>
      <c r="I427" s="777"/>
      <c r="J427" s="777"/>
      <c r="K427" s="777"/>
      <c r="L427" s="777"/>
      <c r="M427" s="777"/>
      <c r="N427" s="777"/>
      <c r="O427" s="777"/>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c r="DF427" s="10"/>
      <c r="DG427" s="10"/>
      <c r="DH427" s="10"/>
      <c r="DI427" s="10"/>
      <c r="DJ427" s="10"/>
      <c r="DK427" s="10"/>
      <c r="DL427" s="10"/>
      <c r="DM427" s="10"/>
      <c r="DN427" s="10"/>
      <c r="DO427" s="10"/>
      <c r="DP427" s="10"/>
      <c r="DQ427" s="10"/>
      <c r="DR427" s="10"/>
      <c r="DS427" s="10"/>
      <c r="DT427" s="10"/>
      <c r="DU427" s="10"/>
      <c r="DV427" s="10"/>
      <c r="DW427" s="10"/>
      <c r="DX427" s="10"/>
      <c r="DY427" s="10"/>
      <c r="DZ427" s="10"/>
      <c r="EA427" s="10"/>
      <c r="EB427" s="10"/>
      <c r="EC427" s="10"/>
      <c r="ED427" s="10"/>
      <c r="EE427" s="10"/>
      <c r="EF427" s="10"/>
      <c r="EG427" s="10"/>
      <c r="EH427" s="10"/>
      <c r="EI427" s="10"/>
      <c r="EJ427" s="10"/>
      <c r="EK427" s="10"/>
      <c r="EL427" s="10"/>
      <c r="EM427" s="10"/>
      <c r="EN427" s="10"/>
      <c r="EO427" s="10"/>
      <c r="EP427" s="10"/>
      <c r="EQ427" s="10"/>
      <c r="ER427" s="10"/>
      <c r="ES427" s="10"/>
      <c r="ET427" s="10"/>
      <c r="EU427" s="10"/>
      <c r="EV427" s="10"/>
      <c r="EW427" s="10"/>
      <c r="EX427" s="10"/>
      <c r="EY427" s="10"/>
      <c r="EZ427" s="10"/>
      <c r="FA427" s="10"/>
      <c r="FB427" s="10"/>
      <c r="FC427" s="10"/>
      <c r="FD427" s="10"/>
      <c r="FE427" s="10"/>
      <c r="FF427" s="10"/>
      <c r="FG427" s="10"/>
      <c r="FH427" s="10"/>
      <c r="FI427" s="10"/>
      <c r="FJ427" s="10"/>
      <c r="FK427" s="10"/>
      <c r="FL427" s="10"/>
      <c r="FM427" s="10"/>
      <c r="FN427" s="10"/>
      <c r="FO427" s="10"/>
      <c r="FP427" s="10"/>
      <c r="FQ427" s="10"/>
      <c r="FR427" s="10"/>
      <c r="FS427" s="10"/>
      <c r="FT427" s="10"/>
      <c r="FU427" s="10"/>
      <c r="FV427" s="10"/>
      <c r="FW427" s="10"/>
      <c r="FX427" s="10"/>
      <c r="FY427" s="10"/>
      <c r="FZ427" s="10"/>
      <c r="GA427" s="10"/>
      <c r="GB427" s="10"/>
      <c r="GC427" s="10"/>
      <c r="GD427" s="10"/>
      <c r="GE427" s="10"/>
      <c r="GF427" s="10"/>
      <c r="GG427" s="10"/>
      <c r="GH427" s="10"/>
      <c r="GI427" s="10"/>
      <c r="GJ427" s="10"/>
      <c r="GK427" s="10"/>
      <c r="GL427" s="10"/>
      <c r="GM427" s="10"/>
      <c r="GN427" s="10"/>
      <c r="GO427" s="10"/>
      <c r="GP427" s="10"/>
      <c r="GQ427" s="10"/>
      <c r="GR427" s="10"/>
      <c r="GS427" s="10"/>
      <c r="GT427" s="10"/>
      <c r="GU427" s="10"/>
      <c r="GV427" s="10"/>
      <c r="GW427" s="10"/>
      <c r="GX427" s="10"/>
      <c r="GY427" s="10"/>
      <c r="GZ427" s="10"/>
      <c r="HA427" s="10"/>
      <c r="HB427" s="10"/>
      <c r="HC427" s="10"/>
      <c r="HD427" s="10"/>
      <c r="HE427" s="10"/>
      <c r="HF427" s="10"/>
      <c r="HG427" s="10"/>
      <c r="HH427" s="10"/>
      <c r="HI427" s="10"/>
      <c r="HJ427" s="10"/>
      <c r="HK427" s="10"/>
      <c r="HL427" s="10"/>
      <c r="HM427" s="10"/>
      <c r="HN427" s="10"/>
      <c r="HO427" s="10"/>
      <c r="HP427" s="10"/>
      <c r="HQ427" s="10"/>
      <c r="HR427" s="10"/>
      <c r="HS427" s="10"/>
      <c r="HT427" s="10"/>
    </row>
    <row r="428" spans="1:228" ht="18" customHeight="1" x14ac:dyDescent="0.25">
      <c r="B428" s="1161" t="s">
        <v>686</v>
      </c>
      <c r="C428" s="1161"/>
      <c r="D428" s="1161"/>
      <c r="E428" s="1161"/>
      <c r="F428" s="1161"/>
      <c r="G428" s="1170"/>
      <c r="H428" s="1170"/>
      <c r="I428" s="1170"/>
      <c r="J428" s="1170"/>
      <c r="K428" s="1170"/>
      <c r="L428" s="1170"/>
      <c r="M428" s="1170"/>
      <c r="N428" s="1170"/>
      <c r="O428" s="1170"/>
      <c r="P428" s="297"/>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c r="DF428" s="10"/>
      <c r="DG428" s="10"/>
      <c r="DH428" s="10"/>
      <c r="DI428" s="10"/>
      <c r="DJ428" s="10"/>
      <c r="DK428" s="10"/>
      <c r="DL428" s="10"/>
      <c r="DM428" s="10"/>
      <c r="DN428" s="10"/>
      <c r="DO428" s="10"/>
      <c r="DP428" s="10"/>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c r="EM428" s="10"/>
      <c r="EN428" s="10"/>
      <c r="EO428" s="10"/>
      <c r="EP428" s="10"/>
      <c r="EQ428" s="10"/>
      <c r="ER428" s="10"/>
      <c r="ES428" s="10"/>
      <c r="ET428" s="10"/>
      <c r="EU428" s="10"/>
      <c r="EV428" s="10"/>
      <c r="EW428" s="10"/>
      <c r="EX428" s="10"/>
      <c r="EY428" s="10"/>
      <c r="EZ428" s="10"/>
      <c r="FA428" s="10"/>
      <c r="FB428" s="10"/>
      <c r="FC428" s="10"/>
      <c r="FD428" s="10"/>
      <c r="FE428" s="10"/>
      <c r="FF428" s="10"/>
      <c r="FG428" s="10"/>
      <c r="FH428" s="10"/>
      <c r="FI428" s="10"/>
      <c r="FJ428" s="10"/>
      <c r="FK428" s="10"/>
      <c r="FL428" s="10"/>
      <c r="FM428" s="10"/>
      <c r="FN428" s="10"/>
      <c r="FO428" s="10"/>
      <c r="FP428" s="10"/>
      <c r="FQ428" s="10"/>
      <c r="FR428" s="10"/>
      <c r="FS428" s="10"/>
      <c r="FT428" s="10"/>
      <c r="FU428" s="10"/>
      <c r="FV428" s="10"/>
      <c r="FW428" s="10"/>
      <c r="FX428" s="10"/>
      <c r="FY428" s="10"/>
      <c r="FZ428" s="10"/>
      <c r="GA428" s="10"/>
      <c r="GB428" s="10"/>
      <c r="GC428" s="10"/>
      <c r="GD428" s="10"/>
      <c r="GE428" s="10"/>
      <c r="GF428" s="10"/>
      <c r="GG428" s="10"/>
      <c r="GH428" s="10"/>
      <c r="GI428" s="10"/>
      <c r="GJ428" s="10"/>
      <c r="GK428" s="10"/>
      <c r="GL428" s="10"/>
      <c r="GM428" s="10"/>
      <c r="GN428" s="10"/>
      <c r="GO428" s="10"/>
      <c r="GP428" s="10"/>
      <c r="GQ428" s="10"/>
      <c r="GR428" s="10"/>
      <c r="GS428" s="10"/>
      <c r="GT428" s="10"/>
      <c r="GU428" s="10"/>
      <c r="GV428" s="10"/>
      <c r="GW428" s="10"/>
      <c r="GX428" s="10"/>
      <c r="GY428" s="10"/>
      <c r="GZ428" s="10"/>
      <c r="HA428" s="10"/>
      <c r="HB428" s="10"/>
      <c r="HC428" s="10"/>
      <c r="HD428" s="10"/>
      <c r="HE428" s="10"/>
      <c r="HF428" s="10"/>
      <c r="HG428" s="10"/>
      <c r="HH428" s="10"/>
      <c r="HI428" s="10"/>
      <c r="HJ428" s="10"/>
      <c r="HK428" s="10"/>
      <c r="HL428" s="10"/>
      <c r="HM428" s="10"/>
      <c r="HN428" s="10"/>
      <c r="HO428" s="10"/>
      <c r="HP428" s="10"/>
      <c r="HQ428" s="10"/>
      <c r="HR428" s="10"/>
      <c r="HS428" s="10"/>
      <c r="HT428" s="10"/>
    </row>
    <row r="429" spans="1:228" ht="18" customHeight="1" x14ac:dyDescent="0.2">
      <c r="B429" s="1279" t="s">
        <v>2187</v>
      </c>
      <c r="C429" s="1279"/>
      <c r="D429" s="1279"/>
      <c r="E429" s="1002"/>
      <c r="F429" s="995"/>
      <c r="G429" s="749" t="s">
        <v>959</v>
      </c>
      <c r="H429" s="750"/>
      <c r="I429" s="750"/>
      <c r="J429" s="750"/>
      <c r="K429" s="750"/>
      <c r="L429" s="750"/>
      <c r="M429" s="750"/>
      <c r="N429" s="750"/>
      <c r="O429" s="751"/>
      <c r="P429" s="729">
        <f>U435</f>
        <v>0</v>
      </c>
      <c r="R429" s="546" t="b">
        <v>0</v>
      </c>
      <c r="S429" s="50">
        <f t="shared" ref="S429:S435" si="90">IF(R429=TRUE,1,0)</f>
        <v>0</v>
      </c>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c r="EM429" s="10"/>
      <c r="EN429" s="10"/>
      <c r="EO429" s="10"/>
      <c r="EP429" s="10"/>
      <c r="EQ429" s="10"/>
      <c r="ER429" s="10"/>
      <c r="ES429" s="10"/>
      <c r="ET429" s="10"/>
      <c r="EU429" s="10"/>
      <c r="EV429" s="10"/>
      <c r="EW429" s="10"/>
      <c r="EX429" s="10"/>
      <c r="EY429" s="10"/>
      <c r="EZ429" s="10"/>
      <c r="FA429" s="10"/>
      <c r="FB429" s="10"/>
      <c r="FC429" s="10"/>
      <c r="FD429" s="10"/>
      <c r="FE429" s="10"/>
      <c r="FF429" s="10"/>
      <c r="FG429" s="10"/>
      <c r="FH429" s="10"/>
      <c r="FI429" s="10"/>
      <c r="FJ429" s="10"/>
      <c r="FK429" s="10"/>
      <c r="FL429" s="10"/>
      <c r="FM429" s="10"/>
      <c r="FN429" s="10"/>
      <c r="FO429" s="10"/>
      <c r="FP429" s="10"/>
      <c r="FQ429" s="10"/>
      <c r="FR429" s="10"/>
      <c r="FS429" s="10"/>
      <c r="FT429" s="10"/>
      <c r="FU429" s="10"/>
      <c r="FV429" s="10"/>
      <c r="FW429" s="10"/>
      <c r="FX429" s="10"/>
      <c r="FY429" s="10"/>
      <c r="FZ429" s="10"/>
      <c r="GA429" s="10"/>
      <c r="GB429" s="10"/>
      <c r="GC429" s="10"/>
      <c r="GD429" s="10"/>
      <c r="GE429" s="10"/>
      <c r="GF429" s="10"/>
      <c r="GG429" s="10"/>
      <c r="GH429" s="10"/>
      <c r="GI429" s="10"/>
      <c r="GJ429" s="10"/>
      <c r="GK429" s="10"/>
      <c r="GL429" s="10"/>
      <c r="GM429" s="10"/>
      <c r="GN429" s="10"/>
      <c r="GO429" s="10"/>
      <c r="GP429" s="10"/>
      <c r="GQ429" s="10"/>
      <c r="GR429" s="10"/>
      <c r="GS429" s="10"/>
      <c r="GT429" s="10"/>
      <c r="GU429" s="10"/>
      <c r="GV429" s="10"/>
      <c r="GW429" s="10"/>
      <c r="GX429" s="10"/>
      <c r="GY429" s="10"/>
      <c r="GZ429" s="10"/>
      <c r="HA429" s="10"/>
      <c r="HB429" s="10"/>
      <c r="HC429" s="10"/>
      <c r="HD429" s="10"/>
      <c r="HE429" s="10"/>
      <c r="HF429" s="10"/>
      <c r="HG429" s="10"/>
      <c r="HH429" s="10"/>
      <c r="HI429" s="10"/>
      <c r="HJ429" s="10"/>
      <c r="HK429" s="10"/>
      <c r="HL429" s="10"/>
      <c r="HM429" s="10"/>
      <c r="HN429" s="10"/>
      <c r="HO429" s="10"/>
      <c r="HP429" s="10"/>
      <c r="HQ429" s="10"/>
      <c r="HR429" s="10"/>
      <c r="HS429" s="10"/>
      <c r="HT429" s="10"/>
    </row>
    <row r="430" spans="1:228" ht="18" customHeight="1" x14ac:dyDescent="0.2">
      <c r="A430" s="15"/>
      <c r="B430" s="1279"/>
      <c r="C430" s="1279"/>
      <c r="D430" s="1279"/>
      <c r="E430" s="1002"/>
      <c r="F430" s="995"/>
      <c r="G430" s="818" t="s">
        <v>960</v>
      </c>
      <c r="H430" s="698"/>
      <c r="I430" s="698"/>
      <c r="J430" s="698"/>
      <c r="K430" s="698"/>
      <c r="L430" s="698"/>
      <c r="M430" s="698"/>
      <c r="N430" s="698"/>
      <c r="O430" s="819"/>
      <c r="P430" s="737"/>
      <c r="R430" s="546" t="b">
        <v>0</v>
      </c>
      <c r="S430" s="50">
        <f t="shared" si="90"/>
        <v>0</v>
      </c>
      <c r="T430" s="50" t="s">
        <v>1006</v>
      </c>
      <c r="U430" s="10"/>
      <c r="V430" s="10"/>
      <c r="W430" s="10">
        <v>1E-4</v>
      </c>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c r="EM430" s="10"/>
      <c r="EN430" s="10"/>
      <c r="EO430" s="10"/>
      <c r="EP430" s="10"/>
      <c r="EQ430" s="10"/>
      <c r="ER430" s="10"/>
      <c r="ES430" s="10"/>
      <c r="ET430" s="10"/>
      <c r="EU430" s="10"/>
      <c r="EV430" s="10"/>
      <c r="EW430" s="10"/>
      <c r="EX430" s="10"/>
      <c r="EY430" s="10"/>
      <c r="EZ430" s="10"/>
      <c r="FA430" s="10"/>
      <c r="FB430" s="10"/>
      <c r="FC430" s="10"/>
      <c r="FD430" s="10"/>
      <c r="FE430" s="10"/>
      <c r="FF430" s="10"/>
      <c r="FG430" s="10"/>
      <c r="FH430" s="10"/>
      <c r="FI430" s="10"/>
      <c r="FJ430" s="10"/>
      <c r="FK430" s="10"/>
      <c r="FL430" s="10"/>
      <c r="FM430" s="10"/>
      <c r="FN430" s="10"/>
      <c r="FO430" s="10"/>
      <c r="FP430" s="10"/>
      <c r="FQ430" s="10"/>
      <c r="FR430" s="10"/>
      <c r="FS430" s="10"/>
      <c r="FT430" s="10"/>
      <c r="FU430" s="10"/>
      <c r="FV430" s="10"/>
      <c r="FW430" s="10"/>
      <c r="FX430" s="10"/>
      <c r="FY430" s="10"/>
      <c r="FZ430" s="10"/>
      <c r="GA430" s="10"/>
      <c r="GB430" s="10"/>
      <c r="GC430" s="10"/>
      <c r="GD430" s="10"/>
      <c r="GE430" s="10"/>
      <c r="GF430" s="10"/>
      <c r="GG430" s="10"/>
      <c r="GH430" s="10"/>
      <c r="GI430" s="10"/>
      <c r="GJ430" s="10"/>
      <c r="GK430" s="10"/>
      <c r="GL430" s="10"/>
      <c r="GM430" s="10"/>
      <c r="GN430" s="10"/>
      <c r="GO430" s="10"/>
      <c r="GP430" s="10"/>
      <c r="GQ430" s="10"/>
      <c r="GR430" s="10"/>
      <c r="GS430" s="10"/>
      <c r="GT430" s="10"/>
      <c r="GU430" s="10"/>
      <c r="GV430" s="10"/>
      <c r="GW430" s="10"/>
      <c r="GX430" s="10"/>
      <c r="GY430" s="10"/>
      <c r="GZ430" s="10"/>
      <c r="HA430" s="10"/>
      <c r="HB430" s="10"/>
      <c r="HC430" s="10"/>
      <c r="HD430" s="10"/>
      <c r="HE430" s="10"/>
      <c r="HF430" s="10"/>
      <c r="HG430" s="10"/>
      <c r="HH430" s="10"/>
      <c r="HI430" s="10"/>
      <c r="HJ430" s="10"/>
      <c r="HK430" s="10"/>
      <c r="HL430" s="10"/>
      <c r="HM430" s="10"/>
      <c r="HN430" s="10"/>
      <c r="HO430" s="10"/>
      <c r="HP430" s="10"/>
      <c r="HQ430" s="10"/>
      <c r="HR430" s="10"/>
      <c r="HS430" s="10"/>
      <c r="HT430" s="10"/>
    </row>
    <row r="431" spans="1:228" ht="18" customHeight="1" x14ac:dyDescent="0.2">
      <c r="B431" s="1279"/>
      <c r="C431" s="1279"/>
      <c r="D431" s="1279"/>
      <c r="E431" s="1002"/>
      <c r="F431" s="995"/>
      <c r="G431" s="818" t="s">
        <v>961</v>
      </c>
      <c r="H431" s="698"/>
      <c r="I431" s="698"/>
      <c r="J431" s="698"/>
      <c r="K431" s="698"/>
      <c r="L431" s="698"/>
      <c r="M431" s="698"/>
      <c r="N431" s="698"/>
      <c r="O431" s="819"/>
      <c r="P431" s="737"/>
      <c r="R431" s="546" t="b">
        <v>0</v>
      </c>
      <c r="S431" s="50">
        <f t="shared" si="90"/>
        <v>0</v>
      </c>
      <c r="T431" s="50">
        <f>SUM(S429:S431)</f>
        <v>0</v>
      </c>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c r="EM431" s="10"/>
      <c r="EN431" s="10"/>
      <c r="EO431" s="10"/>
      <c r="EP431" s="10"/>
      <c r="EQ431" s="10"/>
      <c r="ER431" s="10"/>
      <c r="ES431" s="10"/>
      <c r="ET431" s="10"/>
      <c r="EU431" s="10"/>
      <c r="EV431" s="10"/>
      <c r="EW431" s="10"/>
      <c r="EX431" s="10"/>
      <c r="EY431" s="10"/>
      <c r="EZ431" s="10"/>
      <c r="FA431" s="10"/>
      <c r="FB431" s="10"/>
      <c r="FC431" s="10"/>
      <c r="FD431" s="10"/>
      <c r="FE431" s="10"/>
      <c r="FF431" s="10"/>
      <c r="FG431" s="10"/>
      <c r="FH431" s="10"/>
      <c r="FI431" s="10"/>
      <c r="FJ431" s="10"/>
      <c r="FK431" s="10"/>
      <c r="FL431" s="10"/>
      <c r="FM431" s="10"/>
      <c r="FN431" s="10"/>
      <c r="FO431" s="10"/>
      <c r="FP431" s="10"/>
      <c r="FQ431" s="10"/>
      <c r="FR431" s="10"/>
      <c r="FS431" s="10"/>
      <c r="FT431" s="10"/>
      <c r="FU431" s="10"/>
      <c r="FV431" s="10"/>
      <c r="FW431" s="10"/>
      <c r="FX431" s="10"/>
      <c r="FY431" s="10"/>
      <c r="FZ431" s="10"/>
      <c r="GA431" s="10"/>
      <c r="GB431" s="10"/>
      <c r="GC431" s="10"/>
      <c r="GD431" s="10"/>
      <c r="GE431" s="10"/>
      <c r="GF431" s="10"/>
      <c r="GG431" s="10"/>
      <c r="GH431" s="10"/>
      <c r="GI431" s="10"/>
      <c r="GJ431" s="10"/>
      <c r="GK431" s="10"/>
      <c r="GL431" s="10"/>
      <c r="GM431" s="10"/>
      <c r="GN431" s="10"/>
      <c r="GO431" s="10"/>
      <c r="GP431" s="10"/>
      <c r="GQ431" s="10"/>
      <c r="GR431" s="10"/>
      <c r="GS431" s="10"/>
      <c r="GT431" s="10"/>
      <c r="GU431" s="10"/>
      <c r="GV431" s="10"/>
      <c r="GW431" s="10"/>
      <c r="GX431" s="10"/>
      <c r="GY431" s="10"/>
      <c r="GZ431" s="10"/>
      <c r="HA431" s="10"/>
      <c r="HB431" s="10"/>
      <c r="HC431" s="10"/>
      <c r="HD431" s="10"/>
      <c r="HE431" s="10"/>
      <c r="HF431" s="10"/>
      <c r="HG431" s="10"/>
      <c r="HH431" s="10"/>
      <c r="HI431" s="10"/>
      <c r="HJ431" s="10"/>
      <c r="HK431" s="10"/>
      <c r="HL431" s="10"/>
      <c r="HM431" s="10"/>
      <c r="HN431" s="10"/>
      <c r="HO431" s="10"/>
      <c r="HP431" s="10"/>
      <c r="HQ431" s="10"/>
      <c r="HR431" s="10"/>
      <c r="HS431" s="10"/>
      <c r="HT431" s="10"/>
    </row>
    <row r="432" spans="1:228" ht="18" customHeight="1" x14ac:dyDescent="0.2">
      <c r="B432" s="1279"/>
      <c r="C432" s="1279"/>
      <c r="D432" s="1279"/>
      <c r="E432" s="1260"/>
      <c r="F432" s="1017"/>
      <c r="G432" s="1296" t="s">
        <v>962</v>
      </c>
      <c r="H432" s="1297"/>
      <c r="I432" s="1297"/>
      <c r="J432" s="1297"/>
      <c r="K432" s="1297"/>
      <c r="L432" s="1297"/>
      <c r="M432" s="1297"/>
      <c r="N432" s="1297"/>
      <c r="O432" s="1298"/>
      <c r="P432" s="737"/>
      <c r="R432" s="546" t="b">
        <v>0</v>
      </c>
      <c r="S432" s="50">
        <f t="shared" si="90"/>
        <v>0</v>
      </c>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c r="EM432" s="10"/>
      <c r="EN432" s="10"/>
      <c r="EO432" s="10"/>
      <c r="EP432" s="10"/>
      <c r="EQ432" s="10"/>
      <c r="ER432" s="10"/>
      <c r="ES432" s="10"/>
      <c r="ET432" s="10"/>
      <c r="EU432" s="10"/>
      <c r="EV432" s="10"/>
      <c r="EW432" s="10"/>
      <c r="EX432" s="10"/>
      <c r="EY432" s="10"/>
      <c r="EZ432" s="10"/>
      <c r="FA432" s="10"/>
      <c r="FB432" s="10"/>
      <c r="FC432" s="10"/>
      <c r="FD432" s="10"/>
      <c r="FE432" s="10"/>
      <c r="FF432" s="10"/>
      <c r="FG432" s="10"/>
      <c r="FH432" s="10"/>
      <c r="FI432" s="10"/>
      <c r="FJ432" s="10"/>
      <c r="FK432" s="10"/>
      <c r="FL432" s="10"/>
      <c r="FM432" s="10"/>
      <c r="FN432" s="10"/>
      <c r="FO432" s="10"/>
      <c r="FP432" s="10"/>
      <c r="FQ432" s="10"/>
      <c r="FR432" s="10"/>
      <c r="FS432" s="10"/>
      <c r="FT432" s="10"/>
      <c r="FU432" s="10"/>
      <c r="FV432" s="10"/>
      <c r="FW432" s="10"/>
      <c r="FX432" s="10"/>
      <c r="FY432" s="10"/>
      <c r="FZ432" s="10"/>
      <c r="GA432" s="10"/>
      <c r="GB432" s="10"/>
      <c r="GC432" s="10"/>
      <c r="GD432" s="10"/>
      <c r="GE432" s="10"/>
      <c r="GF432" s="10"/>
      <c r="GG432" s="10"/>
      <c r="GH432" s="10"/>
      <c r="GI432" s="10"/>
      <c r="GJ432" s="10"/>
      <c r="GK432" s="10"/>
      <c r="GL432" s="10"/>
      <c r="GM432" s="10"/>
      <c r="GN432" s="10"/>
      <c r="GO432" s="10"/>
      <c r="GP432" s="10"/>
      <c r="GQ432" s="10"/>
      <c r="GR432" s="10"/>
      <c r="GS432" s="10"/>
      <c r="GT432" s="10"/>
      <c r="GU432" s="10"/>
      <c r="GV432" s="10"/>
      <c r="GW432" s="10"/>
      <c r="GX432" s="10"/>
      <c r="GY432" s="10"/>
      <c r="GZ432" s="10"/>
      <c r="HA432" s="10"/>
      <c r="HB432" s="10"/>
      <c r="HC432" s="10"/>
      <c r="HD432" s="10"/>
      <c r="HE432" s="10"/>
      <c r="HF432" s="10"/>
      <c r="HG432" s="10"/>
      <c r="HH432" s="10"/>
      <c r="HI432" s="10"/>
      <c r="HJ432" s="10"/>
      <c r="HK432" s="10"/>
      <c r="HL432" s="10"/>
      <c r="HM432" s="10"/>
      <c r="HN432" s="10"/>
      <c r="HO432" s="10"/>
      <c r="HP432" s="10"/>
      <c r="HQ432" s="10"/>
      <c r="HR432" s="10"/>
      <c r="HS432" s="10"/>
      <c r="HT432" s="10"/>
    </row>
    <row r="433" spans="1:228" ht="18" customHeight="1" x14ac:dyDescent="0.2">
      <c r="B433" s="1279"/>
      <c r="C433" s="1279"/>
      <c r="D433" s="1279"/>
      <c r="E433" s="1002"/>
      <c r="F433" s="995"/>
      <c r="G433" s="1138" t="s">
        <v>963</v>
      </c>
      <c r="H433" s="1139"/>
      <c r="I433" s="1139"/>
      <c r="J433" s="1139"/>
      <c r="K433" s="1139"/>
      <c r="L433" s="1139"/>
      <c r="M433" s="1139"/>
      <c r="N433" s="1139"/>
      <c r="O433" s="1140"/>
      <c r="P433" s="737"/>
      <c r="R433" s="546" t="b">
        <v>0</v>
      </c>
      <c r="S433" s="50">
        <f t="shared" si="90"/>
        <v>0</v>
      </c>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c r="EM433" s="10"/>
      <c r="EN433" s="10"/>
      <c r="EO433" s="10"/>
      <c r="EP433" s="10"/>
      <c r="EQ433" s="10"/>
      <c r="ER433" s="10"/>
      <c r="ES433" s="10"/>
      <c r="ET433" s="10"/>
      <c r="EU433" s="10"/>
      <c r="EV433" s="10"/>
      <c r="EW433" s="10"/>
      <c r="EX433" s="10"/>
      <c r="EY433" s="10"/>
      <c r="EZ433" s="10"/>
      <c r="FA433" s="10"/>
      <c r="FB433" s="10"/>
      <c r="FC433" s="10"/>
      <c r="FD433" s="10"/>
      <c r="FE433" s="10"/>
      <c r="FF433" s="10"/>
      <c r="FG433" s="10"/>
      <c r="FH433" s="10"/>
      <c r="FI433" s="10"/>
      <c r="FJ433" s="10"/>
      <c r="FK433" s="10"/>
      <c r="FL433" s="10"/>
      <c r="FM433" s="10"/>
      <c r="FN433" s="10"/>
      <c r="FO433" s="10"/>
      <c r="FP433" s="10"/>
      <c r="FQ433" s="10"/>
      <c r="FR433" s="10"/>
      <c r="FS433" s="10"/>
      <c r="FT433" s="10"/>
      <c r="FU433" s="10"/>
      <c r="FV433" s="10"/>
      <c r="FW433" s="10"/>
      <c r="FX433" s="10"/>
      <c r="FY433" s="10"/>
      <c r="FZ433" s="10"/>
      <c r="GA433" s="10"/>
      <c r="GB433" s="10"/>
      <c r="GC433" s="10"/>
      <c r="GD433" s="10"/>
      <c r="GE433" s="10"/>
      <c r="GF433" s="10"/>
      <c r="GG433" s="10"/>
      <c r="GH433" s="10"/>
      <c r="GI433" s="10"/>
      <c r="GJ433" s="10"/>
      <c r="GK433" s="10"/>
      <c r="GL433" s="10"/>
      <c r="GM433" s="10"/>
      <c r="GN433" s="10"/>
      <c r="GO433" s="10"/>
      <c r="GP433" s="10"/>
      <c r="GQ433" s="10"/>
      <c r="GR433" s="10"/>
      <c r="GS433" s="10"/>
      <c r="GT433" s="10"/>
      <c r="GU433" s="10"/>
      <c r="GV433" s="10"/>
      <c r="GW433" s="10"/>
      <c r="GX433" s="10"/>
      <c r="GY433" s="10"/>
      <c r="GZ433" s="10"/>
      <c r="HA433" s="10"/>
      <c r="HB433" s="10"/>
      <c r="HC433" s="10"/>
      <c r="HD433" s="10"/>
      <c r="HE433" s="10"/>
      <c r="HF433" s="10"/>
      <c r="HG433" s="10"/>
      <c r="HH433" s="10"/>
      <c r="HI433" s="10"/>
      <c r="HJ433" s="10"/>
      <c r="HK433" s="10"/>
      <c r="HL433" s="10"/>
      <c r="HM433" s="10"/>
      <c r="HN433" s="10"/>
      <c r="HO433" s="10"/>
      <c r="HP433" s="10"/>
      <c r="HQ433" s="10"/>
      <c r="HR433" s="10"/>
      <c r="HS433" s="10"/>
      <c r="HT433" s="10"/>
    </row>
    <row r="434" spans="1:228" ht="18" customHeight="1" x14ac:dyDescent="0.2">
      <c r="B434" s="1279"/>
      <c r="C434" s="1279"/>
      <c r="D434" s="1279"/>
      <c r="E434" s="1002"/>
      <c r="F434" s="995"/>
      <c r="G434" s="1138" t="s">
        <v>1823</v>
      </c>
      <c r="H434" s="1139"/>
      <c r="I434" s="1139"/>
      <c r="J434" s="1139"/>
      <c r="K434" s="1139"/>
      <c r="L434" s="1139"/>
      <c r="M434" s="1139"/>
      <c r="N434" s="1139"/>
      <c r="O434" s="1140"/>
      <c r="P434" s="737"/>
      <c r="R434" s="546" t="b">
        <v>0</v>
      </c>
      <c r="S434" s="50">
        <f t="shared" si="90"/>
        <v>0</v>
      </c>
      <c r="T434" s="50" t="s">
        <v>1006</v>
      </c>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c r="EM434" s="10"/>
      <c r="EN434" s="10"/>
      <c r="EO434" s="10"/>
      <c r="EP434" s="10"/>
      <c r="EQ434" s="10"/>
      <c r="ER434" s="10"/>
      <c r="ES434" s="10"/>
      <c r="ET434" s="10"/>
      <c r="EU434" s="10"/>
      <c r="EV434" s="10"/>
      <c r="EW434" s="10"/>
      <c r="EX434" s="10"/>
      <c r="EY434" s="10"/>
      <c r="EZ434" s="10"/>
      <c r="FA434" s="10"/>
      <c r="FB434" s="10"/>
      <c r="FC434" s="10"/>
      <c r="FD434" s="10"/>
      <c r="FE434" s="10"/>
      <c r="FF434" s="10"/>
      <c r="FG434" s="10"/>
      <c r="FH434" s="10"/>
      <c r="FI434" s="10"/>
      <c r="FJ434" s="10"/>
      <c r="FK434" s="10"/>
      <c r="FL434" s="10"/>
      <c r="FM434" s="10"/>
      <c r="FN434" s="10"/>
      <c r="FO434" s="10"/>
      <c r="FP434" s="10"/>
      <c r="FQ434" s="10"/>
      <c r="FR434" s="10"/>
      <c r="FS434" s="10"/>
      <c r="FT434" s="10"/>
      <c r="FU434" s="10"/>
      <c r="FV434" s="10"/>
      <c r="FW434" s="10"/>
      <c r="FX434" s="10"/>
      <c r="FY434" s="10"/>
      <c r="FZ434" s="10"/>
      <c r="GA434" s="10"/>
      <c r="GB434" s="10"/>
      <c r="GC434" s="10"/>
      <c r="GD434" s="10"/>
      <c r="GE434" s="10"/>
      <c r="GF434" s="10"/>
      <c r="GG434" s="10"/>
      <c r="GH434" s="10"/>
      <c r="GI434" s="10"/>
      <c r="GJ434" s="10"/>
      <c r="GK434" s="10"/>
      <c r="GL434" s="10"/>
      <c r="GM434" s="10"/>
      <c r="GN434" s="10"/>
      <c r="GO434" s="10"/>
      <c r="GP434" s="10"/>
      <c r="GQ434" s="10"/>
      <c r="GR434" s="10"/>
      <c r="GS434" s="10"/>
      <c r="GT434" s="10"/>
      <c r="GU434" s="10"/>
      <c r="GV434" s="10"/>
      <c r="GW434" s="10"/>
      <c r="GX434" s="10"/>
      <c r="GY434" s="10"/>
      <c r="GZ434" s="10"/>
      <c r="HA434" s="10"/>
      <c r="HB434" s="10"/>
      <c r="HC434" s="10"/>
      <c r="HD434" s="10"/>
      <c r="HE434" s="10"/>
      <c r="HF434" s="10"/>
      <c r="HG434" s="10"/>
      <c r="HH434" s="10"/>
      <c r="HI434" s="10"/>
      <c r="HJ434" s="10"/>
      <c r="HK434" s="10"/>
      <c r="HL434" s="10"/>
      <c r="HM434" s="10"/>
      <c r="HN434" s="10"/>
      <c r="HO434" s="10"/>
      <c r="HP434" s="10"/>
      <c r="HQ434" s="10"/>
      <c r="HR434" s="10"/>
      <c r="HS434" s="10"/>
      <c r="HT434" s="10"/>
    </row>
    <row r="435" spans="1:228" ht="18" customHeight="1" x14ac:dyDescent="0.2">
      <c r="B435" s="1279"/>
      <c r="C435" s="1279"/>
      <c r="D435" s="1279"/>
      <c r="E435" s="1002"/>
      <c r="F435" s="995"/>
      <c r="G435" s="1168" t="s">
        <v>1567</v>
      </c>
      <c r="H435" s="1169"/>
      <c r="I435" s="1169"/>
      <c r="J435" s="1169"/>
      <c r="K435" s="1169"/>
      <c r="L435" s="1169"/>
      <c r="M435" s="1169"/>
      <c r="N435" s="1169"/>
      <c r="O435" s="1200"/>
      <c r="P435" s="737"/>
      <c r="R435" s="546" t="b">
        <v>0</v>
      </c>
      <c r="S435" s="50">
        <f t="shared" si="90"/>
        <v>0</v>
      </c>
      <c r="T435" s="50">
        <f>SUM(S432:S435)</f>
        <v>0</v>
      </c>
      <c r="U435" s="514">
        <f>IF(AND(T431&gt;0,T435&gt;0),0.05,0)</f>
        <v>0</v>
      </c>
      <c r="V435" s="97"/>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c r="EM435" s="10"/>
      <c r="EN435" s="10"/>
      <c r="EO435" s="10"/>
      <c r="EP435" s="10"/>
      <c r="EQ435" s="10"/>
      <c r="ER435" s="10"/>
      <c r="ES435" s="10"/>
      <c r="ET435" s="10"/>
      <c r="EU435" s="10"/>
      <c r="EV435" s="10"/>
      <c r="EW435" s="10"/>
      <c r="EX435" s="10"/>
      <c r="EY435" s="10"/>
      <c r="EZ435" s="10"/>
      <c r="FA435" s="10"/>
      <c r="FB435" s="10"/>
      <c r="FC435" s="10"/>
      <c r="FD435" s="10"/>
      <c r="FE435" s="10"/>
      <c r="FF435" s="10"/>
      <c r="FG435" s="10"/>
      <c r="FH435" s="10"/>
      <c r="FI435" s="10"/>
      <c r="FJ435" s="10"/>
      <c r="FK435" s="10"/>
      <c r="FL435" s="10"/>
      <c r="FM435" s="10"/>
      <c r="FN435" s="10"/>
      <c r="FO435" s="10"/>
      <c r="FP435" s="10"/>
      <c r="FQ435" s="10"/>
      <c r="FR435" s="10"/>
      <c r="FS435" s="10"/>
      <c r="FT435" s="10"/>
      <c r="FU435" s="10"/>
      <c r="FV435" s="10"/>
      <c r="FW435" s="10"/>
      <c r="FX435" s="10"/>
      <c r="FY435" s="10"/>
      <c r="FZ435" s="10"/>
      <c r="GA435" s="10"/>
      <c r="GB435" s="10"/>
      <c r="GC435" s="10"/>
      <c r="GD435" s="10"/>
      <c r="GE435" s="10"/>
      <c r="GF435" s="10"/>
      <c r="GG435" s="10"/>
      <c r="GH435" s="10"/>
      <c r="GI435" s="10"/>
      <c r="GJ435" s="10"/>
      <c r="GK435" s="10"/>
      <c r="GL435" s="10"/>
      <c r="GM435" s="10"/>
      <c r="GN435" s="10"/>
      <c r="GO435" s="10"/>
      <c r="GP435" s="10"/>
      <c r="GQ435" s="10"/>
      <c r="GR435" s="10"/>
      <c r="GS435" s="10"/>
      <c r="GT435" s="10"/>
      <c r="GU435" s="10"/>
      <c r="GV435" s="10"/>
      <c r="GW435" s="10"/>
      <c r="GX435" s="10"/>
      <c r="GY435" s="10"/>
      <c r="GZ435" s="10"/>
      <c r="HA435" s="10"/>
      <c r="HB435" s="10"/>
      <c r="HC435" s="10"/>
      <c r="HD435" s="10"/>
      <c r="HE435" s="10"/>
      <c r="HF435" s="10"/>
      <c r="HG435" s="10"/>
      <c r="HH435" s="10"/>
      <c r="HI435" s="10"/>
      <c r="HJ435" s="10"/>
      <c r="HK435" s="10"/>
      <c r="HL435" s="10"/>
      <c r="HM435" s="10"/>
      <c r="HN435" s="10"/>
      <c r="HO435" s="10"/>
      <c r="HP435" s="10"/>
      <c r="HQ435" s="10"/>
      <c r="HR435" s="10"/>
      <c r="HS435" s="10"/>
      <c r="HT435" s="10"/>
    </row>
    <row r="436" spans="1:228" ht="12" customHeight="1" x14ac:dyDescent="0.2">
      <c r="B436" s="777"/>
      <c r="C436" s="777"/>
      <c r="D436" s="777"/>
      <c r="E436" s="777"/>
      <c r="F436" s="777"/>
      <c r="G436" s="777"/>
      <c r="H436" s="777"/>
      <c r="I436" s="777"/>
      <c r="J436" s="777"/>
      <c r="K436" s="777"/>
      <c r="L436" s="777"/>
      <c r="M436" s="777"/>
      <c r="N436" s="777"/>
      <c r="O436" s="777"/>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c r="EM436" s="10"/>
      <c r="EN436" s="10"/>
      <c r="EO436" s="10"/>
      <c r="EP436" s="10"/>
      <c r="EQ436" s="10"/>
      <c r="ER436" s="10"/>
      <c r="ES436" s="10"/>
      <c r="ET436" s="10"/>
      <c r="EU436" s="10"/>
      <c r="EV436" s="10"/>
      <c r="EW436" s="10"/>
      <c r="EX436" s="10"/>
      <c r="EY436" s="10"/>
      <c r="EZ436" s="10"/>
      <c r="FA436" s="10"/>
      <c r="FB436" s="10"/>
      <c r="FC436" s="10"/>
      <c r="FD436" s="10"/>
      <c r="FE436" s="10"/>
      <c r="FF436" s="10"/>
      <c r="FG436" s="10"/>
      <c r="FH436" s="10"/>
      <c r="FI436" s="10"/>
      <c r="FJ436" s="10"/>
      <c r="FK436" s="10"/>
      <c r="FL436" s="10"/>
      <c r="FM436" s="10"/>
      <c r="FN436" s="10"/>
      <c r="FO436" s="10"/>
      <c r="FP436" s="10"/>
      <c r="FQ436" s="10"/>
      <c r="FR436" s="10"/>
      <c r="FS436" s="10"/>
      <c r="FT436" s="10"/>
      <c r="FU436" s="10"/>
      <c r="FV436" s="10"/>
      <c r="FW436" s="10"/>
      <c r="FX436" s="10"/>
      <c r="FY436" s="10"/>
      <c r="FZ436" s="10"/>
      <c r="GA436" s="10"/>
      <c r="GB436" s="10"/>
      <c r="GC436" s="10"/>
      <c r="GD436" s="10"/>
      <c r="GE436" s="10"/>
      <c r="GF436" s="10"/>
      <c r="GG436" s="10"/>
      <c r="GH436" s="10"/>
      <c r="GI436" s="10"/>
      <c r="GJ436" s="10"/>
      <c r="GK436" s="10"/>
      <c r="GL436" s="10"/>
      <c r="GM436" s="10"/>
      <c r="GN436" s="10"/>
      <c r="GO436" s="10"/>
      <c r="GP436" s="10"/>
      <c r="GQ436" s="10"/>
      <c r="GR436" s="10"/>
      <c r="GS436" s="10"/>
      <c r="GT436" s="10"/>
      <c r="GU436" s="10"/>
      <c r="GV436" s="10"/>
      <c r="GW436" s="10"/>
      <c r="GX436" s="10"/>
      <c r="GY436" s="10"/>
      <c r="GZ436" s="10"/>
      <c r="HA436" s="10"/>
      <c r="HB436" s="10"/>
      <c r="HC436" s="10"/>
      <c r="HD436" s="10"/>
      <c r="HE436" s="10"/>
      <c r="HF436" s="10"/>
      <c r="HG436" s="10"/>
      <c r="HH436" s="10"/>
      <c r="HI436" s="10"/>
      <c r="HJ436" s="10"/>
      <c r="HK436" s="10"/>
      <c r="HL436" s="10"/>
      <c r="HM436" s="10"/>
      <c r="HN436" s="10"/>
      <c r="HO436" s="10"/>
      <c r="HP436" s="10"/>
      <c r="HQ436" s="10"/>
      <c r="HR436" s="10"/>
      <c r="HS436" s="10"/>
      <c r="HT436" s="10"/>
    </row>
    <row r="437" spans="1:228" ht="18" customHeight="1" x14ac:dyDescent="0.25">
      <c r="B437" s="1161" t="s">
        <v>686</v>
      </c>
      <c r="C437" s="1161"/>
      <c r="D437" s="1161"/>
      <c r="E437" s="1161"/>
      <c r="F437" s="1161"/>
      <c r="G437" s="1161"/>
      <c r="H437" s="1161"/>
      <c r="I437" s="1161"/>
      <c r="J437" s="1161"/>
      <c r="K437" s="1161"/>
      <c r="L437" s="1161"/>
      <c r="M437" s="1161"/>
      <c r="N437" s="1161"/>
      <c r="O437" s="1161"/>
      <c r="P437" s="297"/>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c r="EM437" s="10"/>
      <c r="EN437" s="10"/>
      <c r="EO437" s="10"/>
      <c r="EP437" s="10"/>
      <c r="EQ437" s="10"/>
      <c r="ER437" s="10"/>
      <c r="ES437" s="10"/>
      <c r="ET437" s="10"/>
      <c r="EU437" s="10"/>
      <c r="EV437" s="10"/>
      <c r="EW437" s="10"/>
      <c r="EX437" s="10"/>
      <c r="EY437" s="10"/>
      <c r="EZ437" s="10"/>
      <c r="FA437" s="10"/>
      <c r="FB437" s="10"/>
      <c r="FC437" s="10"/>
      <c r="FD437" s="10"/>
      <c r="FE437" s="10"/>
      <c r="FF437" s="10"/>
      <c r="FG437" s="10"/>
      <c r="FH437" s="10"/>
      <c r="FI437" s="10"/>
      <c r="FJ437" s="10"/>
      <c r="FK437" s="10"/>
      <c r="FL437" s="10"/>
      <c r="FM437" s="10"/>
      <c r="FN437" s="10"/>
      <c r="FO437" s="10"/>
      <c r="FP437" s="10"/>
      <c r="FQ437" s="10"/>
      <c r="FR437" s="10"/>
      <c r="FS437" s="10"/>
      <c r="FT437" s="10"/>
      <c r="FU437" s="10"/>
      <c r="FV437" s="10"/>
      <c r="FW437" s="10"/>
      <c r="FX437" s="10"/>
      <c r="FY437" s="10"/>
      <c r="FZ437" s="10"/>
      <c r="GA437" s="10"/>
      <c r="GB437" s="10"/>
      <c r="GC437" s="10"/>
      <c r="GD437" s="10"/>
      <c r="GE437" s="10"/>
      <c r="GF437" s="10"/>
      <c r="GG437" s="10"/>
      <c r="GH437" s="10"/>
      <c r="GI437" s="10"/>
      <c r="GJ437" s="10"/>
      <c r="GK437" s="10"/>
      <c r="GL437" s="10"/>
      <c r="GM437" s="10"/>
      <c r="GN437" s="10"/>
      <c r="GO437" s="10"/>
      <c r="GP437" s="10"/>
      <c r="GQ437" s="10"/>
      <c r="GR437" s="10"/>
      <c r="GS437" s="10"/>
      <c r="GT437" s="10"/>
      <c r="GU437" s="10"/>
      <c r="GV437" s="10"/>
      <c r="GW437" s="10"/>
      <c r="GX437" s="10"/>
      <c r="GY437" s="10"/>
      <c r="GZ437" s="10"/>
      <c r="HA437" s="10"/>
      <c r="HB437" s="10"/>
      <c r="HC437" s="10"/>
      <c r="HD437" s="10"/>
      <c r="HE437" s="10"/>
      <c r="HF437" s="10"/>
      <c r="HG437" s="10"/>
      <c r="HH437" s="10"/>
      <c r="HI437" s="10"/>
      <c r="HJ437" s="10"/>
      <c r="HK437" s="10"/>
      <c r="HL437" s="10"/>
      <c r="HM437" s="10"/>
      <c r="HN437" s="10"/>
      <c r="HO437" s="10"/>
      <c r="HP437" s="10"/>
      <c r="HQ437" s="10"/>
      <c r="HR437" s="10"/>
      <c r="HS437" s="10"/>
      <c r="HT437" s="10"/>
    </row>
    <row r="438" spans="1:228" ht="39" customHeight="1" x14ac:dyDescent="0.2">
      <c r="A438" s="15"/>
      <c r="B438" s="1257" t="s">
        <v>1986</v>
      </c>
      <c r="C438" s="1258"/>
      <c r="D438" s="1258"/>
      <c r="E438" s="1258"/>
      <c r="F438" s="1258"/>
      <c r="G438" s="1258"/>
      <c r="H438" s="1258"/>
      <c r="I438" s="1258"/>
      <c r="J438" s="1258"/>
      <c r="K438" s="1258"/>
      <c r="L438" s="1258"/>
      <c r="M438" s="1259"/>
      <c r="N438" s="1002"/>
      <c r="O438" s="1002"/>
      <c r="P438" s="82">
        <f>IF(R438=1,0.15,0)</f>
        <v>0</v>
      </c>
      <c r="R438" s="546">
        <v>2</v>
      </c>
      <c r="S438" s="10"/>
      <c r="T438" s="10"/>
      <c r="U438" s="10"/>
      <c r="V438" s="10"/>
      <c r="W438" s="10">
        <v>1E-4</v>
      </c>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0"/>
      <c r="EU438" s="10"/>
      <c r="EV438" s="10"/>
      <c r="EW438" s="10"/>
      <c r="EX438" s="10"/>
      <c r="EY438" s="10"/>
      <c r="EZ438" s="10"/>
      <c r="FA438" s="10"/>
      <c r="FB438" s="10"/>
      <c r="FC438" s="10"/>
      <c r="FD438" s="10"/>
      <c r="FE438" s="10"/>
      <c r="FF438" s="10"/>
      <c r="FG438" s="10"/>
      <c r="FH438" s="10"/>
      <c r="FI438" s="10"/>
      <c r="FJ438" s="10"/>
      <c r="FK438" s="10"/>
      <c r="FL438" s="10"/>
      <c r="FM438" s="10"/>
      <c r="FN438" s="10"/>
      <c r="FO438" s="10"/>
      <c r="FP438" s="10"/>
      <c r="FQ438" s="10"/>
      <c r="FR438" s="10"/>
      <c r="FS438" s="10"/>
      <c r="FT438" s="10"/>
      <c r="FU438" s="10"/>
      <c r="FV438" s="10"/>
      <c r="FW438" s="10"/>
      <c r="FX438" s="10"/>
      <c r="FY438" s="10"/>
      <c r="FZ438" s="10"/>
      <c r="GA438" s="10"/>
      <c r="GB438" s="10"/>
      <c r="GC438" s="10"/>
      <c r="GD438" s="10"/>
      <c r="GE438" s="10"/>
      <c r="GF438" s="10"/>
      <c r="GG438" s="10"/>
      <c r="GH438" s="10"/>
      <c r="GI438" s="10"/>
      <c r="GJ438" s="10"/>
      <c r="GK438" s="10"/>
      <c r="GL438" s="10"/>
      <c r="GM438" s="10"/>
      <c r="GN438" s="10"/>
      <c r="GO438" s="10"/>
      <c r="GP438" s="10"/>
      <c r="GQ438" s="10"/>
      <c r="GR438" s="10"/>
      <c r="GS438" s="10"/>
      <c r="GT438" s="10"/>
      <c r="GU438" s="10"/>
      <c r="GV438" s="10"/>
      <c r="GW438" s="10"/>
      <c r="GX438" s="10"/>
      <c r="GY438" s="10"/>
      <c r="GZ438" s="10"/>
      <c r="HA438" s="10"/>
      <c r="HB438" s="10"/>
      <c r="HC438" s="10"/>
      <c r="HD438" s="10"/>
      <c r="HE438" s="10"/>
      <c r="HF438" s="10"/>
      <c r="HG438" s="10"/>
      <c r="HH438" s="10"/>
      <c r="HI438" s="10"/>
      <c r="HJ438" s="10"/>
      <c r="HK438" s="10"/>
      <c r="HL438" s="10"/>
      <c r="HM438" s="10"/>
      <c r="HN438" s="10"/>
      <c r="HO438" s="10"/>
      <c r="HP438" s="10"/>
      <c r="HQ438" s="10"/>
      <c r="HR438" s="10"/>
      <c r="HS438" s="10"/>
      <c r="HT438" s="10"/>
    </row>
    <row r="439" spans="1:228" ht="9" customHeight="1" x14ac:dyDescent="0.2">
      <c r="B439" s="777"/>
      <c r="C439" s="777"/>
      <c r="D439" s="777"/>
      <c r="E439" s="777"/>
      <c r="F439" s="777"/>
      <c r="G439" s="777"/>
      <c r="H439" s="777"/>
      <c r="I439" s="777"/>
      <c r="J439" s="777"/>
      <c r="K439" s="777"/>
      <c r="L439" s="777"/>
      <c r="M439" s="777"/>
      <c r="N439" s="777"/>
      <c r="O439" s="777"/>
      <c r="P439" s="777"/>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c r="EM439" s="10"/>
      <c r="EN439" s="10"/>
      <c r="EO439" s="10"/>
      <c r="EP439" s="10"/>
      <c r="EQ439" s="10"/>
      <c r="ER439" s="10"/>
      <c r="ES439" s="10"/>
      <c r="ET439" s="10"/>
      <c r="EU439" s="10"/>
      <c r="EV439" s="10"/>
      <c r="EW439" s="10"/>
      <c r="EX439" s="10"/>
      <c r="EY439" s="10"/>
      <c r="EZ439" s="10"/>
      <c r="FA439" s="10"/>
      <c r="FB439" s="10"/>
      <c r="FC439" s="10"/>
      <c r="FD439" s="10"/>
      <c r="FE439" s="10"/>
      <c r="FF439" s="10"/>
      <c r="FG439" s="10"/>
      <c r="FH439" s="10"/>
      <c r="FI439" s="10"/>
      <c r="FJ439" s="10"/>
      <c r="FK439" s="10"/>
      <c r="FL439" s="10"/>
      <c r="FM439" s="10"/>
      <c r="FN439" s="10"/>
      <c r="FO439" s="10"/>
      <c r="FP439" s="10"/>
      <c r="FQ439" s="10"/>
      <c r="FR439" s="10"/>
      <c r="FS439" s="10"/>
      <c r="FT439" s="10"/>
      <c r="FU439" s="10"/>
      <c r="FV439" s="10"/>
      <c r="FW439" s="10"/>
      <c r="FX439" s="10"/>
      <c r="FY439" s="10"/>
      <c r="FZ439" s="10"/>
      <c r="GA439" s="10"/>
      <c r="GB439" s="10"/>
      <c r="GC439" s="10"/>
      <c r="GD439" s="10"/>
      <c r="GE439" s="10"/>
      <c r="GF439" s="10"/>
      <c r="GG439" s="10"/>
      <c r="GH439" s="10"/>
      <c r="GI439" s="10"/>
      <c r="GJ439" s="10"/>
      <c r="GK439" s="10"/>
      <c r="GL439" s="10"/>
      <c r="GM439" s="10"/>
      <c r="GN439" s="10"/>
      <c r="GO439" s="10"/>
      <c r="GP439" s="10"/>
      <c r="GQ439" s="10"/>
      <c r="GR439" s="10"/>
      <c r="GS439" s="10"/>
      <c r="GT439" s="10"/>
      <c r="GU439" s="10"/>
      <c r="GV439" s="10"/>
      <c r="GW439" s="10"/>
      <c r="GX439" s="10"/>
      <c r="GY439" s="10"/>
      <c r="GZ439" s="10"/>
      <c r="HA439" s="10"/>
      <c r="HB439" s="10"/>
      <c r="HC439" s="10"/>
      <c r="HD439" s="10"/>
      <c r="HE439" s="10"/>
      <c r="HF439" s="10"/>
      <c r="HG439" s="10"/>
      <c r="HH439" s="10"/>
      <c r="HI439" s="10"/>
      <c r="HJ439" s="10"/>
      <c r="HK439" s="10"/>
      <c r="HL439" s="10"/>
      <c r="HM439" s="10"/>
      <c r="HN439" s="10"/>
      <c r="HO439" s="10"/>
      <c r="HP439" s="10"/>
      <c r="HQ439" s="10"/>
      <c r="HR439" s="10"/>
      <c r="HS439" s="10"/>
      <c r="HT439" s="10"/>
    </row>
    <row r="440" spans="1:228" ht="18" customHeight="1" x14ac:dyDescent="0.2">
      <c r="B440" s="912" t="s">
        <v>1222</v>
      </c>
      <c r="C440" s="910"/>
      <c r="D440" s="910"/>
      <c r="E440" s="910"/>
      <c r="F440" s="910"/>
      <c r="G440" s="910"/>
      <c r="H440" s="910"/>
      <c r="I440" s="910"/>
      <c r="J440" s="910"/>
      <c r="K440" s="910"/>
      <c r="L440" s="910"/>
      <c r="M440" s="910"/>
      <c r="N440" s="910"/>
      <c r="O440" s="910"/>
      <c r="P440" s="9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c r="EM440" s="10"/>
      <c r="EN440" s="10"/>
      <c r="EO440" s="10"/>
      <c r="EP440" s="10"/>
      <c r="EQ440" s="10"/>
      <c r="ER440" s="10"/>
      <c r="ES440" s="10"/>
      <c r="ET440" s="10"/>
      <c r="EU440" s="10"/>
      <c r="EV440" s="10"/>
      <c r="EW440" s="10"/>
      <c r="EX440" s="10"/>
      <c r="EY440" s="10"/>
      <c r="EZ440" s="10"/>
      <c r="FA440" s="10"/>
      <c r="FB440" s="10"/>
      <c r="FC440" s="10"/>
      <c r="FD440" s="10"/>
      <c r="FE440" s="10"/>
      <c r="FF440" s="10"/>
      <c r="FG440" s="10"/>
      <c r="FH440" s="10"/>
      <c r="FI440" s="10"/>
      <c r="FJ440" s="10"/>
      <c r="FK440" s="10"/>
      <c r="FL440" s="10"/>
      <c r="FM440" s="10"/>
      <c r="FN440" s="10"/>
      <c r="FO440" s="10"/>
      <c r="FP440" s="10"/>
      <c r="FQ440" s="10"/>
      <c r="FR440" s="10"/>
      <c r="FS440" s="10"/>
      <c r="FT440" s="10"/>
      <c r="FU440" s="10"/>
      <c r="FV440" s="10"/>
      <c r="FW440" s="10"/>
      <c r="FX440" s="10"/>
      <c r="FY440" s="10"/>
      <c r="FZ440" s="10"/>
      <c r="GA440" s="10"/>
      <c r="GB440" s="10"/>
      <c r="GC440" s="10"/>
      <c r="GD440" s="10"/>
      <c r="GE440" s="10"/>
      <c r="GF440" s="10"/>
      <c r="GG440" s="10"/>
      <c r="GH440" s="10"/>
      <c r="GI440" s="10"/>
      <c r="GJ440" s="10"/>
      <c r="GK440" s="10"/>
      <c r="GL440" s="10"/>
      <c r="GM440" s="10"/>
      <c r="GN440" s="10"/>
      <c r="GO440" s="10"/>
      <c r="GP440" s="10"/>
      <c r="GQ440" s="10"/>
      <c r="GR440" s="10"/>
      <c r="GS440" s="10"/>
      <c r="GT440" s="10"/>
      <c r="GU440" s="10"/>
      <c r="GV440" s="10"/>
      <c r="GW440" s="10"/>
      <c r="GX440" s="10"/>
      <c r="GY440" s="10"/>
      <c r="GZ440" s="10"/>
      <c r="HA440" s="10"/>
      <c r="HB440" s="10"/>
      <c r="HC440" s="10"/>
      <c r="HD440" s="10"/>
      <c r="HE440" s="10"/>
      <c r="HF440" s="10"/>
      <c r="HG440" s="10"/>
      <c r="HH440" s="10"/>
      <c r="HI440" s="10"/>
      <c r="HJ440" s="10"/>
      <c r="HK440" s="10"/>
      <c r="HL440" s="10"/>
      <c r="HM440" s="10"/>
      <c r="HN440" s="10"/>
      <c r="HO440" s="10"/>
      <c r="HP440" s="10"/>
      <c r="HQ440" s="10"/>
      <c r="HR440" s="10"/>
      <c r="HS440" s="10"/>
      <c r="HT440" s="10"/>
    </row>
    <row r="441" spans="1:228" ht="40.5" customHeight="1" x14ac:dyDescent="0.2">
      <c r="B441" s="761" t="s">
        <v>573</v>
      </c>
      <c r="C441" s="761"/>
      <c r="D441" s="761"/>
      <c r="E441" s="761"/>
      <c r="F441" s="761"/>
      <c r="G441" s="761"/>
      <c r="H441" s="761"/>
      <c r="I441" s="761"/>
      <c r="J441" s="761"/>
      <c r="K441" s="761"/>
      <c r="L441" s="761"/>
      <c r="M441" s="761"/>
      <c r="N441" s="761"/>
      <c r="O441" s="761"/>
      <c r="P441" s="9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c r="EM441" s="10"/>
      <c r="EN441" s="10"/>
      <c r="EO441" s="10"/>
      <c r="EP441" s="10"/>
      <c r="EQ441" s="10"/>
      <c r="ER441" s="10"/>
      <c r="ES441" s="10"/>
      <c r="ET441" s="10"/>
      <c r="EU441" s="10"/>
      <c r="EV441" s="10"/>
      <c r="EW441" s="10"/>
      <c r="EX441" s="10"/>
      <c r="EY441" s="10"/>
      <c r="EZ441" s="10"/>
      <c r="FA441" s="10"/>
      <c r="FB441" s="10"/>
      <c r="FC441" s="10"/>
      <c r="FD441" s="10"/>
      <c r="FE441" s="10"/>
      <c r="FF441" s="10"/>
      <c r="FG441" s="10"/>
      <c r="FH441" s="10"/>
      <c r="FI441" s="10"/>
      <c r="FJ441" s="10"/>
      <c r="FK441" s="10"/>
      <c r="FL441" s="10"/>
      <c r="FM441" s="10"/>
      <c r="FN441" s="10"/>
      <c r="FO441" s="10"/>
      <c r="FP441" s="10"/>
      <c r="FQ441" s="10"/>
      <c r="FR441" s="10"/>
      <c r="FS441" s="10"/>
      <c r="FT441" s="10"/>
      <c r="FU441" s="10"/>
      <c r="FV441" s="10"/>
      <c r="FW441" s="10"/>
      <c r="FX441" s="10"/>
      <c r="FY441" s="10"/>
      <c r="FZ441" s="10"/>
      <c r="GA441" s="10"/>
      <c r="GB441" s="10"/>
      <c r="GC441" s="10"/>
      <c r="GD441" s="10"/>
      <c r="GE441" s="10"/>
      <c r="GF441" s="10"/>
      <c r="GG441" s="10"/>
      <c r="GH441" s="10"/>
      <c r="GI441" s="10"/>
      <c r="GJ441" s="10"/>
      <c r="GK441" s="10"/>
      <c r="GL441" s="10"/>
      <c r="GM441" s="10"/>
      <c r="GN441" s="10"/>
      <c r="GO441" s="10"/>
      <c r="GP441" s="10"/>
      <c r="GQ441" s="10"/>
      <c r="GR441" s="10"/>
      <c r="GS441" s="10"/>
      <c r="GT441" s="10"/>
      <c r="GU441" s="10"/>
      <c r="GV441" s="10"/>
      <c r="GW441" s="10"/>
      <c r="GX441" s="10"/>
      <c r="GY441" s="10"/>
      <c r="GZ441" s="10"/>
      <c r="HA441" s="10"/>
      <c r="HB441" s="10"/>
      <c r="HC441" s="10"/>
      <c r="HD441" s="10"/>
      <c r="HE441" s="10"/>
      <c r="HF441" s="10"/>
      <c r="HG441" s="10"/>
      <c r="HH441" s="10"/>
      <c r="HI441" s="10"/>
      <c r="HJ441" s="10"/>
      <c r="HK441" s="10"/>
      <c r="HL441" s="10"/>
      <c r="HM441" s="10"/>
      <c r="HN441" s="10"/>
      <c r="HO441" s="10"/>
      <c r="HP441" s="10"/>
      <c r="HQ441" s="10"/>
      <c r="HR441" s="10"/>
      <c r="HS441" s="10"/>
      <c r="HT441" s="10"/>
    </row>
    <row r="442" spans="1:228" ht="18" customHeight="1" x14ac:dyDescent="0.2">
      <c r="A442" s="15"/>
      <c r="B442" s="924" t="s">
        <v>1223</v>
      </c>
      <c r="C442" s="924"/>
      <c r="D442" s="924"/>
      <c r="E442" s="924"/>
      <c r="F442" s="924"/>
      <c r="G442" s="924"/>
      <c r="H442" s="924"/>
      <c r="I442" s="924"/>
      <c r="J442" s="924"/>
      <c r="K442" s="924"/>
      <c r="L442" s="924"/>
      <c r="M442" s="924"/>
      <c r="N442" s="940"/>
      <c r="O442" s="940"/>
      <c r="P442" s="21">
        <f>IF(R442=1,0.05,0)</f>
        <v>0</v>
      </c>
      <c r="R442" s="546">
        <v>2</v>
      </c>
      <c r="S442" s="10"/>
      <c r="T442" s="10"/>
      <c r="U442" s="10"/>
      <c r="V442" s="10"/>
      <c r="W442" s="10">
        <v>1E-4</v>
      </c>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c r="EM442" s="10"/>
      <c r="EN442" s="10"/>
      <c r="EO442" s="10"/>
      <c r="EP442" s="10"/>
      <c r="EQ442" s="10"/>
      <c r="ER442" s="10"/>
      <c r="ES442" s="10"/>
      <c r="ET442" s="10"/>
      <c r="EU442" s="10"/>
      <c r="EV442" s="10"/>
      <c r="EW442" s="10"/>
      <c r="EX442" s="10"/>
      <c r="EY442" s="10"/>
      <c r="EZ442" s="10"/>
      <c r="FA442" s="10"/>
      <c r="FB442" s="10"/>
      <c r="FC442" s="10"/>
      <c r="FD442" s="10"/>
      <c r="FE442" s="10"/>
      <c r="FF442" s="10"/>
      <c r="FG442" s="10"/>
      <c r="FH442" s="10"/>
      <c r="FI442" s="10"/>
      <c r="FJ442" s="10"/>
      <c r="FK442" s="10"/>
      <c r="FL442" s="10"/>
      <c r="FM442" s="10"/>
      <c r="FN442" s="10"/>
      <c r="FO442" s="10"/>
      <c r="FP442" s="10"/>
      <c r="FQ442" s="10"/>
      <c r="FR442" s="10"/>
      <c r="FS442" s="10"/>
      <c r="FT442" s="10"/>
      <c r="FU442" s="10"/>
      <c r="FV442" s="10"/>
      <c r="FW442" s="10"/>
      <c r="FX442" s="10"/>
      <c r="FY442" s="10"/>
      <c r="FZ442" s="10"/>
      <c r="GA442" s="10"/>
      <c r="GB442" s="10"/>
      <c r="GC442" s="10"/>
      <c r="GD442" s="10"/>
      <c r="GE442" s="10"/>
      <c r="GF442" s="10"/>
      <c r="GG442" s="10"/>
      <c r="GH442" s="10"/>
      <c r="GI442" s="10"/>
      <c r="GJ442" s="10"/>
      <c r="GK442" s="10"/>
      <c r="GL442" s="10"/>
      <c r="GM442" s="10"/>
      <c r="GN442" s="10"/>
      <c r="GO442" s="10"/>
      <c r="GP442" s="10"/>
      <c r="GQ442" s="10"/>
      <c r="GR442" s="10"/>
      <c r="GS442" s="10"/>
      <c r="GT442" s="10"/>
      <c r="GU442" s="10"/>
      <c r="GV442" s="10"/>
      <c r="GW442" s="10"/>
      <c r="GX442" s="10"/>
      <c r="GY442" s="10"/>
      <c r="GZ442" s="10"/>
      <c r="HA442" s="10"/>
      <c r="HB442" s="10"/>
      <c r="HC442" s="10"/>
      <c r="HD442" s="10"/>
      <c r="HE442" s="10"/>
      <c r="HF442" s="10"/>
      <c r="HG442" s="10"/>
      <c r="HH442" s="10"/>
      <c r="HI442" s="10"/>
      <c r="HJ442" s="10"/>
      <c r="HK442" s="10"/>
      <c r="HL442" s="10"/>
      <c r="HM442" s="10"/>
      <c r="HN442" s="10"/>
      <c r="HO442" s="10"/>
      <c r="HP442" s="10"/>
      <c r="HQ442" s="10"/>
      <c r="HR442" s="10"/>
      <c r="HS442" s="10"/>
      <c r="HT442" s="10"/>
    </row>
    <row r="443" spans="1:228" ht="12" customHeight="1" x14ac:dyDescent="0.2">
      <c r="B443" s="777"/>
      <c r="C443" s="777"/>
      <c r="D443" s="777"/>
      <c r="E443" s="777"/>
      <c r="F443" s="777"/>
      <c r="G443" s="777"/>
      <c r="H443" s="777"/>
      <c r="I443" s="777"/>
      <c r="J443" s="777"/>
      <c r="K443" s="777"/>
      <c r="L443" s="777"/>
      <c r="M443" s="777"/>
      <c r="N443" s="777"/>
      <c r="O443" s="777"/>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c r="EM443" s="10"/>
      <c r="EN443" s="10"/>
      <c r="EO443" s="10"/>
      <c r="EP443" s="10"/>
      <c r="EQ443" s="10"/>
      <c r="ER443" s="10"/>
      <c r="ES443" s="10"/>
      <c r="ET443" s="10"/>
      <c r="EU443" s="10"/>
      <c r="EV443" s="10"/>
      <c r="EW443" s="10"/>
      <c r="EX443" s="10"/>
      <c r="EY443" s="10"/>
      <c r="EZ443" s="10"/>
      <c r="FA443" s="10"/>
      <c r="FB443" s="10"/>
      <c r="FC443" s="10"/>
      <c r="FD443" s="10"/>
      <c r="FE443" s="10"/>
      <c r="FF443" s="10"/>
      <c r="FG443" s="10"/>
      <c r="FH443" s="10"/>
      <c r="FI443" s="10"/>
      <c r="FJ443" s="10"/>
      <c r="FK443" s="10"/>
      <c r="FL443" s="10"/>
      <c r="FM443" s="10"/>
      <c r="FN443" s="10"/>
      <c r="FO443" s="10"/>
      <c r="FP443" s="10"/>
      <c r="FQ443" s="10"/>
      <c r="FR443" s="10"/>
      <c r="FS443" s="10"/>
      <c r="FT443" s="10"/>
      <c r="FU443" s="10"/>
      <c r="FV443" s="10"/>
      <c r="FW443" s="10"/>
      <c r="FX443" s="10"/>
      <c r="FY443" s="10"/>
      <c r="FZ443" s="10"/>
      <c r="GA443" s="10"/>
      <c r="GB443" s="10"/>
      <c r="GC443" s="10"/>
      <c r="GD443" s="10"/>
      <c r="GE443" s="10"/>
      <c r="GF443" s="10"/>
      <c r="GG443" s="10"/>
      <c r="GH443" s="10"/>
      <c r="GI443" s="10"/>
      <c r="GJ443" s="10"/>
      <c r="GK443" s="10"/>
      <c r="GL443" s="10"/>
      <c r="GM443" s="10"/>
      <c r="GN443" s="10"/>
      <c r="GO443" s="10"/>
      <c r="GP443" s="10"/>
      <c r="GQ443" s="10"/>
      <c r="GR443" s="10"/>
      <c r="GS443" s="10"/>
      <c r="GT443" s="10"/>
      <c r="GU443" s="10"/>
      <c r="GV443" s="10"/>
      <c r="GW443" s="10"/>
      <c r="GX443" s="10"/>
      <c r="GY443" s="10"/>
      <c r="GZ443" s="10"/>
      <c r="HA443" s="10"/>
      <c r="HB443" s="10"/>
      <c r="HC443" s="10"/>
      <c r="HD443" s="10"/>
      <c r="HE443" s="10"/>
      <c r="HF443" s="10"/>
      <c r="HG443" s="10"/>
      <c r="HH443" s="10"/>
      <c r="HI443" s="10"/>
      <c r="HJ443" s="10"/>
      <c r="HK443" s="10"/>
      <c r="HL443" s="10"/>
      <c r="HM443" s="10"/>
      <c r="HN443" s="10"/>
      <c r="HO443" s="10"/>
      <c r="HP443" s="10"/>
      <c r="HQ443" s="10"/>
      <c r="HR443" s="10"/>
      <c r="HS443" s="10"/>
      <c r="HT443" s="10"/>
    </row>
    <row r="444" spans="1:228" ht="18" customHeight="1" x14ac:dyDescent="0.2">
      <c r="B444" s="910" t="s">
        <v>1224</v>
      </c>
      <c r="C444" s="910"/>
      <c r="D444" s="910"/>
      <c r="E444" s="910"/>
      <c r="F444" s="910"/>
      <c r="G444" s="910"/>
      <c r="H444" s="910"/>
      <c r="I444" s="910"/>
      <c r="J444" s="910"/>
      <c r="K444" s="910"/>
      <c r="L444" s="910"/>
      <c r="M444" s="910"/>
      <c r="N444" s="910"/>
      <c r="O444" s="910"/>
      <c r="P444" s="146"/>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c r="EM444" s="10"/>
      <c r="EN444" s="10"/>
      <c r="EO444" s="10"/>
      <c r="EP444" s="10"/>
      <c r="EQ444" s="10"/>
      <c r="ER444" s="10"/>
      <c r="ES444" s="10"/>
      <c r="ET444" s="10"/>
      <c r="EU444" s="10"/>
      <c r="EV444" s="10"/>
      <c r="EW444" s="10"/>
      <c r="EX444" s="10"/>
      <c r="EY444" s="10"/>
      <c r="EZ444" s="10"/>
      <c r="FA444" s="10"/>
      <c r="FB444" s="10"/>
      <c r="FC444" s="10"/>
      <c r="FD444" s="10"/>
      <c r="FE444" s="10"/>
      <c r="FF444" s="10"/>
      <c r="FG444" s="10"/>
      <c r="FH444" s="10"/>
      <c r="FI444" s="10"/>
      <c r="FJ444" s="10"/>
      <c r="FK444" s="10"/>
      <c r="FL444" s="10"/>
      <c r="FM444" s="10"/>
      <c r="FN444" s="10"/>
      <c r="FO444" s="10"/>
      <c r="FP444" s="10"/>
      <c r="FQ444" s="10"/>
      <c r="FR444" s="10"/>
      <c r="FS444" s="10"/>
      <c r="FT444" s="10"/>
      <c r="FU444" s="10"/>
      <c r="FV444" s="10"/>
      <c r="FW444" s="10"/>
      <c r="FX444" s="10"/>
      <c r="FY444" s="10"/>
      <c r="FZ444" s="10"/>
      <c r="GA444" s="10"/>
      <c r="GB444" s="10"/>
      <c r="GC444" s="10"/>
      <c r="GD444" s="10"/>
      <c r="GE444" s="10"/>
      <c r="GF444" s="10"/>
      <c r="GG444" s="10"/>
      <c r="GH444" s="10"/>
      <c r="GI444" s="10"/>
      <c r="GJ444" s="10"/>
      <c r="GK444" s="10"/>
      <c r="GL444" s="10"/>
      <c r="GM444" s="10"/>
      <c r="GN444" s="10"/>
      <c r="GO444" s="10"/>
      <c r="GP444" s="10"/>
      <c r="GQ444" s="10"/>
      <c r="GR444" s="10"/>
      <c r="GS444" s="10"/>
      <c r="GT444" s="10"/>
      <c r="GU444" s="10"/>
      <c r="GV444" s="10"/>
      <c r="GW444" s="10"/>
      <c r="GX444" s="10"/>
      <c r="GY444" s="10"/>
      <c r="GZ444" s="10"/>
      <c r="HA444" s="10"/>
      <c r="HB444" s="10"/>
      <c r="HC444" s="10"/>
      <c r="HD444" s="10"/>
      <c r="HE444" s="10"/>
      <c r="HF444" s="10"/>
      <c r="HG444" s="10"/>
      <c r="HH444" s="10"/>
      <c r="HI444" s="10"/>
      <c r="HJ444" s="10"/>
      <c r="HK444" s="10"/>
      <c r="HL444" s="10"/>
      <c r="HM444" s="10"/>
      <c r="HN444" s="10"/>
      <c r="HO444" s="10"/>
      <c r="HP444" s="10"/>
      <c r="HQ444" s="10"/>
      <c r="HR444" s="10"/>
      <c r="HS444" s="10"/>
      <c r="HT444" s="10"/>
    </row>
    <row r="445" spans="1:228" ht="15" customHeight="1" x14ac:dyDescent="0.2">
      <c r="B445" s="289" t="s">
        <v>463</v>
      </c>
      <c r="C445" s="1142">
        <f>IF(SUM($E$448:$E$469)&gt;0,P340,0)</f>
        <v>0</v>
      </c>
      <c r="D445" s="1162"/>
      <c r="E445" s="1162"/>
      <c r="F445" s="1161" t="s">
        <v>1146</v>
      </c>
      <c r="G445" s="1161"/>
      <c r="H445" s="1161"/>
      <c r="I445" s="1161"/>
      <c r="J445" s="1161"/>
      <c r="K445" s="1161"/>
      <c r="L445" s="1142">
        <f>LETable!AT68</f>
        <v>0</v>
      </c>
      <c r="M445" s="1142"/>
      <c r="N445" s="1161" t="s">
        <v>1225</v>
      </c>
      <c r="O445" s="1161"/>
      <c r="P445" s="82">
        <f>SUM(L445:L445)</f>
        <v>0</v>
      </c>
      <c r="R445" s="10"/>
      <c r="S445" s="10"/>
      <c r="T445" s="10"/>
      <c r="U445" s="10"/>
      <c r="V445" s="10"/>
      <c r="W445" s="10"/>
      <c r="X445" s="10"/>
      <c r="AA445" s="6"/>
      <c r="AB445" s="6"/>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c r="EM445" s="10"/>
      <c r="EN445" s="10"/>
      <c r="EO445" s="10"/>
      <c r="EP445" s="10"/>
      <c r="EQ445" s="10"/>
      <c r="ER445" s="10"/>
      <c r="ES445" s="10"/>
      <c r="ET445" s="10"/>
      <c r="EU445" s="10"/>
      <c r="EV445" s="10"/>
      <c r="EW445" s="10"/>
      <c r="EX445" s="10"/>
      <c r="EY445" s="10"/>
      <c r="EZ445" s="10"/>
      <c r="FA445" s="10"/>
      <c r="FB445" s="10"/>
      <c r="FC445" s="10"/>
      <c r="FD445" s="10"/>
      <c r="FE445" s="10"/>
      <c r="FF445" s="10"/>
      <c r="FG445" s="10"/>
      <c r="FH445" s="10"/>
      <c r="FI445" s="10"/>
      <c r="FJ445" s="10"/>
      <c r="FK445" s="10"/>
      <c r="FL445" s="10"/>
      <c r="FM445" s="10"/>
      <c r="FN445" s="10"/>
      <c r="FO445" s="10"/>
      <c r="FP445" s="10"/>
      <c r="FQ445" s="10"/>
      <c r="FR445" s="10"/>
      <c r="FS445" s="10"/>
      <c r="FT445" s="10"/>
      <c r="FU445" s="10"/>
      <c r="FV445" s="10"/>
      <c r="FW445" s="10"/>
      <c r="FX445" s="10"/>
      <c r="FY445" s="10"/>
      <c r="FZ445" s="10"/>
      <c r="GA445" s="10"/>
      <c r="GB445" s="10"/>
      <c r="GC445" s="10"/>
      <c r="GD445" s="10"/>
      <c r="GE445" s="10"/>
      <c r="GF445" s="10"/>
      <c r="GG445" s="10"/>
      <c r="GH445" s="10"/>
      <c r="GI445" s="10"/>
      <c r="GJ445" s="10"/>
      <c r="GK445" s="10"/>
      <c r="GL445" s="10"/>
      <c r="GM445" s="10"/>
      <c r="GN445" s="10"/>
      <c r="GO445" s="10"/>
      <c r="GP445" s="10"/>
      <c r="GQ445" s="10"/>
      <c r="GR445" s="10"/>
      <c r="GS445" s="10"/>
      <c r="GT445" s="10"/>
      <c r="GU445" s="10"/>
      <c r="GV445" s="10"/>
      <c r="GW445" s="10"/>
      <c r="GX445" s="10"/>
      <c r="GY445" s="10"/>
      <c r="GZ445" s="10"/>
      <c r="HA445" s="10"/>
      <c r="HB445" s="10"/>
      <c r="HC445" s="10"/>
      <c r="HD445" s="10"/>
      <c r="HE445" s="10"/>
      <c r="HF445" s="10"/>
      <c r="HG445" s="10"/>
      <c r="HH445" s="10"/>
      <c r="HI445" s="10"/>
      <c r="HJ445" s="10"/>
      <c r="HK445" s="10"/>
      <c r="HL445" s="10"/>
      <c r="HM445" s="10"/>
      <c r="HN445" s="10"/>
      <c r="HO445" s="10"/>
      <c r="HP445" s="10"/>
      <c r="HQ445" s="10"/>
      <c r="HR445" s="10"/>
      <c r="HS445" s="10"/>
      <c r="HT445" s="10"/>
    </row>
    <row r="446" spans="1:228" ht="12" customHeight="1" x14ac:dyDescent="0.2">
      <c r="B446" s="777"/>
      <c r="C446" s="777"/>
      <c r="D446" s="777"/>
      <c r="E446" s="777"/>
      <c r="F446" s="777"/>
      <c r="G446" s="777"/>
      <c r="H446" s="777"/>
      <c r="I446" s="777"/>
      <c r="J446" s="777"/>
      <c r="K446" s="777"/>
      <c r="L446" s="777"/>
      <c r="M446" s="777"/>
      <c r="N446" s="777"/>
      <c r="O446" s="777"/>
      <c r="R446" s="10"/>
      <c r="S446" s="10"/>
      <c r="T446" s="10"/>
      <c r="U446" s="10"/>
      <c r="V446" s="10"/>
      <c r="W446" s="10"/>
      <c r="X446" s="10"/>
      <c r="AA446" s="6"/>
      <c r="AB446" s="6"/>
      <c r="AC446" s="6"/>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c r="EM446" s="10"/>
      <c r="EN446" s="10"/>
      <c r="EO446" s="10"/>
      <c r="EP446" s="10"/>
      <c r="EQ446" s="10"/>
      <c r="ER446" s="10"/>
      <c r="ES446" s="10"/>
      <c r="ET446" s="10"/>
      <c r="EU446" s="10"/>
      <c r="EV446" s="10"/>
      <c r="EW446" s="10"/>
      <c r="EX446" s="10"/>
      <c r="EY446" s="10"/>
      <c r="EZ446" s="10"/>
      <c r="FA446" s="10"/>
      <c r="FB446" s="10"/>
      <c r="FC446" s="10"/>
      <c r="FD446" s="10"/>
      <c r="FE446" s="10"/>
      <c r="FF446" s="10"/>
      <c r="FG446" s="10"/>
      <c r="FH446" s="10"/>
      <c r="FI446" s="10"/>
      <c r="FJ446" s="10"/>
      <c r="FK446" s="10"/>
      <c r="FL446" s="10"/>
      <c r="FM446" s="10"/>
      <c r="FN446" s="10"/>
      <c r="FO446" s="10"/>
      <c r="FP446" s="10"/>
      <c r="FQ446" s="10"/>
      <c r="FR446" s="10"/>
      <c r="FS446" s="10"/>
      <c r="FT446" s="10"/>
      <c r="FU446" s="10"/>
      <c r="FV446" s="10"/>
      <c r="FW446" s="10"/>
      <c r="FX446" s="10"/>
      <c r="FY446" s="10"/>
      <c r="FZ446" s="10"/>
      <c r="GA446" s="10"/>
      <c r="GB446" s="10"/>
      <c r="GC446" s="10"/>
      <c r="GD446" s="10"/>
      <c r="GE446" s="10"/>
      <c r="GF446" s="10"/>
      <c r="GG446" s="10"/>
      <c r="GH446" s="10"/>
      <c r="GI446" s="10"/>
      <c r="GJ446" s="10"/>
      <c r="GK446" s="10"/>
      <c r="GL446" s="10"/>
      <c r="GM446" s="10"/>
      <c r="GN446" s="10"/>
      <c r="GO446" s="10"/>
      <c r="GP446" s="10"/>
      <c r="GQ446" s="10"/>
      <c r="GR446" s="10"/>
      <c r="GS446" s="10"/>
      <c r="GT446" s="10"/>
      <c r="GU446" s="10"/>
      <c r="GV446" s="10"/>
      <c r="GW446" s="10"/>
      <c r="GX446" s="10"/>
      <c r="GY446" s="10"/>
      <c r="GZ446" s="10"/>
      <c r="HA446" s="10"/>
      <c r="HB446" s="10"/>
      <c r="HC446" s="10"/>
      <c r="HD446" s="10"/>
      <c r="HE446" s="10"/>
      <c r="HF446" s="10"/>
      <c r="HG446" s="10"/>
      <c r="HH446" s="10"/>
      <c r="HI446" s="10"/>
      <c r="HJ446" s="10"/>
      <c r="HK446" s="10"/>
      <c r="HL446" s="10"/>
      <c r="HM446" s="10"/>
      <c r="HN446" s="10"/>
      <c r="HO446" s="10"/>
      <c r="HP446" s="10"/>
      <c r="HQ446" s="10"/>
      <c r="HR446" s="10"/>
      <c r="HS446" s="10"/>
      <c r="HT446" s="10"/>
    </row>
    <row r="447" spans="1:228" ht="27" customHeight="1" x14ac:dyDescent="0.2">
      <c r="B447" s="864" t="s">
        <v>1226</v>
      </c>
      <c r="C447" s="865"/>
      <c r="D447" s="865"/>
      <c r="E447" s="865"/>
      <c r="F447" s="865"/>
      <c r="G447" s="907" t="s">
        <v>1495</v>
      </c>
      <c r="H447" s="945"/>
      <c r="I447" s="945"/>
      <c r="J447" s="945"/>
      <c r="K447" s="946"/>
      <c r="L447" s="1026"/>
      <c r="M447" s="1027"/>
      <c r="N447" s="1027"/>
      <c r="O447" s="1028"/>
      <c r="P447" s="857">
        <f>IF(J471&gt;0,J471,V469)</f>
        <v>0</v>
      </c>
      <c r="R447" s="10"/>
      <c r="S447" s="146" t="s">
        <v>1826</v>
      </c>
      <c r="T447" s="50" t="s">
        <v>1285</v>
      </c>
      <c r="U447" s="50" t="s">
        <v>1286</v>
      </c>
      <c r="V447" s="277" t="s">
        <v>1287</v>
      </c>
      <c r="W447" s="588" t="s">
        <v>844</v>
      </c>
      <c r="X447" s="10"/>
      <c r="Y447" s="146" t="s">
        <v>498</v>
      </c>
      <c r="AA447" s="6"/>
      <c r="AB447" s="6"/>
      <c r="AC447" s="6"/>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c r="EM447" s="10"/>
      <c r="EN447" s="10"/>
      <c r="EO447" s="10"/>
      <c r="EP447" s="10"/>
      <c r="EQ447" s="10"/>
      <c r="ER447" s="10"/>
      <c r="ES447" s="10"/>
      <c r="ET447" s="10"/>
      <c r="EU447" s="10"/>
      <c r="EV447" s="10"/>
      <c r="EW447" s="10"/>
      <c r="EX447" s="10"/>
      <c r="EY447" s="10"/>
      <c r="EZ447" s="10"/>
      <c r="FA447" s="10"/>
      <c r="FB447" s="10"/>
      <c r="FC447" s="10"/>
      <c r="FD447" s="10"/>
      <c r="FE447" s="10"/>
      <c r="FF447" s="10"/>
      <c r="FG447" s="10"/>
      <c r="FH447" s="10"/>
      <c r="FI447" s="10"/>
      <c r="FJ447" s="10"/>
      <c r="FK447" s="10"/>
      <c r="FL447" s="10"/>
      <c r="FM447" s="10"/>
      <c r="FN447" s="10"/>
      <c r="FO447" s="10"/>
      <c r="FP447" s="10"/>
      <c r="FQ447" s="10"/>
      <c r="FR447" s="10"/>
      <c r="FS447" s="10"/>
      <c r="FT447" s="10"/>
      <c r="FU447" s="10"/>
      <c r="FV447" s="10"/>
      <c r="FW447" s="10"/>
      <c r="FX447" s="10"/>
      <c r="FY447" s="10"/>
      <c r="FZ447" s="10"/>
      <c r="GA447" s="10"/>
      <c r="GB447" s="10"/>
      <c r="GC447" s="10"/>
      <c r="GD447" s="10"/>
      <c r="GE447" s="10"/>
      <c r="GF447" s="10"/>
      <c r="GG447" s="10"/>
      <c r="GH447" s="10"/>
      <c r="GI447" s="10"/>
      <c r="GJ447" s="10"/>
      <c r="GK447" s="10"/>
      <c r="GL447" s="10"/>
      <c r="GM447" s="10"/>
      <c r="GN447" s="10"/>
      <c r="GO447" s="10"/>
      <c r="GP447" s="10"/>
      <c r="GQ447" s="10"/>
      <c r="GR447" s="10"/>
      <c r="GS447" s="10"/>
      <c r="GT447" s="10"/>
      <c r="GU447" s="10"/>
      <c r="GV447" s="10"/>
      <c r="GW447" s="10"/>
      <c r="GX447" s="10"/>
      <c r="GY447" s="10"/>
      <c r="GZ447" s="10"/>
      <c r="HA447" s="10"/>
      <c r="HB447" s="10"/>
      <c r="HC447" s="10"/>
      <c r="HD447" s="10"/>
      <c r="HE447" s="10"/>
      <c r="HF447" s="10"/>
      <c r="HG447" s="10"/>
      <c r="HH447" s="10"/>
      <c r="HI447" s="10"/>
      <c r="HJ447" s="10"/>
      <c r="HK447" s="10"/>
      <c r="HL447" s="10"/>
      <c r="HM447" s="10"/>
      <c r="HN447" s="10"/>
      <c r="HO447" s="10"/>
      <c r="HP447" s="10"/>
      <c r="HQ447" s="10"/>
      <c r="HR447" s="10"/>
      <c r="HS447" s="10"/>
      <c r="HT447" s="10"/>
    </row>
    <row r="448" spans="1:228" ht="15" customHeight="1" x14ac:dyDescent="0.2">
      <c r="B448" s="742" t="s">
        <v>1496</v>
      </c>
      <c r="C448" s="743"/>
      <c r="D448" s="744"/>
      <c r="E448" s="727">
        <f>P372</f>
        <v>0</v>
      </c>
      <c r="F448" s="729"/>
      <c r="G448" s="1146"/>
      <c r="H448" s="1147"/>
      <c r="I448" s="1148"/>
      <c r="J448" s="1151">
        <f t="shared" ref="J448" si="91">IF(AND(Y448&lt;0.01,Y448&gt;0),0.01,ROUND(Y448,2))</f>
        <v>0</v>
      </c>
      <c r="K448" s="1151"/>
      <c r="L448" s="634"/>
      <c r="M448" s="628"/>
      <c r="N448" s="628"/>
      <c r="O448" s="629"/>
      <c r="P448" s="1091"/>
      <c r="R448" s="10"/>
      <c r="S448" s="147">
        <f t="shared" ref="S448:S468" si="92">IF(J448&gt;0,J448,E448)</f>
        <v>0</v>
      </c>
      <c r="T448" s="147">
        <f>LARGE($S$448:$S$470,1)</f>
        <v>0</v>
      </c>
      <c r="U448" s="544">
        <f>T448+T449*(1-T448)</f>
        <v>0</v>
      </c>
      <c r="V448" s="610">
        <f t="shared" ref="V448:V469" si="93">ROUND(U448,2)</f>
        <v>0</v>
      </c>
      <c r="W448" s="381">
        <f>IF(OR(P380&gt;0,P387&gt;0),1,0)</f>
        <v>0</v>
      </c>
      <c r="X448" s="10"/>
      <c r="Y448" s="21">
        <f t="shared" ref="Y448:Y468" si="94">G448*E448</f>
        <v>0</v>
      </c>
      <c r="AA448" s="6"/>
      <c r="AB448" s="6"/>
      <c r="AC448" s="6"/>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c r="EM448" s="10"/>
      <c r="EN448" s="10"/>
      <c r="EO448" s="10"/>
      <c r="EP448" s="10"/>
      <c r="EQ448" s="10"/>
      <c r="ER448" s="10"/>
      <c r="ES448" s="10"/>
      <c r="ET448" s="10"/>
      <c r="EU448" s="10"/>
      <c r="EV448" s="10"/>
      <c r="EW448" s="10"/>
      <c r="EX448" s="10"/>
      <c r="EY448" s="10"/>
      <c r="EZ448" s="10"/>
      <c r="FA448" s="10"/>
      <c r="FB448" s="10"/>
      <c r="FC448" s="10"/>
      <c r="FD448" s="10"/>
      <c r="FE448" s="10"/>
      <c r="FF448" s="10"/>
      <c r="FG448" s="10"/>
      <c r="FH448" s="10"/>
      <c r="FI448" s="10"/>
      <c r="FJ448" s="10"/>
      <c r="FK448" s="10"/>
      <c r="FL448" s="10"/>
      <c r="FM448" s="10"/>
      <c r="FN448" s="10"/>
      <c r="FO448" s="10"/>
      <c r="FP448" s="10"/>
      <c r="FQ448" s="10"/>
      <c r="FR448" s="10"/>
      <c r="FS448" s="10"/>
      <c r="FT448" s="10"/>
      <c r="FU448" s="10"/>
      <c r="FV448" s="10"/>
      <c r="FW448" s="10"/>
      <c r="FX448" s="10"/>
      <c r="FY448" s="10"/>
      <c r="FZ448" s="10"/>
      <c r="GA448" s="10"/>
      <c r="GB448" s="10"/>
      <c r="GC448" s="10"/>
      <c r="GD448" s="10"/>
      <c r="GE448" s="10"/>
      <c r="GF448" s="10"/>
      <c r="GG448" s="10"/>
      <c r="GH448" s="10"/>
      <c r="GI448" s="10"/>
      <c r="GJ448" s="10"/>
      <c r="GK448" s="10"/>
      <c r="GL448" s="10"/>
      <c r="GM448" s="10"/>
      <c r="GN448" s="10"/>
      <c r="GO448" s="10"/>
      <c r="GP448" s="10"/>
      <c r="GQ448" s="10"/>
      <c r="GR448" s="10"/>
      <c r="GS448" s="10"/>
      <c r="GT448" s="10"/>
      <c r="GU448" s="10"/>
      <c r="GV448" s="10"/>
      <c r="GW448" s="10"/>
      <c r="GX448" s="10"/>
      <c r="GY448" s="10"/>
      <c r="GZ448" s="10"/>
      <c r="HA448" s="10"/>
      <c r="HB448" s="10"/>
      <c r="HC448" s="10"/>
      <c r="HD448" s="10"/>
      <c r="HE448" s="10"/>
      <c r="HF448" s="10"/>
      <c r="HG448" s="10"/>
      <c r="HH448" s="10"/>
      <c r="HI448" s="10"/>
      <c r="HJ448" s="10"/>
      <c r="HK448" s="10"/>
      <c r="HL448" s="10"/>
      <c r="HM448" s="10"/>
      <c r="HN448" s="10"/>
      <c r="HO448" s="10"/>
      <c r="HP448" s="10"/>
      <c r="HQ448" s="10"/>
      <c r="HR448" s="10"/>
      <c r="HS448" s="10"/>
      <c r="HT448" s="10"/>
    </row>
    <row r="449" spans="2:228" ht="15" customHeight="1" x14ac:dyDescent="0.2">
      <c r="B449" s="742" t="s">
        <v>1497</v>
      </c>
      <c r="C449" s="743"/>
      <c r="D449" s="744"/>
      <c r="E449" s="727">
        <f>IF(P426&gt;0,0,P380)</f>
        <v>0</v>
      </c>
      <c r="F449" s="729"/>
      <c r="G449" s="1146"/>
      <c r="H449" s="1147"/>
      <c r="I449" s="1148"/>
      <c r="J449" s="1151">
        <f t="shared" ref="J449:J462" si="95">IF(AND(Y449&lt;0.01,Y449&gt;0),0.01,ROUND(Y449,2))</f>
        <v>0</v>
      </c>
      <c r="K449" s="1151"/>
      <c r="L449" s="970"/>
      <c r="M449" s="971"/>
      <c r="N449" s="971"/>
      <c r="O449" s="972"/>
      <c r="P449" s="1091"/>
      <c r="R449" s="10"/>
      <c r="S449" s="147">
        <f t="shared" si="92"/>
        <v>0</v>
      </c>
      <c r="T449" s="147">
        <f>LARGE($S$448:$S$470,2)</f>
        <v>0</v>
      </c>
      <c r="U449" s="544">
        <f>V448+T450*(1-V448)</f>
        <v>0</v>
      </c>
      <c r="V449" s="610">
        <f t="shared" si="93"/>
        <v>0</v>
      </c>
      <c r="W449" s="588" t="s">
        <v>1856</v>
      </c>
      <c r="X449" s="10"/>
      <c r="Y449" s="21">
        <f t="shared" si="94"/>
        <v>0</v>
      </c>
      <c r="Z449" s="10"/>
      <c r="AA449" s="10"/>
      <c r="AB449" s="6"/>
      <c r="AC449" s="6"/>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c r="DO449" s="10"/>
      <c r="DP449" s="10"/>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c r="EM449" s="10"/>
      <c r="EN449" s="10"/>
      <c r="EO449" s="10"/>
      <c r="EP449" s="10"/>
      <c r="EQ449" s="10"/>
      <c r="ER449" s="10"/>
      <c r="ES449" s="10"/>
      <c r="ET449" s="10"/>
      <c r="EU449" s="10"/>
      <c r="EV449" s="10"/>
      <c r="EW449" s="10"/>
      <c r="EX449" s="10"/>
      <c r="EY449" s="10"/>
      <c r="EZ449" s="10"/>
      <c r="FA449" s="10"/>
      <c r="FB449" s="10"/>
      <c r="FC449" s="10"/>
      <c r="FD449" s="10"/>
      <c r="FE449" s="10"/>
      <c r="FF449" s="10"/>
      <c r="FG449" s="10"/>
      <c r="FH449" s="10"/>
      <c r="FI449" s="10"/>
      <c r="FJ449" s="10"/>
      <c r="FK449" s="10"/>
      <c r="FL449" s="10"/>
      <c r="FM449" s="10"/>
      <c r="FN449" s="10"/>
      <c r="FO449" s="10"/>
      <c r="FP449" s="10"/>
      <c r="FQ449" s="10"/>
      <c r="FR449" s="10"/>
      <c r="FS449" s="10"/>
      <c r="FT449" s="10"/>
      <c r="FU449" s="10"/>
      <c r="FV449" s="10"/>
      <c r="FW449" s="10"/>
      <c r="FX449" s="10"/>
      <c r="FY449" s="10"/>
      <c r="FZ449" s="10"/>
      <c r="GA449" s="10"/>
      <c r="GB449" s="10"/>
      <c r="GC449" s="10"/>
      <c r="GD449" s="10"/>
      <c r="GE449" s="10"/>
      <c r="GF449" s="10"/>
      <c r="GG449" s="10"/>
      <c r="GH449" s="10"/>
      <c r="GI449" s="10"/>
      <c r="GJ449" s="10"/>
      <c r="GK449" s="10"/>
      <c r="GL449" s="10"/>
      <c r="GM449" s="10"/>
      <c r="GN449" s="10"/>
      <c r="GO449" s="10"/>
      <c r="GP449" s="10"/>
      <c r="GQ449" s="10"/>
      <c r="GR449" s="10"/>
      <c r="GS449" s="10"/>
      <c r="GT449" s="10"/>
      <c r="GU449" s="10"/>
      <c r="GV449" s="10"/>
      <c r="GW449" s="10"/>
      <c r="GX449" s="10"/>
      <c r="GY449" s="10"/>
      <c r="GZ449" s="10"/>
      <c r="HA449" s="10"/>
      <c r="HB449" s="10"/>
      <c r="HC449" s="10"/>
      <c r="HD449" s="10"/>
      <c r="HE449" s="10"/>
      <c r="HF449" s="10"/>
      <c r="HG449" s="10"/>
      <c r="HH449" s="10"/>
      <c r="HI449" s="10"/>
      <c r="HJ449" s="10"/>
      <c r="HK449" s="10"/>
      <c r="HL449" s="10"/>
      <c r="HM449" s="10"/>
      <c r="HN449" s="10"/>
      <c r="HO449" s="10"/>
      <c r="HP449" s="10"/>
      <c r="HQ449" s="10"/>
      <c r="HR449" s="10"/>
      <c r="HS449" s="10"/>
      <c r="HT449" s="10"/>
    </row>
    <row r="450" spans="2:228" ht="15" customHeight="1" x14ac:dyDescent="0.2">
      <c r="B450" s="742" t="s">
        <v>1498</v>
      </c>
      <c r="C450" s="743"/>
      <c r="D450" s="744"/>
      <c r="E450" s="727">
        <f>IF(P426&gt;0,0,P387)</f>
        <v>0</v>
      </c>
      <c r="F450" s="729"/>
      <c r="G450" s="1146"/>
      <c r="H450" s="1147"/>
      <c r="I450" s="1148"/>
      <c r="J450" s="1151">
        <f t="shared" si="95"/>
        <v>0</v>
      </c>
      <c r="K450" s="1151"/>
      <c r="L450" s="623"/>
      <c r="M450" s="624"/>
      <c r="N450" s="624"/>
      <c r="O450" s="625"/>
      <c r="P450" s="1091"/>
      <c r="R450" s="10"/>
      <c r="S450" s="147">
        <f t="shared" si="92"/>
        <v>0</v>
      </c>
      <c r="T450" s="147">
        <f>LARGE($S$448:$S$470,3)</f>
        <v>0</v>
      </c>
      <c r="U450" s="544">
        <f>V449+T451*(1-V449)</f>
        <v>0</v>
      </c>
      <c r="V450" s="610">
        <f t="shared" si="93"/>
        <v>0</v>
      </c>
      <c r="W450" s="381">
        <f>IF(P438&gt;0,3,0)</f>
        <v>0</v>
      </c>
      <c r="X450" s="10"/>
      <c r="Y450" s="21">
        <f t="shared" si="94"/>
        <v>0</v>
      </c>
      <c r="Z450" s="10"/>
      <c r="AA450" s="10"/>
      <c r="AB450" s="6"/>
      <c r="AC450" s="6"/>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c r="DO450" s="10"/>
      <c r="DP450" s="10"/>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c r="EM450" s="10"/>
      <c r="EN450" s="10"/>
      <c r="EO450" s="10"/>
      <c r="EP450" s="10"/>
      <c r="EQ450" s="10"/>
      <c r="ER450" s="10"/>
      <c r="ES450" s="10"/>
      <c r="ET450" s="10"/>
      <c r="EU450" s="10"/>
      <c r="EV450" s="10"/>
      <c r="EW450" s="10"/>
      <c r="EX450" s="10"/>
      <c r="EY450" s="10"/>
      <c r="EZ450" s="10"/>
      <c r="FA450" s="10"/>
      <c r="FB450" s="10"/>
      <c r="FC450" s="10"/>
      <c r="FD450" s="10"/>
      <c r="FE450" s="10"/>
      <c r="FF450" s="10"/>
      <c r="FG450" s="10"/>
      <c r="FH450" s="10"/>
      <c r="FI450" s="10"/>
      <c r="FJ450" s="10"/>
      <c r="FK450" s="10"/>
      <c r="FL450" s="10"/>
      <c r="FM450" s="10"/>
      <c r="FN450" s="10"/>
      <c r="FO450" s="10"/>
      <c r="FP450" s="10"/>
      <c r="FQ450" s="10"/>
      <c r="FR450" s="10"/>
      <c r="FS450" s="10"/>
      <c r="FT450" s="10"/>
      <c r="FU450" s="10"/>
      <c r="FV450" s="10"/>
      <c r="FW450" s="10"/>
      <c r="FX450" s="10"/>
      <c r="FY450" s="10"/>
      <c r="FZ450" s="10"/>
      <c r="GA450" s="10"/>
      <c r="GB450" s="10"/>
      <c r="GC450" s="10"/>
      <c r="GD450" s="10"/>
      <c r="GE450" s="10"/>
      <c r="GF450" s="10"/>
      <c r="GG450" s="10"/>
      <c r="GH450" s="10"/>
      <c r="GI450" s="10"/>
      <c r="GJ450" s="10"/>
      <c r="GK450" s="10"/>
      <c r="GL450" s="10"/>
      <c r="GM450" s="10"/>
      <c r="GN450" s="10"/>
      <c r="GO450" s="10"/>
      <c r="GP450" s="10"/>
      <c r="GQ450" s="10"/>
      <c r="GR450" s="10"/>
      <c r="GS450" s="10"/>
      <c r="GT450" s="10"/>
      <c r="GU450" s="10"/>
      <c r="GV450" s="10"/>
      <c r="GW450" s="10"/>
      <c r="GX450" s="10"/>
      <c r="GY450" s="10"/>
      <c r="GZ450" s="10"/>
      <c r="HA450" s="10"/>
      <c r="HB450" s="10"/>
      <c r="HC450" s="10"/>
      <c r="HD450" s="10"/>
      <c r="HE450" s="10"/>
      <c r="HF450" s="10"/>
      <c r="HG450" s="10"/>
      <c r="HH450" s="10"/>
      <c r="HI450" s="10"/>
      <c r="HJ450" s="10"/>
      <c r="HK450" s="10"/>
      <c r="HL450" s="10"/>
      <c r="HM450" s="10"/>
      <c r="HN450" s="10"/>
      <c r="HO450" s="10"/>
      <c r="HP450" s="10"/>
      <c r="HQ450" s="10"/>
      <c r="HR450" s="10"/>
      <c r="HS450" s="10"/>
      <c r="HT450" s="10"/>
    </row>
    <row r="451" spans="2:228" ht="15" customHeight="1" x14ac:dyDescent="0.2">
      <c r="B451" s="742" t="s">
        <v>1499</v>
      </c>
      <c r="C451" s="743"/>
      <c r="D451" s="744"/>
      <c r="E451" s="727">
        <f>P391</f>
        <v>0</v>
      </c>
      <c r="F451" s="729"/>
      <c r="G451" s="1146"/>
      <c r="H451" s="1147"/>
      <c r="I451" s="1148"/>
      <c r="J451" s="1151">
        <f t="shared" si="95"/>
        <v>0</v>
      </c>
      <c r="K451" s="1151"/>
      <c r="L451" s="623"/>
      <c r="M451" s="624"/>
      <c r="N451" s="624"/>
      <c r="O451" s="625"/>
      <c r="P451" s="1091"/>
      <c r="R451" s="10"/>
      <c r="S451" s="147">
        <f t="shared" si="92"/>
        <v>0</v>
      </c>
      <c r="T451" s="147">
        <f>LARGE($S$448:$S$470,4)</f>
        <v>0</v>
      </c>
      <c r="U451" s="544">
        <f>V450+T452*(1-V450)</f>
        <v>0</v>
      </c>
      <c r="V451" s="610">
        <f t="shared" si="93"/>
        <v>0</v>
      </c>
      <c r="W451" s="588" t="s">
        <v>1859</v>
      </c>
      <c r="X451" s="10"/>
      <c r="Y451" s="21">
        <f t="shared" si="94"/>
        <v>0</v>
      </c>
      <c r="Z451" s="10"/>
      <c r="AA451" s="6"/>
      <c r="AB451" s="6"/>
      <c r="AC451" s="6"/>
      <c r="AD451" s="6"/>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c r="EM451" s="10"/>
      <c r="EN451" s="10"/>
      <c r="EO451" s="10"/>
      <c r="EP451" s="10"/>
      <c r="EQ451" s="10"/>
      <c r="ER451" s="10"/>
      <c r="ES451" s="10"/>
      <c r="ET451" s="10"/>
      <c r="EU451" s="10"/>
      <c r="EV451" s="10"/>
      <c r="EW451" s="10"/>
      <c r="EX451" s="10"/>
      <c r="EY451" s="10"/>
      <c r="EZ451" s="10"/>
      <c r="FA451" s="10"/>
      <c r="FB451" s="10"/>
      <c r="FC451" s="10"/>
      <c r="FD451" s="10"/>
      <c r="FE451" s="10"/>
      <c r="FF451" s="10"/>
      <c r="FG451" s="10"/>
      <c r="FH451" s="10"/>
      <c r="FI451" s="10"/>
      <c r="FJ451" s="10"/>
      <c r="FK451" s="10"/>
      <c r="FL451" s="10"/>
      <c r="FM451" s="10"/>
      <c r="FN451" s="10"/>
      <c r="FO451" s="10"/>
      <c r="FP451" s="10"/>
      <c r="FQ451" s="10"/>
      <c r="FR451" s="10"/>
      <c r="FS451" s="10"/>
      <c r="FT451" s="10"/>
      <c r="FU451" s="10"/>
      <c r="FV451" s="10"/>
      <c r="FW451" s="10"/>
      <c r="FX451" s="10"/>
      <c r="FY451" s="10"/>
      <c r="FZ451" s="10"/>
      <c r="GA451" s="10"/>
      <c r="GB451" s="10"/>
      <c r="GC451" s="10"/>
      <c r="GD451" s="10"/>
      <c r="GE451" s="10"/>
      <c r="GF451" s="10"/>
      <c r="GG451" s="10"/>
      <c r="GH451" s="10"/>
      <c r="GI451" s="10"/>
      <c r="GJ451" s="10"/>
      <c r="GK451" s="10"/>
      <c r="GL451" s="10"/>
      <c r="GM451" s="10"/>
      <c r="GN451" s="10"/>
      <c r="GO451" s="10"/>
      <c r="GP451" s="10"/>
      <c r="GQ451" s="10"/>
      <c r="GR451" s="10"/>
      <c r="GS451" s="10"/>
      <c r="GT451" s="10"/>
      <c r="GU451" s="10"/>
      <c r="GV451" s="10"/>
      <c r="GW451" s="10"/>
      <c r="GX451" s="10"/>
      <c r="GY451" s="10"/>
      <c r="GZ451" s="10"/>
      <c r="HA451" s="10"/>
      <c r="HB451" s="10"/>
      <c r="HC451" s="10"/>
      <c r="HD451" s="10"/>
      <c r="HE451" s="10"/>
      <c r="HF451" s="10"/>
      <c r="HG451" s="10"/>
      <c r="HH451" s="10"/>
      <c r="HI451" s="10"/>
      <c r="HJ451" s="10"/>
      <c r="HK451" s="10"/>
      <c r="HL451" s="10"/>
      <c r="HM451" s="10"/>
      <c r="HN451" s="10"/>
      <c r="HO451" s="10"/>
      <c r="HP451" s="10"/>
      <c r="HQ451" s="10"/>
      <c r="HR451" s="10"/>
      <c r="HS451" s="10"/>
      <c r="HT451" s="10"/>
    </row>
    <row r="452" spans="2:228" ht="15" customHeight="1" x14ac:dyDescent="0.2">
      <c r="B452" s="1280" t="s">
        <v>1500</v>
      </c>
      <c r="C452" s="1281"/>
      <c r="D452" s="1282"/>
      <c r="E452" s="727">
        <f>P400</f>
        <v>0</v>
      </c>
      <c r="F452" s="729"/>
      <c r="G452" s="1146"/>
      <c r="H452" s="1147"/>
      <c r="I452" s="1148"/>
      <c r="J452" s="1151">
        <f t="shared" si="95"/>
        <v>0</v>
      </c>
      <c r="K452" s="1151"/>
      <c r="L452" s="970"/>
      <c r="M452" s="971"/>
      <c r="N452" s="971"/>
      <c r="O452" s="972"/>
      <c r="P452" s="1091"/>
      <c r="R452" s="10"/>
      <c r="S452" s="147">
        <f t="shared" si="92"/>
        <v>0</v>
      </c>
      <c r="T452" s="147">
        <f>LARGE($S$448:$S$470,5)</f>
        <v>0</v>
      </c>
      <c r="U452" s="544">
        <f>V451+T453*(1-V451)</f>
        <v>0</v>
      </c>
      <c r="V452" s="610">
        <f t="shared" si="93"/>
        <v>0</v>
      </c>
      <c r="W452" s="381">
        <f>IF(P337&gt;0,5,0)</f>
        <v>0</v>
      </c>
      <c r="X452" s="10"/>
      <c r="Y452" s="21">
        <f t="shared" si="94"/>
        <v>0</v>
      </c>
      <c r="Z452" s="10"/>
      <c r="AA452" s="6"/>
      <c r="AB452" s="6"/>
      <c r="AC452" s="6"/>
      <c r="AD452" s="6"/>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c r="EM452" s="10"/>
      <c r="EN452" s="10"/>
      <c r="EO452" s="10"/>
      <c r="EP452" s="10"/>
      <c r="EQ452" s="10"/>
      <c r="ER452" s="10"/>
      <c r="ES452" s="10"/>
      <c r="ET452" s="10"/>
      <c r="EU452" s="10"/>
      <c r="EV452" s="10"/>
      <c r="EW452" s="10"/>
      <c r="EX452" s="10"/>
      <c r="EY452" s="10"/>
      <c r="EZ452" s="10"/>
      <c r="FA452" s="10"/>
      <c r="FB452" s="10"/>
      <c r="FC452" s="10"/>
      <c r="FD452" s="10"/>
      <c r="FE452" s="10"/>
      <c r="FF452" s="10"/>
      <c r="FG452" s="10"/>
      <c r="FH452" s="10"/>
      <c r="FI452" s="10"/>
      <c r="FJ452" s="10"/>
      <c r="FK452" s="10"/>
      <c r="FL452" s="10"/>
      <c r="FM452" s="10"/>
      <c r="FN452" s="10"/>
      <c r="FO452" s="10"/>
      <c r="FP452" s="10"/>
      <c r="FQ452" s="10"/>
      <c r="FR452" s="10"/>
      <c r="FS452" s="10"/>
      <c r="FT452" s="10"/>
      <c r="FU452" s="10"/>
      <c r="FV452" s="10"/>
      <c r="FW452" s="10"/>
      <c r="FX452" s="10"/>
      <c r="FY452" s="10"/>
      <c r="FZ452" s="10"/>
      <c r="GA452" s="10"/>
      <c r="GB452" s="10"/>
      <c r="GC452" s="10"/>
      <c r="GD452" s="10"/>
      <c r="GE452" s="10"/>
      <c r="GF452" s="10"/>
      <c r="GG452" s="10"/>
      <c r="GH452" s="10"/>
      <c r="GI452" s="10"/>
      <c r="GJ452" s="10"/>
      <c r="GK452" s="10"/>
      <c r="GL452" s="10"/>
      <c r="GM452" s="10"/>
      <c r="GN452" s="10"/>
      <c r="GO452" s="10"/>
      <c r="GP452" s="10"/>
      <c r="GQ452" s="10"/>
      <c r="GR452" s="10"/>
      <c r="GS452" s="10"/>
      <c r="GT452" s="10"/>
      <c r="GU452" s="10"/>
      <c r="GV452" s="10"/>
      <c r="GW452" s="10"/>
      <c r="GX452" s="10"/>
      <c r="GY452" s="10"/>
      <c r="GZ452" s="10"/>
      <c r="HA452" s="10"/>
      <c r="HB452" s="10"/>
      <c r="HC452" s="10"/>
      <c r="HD452" s="10"/>
      <c r="HE452" s="10"/>
      <c r="HF452" s="10"/>
      <c r="HG452" s="10"/>
      <c r="HH452" s="10"/>
      <c r="HI452" s="10"/>
      <c r="HJ452" s="10"/>
      <c r="HK452" s="10"/>
      <c r="HL452" s="10"/>
      <c r="HM452" s="10"/>
      <c r="HN452" s="10"/>
      <c r="HO452" s="10"/>
      <c r="HP452" s="10"/>
      <c r="HQ452" s="10"/>
      <c r="HR452" s="10"/>
      <c r="HS452" s="10"/>
      <c r="HT452" s="10"/>
    </row>
    <row r="453" spans="2:228" ht="15" customHeight="1" x14ac:dyDescent="0.2">
      <c r="B453" s="1280" t="s">
        <v>1501</v>
      </c>
      <c r="C453" s="1281"/>
      <c r="D453" s="1282"/>
      <c r="E453" s="727">
        <f>P403</f>
        <v>0</v>
      </c>
      <c r="F453" s="729"/>
      <c r="G453" s="1146"/>
      <c r="H453" s="1147"/>
      <c r="I453" s="1148"/>
      <c r="J453" s="1151">
        <f t="shared" si="95"/>
        <v>0</v>
      </c>
      <c r="K453" s="1151"/>
      <c r="L453" s="970"/>
      <c r="M453" s="971"/>
      <c r="N453" s="971"/>
      <c r="O453" s="972"/>
      <c r="P453" s="1091"/>
      <c r="R453" s="10"/>
      <c r="S453" s="147">
        <f t="shared" si="92"/>
        <v>0</v>
      </c>
      <c r="T453" s="147">
        <f>LARGE($S$448:$S$470,6)</f>
        <v>0</v>
      </c>
      <c r="U453" s="544">
        <f>V452+T454*(1-V452)</f>
        <v>0</v>
      </c>
      <c r="V453" s="610">
        <f t="shared" si="93"/>
        <v>0</v>
      </c>
      <c r="W453" s="231" t="s">
        <v>583</v>
      </c>
      <c r="X453" s="10"/>
      <c r="Y453" s="21">
        <f t="shared" si="94"/>
        <v>0</v>
      </c>
      <c r="Z453" s="10"/>
      <c r="AA453" s="6"/>
      <c r="AB453" s="6"/>
      <c r="AC453" s="6"/>
      <c r="AD453" s="6"/>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c r="DF453" s="10"/>
      <c r="DG453" s="10"/>
      <c r="DH453" s="10"/>
      <c r="DI453" s="10"/>
      <c r="DJ453" s="10"/>
      <c r="DK453" s="10"/>
      <c r="DL453" s="10"/>
      <c r="DM453" s="10"/>
      <c r="DN453" s="10"/>
      <c r="DO453" s="10"/>
      <c r="DP453" s="10"/>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c r="EM453" s="10"/>
      <c r="EN453" s="10"/>
      <c r="EO453" s="10"/>
      <c r="EP453" s="10"/>
      <c r="EQ453" s="10"/>
      <c r="ER453" s="10"/>
      <c r="ES453" s="10"/>
      <c r="ET453" s="10"/>
      <c r="EU453" s="10"/>
      <c r="EV453" s="10"/>
      <c r="EW453" s="10"/>
      <c r="EX453" s="10"/>
      <c r="EY453" s="10"/>
      <c r="EZ453" s="10"/>
      <c r="FA453" s="10"/>
      <c r="FB453" s="10"/>
      <c r="FC453" s="10"/>
      <c r="FD453" s="10"/>
      <c r="FE453" s="10"/>
      <c r="FF453" s="10"/>
      <c r="FG453" s="10"/>
      <c r="FH453" s="10"/>
      <c r="FI453" s="10"/>
      <c r="FJ453" s="10"/>
      <c r="FK453" s="10"/>
      <c r="FL453" s="10"/>
      <c r="FM453" s="10"/>
      <c r="FN453" s="10"/>
      <c r="FO453" s="10"/>
      <c r="FP453" s="10"/>
      <c r="FQ453" s="10"/>
      <c r="FR453" s="10"/>
      <c r="FS453" s="10"/>
      <c r="FT453" s="10"/>
      <c r="FU453" s="10"/>
      <c r="FV453" s="10"/>
      <c r="FW453" s="10"/>
      <c r="FX453" s="10"/>
      <c r="FY453" s="10"/>
      <c r="FZ453" s="10"/>
      <c r="GA453" s="10"/>
      <c r="GB453" s="10"/>
      <c r="GC453" s="10"/>
      <c r="GD453" s="10"/>
      <c r="GE453" s="10"/>
      <c r="GF453" s="10"/>
      <c r="GG453" s="10"/>
      <c r="GH453" s="10"/>
      <c r="GI453" s="10"/>
      <c r="GJ453" s="10"/>
      <c r="GK453" s="10"/>
      <c r="GL453" s="10"/>
      <c r="GM453" s="10"/>
      <c r="GN453" s="10"/>
      <c r="GO453" s="10"/>
      <c r="GP453" s="10"/>
      <c r="GQ453" s="10"/>
      <c r="GR453" s="10"/>
      <c r="GS453" s="10"/>
      <c r="GT453" s="10"/>
      <c r="GU453" s="10"/>
      <c r="GV453" s="10"/>
      <c r="GW453" s="10"/>
      <c r="GX453" s="10"/>
      <c r="GY453" s="10"/>
      <c r="GZ453" s="10"/>
      <c r="HA453" s="10"/>
      <c r="HB453" s="10"/>
      <c r="HC453" s="10"/>
      <c r="HD453" s="10"/>
      <c r="HE453" s="10"/>
      <c r="HF453" s="10"/>
      <c r="HG453" s="10"/>
      <c r="HH453" s="10"/>
      <c r="HI453" s="10"/>
      <c r="HJ453" s="10"/>
      <c r="HK453" s="10"/>
      <c r="HL453" s="10"/>
      <c r="HM453" s="10"/>
      <c r="HN453" s="10"/>
      <c r="HO453" s="10"/>
      <c r="HP453" s="10"/>
      <c r="HQ453" s="10"/>
      <c r="HR453" s="10"/>
      <c r="HS453" s="10"/>
      <c r="HT453" s="10"/>
    </row>
    <row r="454" spans="2:228" ht="15" customHeight="1" x14ac:dyDescent="0.2">
      <c r="B454" s="1280" t="s">
        <v>1502</v>
      </c>
      <c r="C454" s="1281"/>
      <c r="D454" s="1282"/>
      <c r="E454" s="727">
        <f>P406</f>
        <v>0</v>
      </c>
      <c r="F454" s="729"/>
      <c r="G454" s="1146"/>
      <c r="H454" s="1147"/>
      <c r="I454" s="1148"/>
      <c r="J454" s="1151">
        <f t="shared" si="95"/>
        <v>0</v>
      </c>
      <c r="K454" s="1151"/>
      <c r="L454" s="970"/>
      <c r="M454" s="971"/>
      <c r="N454" s="971"/>
      <c r="O454" s="972"/>
      <c r="P454" s="1091"/>
      <c r="R454" s="10"/>
      <c r="S454" s="147">
        <f t="shared" si="92"/>
        <v>0</v>
      </c>
      <c r="T454" s="147">
        <f>LARGE($S$448:$S$470,7)</f>
        <v>0</v>
      </c>
      <c r="U454" s="544">
        <f t="shared" ref="U454:U469" si="96">V453+T455*(1-V453)</f>
        <v>0</v>
      </c>
      <c r="V454" s="610">
        <f t="shared" si="93"/>
        <v>0</v>
      </c>
      <c r="W454" s="381">
        <f>IF(OR(P266&gt;0,P442&gt;0),1,0)</f>
        <v>0</v>
      </c>
      <c r="X454" s="10"/>
      <c r="Y454" s="21">
        <f t="shared" si="94"/>
        <v>0</v>
      </c>
      <c r="Z454" s="10"/>
      <c r="AA454" s="10"/>
      <c r="AB454" s="6"/>
      <c r="AC454" s="6"/>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c r="EM454" s="10"/>
      <c r="EN454" s="10"/>
      <c r="EO454" s="10"/>
      <c r="EP454" s="10"/>
      <c r="EQ454" s="10"/>
      <c r="ER454" s="10"/>
      <c r="ES454" s="10"/>
      <c r="ET454" s="10"/>
      <c r="EU454" s="10"/>
      <c r="EV454" s="10"/>
      <c r="EW454" s="10"/>
      <c r="EX454" s="10"/>
      <c r="EY454" s="10"/>
      <c r="EZ454" s="10"/>
      <c r="FA454" s="10"/>
      <c r="FB454" s="10"/>
      <c r="FC454" s="10"/>
      <c r="FD454" s="10"/>
      <c r="FE454" s="10"/>
      <c r="FF454" s="10"/>
      <c r="FG454" s="10"/>
      <c r="FH454" s="10"/>
      <c r="FI454" s="10"/>
      <c r="FJ454" s="10"/>
      <c r="FK454" s="10"/>
      <c r="FL454" s="10"/>
      <c r="FM454" s="10"/>
      <c r="FN454" s="10"/>
      <c r="FO454" s="10"/>
      <c r="FP454" s="10"/>
      <c r="FQ454" s="10"/>
      <c r="FR454" s="10"/>
      <c r="FS454" s="10"/>
      <c r="FT454" s="10"/>
      <c r="FU454" s="10"/>
      <c r="FV454" s="10"/>
      <c r="FW454" s="10"/>
      <c r="FX454" s="10"/>
      <c r="FY454" s="10"/>
      <c r="FZ454" s="10"/>
      <c r="GA454" s="10"/>
      <c r="GB454" s="10"/>
      <c r="GC454" s="10"/>
      <c r="GD454" s="10"/>
      <c r="GE454" s="10"/>
      <c r="GF454" s="10"/>
      <c r="GG454" s="10"/>
      <c r="GH454" s="10"/>
      <c r="GI454" s="10"/>
      <c r="GJ454" s="10"/>
      <c r="GK454" s="10"/>
      <c r="GL454" s="10"/>
      <c r="GM454" s="10"/>
      <c r="GN454" s="10"/>
      <c r="GO454" s="10"/>
      <c r="GP454" s="10"/>
      <c r="GQ454" s="10"/>
      <c r="GR454" s="10"/>
      <c r="GS454" s="10"/>
      <c r="GT454" s="10"/>
      <c r="GU454" s="10"/>
      <c r="GV454" s="10"/>
      <c r="GW454" s="10"/>
      <c r="GX454" s="10"/>
      <c r="GY454" s="10"/>
      <c r="GZ454" s="10"/>
      <c r="HA454" s="10"/>
      <c r="HB454" s="10"/>
      <c r="HC454" s="10"/>
      <c r="HD454" s="10"/>
      <c r="HE454" s="10"/>
      <c r="HF454" s="10"/>
      <c r="HG454" s="10"/>
      <c r="HH454" s="10"/>
      <c r="HI454" s="10"/>
      <c r="HJ454" s="10"/>
      <c r="HK454" s="10"/>
      <c r="HL454" s="10"/>
      <c r="HM454" s="10"/>
      <c r="HN454" s="10"/>
      <c r="HO454" s="10"/>
      <c r="HP454" s="10"/>
      <c r="HQ454" s="10"/>
      <c r="HR454" s="10"/>
      <c r="HS454" s="10"/>
      <c r="HT454" s="10"/>
    </row>
    <row r="455" spans="2:228" ht="15" customHeight="1" x14ac:dyDescent="0.2">
      <c r="B455" s="1280" t="str">
        <f>IF(P411&gt;0,"Surgery: Partial loss of one menisus","Surgery: Menisci")</f>
        <v>Surgery: Menisci</v>
      </c>
      <c r="C455" s="1281"/>
      <c r="D455" s="1282"/>
      <c r="E455" s="727">
        <f>P410</f>
        <v>0</v>
      </c>
      <c r="F455" s="729"/>
      <c r="G455" s="1146"/>
      <c r="H455" s="1147"/>
      <c r="I455" s="1148"/>
      <c r="J455" s="1151">
        <f t="shared" si="95"/>
        <v>0</v>
      </c>
      <c r="K455" s="1151"/>
      <c r="L455" s="970"/>
      <c r="M455" s="971"/>
      <c r="N455" s="971"/>
      <c r="O455" s="972"/>
      <c r="P455" s="1091"/>
      <c r="R455" s="10"/>
      <c r="S455" s="147">
        <f t="shared" si="92"/>
        <v>0</v>
      </c>
      <c r="T455" s="147">
        <f>LARGE($S$448:$S$470,8)</f>
        <v>0</v>
      </c>
      <c r="U455" s="544">
        <f t="shared" si="96"/>
        <v>0</v>
      </c>
      <c r="V455" s="610">
        <f t="shared" si="93"/>
        <v>0</v>
      </c>
      <c r="W455" s="588" t="s">
        <v>2189</v>
      </c>
      <c r="X455" s="10"/>
      <c r="Y455" s="21">
        <f t="shared" si="94"/>
        <v>0</v>
      </c>
      <c r="Z455" s="10"/>
      <c r="AA455" s="10"/>
      <c r="AB455" s="6"/>
      <c r="AC455" s="6"/>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10"/>
      <c r="DN455" s="10"/>
      <c r="DO455" s="10"/>
      <c r="DP455" s="10"/>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c r="EM455" s="10"/>
      <c r="EN455" s="10"/>
      <c r="EO455" s="10"/>
      <c r="EP455" s="10"/>
      <c r="EQ455" s="10"/>
      <c r="ER455" s="10"/>
      <c r="ES455" s="10"/>
      <c r="ET455" s="10"/>
      <c r="EU455" s="10"/>
      <c r="EV455" s="10"/>
      <c r="EW455" s="10"/>
      <c r="EX455" s="10"/>
      <c r="EY455" s="10"/>
      <c r="EZ455" s="10"/>
      <c r="FA455" s="10"/>
      <c r="FB455" s="10"/>
      <c r="FC455" s="10"/>
      <c r="FD455" s="10"/>
      <c r="FE455" s="10"/>
      <c r="FF455" s="10"/>
      <c r="FG455" s="10"/>
      <c r="FH455" s="10"/>
      <c r="FI455" s="10"/>
      <c r="FJ455" s="10"/>
      <c r="FK455" s="10"/>
      <c r="FL455" s="10"/>
      <c r="FM455" s="10"/>
      <c r="FN455" s="10"/>
      <c r="FO455" s="10"/>
      <c r="FP455" s="10"/>
      <c r="FQ455" s="10"/>
      <c r="FR455" s="10"/>
      <c r="FS455" s="10"/>
      <c r="FT455" s="10"/>
      <c r="FU455" s="10"/>
      <c r="FV455" s="10"/>
      <c r="FW455" s="10"/>
      <c r="FX455" s="10"/>
      <c r="FY455" s="10"/>
      <c r="FZ455" s="10"/>
      <c r="GA455" s="10"/>
      <c r="GB455" s="10"/>
      <c r="GC455" s="10"/>
      <c r="GD455" s="10"/>
      <c r="GE455" s="10"/>
      <c r="GF455" s="10"/>
      <c r="GG455" s="10"/>
      <c r="GH455" s="10"/>
      <c r="GI455" s="10"/>
      <c r="GJ455" s="10"/>
      <c r="GK455" s="10"/>
      <c r="GL455" s="10"/>
      <c r="GM455" s="10"/>
      <c r="GN455" s="10"/>
      <c r="GO455" s="10"/>
      <c r="GP455" s="10"/>
      <c r="GQ455" s="10"/>
      <c r="GR455" s="10"/>
      <c r="GS455" s="10"/>
      <c r="GT455" s="10"/>
      <c r="GU455" s="10"/>
      <c r="GV455" s="10"/>
      <c r="GW455" s="10"/>
      <c r="GX455" s="10"/>
      <c r="GY455" s="10"/>
      <c r="GZ455" s="10"/>
      <c r="HA455" s="10"/>
      <c r="HB455" s="10"/>
      <c r="HC455" s="10"/>
      <c r="HD455" s="10"/>
      <c r="HE455" s="10"/>
      <c r="HF455" s="10"/>
      <c r="HG455" s="10"/>
      <c r="HH455" s="10"/>
      <c r="HI455" s="10"/>
      <c r="HJ455" s="10"/>
      <c r="HK455" s="10"/>
      <c r="HL455" s="10"/>
      <c r="HM455" s="10"/>
      <c r="HN455" s="10"/>
      <c r="HO455" s="10"/>
      <c r="HP455" s="10"/>
      <c r="HQ455" s="10"/>
      <c r="HR455" s="10"/>
      <c r="HS455" s="10"/>
      <c r="HT455" s="10"/>
    </row>
    <row r="456" spans="2:228" ht="15" customHeight="1" x14ac:dyDescent="0.2">
      <c r="B456" s="1280" t="str">
        <f>IF(P411&gt;0,"Surgery: Partial loss of 2nd meniscus","")</f>
        <v/>
      </c>
      <c r="C456" s="1281"/>
      <c r="D456" s="1282"/>
      <c r="E456" s="727">
        <f>P411</f>
        <v>0</v>
      </c>
      <c r="F456" s="729"/>
      <c r="G456" s="1146"/>
      <c r="H456" s="1147"/>
      <c r="I456" s="1148"/>
      <c r="J456" s="1151">
        <f t="shared" si="95"/>
        <v>0</v>
      </c>
      <c r="K456" s="1151"/>
      <c r="L456" s="970"/>
      <c r="M456" s="971"/>
      <c r="N456" s="971"/>
      <c r="O456" s="972"/>
      <c r="P456" s="1091"/>
      <c r="R456" s="10"/>
      <c r="S456" s="147">
        <f t="shared" si="92"/>
        <v>0</v>
      </c>
      <c r="T456" s="147">
        <f>LARGE($S$448:$S$470,9)</f>
        <v>0</v>
      </c>
      <c r="U456" s="544">
        <f t="shared" si="96"/>
        <v>0</v>
      </c>
      <c r="V456" s="610">
        <f t="shared" si="93"/>
        <v>0</v>
      </c>
      <c r="W456" s="381">
        <f>SUM(W448,W450,W452,W454)</f>
        <v>0</v>
      </c>
      <c r="X456" s="10"/>
      <c r="Y456" s="21">
        <f t="shared" si="94"/>
        <v>0</v>
      </c>
      <c r="Z456" s="10"/>
      <c r="AA456" s="10"/>
      <c r="AB456" s="6"/>
      <c r="AC456" s="6"/>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c r="DF456" s="10"/>
      <c r="DG456" s="10"/>
      <c r="DH456" s="10"/>
      <c r="DI456" s="10"/>
      <c r="DJ456" s="10"/>
      <c r="DK456" s="10"/>
      <c r="DL456" s="10"/>
      <c r="DM456" s="10"/>
      <c r="DN456" s="10"/>
      <c r="DO456" s="10"/>
      <c r="DP456" s="10"/>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c r="EM456" s="10"/>
      <c r="EN456" s="10"/>
      <c r="EO456" s="10"/>
      <c r="EP456" s="10"/>
      <c r="EQ456" s="10"/>
      <c r="ER456" s="10"/>
      <c r="ES456" s="10"/>
      <c r="ET456" s="10"/>
      <c r="EU456" s="10"/>
      <c r="EV456" s="10"/>
      <c r="EW456" s="10"/>
      <c r="EX456" s="10"/>
      <c r="EY456" s="10"/>
      <c r="EZ456" s="10"/>
      <c r="FA456" s="10"/>
      <c r="FB456" s="10"/>
      <c r="FC456" s="10"/>
      <c r="FD456" s="10"/>
      <c r="FE456" s="10"/>
      <c r="FF456" s="10"/>
      <c r="FG456" s="10"/>
      <c r="FH456" s="10"/>
      <c r="FI456" s="10"/>
      <c r="FJ456" s="10"/>
      <c r="FK456" s="10"/>
      <c r="FL456" s="10"/>
      <c r="FM456" s="10"/>
      <c r="FN456" s="10"/>
      <c r="FO456" s="10"/>
      <c r="FP456" s="10"/>
      <c r="FQ456" s="10"/>
      <c r="FR456" s="10"/>
      <c r="FS456" s="10"/>
      <c r="FT456" s="10"/>
      <c r="FU456" s="10"/>
      <c r="FV456" s="10"/>
      <c r="FW456" s="10"/>
      <c r="FX456" s="10"/>
      <c r="FY456" s="10"/>
      <c r="FZ456" s="10"/>
      <c r="GA456" s="10"/>
      <c r="GB456" s="10"/>
      <c r="GC456" s="10"/>
      <c r="GD456" s="10"/>
      <c r="GE456" s="10"/>
      <c r="GF456" s="10"/>
      <c r="GG456" s="10"/>
      <c r="GH456" s="10"/>
      <c r="GI456" s="10"/>
      <c r="GJ456" s="10"/>
      <c r="GK456" s="10"/>
      <c r="GL456" s="10"/>
      <c r="GM456" s="10"/>
      <c r="GN456" s="10"/>
      <c r="GO456" s="10"/>
      <c r="GP456" s="10"/>
      <c r="GQ456" s="10"/>
      <c r="GR456" s="10"/>
      <c r="GS456" s="10"/>
      <c r="GT456" s="10"/>
      <c r="GU456" s="10"/>
      <c r="GV456" s="10"/>
      <c r="GW456" s="10"/>
      <c r="GX456" s="10"/>
      <c r="GY456" s="10"/>
      <c r="GZ456" s="10"/>
      <c r="HA456" s="10"/>
      <c r="HB456" s="10"/>
      <c r="HC456" s="10"/>
      <c r="HD456" s="10"/>
      <c r="HE456" s="10"/>
      <c r="HF456" s="10"/>
      <c r="HG456" s="10"/>
      <c r="HH456" s="10"/>
      <c r="HI456" s="10"/>
      <c r="HJ456" s="10"/>
      <c r="HK456" s="10"/>
      <c r="HL456" s="10"/>
      <c r="HM456" s="10"/>
      <c r="HN456" s="10"/>
      <c r="HO456" s="10"/>
      <c r="HP456" s="10"/>
      <c r="HQ456" s="10"/>
      <c r="HR456" s="10"/>
      <c r="HS456" s="10"/>
      <c r="HT456" s="10"/>
    </row>
    <row r="457" spans="2:228" ht="15" customHeight="1" x14ac:dyDescent="0.2">
      <c r="B457" s="742" t="s">
        <v>1875</v>
      </c>
      <c r="C457" s="743"/>
      <c r="D457" s="744"/>
      <c r="E457" s="727">
        <f t="shared" ref="E457:E462" si="97">P412</f>
        <v>0</v>
      </c>
      <c r="F457" s="729"/>
      <c r="G457" s="1146"/>
      <c r="H457" s="1147"/>
      <c r="I457" s="1148"/>
      <c r="J457" s="1151">
        <f t="shared" si="95"/>
        <v>0</v>
      </c>
      <c r="K457" s="1151"/>
      <c r="L457" s="970"/>
      <c r="M457" s="971"/>
      <c r="N457" s="971"/>
      <c r="O457" s="972"/>
      <c r="P457" s="1091"/>
      <c r="R457" s="10"/>
      <c r="S457" s="147">
        <f t="shared" si="92"/>
        <v>0</v>
      </c>
      <c r="T457" s="147">
        <f>LARGE($S$448:$S$470,10)</f>
        <v>0</v>
      </c>
      <c r="U457" s="544">
        <f t="shared" si="96"/>
        <v>0</v>
      </c>
      <c r="V457" s="548">
        <f t="shared" si="93"/>
        <v>0</v>
      </c>
      <c r="W457" s="1123" t="s">
        <v>971</v>
      </c>
      <c r="X457" s="10"/>
      <c r="Y457" s="21">
        <f t="shared" si="94"/>
        <v>0</v>
      </c>
      <c r="Z457" s="10"/>
      <c r="AA457" s="10"/>
      <c r="AB457" s="6"/>
      <c r="AC457" s="6"/>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c r="EM457" s="10"/>
      <c r="EN457" s="10"/>
      <c r="EO457" s="10"/>
      <c r="EP457" s="10"/>
      <c r="EQ457" s="10"/>
      <c r="ER457" s="10"/>
      <c r="ES457" s="10"/>
      <c r="ET457" s="10"/>
      <c r="EU457" s="10"/>
      <c r="EV457" s="10"/>
      <c r="EW457" s="10"/>
      <c r="EX457" s="10"/>
      <c r="EY457" s="10"/>
      <c r="EZ457" s="10"/>
      <c r="FA457" s="10"/>
      <c r="FB457" s="10"/>
      <c r="FC457" s="10"/>
      <c r="FD457" s="10"/>
      <c r="FE457" s="10"/>
      <c r="FF457" s="10"/>
      <c r="FG457" s="10"/>
      <c r="FH457" s="10"/>
      <c r="FI457" s="10"/>
      <c r="FJ457" s="10"/>
      <c r="FK457" s="10"/>
      <c r="FL457" s="10"/>
      <c r="FM457" s="10"/>
      <c r="FN457" s="10"/>
      <c r="FO457" s="10"/>
      <c r="FP457" s="10"/>
      <c r="FQ457" s="10"/>
      <c r="FR457" s="10"/>
      <c r="FS457" s="10"/>
      <c r="FT457" s="10"/>
      <c r="FU457" s="10"/>
      <c r="FV457" s="10"/>
      <c r="FW457" s="10"/>
      <c r="FX457" s="10"/>
      <c r="FY457" s="10"/>
      <c r="FZ457" s="10"/>
      <c r="GA457" s="10"/>
      <c r="GB457" s="10"/>
      <c r="GC457" s="10"/>
      <c r="GD457" s="10"/>
      <c r="GE457" s="10"/>
      <c r="GF457" s="10"/>
      <c r="GG457" s="10"/>
      <c r="GH457" s="10"/>
      <c r="GI457" s="10"/>
      <c r="GJ457" s="10"/>
      <c r="GK457" s="10"/>
      <c r="GL457" s="10"/>
      <c r="GM457" s="10"/>
      <c r="GN457" s="10"/>
      <c r="GO457" s="10"/>
      <c r="GP457" s="10"/>
      <c r="GQ457" s="10"/>
      <c r="GR457" s="10"/>
      <c r="GS457" s="10"/>
      <c r="GT457" s="10"/>
      <c r="GU457" s="10"/>
      <c r="GV457" s="10"/>
      <c r="GW457" s="10"/>
      <c r="GX457" s="10"/>
      <c r="GY457" s="10"/>
      <c r="GZ457" s="10"/>
      <c r="HA457" s="10"/>
      <c r="HB457" s="10"/>
      <c r="HC457" s="10"/>
      <c r="HD457" s="10"/>
      <c r="HE457" s="10"/>
      <c r="HF457" s="10"/>
      <c r="HG457" s="10"/>
      <c r="HH457" s="10"/>
      <c r="HI457" s="10"/>
      <c r="HJ457" s="10"/>
      <c r="HK457" s="10"/>
      <c r="HL457" s="10"/>
      <c r="HM457" s="10"/>
      <c r="HN457" s="10"/>
      <c r="HO457" s="10"/>
      <c r="HP457" s="10"/>
      <c r="HQ457" s="10"/>
      <c r="HR457" s="10"/>
      <c r="HS457" s="10"/>
      <c r="HT457" s="10"/>
    </row>
    <row r="458" spans="2:228" ht="15" customHeight="1" x14ac:dyDescent="0.2">
      <c r="B458" s="742" t="s">
        <v>1876</v>
      </c>
      <c r="C458" s="743"/>
      <c r="D458" s="744"/>
      <c r="E458" s="727">
        <f t="shared" si="97"/>
        <v>0</v>
      </c>
      <c r="F458" s="729"/>
      <c r="G458" s="1146"/>
      <c r="H458" s="1147"/>
      <c r="I458" s="1148"/>
      <c r="J458" s="1151">
        <f t="shared" si="95"/>
        <v>0</v>
      </c>
      <c r="K458" s="1151"/>
      <c r="L458" s="1094"/>
      <c r="M458" s="1095"/>
      <c r="N458" s="1095"/>
      <c r="O458" s="1096"/>
      <c r="P458" s="1091"/>
      <c r="R458" s="10"/>
      <c r="S458" s="147">
        <f t="shared" si="92"/>
        <v>0</v>
      </c>
      <c r="T458" s="147">
        <f>LARGE($S$448:$S$470,11)</f>
        <v>0</v>
      </c>
      <c r="U458" s="544">
        <f t="shared" si="96"/>
        <v>0</v>
      </c>
      <c r="V458" s="548">
        <f t="shared" si="93"/>
        <v>0</v>
      </c>
      <c r="W458" s="1149"/>
      <c r="X458" s="10"/>
      <c r="Y458" s="21">
        <f t="shared" si="94"/>
        <v>0</v>
      </c>
      <c r="Z458" s="10"/>
      <c r="AA458" s="10"/>
      <c r="AB458" s="6"/>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c r="DF458" s="10"/>
      <c r="DG458" s="10"/>
      <c r="DH458" s="10"/>
      <c r="DI458" s="10"/>
      <c r="DJ458" s="10"/>
      <c r="DK458" s="10"/>
      <c r="DL458" s="10"/>
      <c r="DM458" s="10"/>
      <c r="DN458" s="10"/>
      <c r="DO458" s="10"/>
      <c r="DP458" s="10"/>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c r="EM458" s="10"/>
      <c r="EN458" s="10"/>
      <c r="EO458" s="10"/>
      <c r="EP458" s="10"/>
      <c r="EQ458" s="10"/>
      <c r="ER458" s="10"/>
      <c r="ES458" s="10"/>
      <c r="ET458" s="10"/>
      <c r="EU458" s="10"/>
      <c r="EV458" s="10"/>
      <c r="EW458" s="10"/>
      <c r="EX458" s="10"/>
      <c r="EY458" s="10"/>
      <c r="EZ458" s="10"/>
      <c r="FA458" s="10"/>
      <c r="FB458" s="10"/>
      <c r="FC458" s="10"/>
      <c r="FD458" s="10"/>
      <c r="FE458" s="10"/>
      <c r="FF458" s="10"/>
      <c r="FG458" s="10"/>
      <c r="FH458" s="10"/>
      <c r="FI458" s="10"/>
      <c r="FJ458" s="10"/>
      <c r="FK458" s="10"/>
      <c r="FL458" s="10"/>
      <c r="FM458" s="10"/>
      <c r="FN458" s="10"/>
      <c r="FO458" s="10"/>
      <c r="FP458" s="10"/>
      <c r="FQ458" s="10"/>
      <c r="FR458" s="10"/>
      <c r="FS458" s="10"/>
      <c r="FT458" s="10"/>
      <c r="FU458" s="10"/>
      <c r="FV458" s="10"/>
      <c r="FW458" s="10"/>
      <c r="FX458" s="10"/>
      <c r="FY458" s="10"/>
      <c r="FZ458" s="10"/>
      <c r="GA458" s="10"/>
      <c r="GB458" s="10"/>
      <c r="GC458" s="10"/>
      <c r="GD458" s="10"/>
      <c r="GE458" s="10"/>
      <c r="GF458" s="10"/>
      <c r="GG458" s="10"/>
      <c r="GH458" s="10"/>
      <c r="GI458" s="10"/>
      <c r="GJ458" s="10"/>
      <c r="GK458" s="10"/>
      <c r="GL458" s="10"/>
      <c r="GM458" s="10"/>
      <c r="GN458" s="10"/>
      <c r="GO458" s="10"/>
      <c r="GP458" s="10"/>
      <c r="GQ458" s="10"/>
      <c r="GR458" s="10"/>
      <c r="GS458" s="10"/>
      <c r="GT458" s="10"/>
      <c r="GU458" s="10"/>
      <c r="GV458" s="10"/>
      <c r="GW458" s="10"/>
      <c r="GX458" s="10"/>
      <c r="GY458" s="10"/>
      <c r="GZ458" s="10"/>
      <c r="HA458" s="10"/>
      <c r="HB458" s="10"/>
      <c r="HC458" s="10"/>
      <c r="HD458" s="10"/>
      <c r="HE458" s="10"/>
      <c r="HF458" s="10"/>
      <c r="HG458" s="10"/>
      <c r="HH458" s="10"/>
      <c r="HI458" s="10"/>
      <c r="HJ458" s="10"/>
      <c r="HK458" s="10"/>
      <c r="HL458" s="10"/>
      <c r="HM458" s="10"/>
      <c r="HN458" s="10"/>
      <c r="HO458" s="10"/>
      <c r="HP458" s="10"/>
      <c r="HQ458" s="10"/>
      <c r="HR458" s="10"/>
      <c r="HS458" s="10"/>
      <c r="HT458" s="10"/>
    </row>
    <row r="459" spans="2:228" ht="15" customHeight="1" x14ac:dyDescent="0.2">
      <c r="B459" s="742" t="s">
        <v>1877</v>
      </c>
      <c r="C459" s="743"/>
      <c r="D459" s="744"/>
      <c r="E459" s="727">
        <f t="shared" si="97"/>
        <v>0</v>
      </c>
      <c r="F459" s="729"/>
      <c r="G459" s="1146"/>
      <c r="H459" s="1147"/>
      <c r="I459" s="1148"/>
      <c r="J459" s="1151">
        <f t="shared" si="95"/>
        <v>0</v>
      </c>
      <c r="K459" s="1151"/>
      <c r="L459" s="1094"/>
      <c r="M459" s="1095"/>
      <c r="N459" s="1095"/>
      <c r="O459" s="1096"/>
      <c r="P459" s="1091"/>
      <c r="R459" s="10"/>
      <c r="S459" s="147">
        <f t="shared" si="92"/>
        <v>0</v>
      </c>
      <c r="T459" s="147">
        <f>LARGE($S$448:$S$470,12)</f>
        <v>0</v>
      </c>
      <c r="U459" s="544">
        <f t="shared" si="96"/>
        <v>0</v>
      </c>
      <c r="V459" s="548">
        <f t="shared" si="93"/>
        <v>0</v>
      </c>
      <c r="W459" s="1149"/>
      <c r="X459" s="10"/>
      <c r="Y459" s="21">
        <f t="shared" si="94"/>
        <v>0</v>
      </c>
      <c r="Z459" s="10"/>
      <c r="AA459" s="10"/>
      <c r="AB459" s="6"/>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c r="DF459" s="10"/>
      <c r="DG459" s="10"/>
      <c r="DH459" s="10"/>
      <c r="DI459" s="10"/>
      <c r="DJ459" s="10"/>
      <c r="DK459" s="10"/>
      <c r="DL459" s="10"/>
      <c r="DM459" s="10"/>
      <c r="DN459" s="10"/>
      <c r="DO459" s="10"/>
      <c r="DP459" s="10"/>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c r="EM459" s="10"/>
      <c r="EN459" s="10"/>
      <c r="EO459" s="10"/>
      <c r="EP459" s="10"/>
      <c r="EQ459" s="10"/>
      <c r="ER459" s="10"/>
      <c r="ES459" s="10"/>
      <c r="ET459" s="10"/>
      <c r="EU459" s="10"/>
      <c r="EV459" s="10"/>
      <c r="EW459" s="10"/>
      <c r="EX459" s="10"/>
      <c r="EY459" s="10"/>
      <c r="EZ459" s="10"/>
      <c r="FA459" s="10"/>
      <c r="FB459" s="10"/>
      <c r="FC459" s="10"/>
      <c r="FD459" s="10"/>
      <c r="FE459" s="10"/>
      <c r="FF459" s="10"/>
      <c r="FG459" s="10"/>
      <c r="FH459" s="10"/>
      <c r="FI459" s="10"/>
      <c r="FJ459" s="10"/>
      <c r="FK459" s="10"/>
      <c r="FL459" s="10"/>
      <c r="FM459" s="10"/>
      <c r="FN459" s="10"/>
      <c r="FO459" s="10"/>
      <c r="FP459" s="10"/>
      <c r="FQ459" s="10"/>
      <c r="FR459" s="10"/>
      <c r="FS459" s="10"/>
      <c r="FT459" s="10"/>
      <c r="FU459" s="10"/>
      <c r="FV459" s="10"/>
      <c r="FW459" s="10"/>
      <c r="FX459" s="10"/>
      <c r="FY459" s="10"/>
      <c r="FZ459" s="10"/>
      <c r="GA459" s="10"/>
      <c r="GB459" s="10"/>
      <c r="GC459" s="10"/>
      <c r="GD459" s="10"/>
      <c r="GE459" s="10"/>
      <c r="GF459" s="10"/>
      <c r="GG459" s="10"/>
      <c r="GH459" s="10"/>
      <c r="GI459" s="10"/>
      <c r="GJ459" s="10"/>
      <c r="GK459" s="10"/>
      <c r="GL459" s="10"/>
      <c r="GM459" s="10"/>
      <c r="GN459" s="10"/>
      <c r="GO459" s="10"/>
      <c r="GP459" s="10"/>
      <c r="GQ459" s="10"/>
      <c r="GR459" s="10"/>
      <c r="GS459" s="10"/>
      <c r="GT459" s="10"/>
      <c r="GU459" s="10"/>
      <c r="GV459" s="10"/>
      <c r="GW459" s="10"/>
      <c r="GX459" s="10"/>
      <c r="GY459" s="10"/>
      <c r="GZ459" s="10"/>
      <c r="HA459" s="10"/>
      <c r="HB459" s="10"/>
      <c r="HC459" s="10"/>
      <c r="HD459" s="10"/>
      <c r="HE459" s="10"/>
      <c r="HF459" s="10"/>
      <c r="HG459" s="10"/>
      <c r="HH459" s="10"/>
      <c r="HI459" s="10"/>
      <c r="HJ459" s="10"/>
      <c r="HK459" s="10"/>
      <c r="HL459" s="10"/>
      <c r="HM459" s="10"/>
      <c r="HN459" s="10"/>
      <c r="HO459" s="10"/>
      <c r="HP459" s="10"/>
      <c r="HQ459" s="10"/>
      <c r="HR459" s="10"/>
      <c r="HS459" s="10"/>
      <c r="HT459" s="10"/>
    </row>
    <row r="460" spans="2:228" ht="15" customHeight="1" x14ac:dyDescent="0.2">
      <c r="B460" s="742" t="s">
        <v>697</v>
      </c>
      <c r="C460" s="743"/>
      <c r="D460" s="744"/>
      <c r="E460" s="727">
        <f t="shared" si="97"/>
        <v>0</v>
      </c>
      <c r="F460" s="729"/>
      <c r="G460" s="1146"/>
      <c r="H460" s="1147"/>
      <c r="I460" s="1148"/>
      <c r="J460" s="1151">
        <f t="shared" si="95"/>
        <v>0</v>
      </c>
      <c r="K460" s="1151"/>
      <c r="L460" s="1094"/>
      <c r="M460" s="1095"/>
      <c r="N460" s="1095"/>
      <c r="O460" s="1096"/>
      <c r="P460" s="1091"/>
      <c r="R460" s="10"/>
      <c r="S460" s="147">
        <f t="shared" si="92"/>
        <v>0</v>
      </c>
      <c r="T460" s="147">
        <f>LARGE($S$448:$S$470,13)</f>
        <v>0</v>
      </c>
      <c r="U460" s="544">
        <f t="shared" si="96"/>
        <v>0</v>
      </c>
      <c r="V460" s="548">
        <f t="shared" si="93"/>
        <v>0</v>
      </c>
      <c r="W460" s="195">
        <f>SUM(AB376,E448,E451,E453:E462)</f>
        <v>0</v>
      </c>
      <c r="X460" s="10"/>
      <c r="Y460" s="21">
        <f t="shared" si="94"/>
        <v>0</v>
      </c>
      <c r="Z460" s="10"/>
      <c r="AA460" s="10"/>
      <c r="AB460" s="6"/>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c r="DF460" s="10"/>
      <c r="DG460" s="10"/>
      <c r="DH460" s="10"/>
      <c r="DI460" s="10"/>
      <c r="DJ460" s="10"/>
      <c r="DK460" s="10"/>
      <c r="DL460" s="10"/>
      <c r="DM460" s="10"/>
      <c r="DN460" s="10"/>
      <c r="DO460" s="10"/>
      <c r="DP460" s="10"/>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c r="EM460" s="10"/>
      <c r="EN460" s="10"/>
      <c r="EO460" s="10"/>
      <c r="EP460" s="10"/>
      <c r="EQ460" s="10"/>
      <c r="ER460" s="10"/>
      <c r="ES460" s="10"/>
      <c r="ET460" s="10"/>
      <c r="EU460" s="10"/>
      <c r="EV460" s="10"/>
      <c r="EW460" s="10"/>
      <c r="EX460" s="10"/>
      <c r="EY460" s="10"/>
      <c r="EZ460" s="10"/>
      <c r="FA460" s="10"/>
      <c r="FB460" s="10"/>
      <c r="FC460" s="10"/>
      <c r="FD460" s="10"/>
      <c r="FE460" s="10"/>
      <c r="FF460" s="10"/>
      <c r="FG460" s="10"/>
      <c r="FH460" s="10"/>
      <c r="FI460" s="10"/>
      <c r="FJ460" s="10"/>
      <c r="FK460" s="10"/>
      <c r="FL460" s="10"/>
      <c r="FM460" s="10"/>
      <c r="FN460" s="10"/>
      <c r="FO460" s="10"/>
      <c r="FP460" s="10"/>
      <c r="FQ460" s="10"/>
      <c r="FR460" s="10"/>
      <c r="FS460" s="10"/>
      <c r="FT460" s="10"/>
      <c r="FU460" s="10"/>
      <c r="FV460" s="10"/>
      <c r="FW460" s="10"/>
      <c r="FX460" s="10"/>
      <c r="FY460" s="10"/>
      <c r="FZ460" s="10"/>
      <c r="GA460" s="10"/>
      <c r="GB460" s="10"/>
      <c r="GC460" s="10"/>
      <c r="GD460" s="10"/>
      <c r="GE460" s="10"/>
      <c r="GF460" s="10"/>
      <c r="GG460" s="10"/>
      <c r="GH460" s="10"/>
      <c r="GI460" s="10"/>
      <c r="GJ460" s="10"/>
      <c r="GK460" s="10"/>
      <c r="GL460" s="10"/>
      <c r="GM460" s="10"/>
      <c r="GN460" s="10"/>
      <c r="GO460" s="10"/>
      <c r="GP460" s="10"/>
      <c r="GQ460" s="10"/>
      <c r="GR460" s="10"/>
      <c r="GS460" s="10"/>
      <c r="GT460" s="10"/>
      <c r="GU460" s="10"/>
      <c r="GV460" s="10"/>
      <c r="GW460" s="10"/>
      <c r="GX460" s="10"/>
      <c r="GY460" s="10"/>
      <c r="GZ460" s="10"/>
      <c r="HA460" s="10"/>
      <c r="HB460" s="10"/>
      <c r="HC460" s="10"/>
      <c r="HD460" s="10"/>
      <c r="HE460" s="10"/>
      <c r="HF460" s="10"/>
      <c r="HG460" s="10"/>
      <c r="HH460" s="10"/>
      <c r="HI460" s="10"/>
      <c r="HJ460" s="10"/>
      <c r="HK460" s="10"/>
      <c r="HL460" s="10"/>
      <c r="HM460" s="10"/>
      <c r="HN460" s="10"/>
      <c r="HO460" s="10"/>
      <c r="HP460" s="10"/>
      <c r="HQ460" s="10"/>
      <c r="HR460" s="10"/>
      <c r="HS460" s="10"/>
      <c r="HT460" s="10"/>
    </row>
    <row r="461" spans="2:228" ht="27.75" customHeight="1" x14ac:dyDescent="0.2">
      <c r="B461" s="756" t="s">
        <v>1821</v>
      </c>
      <c r="C461" s="757"/>
      <c r="D461" s="758"/>
      <c r="E461" s="727">
        <f t="shared" si="97"/>
        <v>0</v>
      </c>
      <c r="F461" s="729"/>
      <c r="G461" s="1146"/>
      <c r="H461" s="1147"/>
      <c r="I461" s="1148"/>
      <c r="J461" s="1151">
        <f t="shared" si="95"/>
        <v>0</v>
      </c>
      <c r="K461" s="1151"/>
      <c r="L461" s="1094"/>
      <c r="M461" s="1095"/>
      <c r="N461" s="1095"/>
      <c r="O461" s="1096"/>
      <c r="P461" s="1091"/>
      <c r="R461" s="10"/>
      <c r="S461" s="147">
        <f t="shared" si="92"/>
        <v>0</v>
      </c>
      <c r="T461" s="147">
        <f>LARGE($S$448:$S$470,14)</f>
        <v>0</v>
      </c>
      <c r="U461" s="544">
        <f t="shared" si="96"/>
        <v>0</v>
      </c>
      <c r="V461" s="548">
        <f t="shared" si="93"/>
        <v>0</v>
      </c>
      <c r="W461" s="10"/>
      <c r="X461" s="10"/>
      <c r="Y461" s="21">
        <f t="shared" si="94"/>
        <v>0</v>
      </c>
      <c r="Z461" s="10"/>
      <c r="AA461" s="10"/>
      <c r="AB461" s="6"/>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10"/>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c r="EM461" s="10"/>
      <c r="EN461" s="10"/>
      <c r="EO461" s="10"/>
      <c r="EP461" s="10"/>
      <c r="EQ461" s="10"/>
      <c r="ER461" s="10"/>
      <c r="ES461" s="10"/>
      <c r="ET461" s="10"/>
      <c r="EU461" s="10"/>
      <c r="EV461" s="10"/>
      <c r="EW461" s="10"/>
      <c r="EX461" s="10"/>
      <c r="EY461" s="10"/>
      <c r="EZ461" s="10"/>
      <c r="FA461" s="10"/>
      <c r="FB461" s="10"/>
      <c r="FC461" s="10"/>
      <c r="FD461" s="10"/>
      <c r="FE461" s="10"/>
      <c r="FF461" s="10"/>
      <c r="FG461" s="10"/>
      <c r="FH461" s="10"/>
      <c r="FI461" s="10"/>
      <c r="FJ461" s="10"/>
      <c r="FK461" s="10"/>
      <c r="FL461" s="10"/>
      <c r="FM461" s="10"/>
      <c r="FN461" s="10"/>
      <c r="FO461" s="10"/>
      <c r="FP461" s="10"/>
      <c r="FQ461" s="10"/>
      <c r="FR461" s="10"/>
      <c r="FS461" s="10"/>
      <c r="FT461" s="10"/>
      <c r="FU461" s="10"/>
      <c r="FV461" s="10"/>
      <c r="FW461" s="10"/>
      <c r="FX461" s="10"/>
      <c r="FY461" s="10"/>
      <c r="FZ461" s="10"/>
      <c r="GA461" s="10"/>
      <c r="GB461" s="10"/>
      <c r="GC461" s="10"/>
      <c r="GD461" s="10"/>
      <c r="GE461" s="10"/>
      <c r="GF461" s="10"/>
      <c r="GG461" s="10"/>
      <c r="GH461" s="10"/>
      <c r="GI461" s="10"/>
      <c r="GJ461" s="10"/>
      <c r="GK461" s="10"/>
      <c r="GL461" s="10"/>
      <c r="GM461" s="10"/>
      <c r="GN461" s="10"/>
      <c r="GO461" s="10"/>
      <c r="GP461" s="10"/>
      <c r="GQ461" s="10"/>
      <c r="GR461" s="10"/>
      <c r="GS461" s="10"/>
      <c r="GT461" s="10"/>
      <c r="GU461" s="10"/>
      <c r="GV461" s="10"/>
      <c r="GW461" s="10"/>
      <c r="GX461" s="10"/>
      <c r="GY461" s="10"/>
      <c r="GZ461" s="10"/>
      <c r="HA461" s="10"/>
      <c r="HB461" s="10"/>
      <c r="HC461" s="10"/>
      <c r="HD461" s="10"/>
      <c r="HE461" s="10"/>
      <c r="HF461" s="10"/>
      <c r="HG461" s="10"/>
      <c r="HH461" s="10"/>
      <c r="HI461" s="10"/>
      <c r="HJ461" s="10"/>
      <c r="HK461" s="10"/>
      <c r="HL461" s="10"/>
      <c r="HM461" s="10"/>
      <c r="HN461" s="10"/>
      <c r="HO461" s="10"/>
      <c r="HP461" s="10"/>
      <c r="HQ461" s="10"/>
      <c r="HR461" s="10"/>
      <c r="HS461" s="10"/>
      <c r="HT461" s="10"/>
    </row>
    <row r="462" spans="2:228" ht="15" customHeight="1" x14ac:dyDescent="0.2">
      <c r="B462" s="742" t="s">
        <v>1822</v>
      </c>
      <c r="C462" s="743"/>
      <c r="D462" s="744"/>
      <c r="E462" s="727">
        <f t="shared" si="97"/>
        <v>0</v>
      </c>
      <c r="F462" s="729"/>
      <c r="G462" s="1146"/>
      <c r="H462" s="1147"/>
      <c r="I462" s="1148"/>
      <c r="J462" s="1151">
        <f t="shared" si="95"/>
        <v>0</v>
      </c>
      <c r="K462" s="1151"/>
      <c r="L462" s="623"/>
      <c r="M462" s="624"/>
      <c r="N462" s="624"/>
      <c r="O462" s="625"/>
      <c r="P462" s="961"/>
      <c r="R462" s="10"/>
      <c r="S462" s="147">
        <f t="shared" si="92"/>
        <v>0</v>
      </c>
      <c r="T462" s="147">
        <f>LARGE($S$448:$S$470,15)</f>
        <v>0</v>
      </c>
      <c r="U462" s="544">
        <f t="shared" si="96"/>
        <v>0</v>
      </c>
      <c r="V462" s="548">
        <f t="shared" si="93"/>
        <v>0</v>
      </c>
      <c r="W462" s="10"/>
      <c r="X462" s="10"/>
      <c r="Y462" s="21">
        <f t="shared" si="94"/>
        <v>0</v>
      </c>
      <c r="Z462" s="10"/>
      <c r="AA462" s="10"/>
      <c r="AB462" s="6"/>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c r="EM462" s="10"/>
      <c r="EN462" s="10"/>
      <c r="EO462" s="10"/>
      <c r="EP462" s="10"/>
      <c r="EQ462" s="10"/>
      <c r="ER462" s="10"/>
      <c r="ES462" s="10"/>
      <c r="ET462" s="10"/>
      <c r="EU462" s="10"/>
      <c r="EV462" s="10"/>
      <c r="EW462" s="10"/>
      <c r="EX462" s="10"/>
      <c r="EY462" s="10"/>
      <c r="EZ462" s="10"/>
      <c r="FA462" s="10"/>
      <c r="FB462" s="10"/>
      <c r="FC462" s="10"/>
      <c r="FD462" s="10"/>
      <c r="FE462" s="10"/>
      <c r="FF462" s="10"/>
      <c r="FG462" s="10"/>
      <c r="FH462" s="10"/>
      <c r="FI462" s="10"/>
      <c r="FJ462" s="10"/>
      <c r="FK462" s="10"/>
      <c r="FL462" s="10"/>
      <c r="FM462" s="10"/>
      <c r="FN462" s="10"/>
      <c r="FO462" s="10"/>
      <c r="FP462" s="10"/>
      <c r="FQ462" s="10"/>
      <c r="FR462" s="10"/>
      <c r="FS462" s="10"/>
      <c r="FT462" s="10"/>
      <c r="FU462" s="10"/>
      <c r="FV462" s="10"/>
      <c r="FW462" s="10"/>
      <c r="FX462" s="10"/>
      <c r="FY462" s="10"/>
      <c r="FZ462" s="10"/>
      <c r="GA462" s="10"/>
      <c r="GB462" s="10"/>
      <c r="GC462" s="10"/>
      <c r="GD462" s="10"/>
      <c r="GE462" s="10"/>
      <c r="GF462" s="10"/>
      <c r="GG462" s="10"/>
      <c r="GH462" s="10"/>
      <c r="GI462" s="10"/>
      <c r="GJ462" s="10"/>
      <c r="GK462" s="10"/>
      <c r="GL462" s="10"/>
      <c r="GM462" s="10"/>
      <c r="GN462" s="10"/>
      <c r="GO462" s="10"/>
      <c r="GP462" s="10"/>
      <c r="GQ462" s="10"/>
      <c r="GR462" s="10"/>
      <c r="GS462" s="10"/>
      <c r="GT462" s="10"/>
      <c r="GU462" s="10"/>
      <c r="GV462" s="10"/>
      <c r="GW462" s="10"/>
      <c r="GX462" s="10"/>
      <c r="GY462" s="10"/>
      <c r="GZ462" s="10"/>
      <c r="HA462" s="10"/>
      <c r="HB462" s="10"/>
      <c r="HC462" s="10"/>
      <c r="HD462" s="10"/>
      <c r="HE462" s="10"/>
      <c r="HF462" s="10"/>
      <c r="HG462" s="10"/>
      <c r="HH462" s="10"/>
      <c r="HI462" s="10"/>
      <c r="HJ462" s="10"/>
      <c r="HK462" s="10"/>
      <c r="HL462" s="10"/>
      <c r="HM462" s="10"/>
      <c r="HN462" s="10"/>
      <c r="HO462" s="10"/>
      <c r="HP462" s="10"/>
      <c r="HQ462" s="10"/>
      <c r="HR462" s="10"/>
      <c r="HS462" s="10"/>
      <c r="HT462" s="10"/>
    </row>
    <row r="463" spans="2:228" ht="15" customHeight="1" x14ac:dyDescent="0.2">
      <c r="B463" s="742" t="s">
        <v>1419</v>
      </c>
      <c r="C463" s="743"/>
      <c r="D463" s="744"/>
      <c r="E463" s="727">
        <f>P419</f>
        <v>0</v>
      </c>
      <c r="F463" s="729"/>
      <c r="G463" s="1146"/>
      <c r="H463" s="1147"/>
      <c r="I463" s="1148"/>
      <c r="J463" s="1151">
        <f t="shared" ref="J463:J469" si="98">IF(AND(Y463&lt;0.01,Y463&gt;0),0.01,ROUND(Y463,2))</f>
        <v>0</v>
      </c>
      <c r="K463" s="1151"/>
      <c r="L463" s="623"/>
      <c r="M463" s="624"/>
      <c r="N463" s="624"/>
      <c r="O463" s="625"/>
      <c r="P463" s="961"/>
      <c r="R463" s="10"/>
      <c r="S463" s="147">
        <f t="shared" si="92"/>
        <v>0</v>
      </c>
      <c r="T463" s="147">
        <f>LARGE($S$448:$S$470,16)</f>
        <v>0</v>
      </c>
      <c r="U463" s="544">
        <f t="shared" si="96"/>
        <v>0</v>
      </c>
      <c r="V463" s="548">
        <f t="shared" si="93"/>
        <v>0</v>
      </c>
      <c r="W463" s="10"/>
      <c r="X463" s="10"/>
      <c r="Y463" s="21">
        <f t="shared" si="94"/>
        <v>0</v>
      </c>
      <c r="Z463" s="10"/>
      <c r="AA463" s="10"/>
      <c r="AB463" s="6"/>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c r="EM463" s="10"/>
      <c r="EN463" s="10"/>
      <c r="EO463" s="10"/>
      <c r="EP463" s="10"/>
      <c r="EQ463" s="10"/>
      <c r="ER463" s="10"/>
      <c r="ES463" s="10"/>
      <c r="ET463" s="10"/>
      <c r="EU463" s="10"/>
      <c r="EV463" s="10"/>
      <c r="EW463" s="10"/>
      <c r="EX463" s="10"/>
      <c r="EY463" s="10"/>
      <c r="EZ463" s="10"/>
      <c r="FA463" s="10"/>
      <c r="FB463" s="10"/>
      <c r="FC463" s="10"/>
      <c r="FD463" s="10"/>
      <c r="FE463" s="10"/>
      <c r="FF463" s="10"/>
      <c r="FG463" s="10"/>
      <c r="FH463" s="10"/>
      <c r="FI463" s="10"/>
      <c r="FJ463" s="10"/>
      <c r="FK463" s="10"/>
      <c r="FL463" s="10"/>
      <c r="FM463" s="10"/>
      <c r="FN463" s="10"/>
      <c r="FO463" s="10"/>
      <c r="FP463" s="10"/>
      <c r="FQ463" s="10"/>
      <c r="FR463" s="10"/>
      <c r="FS463" s="10"/>
      <c r="FT463" s="10"/>
      <c r="FU463" s="10"/>
      <c r="FV463" s="10"/>
      <c r="FW463" s="10"/>
      <c r="FX463" s="10"/>
      <c r="FY463" s="10"/>
      <c r="FZ463" s="10"/>
      <c r="GA463" s="10"/>
      <c r="GB463" s="10"/>
      <c r="GC463" s="10"/>
      <c r="GD463" s="10"/>
      <c r="GE463" s="10"/>
      <c r="GF463" s="10"/>
      <c r="GG463" s="10"/>
      <c r="GH463" s="10"/>
      <c r="GI463" s="10"/>
      <c r="GJ463" s="10"/>
      <c r="GK463" s="10"/>
      <c r="GL463" s="10"/>
      <c r="GM463" s="10"/>
      <c r="GN463" s="10"/>
      <c r="GO463" s="10"/>
      <c r="GP463" s="10"/>
      <c r="GQ463" s="10"/>
      <c r="GR463" s="10"/>
      <c r="GS463" s="10"/>
      <c r="GT463" s="10"/>
      <c r="GU463" s="10"/>
      <c r="GV463" s="10"/>
      <c r="GW463" s="10"/>
      <c r="GX463" s="10"/>
      <c r="GY463" s="10"/>
      <c r="GZ463" s="10"/>
      <c r="HA463" s="10"/>
      <c r="HB463" s="10"/>
      <c r="HC463" s="10"/>
      <c r="HD463" s="10"/>
      <c r="HE463" s="10"/>
      <c r="HF463" s="10"/>
      <c r="HG463" s="10"/>
      <c r="HH463" s="10"/>
      <c r="HI463" s="10"/>
      <c r="HJ463" s="10"/>
      <c r="HK463" s="10"/>
      <c r="HL463" s="10"/>
      <c r="HM463" s="10"/>
      <c r="HN463" s="10"/>
      <c r="HO463" s="10"/>
      <c r="HP463" s="10"/>
      <c r="HQ463" s="10"/>
      <c r="HR463" s="10"/>
      <c r="HS463" s="10"/>
      <c r="HT463" s="10"/>
    </row>
    <row r="464" spans="2:228" ht="15" customHeight="1" x14ac:dyDescent="0.2">
      <c r="B464" s="742" t="s">
        <v>909</v>
      </c>
      <c r="C464" s="743"/>
      <c r="D464" s="744"/>
      <c r="E464" s="727">
        <f>P420</f>
        <v>0</v>
      </c>
      <c r="F464" s="729"/>
      <c r="G464" s="1146"/>
      <c r="H464" s="1147"/>
      <c r="I464" s="1148"/>
      <c r="J464" s="1151">
        <f t="shared" si="98"/>
        <v>0</v>
      </c>
      <c r="K464" s="1151"/>
      <c r="L464" s="623"/>
      <c r="M464" s="624"/>
      <c r="N464" s="624"/>
      <c r="O464" s="625"/>
      <c r="P464" s="961"/>
      <c r="R464" s="10"/>
      <c r="S464" s="147">
        <f t="shared" si="92"/>
        <v>0</v>
      </c>
      <c r="T464" s="147">
        <f>LARGE($S$448:$S$470,17)</f>
        <v>0</v>
      </c>
      <c r="U464" s="544">
        <f t="shared" si="96"/>
        <v>0</v>
      </c>
      <c r="V464" s="548">
        <f t="shared" si="93"/>
        <v>0</v>
      </c>
      <c r="W464" s="10"/>
      <c r="X464" s="10"/>
      <c r="Y464" s="21">
        <f t="shared" si="94"/>
        <v>0</v>
      </c>
      <c r="Z464" s="10"/>
      <c r="AA464" s="10"/>
      <c r="AB464" s="6"/>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c r="EM464" s="10"/>
      <c r="EN464" s="10"/>
      <c r="EO464" s="10"/>
      <c r="EP464" s="10"/>
      <c r="EQ464" s="10"/>
      <c r="ER464" s="10"/>
      <c r="ES464" s="10"/>
      <c r="ET464" s="10"/>
      <c r="EU464" s="10"/>
      <c r="EV464" s="10"/>
      <c r="EW464" s="10"/>
      <c r="EX464" s="10"/>
      <c r="EY464" s="10"/>
      <c r="EZ464" s="10"/>
      <c r="FA464" s="10"/>
      <c r="FB464" s="10"/>
      <c r="FC464" s="10"/>
      <c r="FD464" s="10"/>
      <c r="FE464" s="10"/>
      <c r="FF464" s="10"/>
      <c r="FG464" s="10"/>
      <c r="FH464" s="10"/>
      <c r="FI464" s="10"/>
      <c r="FJ464" s="10"/>
      <c r="FK464" s="10"/>
      <c r="FL464" s="10"/>
      <c r="FM464" s="10"/>
      <c r="FN464" s="10"/>
      <c r="FO464" s="10"/>
      <c r="FP464" s="10"/>
      <c r="FQ464" s="10"/>
      <c r="FR464" s="10"/>
      <c r="FS464" s="10"/>
      <c r="FT464" s="10"/>
      <c r="FU464" s="10"/>
      <c r="FV464" s="10"/>
      <c r="FW464" s="10"/>
      <c r="FX464" s="10"/>
      <c r="FY464" s="10"/>
      <c r="FZ464" s="10"/>
      <c r="GA464" s="10"/>
      <c r="GB464" s="10"/>
      <c r="GC464" s="10"/>
      <c r="GD464" s="10"/>
      <c r="GE464" s="10"/>
      <c r="GF464" s="10"/>
      <c r="GG464" s="10"/>
      <c r="GH464" s="10"/>
      <c r="GI464" s="10"/>
      <c r="GJ464" s="10"/>
      <c r="GK464" s="10"/>
      <c r="GL464" s="10"/>
      <c r="GM464" s="10"/>
      <c r="GN464" s="10"/>
      <c r="GO464" s="10"/>
      <c r="GP464" s="10"/>
      <c r="GQ464" s="10"/>
      <c r="GR464" s="10"/>
      <c r="GS464" s="10"/>
      <c r="GT464" s="10"/>
      <c r="GU464" s="10"/>
      <c r="GV464" s="10"/>
      <c r="GW464" s="10"/>
      <c r="GX464" s="10"/>
      <c r="GY464" s="10"/>
      <c r="GZ464" s="10"/>
      <c r="HA464" s="10"/>
      <c r="HB464" s="10"/>
      <c r="HC464" s="10"/>
      <c r="HD464" s="10"/>
      <c r="HE464" s="10"/>
      <c r="HF464" s="10"/>
      <c r="HG464" s="10"/>
      <c r="HH464" s="10"/>
      <c r="HI464" s="10"/>
      <c r="HJ464" s="10"/>
      <c r="HK464" s="10"/>
      <c r="HL464" s="10"/>
      <c r="HM464" s="10"/>
      <c r="HN464" s="10"/>
      <c r="HO464" s="10"/>
      <c r="HP464" s="10"/>
      <c r="HQ464" s="10"/>
      <c r="HR464" s="10"/>
      <c r="HS464" s="10"/>
      <c r="HT464" s="10"/>
    </row>
    <row r="465" spans="2:228" ht="15" customHeight="1" x14ac:dyDescent="0.2">
      <c r="B465" s="742" t="s">
        <v>910</v>
      </c>
      <c r="C465" s="743"/>
      <c r="D465" s="744"/>
      <c r="E465" s="727">
        <f>P426</f>
        <v>0</v>
      </c>
      <c r="F465" s="729"/>
      <c r="G465" s="1146"/>
      <c r="H465" s="1147"/>
      <c r="I465" s="1148"/>
      <c r="J465" s="1151">
        <f t="shared" si="98"/>
        <v>0</v>
      </c>
      <c r="K465" s="1151"/>
      <c r="L465" s="970" t="str">
        <f>IF(AND(P426&gt;0,W456&gt;0),"The worker has motor loss impairment. Additional impairment values are not allowed for chronic condition, a walking/standing limitation, reduced range of motion, or strength loss.","")</f>
        <v/>
      </c>
      <c r="M465" s="971"/>
      <c r="N465" s="971"/>
      <c r="O465" s="972"/>
      <c r="P465" s="961"/>
      <c r="R465" s="10"/>
      <c r="S465" s="147">
        <f t="shared" si="92"/>
        <v>0</v>
      </c>
      <c r="T465" s="147">
        <f>LARGE($S$448:$S$470,18)</f>
        <v>0</v>
      </c>
      <c r="U465" s="544">
        <f t="shared" si="96"/>
        <v>0</v>
      </c>
      <c r="V465" s="548">
        <f t="shared" si="93"/>
        <v>0</v>
      </c>
      <c r="W465" s="10"/>
      <c r="X465" s="10"/>
      <c r="Y465" s="21">
        <f t="shared" si="94"/>
        <v>0</v>
      </c>
      <c r="Z465" s="10"/>
      <c r="AA465" s="10"/>
      <c r="AB465" s="6"/>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c r="EM465" s="10"/>
      <c r="EN465" s="10"/>
      <c r="EO465" s="10"/>
      <c r="EP465" s="10"/>
      <c r="EQ465" s="10"/>
      <c r="ER465" s="10"/>
      <c r="ES465" s="10"/>
      <c r="ET465" s="10"/>
      <c r="EU465" s="10"/>
      <c r="EV465" s="10"/>
      <c r="EW465" s="10"/>
      <c r="EX465" s="10"/>
      <c r="EY465" s="10"/>
      <c r="EZ465" s="10"/>
      <c r="FA465" s="10"/>
      <c r="FB465" s="10"/>
      <c r="FC465" s="10"/>
      <c r="FD465" s="10"/>
      <c r="FE465" s="10"/>
      <c r="FF465" s="10"/>
      <c r="FG465" s="10"/>
      <c r="FH465" s="10"/>
      <c r="FI465" s="10"/>
      <c r="FJ465" s="10"/>
      <c r="FK465" s="10"/>
      <c r="FL465" s="10"/>
      <c r="FM465" s="10"/>
      <c r="FN465" s="10"/>
      <c r="FO465" s="10"/>
      <c r="FP465" s="10"/>
      <c r="FQ465" s="10"/>
      <c r="FR465" s="10"/>
      <c r="FS465" s="10"/>
      <c r="FT465" s="10"/>
      <c r="FU465" s="10"/>
      <c r="FV465" s="10"/>
      <c r="FW465" s="10"/>
      <c r="FX465" s="10"/>
      <c r="FY465" s="10"/>
      <c r="FZ465" s="10"/>
      <c r="GA465" s="10"/>
      <c r="GB465" s="10"/>
      <c r="GC465" s="10"/>
      <c r="GD465" s="10"/>
      <c r="GE465" s="10"/>
      <c r="GF465" s="10"/>
      <c r="GG465" s="10"/>
      <c r="GH465" s="10"/>
      <c r="GI465" s="10"/>
      <c r="GJ465" s="10"/>
      <c r="GK465" s="10"/>
      <c r="GL465" s="10"/>
      <c r="GM465" s="10"/>
      <c r="GN465" s="10"/>
      <c r="GO465" s="10"/>
      <c r="GP465" s="10"/>
      <c r="GQ465" s="10"/>
      <c r="GR465" s="10"/>
      <c r="GS465" s="10"/>
      <c r="GT465" s="10"/>
      <c r="GU465" s="10"/>
      <c r="GV465" s="10"/>
      <c r="GW465" s="10"/>
      <c r="GX465" s="10"/>
      <c r="GY465" s="10"/>
      <c r="GZ465" s="10"/>
      <c r="HA465" s="10"/>
      <c r="HB465" s="10"/>
      <c r="HC465" s="10"/>
      <c r="HD465" s="10"/>
      <c r="HE465" s="10"/>
      <c r="HF465" s="10"/>
      <c r="HG465" s="10"/>
      <c r="HH465" s="10"/>
      <c r="HI465" s="10"/>
      <c r="HJ465" s="10"/>
      <c r="HK465" s="10"/>
      <c r="HL465" s="10"/>
      <c r="HM465" s="10"/>
      <c r="HN465" s="10"/>
      <c r="HO465" s="10"/>
      <c r="HP465" s="10"/>
      <c r="HQ465" s="10"/>
      <c r="HR465" s="10"/>
      <c r="HS465" s="10"/>
      <c r="HT465" s="10"/>
    </row>
    <row r="466" spans="2:228" ht="15" customHeight="1" x14ac:dyDescent="0.2">
      <c r="B466" s="742" t="s">
        <v>1421</v>
      </c>
      <c r="C466" s="743"/>
      <c r="D466" s="744"/>
      <c r="E466" s="727">
        <f>P429</f>
        <v>0</v>
      </c>
      <c r="F466" s="729"/>
      <c r="G466" s="1146"/>
      <c r="H466" s="1147"/>
      <c r="I466" s="1148"/>
      <c r="J466" s="1151">
        <f t="shared" si="98"/>
        <v>0</v>
      </c>
      <c r="K466" s="1151"/>
      <c r="L466" s="970"/>
      <c r="M466" s="971"/>
      <c r="N466" s="971"/>
      <c r="O466" s="972"/>
      <c r="P466" s="961"/>
      <c r="R466" s="10"/>
      <c r="S466" s="147">
        <f t="shared" si="92"/>
        <v>0</v>
      </c>
      <c r="T466" s="147">
        <f>LARGE($S$448:$S$470,19)</f>
        <v>0</v>
      </c>
      <c r="U466" s="544">
        <f t="shared" si="96"/>
        <v>0</v>
      </c>
      <c r="V466" s="548">
        <f t="shared" si="93"/>
        <v>0</v>
      </c>
      <c r="W466" s="6"/>
      <c r="X466" s="6"/>
      <c r="Y466" s="21">
        <f t="shared" si="94"/>
        <v>0</v>
      </c>
      <c r="Z466" s="6"/>
      <c r="AA466" s="10"/>
      <c r="AB466" s="6"/>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c r="EM466" s="10"/>
      <c r="EN466" s="10"/>
      <c r="EO466" s="10"/>
      <c r="EP466" s="10"/>
      <c r="EQ466" s="10"/>
      <c r="ER466" s="10"/>
      <c r="ES466" s="10"/>
      <c r="ET466" s="10"/>
      <c r="EU466" s="10"/>
      <c r="EV466" s="10"/>
      <c r="EW466" s="10"/>
      <c r="EX466" s="10"/>
      <c r="EY466" s="10"/>
      <c r="EZ466" s="10"/>
      <c r="FA466" s="10"/>
      <c r="FB466" s="10"/>
      <c r="FC466" s="10"/>
      <c r="FD466" s="10"/>
      <c r="FE466" s="10"/>
      <c r="FF466" s="10"/>
      <c r="FG466" s="10"/>
      <c r="FH466" s="10"/>
      <c r="FI466" s="10"/>
      <c r="FJ466" s="10"/>
      <c r="FK466" s="10"/>
      <c r="FL466" s="10"/>
      <c r="FM466" s="10"/>
      <c r="FN466" s="10"/>
      <c r="FO466" s="10"/>
      <c r="FP466" s="10"/>
      <c r="FQ466" s="10"/>
      <c r="FR466" s="10"/>
      <c r="FS466" s="10"/>
      <c r="FT466" s="10"/>
      <c r="FU466" s="10"/>
      <c r="FV466" s="10"/>
      <c r="FW466" s="10"/>
      <c r="FX466" s="10"/>
      <c r="FY466" s="10"/>
      <c r="FZ466" s="10"/>
      <c r="GA466" s="10"/>
      <c r="GB466" s="10"/>
      <c r="GC466" s="10"/>
      <c r="GD466" s="10"/>
      <c r="GE466" s="10"/>
      <c r="GF466" s="10"/>
      <c r="GG466" s="10"/>
      <c r="GH466" s="10"/>
      <c r="GI466" s="10"/>
      <c r="GJ466" s="10"/>
      <c r="GK466" s="10"/>
      <c r="GL466" s="10"/>
      <c r="GM466" s="10"/>
      <c r="GN466" s="10"/>
      <c r="GO466" s="10"/>
      <c r="GP466" s="10"/>
      <c r="GQ466" s="10"/>
      <c r="GR466" s="10"/>
      <c r="GS466" s="10"/>
      <c r="GT466" s="10"/>
      <c r="GU466" s="10"/>
      <c r="GV466" s="10"/>
      <c r="GW466" s="10"/>
      <c r="GX466" s="10"/>
      <c r="GY466" s="10"/>
      <c r="GZ466" s="10"/>
      <c r="HA466" s="10"/>
      <c r="HB466" s="10"/>
      <c r="HC466" s="10"/>
      <c r="HD466" s="10"/>
      <c r="HE466" s="10"/>
      <c r="HF466" s="10"/>
      <c r="HG466" s="10"/>
      <c r="HH466" s="10"/>
      <c r="HI466" s="10"/>
      <c r="HJ466" s="10"/>
      <c r="HK466" s="10"/>
      <c r="HL466" s="10"/>
      <c r="HM466" s="10"/>
      <c r="HN466" s="10"/>
      <c r="HO466" s="10"/>
      <c r="HP466" s="10"/>
      <c r="HQ466" s="10"/>
      <c r="HR466" s="10"/>
      <c r="HS466" s="10"/>
      <c r="HT466" s="10"/>
    </row>
    <row r="467" spans="2:228" ht="15" customHeight="1" x14ac:dyDescent="0.2">
      <c r="B467" s="742" t="s">
        <v>1422</v>
      </c>
      <c r="C467" s="743"/>
      <c r="D467" s="744"/>
      <c r="E467" s="727">
        <f>IF(P426&gt;0,0,P438)</f>
        <v>0</v>
      </c>
      <c r="F467" s="729"/>
      <c r="G467" s="1146"/>
      <c r="H467" s="1147"/>
      <c r="I467" s="1148"/>
      <c r="J467" s="1151">
        <f t="shared" si="98"/>
        <v>0</v>
      </c>
      <c r="K467" s="1151"/>
      <c r="L467" s="970"/>
      <c r="M467" s="971"/>
      <c r="N467" s="971"/>
      <c r="O467" s="972"/>
      <c r="P467" s="961"/>
      <c r="R467" s="10"/>
      <c r="S467" s="147">
        <f t="shared" si="92"/>
        <v>0</v>
      </c>
      <c r="T467" s="147">
        <f>LARGE($S$448:$S$470,20)</f>
        <v>0</v>
      </c>
      <c r="U467" s="544">
        <f t="shared" si="96"/>
        <v>0</v>
      </c>
      <c r="V467" s="548">
        <f t="shared" si="93"/>
        <v>0</v>
      </c>
      <c r="W467" s="10"/>
      <c r="X467" s="10"/>
      <c r="Y467" s="21">
        <f t="shared" si="94"/>
        <v>0</v>
      </c>
      <c r="Z467" s="6"/>
      <c r="AA467" s="10"/>
      <c r="AB467" s="6"/>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c r="DO467" s="10"/>
      <c r="DP467" s="10"/>
      <c r="DQ467" s="10"/>
      <c r="DR467" s="10"/>
      <c r="DS467" s="10"/>
      <c r="DT467" s="10"/>
      <c r="DU467" s="10"/>
      <c r="DV467" s="10"/>
      <c r="DW467" s="10"/>
      <c r="DX467" s="10"/>
      <c r="DY467" s="10"/>
      <c r="DZ467" s="10"/>
      <c r="EA467" s="10"/>
      <c r="EB467" s="10"/>
      <c r="EC467" s="10"/>
      <c r="ED467" s="10"/>
      <c r="EE467" s="10"/>
      <c r="EF467" s="10"/>
      <c r="EG467" s="10"/>
      <c r="EH467" s="10"/>
      <c r="EI467" s="10"/>
      <c r="EJ467" s="10"/>
      <c r="EK467" s="10"/>
      <c r="EL467" s="10"/>
      <c r="EM467" s="10"/>
      <c r="EN467" s="10"/>
      <c r="EO467" s="10"/>
      <c r="EP467" s="10"/>
      <c r="EQ467" s="10"/>
      <c r="ER467" s="10"/>
      <c r="ES467" s="10"/>
      <c r="ET467" s="10"/>
      <c r="EU467" s="10"/>
      <c r="EV467" s="10"/>
      <c r="EW467" s="10"/>
      <c r="EX467" s="10"/>
      <c r="EY467" s="10"/>
      <c r="EZ467" s="10"/>
      <c r="FA467" s="10"/>
      <c r="FB467" s="10"/>
      <c r="FC467" s="10"/>
      <c r="FD467" s="10"/>
      <c r="FE467" s="10"/>
      <c r="FF467" s="10"/>
      <c r="FG467" s="10"/>
      <c r="FH467" s="10"/>
      <c r="FI467" s="10"/>
      <c r="FJ467" s="10"/>
      <c r="FK467" s="10"/>
      <c r="FL467" s="10"/>
      <c r="FM467" s="10"/>
      <c r="FN467" s="10"/>
      <c r="FO467" s="10"/>
      <c r="FP467" s="10"/>
      <c r="FQ467" s="10"/>
      <c r="FR467" s="10"/>
      <c r="FS467" s="10"/>
      <c r="FT467" s="10"/>
      <c r="FU467" s="10"/>
      <c r="FV467" s="10"/>
      <c r="FW467" s="10"/>
      <c r="FX467" s="10"/>
      <c r="FY467" s="10"/>
      <c r="FZ467" s="10"/>
      <c r="GA467" s="10"/>
      <c r="GB467" s="10"/>
      <c r="GC467" s="10"/>
      <c r="GD467" s="10"/>
      <c r="GE467" s="10"/>
      <c r="GF467" s="10"/>
      <c r="GG467" s="10"/>
      <c r="GH467" s="10"/>
      <c r="GI467" s="10"/>
      <c r="GJ467" s="10"/>
      <c r="GK467" s="10"/>
      <c r="GL467" s="10"/>
      <c r="GM467" s="10"/>
      <c r="GN467" s="10"/>
      <c r="GO467" s="10"/>
      <c r="GP467" s="10"/>
      <c r="GQ467" s="10"/>
      <c r="GR467" s="10"/>
      <c r="GS467" s="10"/>
      <c r="GT467" s="10"/>
      <c r="GU467" s="10"/>
      <c r="GV467" s="10"/>
      <c r="GW467" s="10"/>
      <c r="GX467" s="10"/>
      <c r="GY467" s="10"/>
      <c r="GZ467" s="10"/>
      <c r="HA467" s="10"/>
      <c r="HB467" s="10"/>
      <c r="HC467" s="10"/>
      <c r="HD467" s="10"/>
      <c r="HE467" s="10"/>
      <c r="HF467" s="10"/>
      <c r="HG467" s="10"/>
      <c r="HH467" s="10"/>
      <c r="HI467" s="10"/>
      <c r="HJ467" s="10"/>
      <c r="HK467" s="10"/>
      <c r="HL467" s="10"/>
      <c r="HM467" s="10"/>
      <c r="HN467" s="10"/>
      <c r="HO467" s="10"/>
      <c r="HP467" s="10"/>
      <c r="HQ467" s="10"/>
      <c r="HR467" s="10"/>
      <c r="HS467" s="10"/>
      <c r="HT467" s="10"/>
    </row>
    <row r="468" spans="2:228" ht="15" customHeight="1" x14ac:dyDescent="0.2">
      <c r="B468" s="742" t="s">
        <v>583</v>
      </c>
      <c r="C468" s="743"/>
      <c r="D468" s="744"/>
      <c r="E468" s="727">
        <f>IF(P426&gt;0,0,P442)</f>
        <v>0</v>
      </c>
      <c r="F468" s="729"/>
      <c r="G468" s="1146"/>
      <c r="H468" s="1147"/>
      <c r="I468" s="1148"/>
      <c r="J468" s="1151">
        <f t="shared" si="98"/>
        <v>0</v>
      </c>
      <c r="K468" s="1151"/>
      <c r="L468" s="970"/>
      <c r="M468" s="971"/>
      <c r="N468" s="971"/>
      <c r="O468" s="972"/>
      <c r="P468" s="961"/>
      <c r="R468" s="10"/>
      <c r="S468" s="147">
        <f t="shared" si="92"/>
        <v>0</v>
      </c>
      <c r="T468" s="147">
        <f>LARGE($S$448:$S$470,21)</f>
        <v>0</v>
      </c>
      <c r="U468" s="544">
        <f t="shared" si="96"/>
        <v>0</v>
      </c>
      <c r="V468" s="548">
        <f t="shared" si="93"/>
        <v>0</v>
      </c>
      <c r="W468" s="6"/>
      <c r="X468" s="6"/>
      <c r="Y468" s="21">
        <f t="shared" si="94"/>
        <v>0</v>
      </c>
      <c r="Z468" s="6"/>
      <c r="AA468" s="10"/>
      <c r="AB468" s="6"/>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c r="EM468" s="10"/>
      <c r="EN468" s="10"/>
      <c r="EO468" s="10"/>
      <c r="EP468" s="10"/>
      <c r="EQ468" s="10"/>
      <c r="ER468" s="10"/>
      <c r="ES468" s="10"/>
      <c r="ET468" s="10"/>
      <c r="EU468" s="10"/>
      <c r="EV468" s="10"/>
      <c r="EW468" s="10"/>
      <c r="EX468" s="10"/>
      <c r="EY468" s="10"/>
      <c r="EZ468" s="10"/>
      <c r="FA468" s="10"/>
      <c r="FB468" s="10"/>
      <c r="FC468" s="10"/>
      <c r="FD468" s="10"/>
      <c r="FE468" s="10"/>
      <c r="FF468" s="10"/>
      <c r="FG468" s="10"/>
      <c r="FH468" s="10"/>
      <c r="FI468" s="10"/>
      <c r="FJ468" s="10"/>
      <c r="FK468" s="10"/>
      <c r="FL468" s="10"/>
      <c r="FM468" s="10"/>
      <c r="FN468" s="10"/>
      <c r="FO468" s="10"/>
      <c r="FP468" s="10"/>
      <c r="FQ468" s="10"/>
      <c r="FR468" s="10"/>
      <c r="FS468" s="10"/>
      <c r="FT468" s="10"/>
      <c r="FU468" s="10"/>
      <c r="FV468" s="10"/>
      <c r="FW468" s="10"/>
      <c r="FX468" s="10"/>
      <c r="FY468" s="10"/>
      <c r="FZ468" s="10"/>
      <c r="GA468" s="10"/>
      <c r="GB468" s="10"/>
      <c r="GC468" s="10"/>
      <c r="GD468" s="10"/>
      <c r="GE468" s="10"/>
      <c r="GF468" s="10"/>
      <c r="GG468" s="10"/>
      <c r="GH468" s="10"/>
      <c r="GI468" s="10"/>
      <c r="GJ468" s="10"/>
      <c r="GK468" s="10"/>
      <c r="GL468" s="10"/>
      <c r="GM468" s="10"/>
      <c r="GN468" s="10"/>
      <c r="GO468" s="10"/>
      <c r="GP468" s="10"/>
      <c r="GQ468" s="10"/>
      <c r="GR468" s="10"/>
      <c r="GS468" s="10"/>
      <c r="GT468" s="10"/>
      <c r="GU468" s="10"/>
      <c r="GV468" s="10"/>
      <c r="GW468" s="10"/>
      <c r="GX468" s="10"/>
      <c r="GY468" s="10"/>
      <c r="GZ468" s="10"/>
      <c r="HA468" s="10"/>
      <c r="HB468" s="10"/>
      <c r="HC468" s="10"/>
      <c r="HD468" s="10"/>
      <c r="HE468" s="10"/>
      <c r="HF468" s="10"/>
      <c r="HG468" s="10"/>
      <c r="HH468" s="10"/>
      <c r="HI468" s="10"/>
      <c r="HJ468" s="10"/>
      <c r="HK468" s="10"/>
      <c r="HL468" s="10"/>
      <c r="HM468" s="10"/>
      <c r="HN468" s="10"/>
      <c r="HO468" s="10"/>
      <c r="HP468" s="10"/>
      <c r="HQ468" s="10"/>
      <c r="HR468" s="10"/>
      <c r="HS468" s="10"/>
      <c r="HT468" s="10"/>
    </row>
    <row r="469" spans="2:228" ht="15" customHeight="1" x14ac:dyDescent="0.2">
      <c r="B469" s="742" t="s">
        <v>1607</v>
      </c>
      <c r="C469" s="743"/>
      <c r="D469" s="744"/>
      <c r="E469" s="727">
        <f>IF(P426&gt;0,0,P337)</f>
        <v>0</v>
      </c>
      <c r="F469" s="729"/>
      <c r="G469" s="1146"/>
      <c r="H469" s="1147"/>
      <c r="I469" s="1148"/>
      <c r="J469" s="1151">
        <f t="shared" si="98"/>
        <v>0</v>
      </c>
      <c r="K469" s="1151"/>
      <c r="L469" s="970"/>
      <c r="M469" s="971"/>
      <c r="N469" s="971"/>
      <c r="O469" s="972"/>
      <c r="P469" s="961"/>
      <c r="R469" s="10"/>
      <c r="S469" s="147">
        <f t="shared" ref="S469" si="99">IF(J469&gt;0,J469,E469)</f>
        <v>0</v>
      </c>
      <c r="T469" s="147">
        <f>LARGE($S$448:$S$470,22)</f>
        <v>0</v>
      </c>
      <c r="U469" s="544">
        <f t="shared" si="96"/>
        <v>0</v>
      </c>
      <c r="V469" s="548">
        <f t="shared" si="93"/>
        <v>0</v>
      </c>
      <c r="W469" s="10"/>
      <c r="X469" s="10"/>
      <c r="Y469" s="21">
        <f t="shared" ref="Y469" si="100">G469*E469</f>
        <v>0</v>
      </c>
      <c r="Z469" s="6"/>
      <c r="AA469" s="10"/>
      <c r="AB469" s="6"/>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c r="EM469" s="10"/>
      <c r="EN469" s="10"/>
      <c r="EO469" s="10"/>
      <c r="EP469" s="10"/>
      <c r="EQ469" s="10"/>
      <c r="ER469" s="10"/>
      <c r="ES469" s="10"/>
      <c r="ET469" s="10"/>
      <c r="EU469" s="10"/>
      <c r="EV469" s="10"/>
      <c r="EW469" s="10"/>
      <c r="EX469" s="10"/>
      <c r="EY469" s="10"/>
      <c r="EZ469" s="10"/>
      <c r="FA469" s="10"/>
      <c r="FB469" s="10"/>
      <c r="FC469" s="10"/>
      <c r="FD469" s="10"/>
      <c r="FE469" s="10"/>
      <c r="FF469" s="10"/>
      <c r="FG469" s="10"/>
      <c r="FH469" s="10"/>
      <c r="FI469" s="10"/>
      <c r="FJ469" s="10"/>
      <c r="FK469" s="10"/>
      <c r="FL469" s="10"/>
      <c r="FM469" s="10"/>
      <c r="FN469" s="10"/>
      <c r="FO469" s="10"/>
      <c r="FP469" s="10"/>
      <c r="FQ469" s="10"/>
      <c r="FR469" s="10"/>
      <c r="FS469" s="10"/>
      <c r="FT469" s="10"/>
      <c r="FU469" s="10"/>
      <c r="FV469" s="10"/>
      <c r="FW469" s="10"/>
      <c r="FX469" s="10"/>
      <c r="FY469" s="10"/>
      <c r="FZ469" s="10"/>
      <c r="GA469" s="10"/>
      <c r="GB469" s="10"/>
      <c r="GC469" s="10"/>
      <c r="GD469" s="10"/>
      <c r="GE469" s="10"/>
      <c r="GF469" s="10"/>
      <c r="GG469" s="10"/>
      <c r="GH469" s="10"/>
      <c r="GI469" s="10"/>
      <c r="GJ469" s="10"/>
      <c r="GK469" s="10"/>
      <c r="GL469" s="10"/>
      <c r="GM469" s="10"/>
      <c r="GN469" s="10"/>
      <c r="GO469" s="10"/>
      <c r="GP469" s="10"/>
      <c r="GQ469" s="10"/>
      <c r="GR469" s="10"/>
      <c r="GS469" s="10"/>
      <c r="GT469" s="10"/>
      <c r="GU469" s="10"/>
      <c r="GV469" s="10"/>
      <c r="GW469" s="10"/>
      <c r="GX469" s="10"/>
      <c r="GY469" s="10"/>
      <c r="GZ469" s="10"/>
      <c r="HA469" s="10"/>
      <c r="HB469" s="10"/>
      <c r="HC469" s="10"/>
      <c r="HD469" s="10"/>
      <c r="HE469" s="10"/>
      <c r="HF469" s="10"/>
      <c r="HG469" s="10"/>
      <c r="HH469" s="10"/>
      <c r="HI469" s="10"/>
      <c r="HJ469" s="10"/>
      <c r="HK469" s="10"/>
      <c r="HL469" s="10"/>
      <c r="HM469" s="10"/>
      <c r="HN469" s="10"/>
      <c r="HO469" s="10"/>
      <c r="HP469" s="10"/>
      <c r="HQ469" s="10"/>
      <c r="HR469" s="10"/>
      <c r="HS469" s="10"/>
      <c r="HT469" s="10"/>
    </row>
    <row r="470" spans="2:228" ht="15" customHeight="1" x14ac:dyDescent="0.2">
      <c r="B470" s="782" t="s">
        <v>911</v>
      </c>
      <c r="C470" s="783"/>
      <c r="D470" s="784"/>
      <c r="E470" s="1067">
        <f>P445</f>
        <v>0</v>
      </c>
      <c r="F470" s="1157"/>
      <c r="G470" s="1134" t="s">
        <v>1901</v>
      </c>
      <c r="H470" s="1129"/>
      <c r="I470" s="1135"/>
      <c r="J470" s="1042"/>
      <c r="K470" s="1332"/>
      <c r="L470" s="970"/>
      <c r="M470" s="971"/>
      <c r="N470" s="971"/>
      <c r="O470" s="972"/>
      <c r="P470" s="961"/>
      <c r="R470" s="10"/>
      <c r="S470" s="147">
        <f>E470</f>
        <v>0</v>
      </c>
      <c r="T470" s="147">
        <f>LARGE($S$448:$S$470,23)</f>
        <v>0</v>
      </c>
      <c r="U470" s="96"/>
      <c r="V470" s="128"/>
      <c r="W470" s="10"/>
      <c r="X470" s="10"/>
      <c r="Y470" s="10"/>
      <c r="Z470" s="10"/>
      <c r="AA470" s="10"/>
      <c r="AB470" s="6"/>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c r="EM470" s="10"/>
      <c r="EN470" s="10"/>
      <c r="EO470" s="10"/>
      <c r="EP470" s="10"/>
      <c r="EQ470" s="10"/>
      <c r="ER470" s="10"/>
      <c r="ES470" s="10"/>
      <c r="ET470" s="10"/>
      <c r="EU470" s="10"/>
      <c r="EV470" s="10"/>
      <c r="EW470" s="10"/>
      <c r="EX470" s="10"/>
      <c r="EY470" s="10"/>
      <c r="EZ470" s="10"/>
      <c r="FA470" s="10"/>
      <c r="FB470" s="10"/>
      <c r="FC470" s="10"/>
      <c r="FD470" s="10"/>
      <c r="FE470" s="10"/>
      <c r="FF470" s="10"/>
      <c r="FG470" s="10"/>
      <c r="FH470" s="10"/>
      <c r="FI470" s="10"/>
      <c r="FJ470" s="10"/>
      <c r="FK470" s="10"/>
      <c r="FL470" s="10"/>
      <c r="FM470" s="10"/>
      <c r="FN470" s="10"/>
      <c r="FO470" s="10"/>
      <c r="FP470" s="10"/>
      <c r="FQ470" s="10"/>
      <c r="FR470" s="10"/>
      <c r="FS470" s="10"/>
      <c r="FT470" s="10"/>
      <c r="FU470" s="10"/>
      <c r="FV470" s="10"/>
      <c r="FW470" s="10"/>
      <c r="FX470" s="10"/>
      <c r="FY470" s="10"/>
      <c r="FZ470" s="10"/>
      <c r="GA470" s="10"/>
      <c r="GB470" s="10"/>
      <c r="GC470" s="10"/>
      <c r="GD470" s="10"/>
      <c r="GE470" s="10"/>
      <c r="GF470" s="10"/>
      <c r="GG470" s="10"/>
      <c r="GH470" s="10"/>
      <c r="GI470" s="10"/>
      <c r="GJ470" s="10"/>
      <c r="GK470" s="10"/>
      <c r="GL470" s="10"/>
      <c r="GM470" s="10"/>
      <c r="GN470" s="10"/>
      <c r="GO470" s="10"/>
      <c r="GP470" s="10"/>
      <c r="GQ470" s="10"/>
      <c r="GR470" s="10"/>
      <c r="GS470" s="10"/>
      <c r="GT470" s="10"/>
      <c r="GU470" s="10"/>
      <c r="GV470" s="10"/>
      <c r="GW470" s="10"/>
      <c r="GX470" s="10"/>
      <c r="GY470" s="10"/>
      <c r="GZ470" s="10"/>
      <c r="HA470" s="10"/>
      <c r="HB470" s="10"/>
      <c r="HC470" s="10"/>
      <c r="HD470" s="10"/>
      <c r="HE470" s="10"/>
      <c r="HF470" s="10"/>
      <c r="HG470" s="10"/>
      <c r="HH470" s="10"/>
      <c r="HI470" s="10"/>
      <c r="HJ470" s="10"/>
      <c r="HK470" s="10"/>
      <c r="HL470" s="10"/>
      <c r="HM470" s="10"/>
      <c r="HN470" s="10"/>
      <c r="HO470" s="10"/>
      <c r="HP470" s="10"/>
      <c r="HQ470" s="10"/>
      <c r="HR470" s="10"/>
      <c r="HS470" s="10"/>
      <c r="HT470" s="10"/>
    </row>
    <row r="471" spans="2:228" ht="15" customHeight="1" x14ac:dyDescent="0.2">
      <c r="B471" s="957" t="s">
        <v>57</v>
      </c>
      <c r="C471" s="957"/>
      <c r="D471" s="957"/>
      <c r="E471" s="957"/>
      <c r="F471" s="957"/>
      <c r="G471" s="957"/>
      <c r="H471" s="957"/>
      <c r="I471" s="957"/>
      <c r="J471" s="957"/>
      <c r="K471" s="957"/>
      <c r="L471" s="957"/>
      <c r="M471" s="957"/>
      <c r="N471" s="957"/>
      <c r="O471" s="957"/>
      <c r="P471" s="962"/>
      <c r="R471" s="10"/>
      <c r="S471" s="6"/>
      <c r="T471" s="10"/>
      <c r="U471" s="10"/>
      <c r="V471" s="10"/>
      <c r="W471" s="10"/>
      <c r="X471" s="10"/>
      <c r="Y471" s="10"/>
      <c r="Z471" s="10"/>
      <c r="AA471" s="10"/>
      <c r="AB471" s="6"/>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c r="EM471" s="10"/>
      <c r="EN471" s="10"/>
      <c r="EO471" s="10"/>
      <c r="EP471" s="10"/>
      <c r="EQ471" s="10"/>
      <c r="ER471" s="10"/>
      <c r="ES471" s="10"/>
      <c r="ET471" s="10"/>
      <c r="EU471" s="10"/>
      <c r="EV471" s="10"/>
      <c r="EW471" s="10"/>
      <c r="EX471" s="10"/>
      <c r="EY471" s="10"/>
      <c r="EZ471" s="10"/>
      <c r="FA471" s="10"/>
      <c r="FB471" s="10"/>
      <c r="FC471" s="10"/>
      <c r="FD471" s="10"/>
      <c r="FE471" s="10"/>
      <c r="FF471" s="10"/>
      <c r="FG471" s="10"/>
      <c r="FH471" s="10"/>
      <c r="FI471" s="10"/>
      <c r="FJ471" s="10"/>
      <c r="FK471" s="10"/>
      <c r="FL471" s="10"/>
      <c r="FM471" s="10"/>
      <c r="FN471" s="10"/>
      <c r="FO471" s="10"/>
      <c r="FP471" s="10"/>
      <c r="FQ471" s="10"/>
      <c r="FR471" s="10"/>
      <c r="FS471" s="10"/>
      <c r="FT471" s="10"/>
      <c r="FU471" s="10"/>
      <c r="FV471" s="10"/>
      <c r="FW471" s="10"/>
      <c r="FX471" s="10"/>
      <c r="FY471" s="10"/>
      <c r="FZ471" s="10"/>
      <c r="GA471" s="10"/>
      <c r="GB471" s="10"/>
      <c r="GC471" s="10"/>
      <c r="GD471" s="10"/>
      <c r="GE471" s="10"/>
      <c r="GF471" s="10"/>
      <c r="GG471" s="10"/>
      <c r="GH471" s="10"/>
      <c r="GI471" s="10"/>
      <c r="GJ471" s="10"/>
      <c r="GK471" s="10"/>
      <c r="GL471" s="10"/>
      <c r="GM471" s="10"/>
      <c r="GN471" s="10"/>
      <c r="GO471" s="10"/>
      <c r="GP471" s="10"/>
      <c r="GQ471" s="10"/>
      <c r="GR471" s="10"/>
      <c r="GS471" s="10"/>
      <c r="GT471" s="10"/>
      <c r="GU471" s="10"/>
      <c r="GV471" s="10"/>
      <c r="GW471" s="10"/>
      <c r="GX471" s="10"/>
      <c r="GY471" s="10"/>
      <c r="GZ471" s="10"/>
      <c r="HA471" s="10"/>
      <c r="HB471" s="10"/>
      <c r="HC471" s="10"/>
      <c r="HD471" s="10"/>
      <c r="HE471" s="10"/>
      <c r="HF471" s="10"/>
      <c r="HG471" s="10"/>
      <c r="HH471" s="10"/>
      <c r="HI471" s="10"/>
      <c r="HJ471" s="10"/>
      <c r="HK471" s="10"/>
      <c r="HL471" s="10"/>
      <c r="HM471" s="10"/>
      <c r="HN471" s="10"/>
      <c r="HO471" s="10"/>
      <c r="HP471" s="10"/>
      <c r="HQ471" s="10"/>
      <c r="HR471" s="10"/>
      <c r="HS471" s="10"/>
      <c r="HT471" s="10"/>
    </row>
    <row r="472" spans="2:228" ht="15" customHeight="1" x14ac:dyDescent="0.2">
      <c r="B472" s="777"/>
      <c r="C472" s="777"/>
      <c r="D472" s="777"/>
      <c r="E472" s="777"/>
      <c r="F472" s="777"/>
      <c r="G472" s="777"/>
      <c r="H472" s="777"/>
      <c r="I472" s="777"/>
      <c r="J472" s="777"/>
      <c r="K472" s="777"/>
      <c r="L472" s="777"/>
      <c r="M472" s="777"/>
      <c r="N472" s="777"/>
      <c r="O472" s="777"/>
      <c r="P472" s="777"/>
      <c r="R472" s="10"/>
      <c r="S472" s="10"/>
      <c r="T472" s="10"/>
      <c r="U472" s="10"/>
      <c r="V472" s="10"/>
      <c r="W472" s="10"/>
      <c r="X472" s="10"/>
      <c r="Y472" s="10"/>
      <c r="Z472" s="10"/>
      <c r="AA472" s="10"/>
      <c r="AB472" s="6"/>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c r="EM472" s="10"/>
      <c r="EN472" s="10"/>
      <c r="EO472" s="10"/>
      <c r="EP472" s="10"/>
      <c r="EQ472" s="10"/>
      <c r="ER472" s="10"/>
      <c r="ES472" s="10"/>
      <c r="ET472" s="10"/>
      <c r="EU472" s="10"/>
      <c r="EV472" s="10"/>
      <c r="EW472" s="10"/>
      <c r="EX472" s="10"/>
      <c r="EY472" s="10"/>
      <c r="EZ472" s="10"/>
      <c r="FA472" s="10"/>
      <c r="FB472" s="10"/>
      <c r="FC472" s="10"/>
      <c r="FD472" s="10"/>
      <c r="FE472" s="10"/>
      <c r="FF472" s="10"/>
      <c r="FG472" s="10"/>
      <c r="FH472" s="10"/>
      <c r="FI472" s="10"/>
      <c r="FJ472" s="10"/>
      <c r="FK472" s="10"/>
      <c r="FL472" s="10"/>
      <c r="FM472" s="10"/>
      <c r="FN472" s="10"/>
      <c r="FO472" s="10"/>
      <c r="FP472" s="10"/>
      <c r="FQ472" s="10"/>
      <c r="FR472" s="10"/>
      <c r="FS472" s="10"/>
      <c r="FT472" s="10"/>
      <c r="FU472" s="10"/>
      <c r="FV472" s="10"/>
      <c r="FW472" s="10"/>
      <c r="FX472" s="10"/>
      <c r="FY472" s="10"/>
      <c r="FZ472" s="10"/>
      <c r="GA472" s="10"/>
      <c r="GB472" s="10"/>
      <c r="GC472" s="10"/>
      <c r="GD472" s="10"/>
      <c r="GE472" s="10"/>
      <c r="GF472" s="10"/>
      <c r="GG472" s="10"/>
      <c r="GH472" s="10"/>
      <c r="GI472" s="10"/>
      <c r="GJ472" s="10"/>
      <c r="GK472" s="10"/>
      <c r="GL472" s="10"/>
      <c r="GM472" s="10"/>
      <c r="GN472" s="10"/>
      <c r="GO472" s="10"/>
      <c r="GP472" s="10"/>
      <c r="GQ472" s="10"/>
      <c r="GR472" s="10"/>
      <c r="GS472" s="10"/>
      <c r="GT472" s="10"/>
      <c r="GU472" s="10"/>
      <c r="GV472" s="10"/>
      <c r="GW472" s="10"/>
      <c r="GX472" s="10"/>
      <c r="GY472" s="10"/>
      <c r="GZ472" s="10"/>
      <c r="HA472" s="10"/>
      <c r="HB472" s="10"/>
      <c r="HC472" s="10"/>
      <c r="HD472" s="10"/>
      <c r="HE472" s="10"/>
      <c r="HF472" s="10"/>
      <c r="HG472" s="10"/>
      <c r="HH472" s="10"/>
      <c r="HI472" s="10"/>
      <c r="HJ472" s="10"/>
      <c r="HK472" s="10"/>
      <c r="HL472" s="10"/>
      <c r="HM472" s="10"/>
      <c r="HN472" s="10"/>
      <c r="HO472" s="10"/>
      <c r="HP472" s="10"/>
      <c r="HQ472" s="10"/>
      <c r="HR472" s="10"/>
      <c r="HS472" s="10"/>
      <c r="HT472" s="10"/>
    </row>
    <row r="473" spans="2:228" x14ac:dyDescent="0.2">
      <c r="B473" s="777"/>
      <c r="C473" s="777"/>
      <c r="D473" s="777"/>
      <c r="E473" s="777"/>
      <c r="F473" s="777"/>
      <c r="G473" s="777"/>
      <c r="H473" s="777"/>
      <c r="I473" s="777"/>
      <c r="J473" s="777"/>
      <c r="K473" s="777"/>
      <c r="L473" s="777"/>
      <c r="M473" s="777"/>
      <c r="N473" s="777"/>
      <c r="O473" s="777"/>
      <c r="P473" s="777"/>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c r="EM473" s="10"/>
      <c r="EN473" s="10"/>
      <c r="EO473" s="10"/>
      <c r="EP473" s="10"/>
      <c r="EQ473" s="10"/>
      <c r="ER473" s="10"/>
      <c r="ES473" s="10"/>
      <c r="ET473" s="10"/>
      <c r="EU473" s="10"/>
      <c r="EV473" s="10"/>
      <c r="EW473" s="10"/>
      <c r="EX473" s="10"/>
      <c r="EY473" s="10"/>
      <c r="EZ473" s="10"/>
      <c r="FA473" s="10"/>
      <c r="FB473" s="10"/>
      <c r="FC473" s="10"/>
      <c r="FD473" s="10"/>
      <c r="FE473" s="10"/>
      <c r="FF473" s="10"/>
      <c r="FG473" s="10"/>
      <c r="FH473" s="10"/>
      <c r="FI473" s="10"/>
      <c r="FJ473" s="10"/>
      <c r="FK473" s="10"/>
      <c r="FL473" s="10"/>
      <c r="FM473" s="10"/>
      <c r="FN473" s="10"/>
      <c r="FO473" s="10"/>
      <c r="FP473" s="10"/>
      <c r="FQ473" s="10"/>
      <c r="FR473" s="10"/>
      <c r="FS473" s="10"/>
      <c r="FT473" s="10"/>
      <c r="FU473" s="10"/>
      <c r="FV473" s="10"/>
      <c r="FW473" s="10"/>
      <c r="FX473" s="10"/>
      <c r="FY473" s="10"/>
      <c r="FZ473" s="10"/>
      <c r="GA473" s="10"/>
      <c r="GB473" s="10"/>
      <c r="GC473" s="10"/>
      <c r="GD473" s="10"/>
      <c r="GE473" s="10"/>
      <c r="GF473" s="10"/>
      <c r="GG473" s="10"/>
      <c r="GH473" s="10"/>
      <c r="GI473" s="10"/>
      <c r="GJ473" s="10"/>
      <c r="GK473" s="10"/>
      <c r="GL473" s="10"/>
      <c r="GM473" s="10"/>
      <c r="GN473" s="10"/>
      <c r="GO473" s="10"/>
      <c r="GP473" s="10"/>
      <c r="GQ473" s="10"/>
      <c r="GR473" s="10"/>
      <c r="GS473" s="10"/>
      <c r="GT473" s="10"/>
      <c r="GU473" s="10"/>
      <c r="GV473" s="10"/>
      <c r="GW473" s="10"/>
      <c r="GX473" s="10"/>
      <c r="GY473" s="10"/>
      <c r="GZ473" s="10"/>
      <c r="HA473" s="10"/>
      <c r="HB473" s="10"/>
      <c r="HC473" s="10"/>
      <c r="HD473" s="10"/>
      <c r="HE473" s="10"/>
      <c r="HF473" s="10"/>
      <c r="HG473" s="10"/>
      <c r="HH473" s="10"/>
      <c r="HI473" s="10"/>
      <c r="HJ473" s="10"/>
      <c r="HK473" s="10"/>
      <c r="HL473" s="10"/>
      <c r="HM473" s="10"/>
      <c r="HN473" s="10"/>
      <c r="HO473" s="10"/>
      <c r="HP473" s="10"/>
      <c r="HQ473" s="10"/>
      <c r="HR473" s="10"/>
      <c r="HS473" s="10"/>
      <c r="HT473" s="10"/>
    </row>
    <row r="474" spans="2:228" ht="36" customHeight="1" x14ac:dyDescent="0.2">
      <c r="B474" s="907" t="s">
        <v>1688</v>
      </c>
      <c r="C474" s="945"/>
      <c r="D474" s="945"/>
      <c r="E474" s="945"/>
      <c r="F474" s="945"/>
      <c r="G474" s="945"/>
      <c r="H474" s="945"/>
      <c r="I474" s="945"/>
      <c r="J474" s="945"/>
      <c r="K474" s="945"/>
      <c r="L474" s="945"/>
      <c r="M474" s="945"/>
      <c r="N474" s="945"/>
      <c r="O474" s="945"/>
      <c r="P474" s="946"/>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c r="EM474" s="10"/>
      <c r="EN474" s="10"/>
      <c r="EO474" s="10"/>
      <c r="EP474" s="10"/>
      <c r="EQ474" s="10"/>
      <c r="ER474" s="10"/>
      <c r="ES474" s="10"/>
      <c r="ET474" s="10"/>
      <c r="EU474" s="10"/>
      <c r="EV474" s="10"/>
      <c r="EW474" s="10"/>
      <c r="EX474" s="10"/>
      <c r="EY474" s="10"/>
      <c r="EZ474" s="10"/>
      <c r="FA474" s="10"/>
      <c r="FB474" s="10"/>
      <c r="FC474" s="10"/>
      <c r="FD474" s="10"/>
      <c r="FE474" s="10"/>
      <c r="FF474" s="10"/>
      <c r="FG474" s="10"/>
      <c r="FH474" s="10"/>
      <c r="FI474" s="10"/>
      <c r="FJ474" s="10"/>
      <c r="FK474" s="10"/>
      <c r="FL474" s="10"/>
      <c r="FM474" s="10"/>
      <c r="FN474" s="10"/>
      <c r="FO474" s="10"/>
      <c r="FP474" s="10"/>
      <c r="FQ474" s="10"/>
      <c r="FR474" s="10"/>
      <c r="FS474" s="10"/>
      <c r="FT474" s="10"/>
      <c r="FU474" s="10"/>
      <c r="FV474" s="10"/>
      <c r="FW474" s="10"/>
      <c r="FX474" s="10"/>
      <c r="FY474" s="10"/>
      <c r="FZ474" s="10"/>
      <c r="GA474" s="10"/>
      <c r="GB474" s="10"/>
      <c r="GC474" s="10"/>
      <c r="GD474" s="10"/>
      <c r="GE474" s="10"/>
      <c r="GF474" s="10"/>
      <c r="GG474" s="10"/>
      <c r="GH474" s="10"/>
      <c r="GI474" s="10"/>
      <c r="GJ474" s="10"/>
      <c r="GK474" s="10"/>
      <c r="GL474" s="10"/>
      <c r="GM474" s="10"/>
      <c r="GN474" s="10"/>
      <c r="GO474" s="10"/>
      <c r="GP474" s="10"/>
      <c r="GQ474" s="10"/>
      <c r="GR474" s="10"/>
      <c r="GS474" s="10"/>
      <c r="GT474" s="10"/>
      <c r="GU474" s="10"/>
      <c r="GV474" s="10"/>
      <c r="GW474" s="10"/>
      <c r="GX474" s="10"/>
      <c r="GY474" s="10"/>
      <c r="GZ474" s="10"/>
      <c r="HA474" s="10"/>
      <c r="HB474" s="10"/>
      <c r="HC474" s="10"/>
      <c r="HD474" s="10"/>
      <c r="HE474" s="10"/>
      <c r="HF474" s="10"/>
      <c r="HG474" s="10"/>
      <c r="HH474" s="10"/>
      <c r="HI474" s="10"/>
      <c r="HJ474" s="10"/>
      <c r="HK474" s="10"/>
      <c r="HL474" s="10"/>
      <c r="HM474" s="10"/>
      <c r="HN474" s="10"/>
      <c r="HO474" s="10"/>
      <c r="HP474" s="10"/>
      <c r="HQ474" s="10"/>
      <c r="HR474" s="10"/>
      <c r="HS474" s="10"/>
      <c r="HT474" s="10"/>
    </row>
    <row r="475" spans="2:228" ht="12" customHeight="1" x14ac:dyDescent="0.25">
      <c r="B475" s="1253"/>
      <c r="C475" s="1253"/>
      <c r="D475" s="1253"/>
      <c r="E475" s="1253"/>
      <c r="F475" s="1253"/>
      <c r="G475" s="1253"/>
      <c r="H475" s="1253"/>
      <c r="I475" s="1253"/>
      <c r="J475" s="1253"/>
      <c r="K475" s="1253"/>
      <c r="L475" s="1253"/>
      <c r="M475" s="1253"/>
      <c r="N475" s="1253"/>
      <c r="O475" s="1253"/>
      <c r="P475" s="1253"/>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c r="EM475" s="10"/>
      <c r="EN475" s="10"/>
      <c r="EO475" s="10"/>
      <c r="EP475" s="10"/>
      <c r="EQ475" s="10"/>
      <c r="ER475" s="10"/>
      <c r="ES475" s="10"/>
      <c r="ET475" s="10"/>
      <c r="EU475" s="10"/>
      <c r="EV475" s="10"/>
      <c r="EW475" s="10"/>
      <c r="EX475" s="10"/>
      <c r="EY475" s="10"/>
      <c r="EZ475" s="10"/>
      <c r="FA475" s="10"/>
      <c r="FB475" s="10"/>
      <c r="FC475" s="10"/>
      <c r="FD475" s="10"/>
      <c r="FE475" s="10"/>
      <c r="FF475" s="10"/>
      <c r="FG475" s="10"/>
      <c r="FH475" s="10"/>
      <c r="FI475" s="10"/>
      <c r="FJ475" s="10"/>
      <c r="FK475" s="10"/>
      <c r="FL475" s="10"/>
      <c r="FM475" s="10"/>
      <c r="FN475" s="10"/>
      <c r="FO475" s="10"/>
      <c r="FP475" s="10"/>
      <c r="FQ475" s="10"/>
      <c r="FR475" s="10"/>
      <c r="FS475" s="10"/>
      <c r="FT475" s="10"/>
      <c r="FU475" s="10"/>
      <c r="FV475" s="10"/>
      <c r="FW475" s="10"/>
      <c r="FX475" s="10"/>
      <c r="FY475" s="10"/>
      <c r="FZ475" s="10"/>
      <c r="GA475" s="10"/>
      <c r="GB475" s="10"/>
      <c r="GC475" s="10"/>
      <c r="GD475" s="10"/>
      <c r="GE475" s="10"/>
      <c r="GF475" s="10"/>
      <c r="GG475" s="10"/>
      <c r="GH475" s="10"/>
      <c r="GI475" s="10"/>
      <c r="GJ475" s="10"/>
      <c r="GK475" s="10"/>
      <c r="GL475" s="10"/>
      <c r="GM475" s="10"/>
      <c r="GN475" s="10"/>
      <c r="GO475" s="10"/>
      <c r="GP475" s="10"/>
      <c r="GQ475" s="10"/>
      <c r="GR475" s="10"/>
      <c r="GS475" s="10"/>
      <c r="GT475" s="10"/>
      <c r="GU475" s="10"/>
      <c r="GV475" s="10"/>
      <c r="GW475" s="10"/>
      <c r="GX475" s="10"/>
      <c r="GY475" s="10"/>
      <c r="GZ475" s="10"/>
      <c r="HA475" s="10"/>
      <c r="HB475" s="10"/>
      <c r="HC475" s="10"/>
      <c r="HD475" s="10"/>
      <c r="HE475" s="10"/>
      <c r="HF475" s="10"/>
      <c r="HG475" s="10"/>
      <c r="HH475" s="10"/>
      <c r="HI475" s="10"/>
      <c r="HJ475" s="10"/>
      <c r="HK475" s="10"/>
      <c r="HL475" s="10"/>
      <c r="HM475" s="10"/>
      <c r="HN475" s="10"/>
      <c r="HO475" s="10"/>
      <c r="HP475" s="10"/>
      <c r="HQ475" s="10"/>
      <c r="HR475" s="10"/>
      <c r="HS475" s="10"/>
      <c r="HT475" s="10"/>
    </row>
    <row r="476" spans="2:228" ht="40.5" customHeight="1" x14ac:dyDescent="0.2">
      <c r="B476" s="761" t="s">
        <v>105</v>
      </c>
      <c r="C476" s="761"/>
      <c r="D476" s="761"/>
      <c r="E476" s="761"/>
      <c r="F476" s="761"/>
      <c r="G476" s="761"/>
      <c r="H476" s="761"/>
      <c r="I476" s="761"/>
      <c r="J476" s="761"/>
      <c r="K476" s="761"/>
      <c r="L476" s="761"/>
      <c r="M476" s="761"/>
      <c r="N476" s="761"/>
      <c r="O476" s="761"/>
      <c r="P476" s="761"/>
      <c r="R476" s="10"/>
      <c r="S476" s="10"/>
      <c r="T476" s="10"/>
      <c r="U476" s="141"/>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c r="EM476" s="10"/>
      <c r="EN476" s="10"/>
      <c r="EO476" s="10"/>
      <c r="EP476" s="10"/>
      <c r="EQ476" s="10"/>
      <c r="ER476" s="10"/>
      <c r="ES476" s="10"/>
      <c r="ET476" s="10"/>
      <c r="EU476" s="10"/>
      <c r="EV476" s="10"/>
      <c r="EW476" s="10"/>
      <c r="EX476" s="10"/>
      <c r="EY476" s="10"/>
      <c r="EZ476" s="10"/>
      <c r="FA476" s="10"/>
      <c r="FB476" s="10"/>
      <c r="FC476" s="10"/>
      <c r="FD476" s="10"/>
      <c r="FE476" s="10"/>
      <c r="FF476" s="10"/>
      <c r="FG476" s="10"/>
      <c r="FH476" s="10"/>
      <c r="FI476" s="10"/>
      <c r="FJ476" s="10"/>
      <c r="FK476" s="10"/>
      <c r="FL476" s="10"/>
      <c r="FM476" s="10"/>
      <c r="FN476" s="10"/>
      <c r="FO476" s="10"/>
      <c r="FP476" s="10"/>
      <c r="FQ476" s="10"/>
      <c r="FR476" s="10"/>
      <c r="FS476" s="10"/>
      <c r="FT476" s="10"/>
      <c r="FU476" s="10"/>
      <c r="FV476" s="10"/>
      <c r="FW476" s="10"/>
      <c r="FX476" s="10"/>
      <c r="FY476" s="10"/>
      <c r="FZ476" s="10"/>
      <c r="GA476" s="10"/>
      <c r="GB476" s="10"/>
      <c r="GC476" s="10"/>
      <c r="GD476" s="10"/>
      <c r="GE476" s="10"/>
      <c r="GF476" s="10"/>
      <c r="GG476" s="10"/>
      <c r="GH476" s="10"/>
      <c r="GI476" s="10"/>
      <c r="GJ476" s="10"/>
      <c r="GK476" s="10"/>
      <c r="GL476" s="10"/>
      <c r="GM476" s="10"/>
      <c r="GN476" s="10"/>
      <c r="GO476" s="10"/>
      <c r="GP476" s="10"/>
      <c r="GQ476" s="10"/>
      <c r="GR476" s="10"/>
      <c r="GS476" s="10"/>
      <c r="GT476" s="10"/>
      <c r="GU476" s="10"/>
      <c r="GV476" s="10"/>
      <c r="GW476" s="10"/>
      <c r="GX476" s="10"/>
      <c r="GY476" s="10"/>
      <c r="GZ476" s="10"/>
      <c r="HA476" s="10"/>
      <c r="HB476" s="10"/>
      <c r="HC476" s="10"/>
      <c r="HD476" s="10"/>
      <c r="HE476" s="10"/>
      <c r="HF476" s="10"/>
      <c r="HG476" s="10"/>
      <c r="HH476" s="10"/>
      <c r="HI476" s="10"/>
      <c r="HJ476" s="10"/>
      <c r="HK476" s="10"/>
      <c r="HL476" s="10"/>
      <c r="HM476" s="10"/>
      <c r="HN476" s="10"/>
      <c r="HO476" s="10"/>
      <c r="HP476" s="10"/>
      <c r="HQ476" s="10"/>
      <c r="HR476" s="10"/>
      <c r="HS476" s="10"/>
      <c r="HT476" s="10"/>
    </row>
    <row r="477" spans="2:228" ht="33.75" customHeight="1" x14ac:dyDescent="0.2">
      <c r="B477" s="146"/>
      <c r="C477" s="912" t="s">
        <v>1759</v>
      </c>
      <c r="D477" s="910"/>
      <c r="E477" s="146"/>
      <c r="F477" s="912" t="s">
        <v>1257</v>
      </c>
      <c r="G477" s="912"/>
      <c r="H477" s="910"/>
      <c r="I477" s="910"/>
      <c r="J477" s="910" t="s">
        <v>1759</v>
      </c>
      <c r="K477" s="910"/>
      <c r="L477" s="910"/>
      <c r="M477" s="910"/>
      <c r="N477" s="910" t="s">
        <v>1702</v>
      </c>
      <c r="O477" s="910"/>
      <c r="P477" s="910"/>
      <c r="R477" s="10"/>
      <c r="S477" s="50" t="s">
        <v>1701</v>
      </c>
      <c r="T477" s="50" t="s">
        <v>1287</v>
      </c>
      <c r="U477" s="256" t="s">
        <v>1104</v>
      </c>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c r="EM477" s="10"/>
      <c r="EN477" s="10"/>
      <c r="EO477" s="10"/>
      <c r="EP477" s="10"/>
      <c r="EQ477" s="10"/>
      <c r="ER477" s="10"/>
      <c r="ES477" s="10"/>
      <c r="ET477" s="10"/>
      <c r="EU477" s="10"/>
      <c r="EV477" s="10"/>
      <c r="EW477" s="10"/>
      <c r="EX477" s="10"/>
      <c r="EY477" s="10"/>
      <c r="EZ477" s="10"/>
      <c r="FA477" s="10"/>
      <c r="FB477" s="10"/>
      <c r="FC477" s="10"/>
      <c r="FD477" s="10"/>
      <c r="FE477" s="10"/>
      <c r="FF477" s="10"/>
      <c r="FG477" s="10"/>
      <c r="FH477" s="10"/>
      <c r="FI477" s="10"/>
      <c r="FJ477" s="10"/>
      <c r="FK477" s="10"/>
      <c r="FL477" s="10"/>
      <c r="FM477" s="10"/>
      <c r="FN477" s="10"/>
      <c r="FO477" s="10"/>
      <c r="FP477" s="10"/>
      <c r="FQ477" s="10"/>
      <c r="FR477" s="10"/>
      <c r="FS477" s="10"/>
      <c r="FT477" s="10"/>
      <c r="FU477" s="10"/>
      <c r="FV477" s="10"/>
      <c r="FW477" s="10"/>
      <c r="FX477" s="10"/>
      <c r="FY477" s="10"/>
      <c r="FZ477" s="10"/>
      <c r="GA477" s="10"/>
      <c r="GB477" s="10"/>
      <c r="GC477" s="10"/>
      <c r="GD477" s="10"/>
      <c r="GE477" s="10"/>
      <c r="GF477" s="10"/>
      <c r="GG477" s="10"/>
      <c r="GH477" s="10"/>
      <c r="GI477" s="10"/>
      <c r="GJ477" s="10"/>
      <c r="GK477" s="10"/>
      <c r="GL477" s="10"/>
      <c r="GM477" s="10"/>
      <c r="GN477" s="10"/>
      <c r="GO477" s="10"/>
      <c r="GP477" s="10"/>
      <c r="GQ477" s="10"/>
      <c r="GR477" s="10"/>
      <c r="GS477" s="10"/>
      <c r="GT477" s="10"/>
      <c r="GU477" s="10"/>
      <c r="GV477" s="10"/>
      <c r="GW477" s="10"/>
      <c r="GX477" s="10"/>
      <c r="GY477" s="10"/>
      <c r="GZ477" s="10"/>
      <c r="HA477" s="10"/>
      <c r="HB477" s="10"/>
      <c r="HC477" s="10"/>
      <c r="HD477" s="10"/>
      <c r="HE477" s="10"/>
      <c r="HF477" s="10"/>
      <c r="HG477" s="10"/>
      <c r="HH477" s="10"/>
      <c r="HI477" s="10"/>
      <c r="HJ477" s="10"/>
      <c r="HK477" s="10"/>
      <c r="HL477" s="10"/>
      <c r="HM477" s="10"/>
      <c r="HN477" s="10"/>
      <c r="HO477" s="10"/>
      <c r="HP477" s="10"/>
      <c r="HQ477" s="10"/>
      <c r="HR477" s="10"/>
      <c r="HS477" s="10"/>
      <c r="HT477" s="10"/>
    </row>
    <row r="478" spans="2:228" ht="18" customHeight="1" x14ac:dyDescent="0.2">
      <c r="B478" s="146" t="s">
        <v>1342</v>
      </c>
      <c r="C478" s="755">
        <f>P33</f>
        <v>0</v>
      </c>
      <c r="D478" s="731"/>
      <c r="E478" s="18" t="s">
        <v>1754</v>
      </c>
      <c r="F478" s="1023">
        <v>0.06</v>
      </c>
      <c r="G478" s="1023"/>
      <c r="H478" s="1272" t="s">
        <v>1756</v>
      </c>
      <c r="I478" s="1272"/>
      <c r="J478" s="1290">
        <f>IF(C488&lt;R1,"DOI&lt;2005",IF($P$269&gt;0,0,T478))</f>
        <v>0</v>
      </c>
      <c r="K478" s="1290"/>
      <c r="L478" s="1290"/>
      <c r="M478" s="1290"/>
      <c r="N478" s="1272" t="str">
        <f>IF(C478=0,"",IF($P$269&gt;0,"Converted",""))</f>
        <v/>
      </c>
      <c r="O478" s="1272"/>
      <c r="P478" s="1272"/>
      <c r="R478" s="10"/>
      <c r="S478" s="583">
        <f>IF(AND(C478*F478&gt;0,C478*F478&lt;0.01),0.01,C478*F478)</f>
        <v>0</v>
      </c>
      <c r="T478" s="147">
        <f t="shared" ref="T478:T484" si="101">ROUND(S478,2)</f>
        <v>0</v>
      </c>
      <c r="U478" s="147">
        <f>SUM(E341:E366)</f>
        <v>0</v>
      </c>
      <c r="V478" s="50" t="s">
        <v>2179</v>
      </c>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c r="EM478" s="10"/>
      <c r="EN478" s="10"/>
      <c r="EO478" s="10"/>
      <c r="EP478" s="10"/>
      <c r="EQ478" s="10"/>
      <c r="ER478" s="10"/>
      <c r="ES478" s="10"/>
      <c r="ET478" s="10"/>
      <c r="EU478" s="10"/>
      <c r="EV478" s="10"/>
      <c r="EW478" s="10"/>
      <c r="EX478" s="10"/>
      <c r="EY478" s="10"/>
      <c r="EZ478" s="10"/>
      <c r="FA478" s="10"/>
      <c r="FB478" s="10"/>
      <c r="FC478" s="10"/>
      <c r="FD478" s="10"/>
      <c r="FE478" s="10"/>
      <c r="FF478" s="10"/>
      <c r="FG478" s="10"/>
      <c r="FH478" s="10"/>
      <c r="FI478" s="10"/>
      <c r="FJ478" s="10"/>
      <c r="FK478" s="10"/>
      <c r="FL478" s="10"/>
      <c r="FM478" s="10"/>
      <c r="FN478" s="10"/>
      <c r="FO478" s="10"/>
      <c r="FP478" s="10"/>
      <c r="FQ478" s="10"/>
      <c r="FR478" s="10"/>
      <c r="FS478" s="10"/>
      <c r="FT478" s="10"/>
      <c r="FU478" s="10"/>
      <c r="FV478" s="10"/>
      <c r="FW478" s="10"/>
      <c r="FX478" s="10"/>
      <c r="FY478" s="10"/>
      <c r="FZ478" s="10"/>
      <c r="GA478" s="10"/>
      <c r="GB478" s="10"/>
      <c r="GC478" s="10"/>
      <c r="GD478" s="10"/>
      <c r="GE478" s="10"/>
      <c r="GF478" s="10"/>
      <c r="GG478" s="10"/>
      <c r="GH478" s="10"/>
      <c r="GI478" s="10"/>
      <c r="GJ478" s="10"/>
      <c r="GK478" s="10"/>
      <c r="GL478" s="10"/>
      <c r="GM478" s="10"/>
      <c r="GN478" s="10"/>
      <c r="GO478" s="10"/>
      <c r="GP478" s="10"/>
      <c r="GQ478" s="10"/>
      <c r="GR478" s="10"/>
      <c r="GS478" s="10"/>
      <c r="GT478" s="10"/>
      <c r="GU478" s="10"/>
      <c r="GV478" s="10"/>
      <c r="GW478" s="10"/>
      <c r="GX478" s="10"/>
      <c r="GY478" s="10"/>
      <c r="GZ478" s="10"/>
      <c r="HA478" s="10"/>
      <c r="HB478" s="10"/>
      <c r="HC478" s="10"/>
      <c r="HD478" s="10"/>
      <c r="HE478" s="10"/>
      <c r="HF478" s="10"/>
      <c r="HG478" s="10"/>
      <c r="HH478" s="10"/>
      <c r="HI478" s="10"/>
      <c r="HJ478" s="10"/>
      <c r="HK478" s="10"/>
      <c r="HL478" s="10"/>
      <c r="HM478" s="10"/>
      <c r="HN478" s="10"/>
      <c r="HO478" s="10"/>
      <c r="HP478" s="10"/>
      <c r="HQ478" s="10"/>
      <c r="HR478" s="10"/>
      <c r="HS478" s="10"/>
      <c r="HT478" s="10"/>
    </row>
    <row r="479" spans="2:228" ht="18" customHeight="1" x14ac:dyDescent="0.2">
      <c r="B479" s="146" t="s">
        <v>1343</v>
      </c>
      <c r="C479" s="755">
        <f>P72</f>
        <v>0</v>
      </c>
      <c r="D479" s="731"/>
      <c r="E479" s="18" t="s">
        <v>1754</v>
      </c>
      <c r="F479" s="1023">
        <v>0.01</v>
      </c>
      <c r="G479" s="1023"/>
      <c r="H479" s="1272" t="s">
        <v>1756</v>
      </c>
      <c r="I479" s="1272"/>
      <c r="J479" s="1290">
        <f>IF(C488&lt;R1,"DOI&lt;2005",IF($P$269&gt;0,0,T479))</f>
        <v>0</v>
      </c>
      <c r="K479" s="1290"/>
      <c r="L479" s="1290"/>
      <c r="M479" s="1290"/>
      <c r="N479" s="1272" t="str">
        <f>IF(C479=0,"",IF($P$269&gt;0,"Converted",""))</f>
        <v/>
      </c>
      <c r="O479" s="1272"/>
      <c r="P479" s="1272"/>
      <c r="R479" s="10"/>
      <c r="S479" s="583">
        <f t="shared" ref="S479:S484" si="102">IF(AND(C479*F479&gt;0,C479*F479&lt;0.01),0.01,C479*F479)</f>
        <v>0</v>
      </c>
      <c r="T479" s="147">
        <f t="shared" si="101"/>
        <v>0</v>
      </c>
      <c r="U479" s="147">
        <f>SUM(E448:E470)</f>
        <v>0</v>
      </c>
      <c r="V479" s="50" t="s">
        <v>2178</v>
      </c>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c r="EM479" s="10"/>
      <c r="EN479" s="10"/>
      <c r="EO479" s="10"/>
      <c r="EP479" s="10"/>
      <c r="EQ479" s="10"/>
      <c r="ER479" s="10"/>
      <c r="ES479" s="10"/>
      <c r="ET479" s="10"/>
      <c r="EU479" s="10"/>
      <c r="EV479" s="10"/>
      <c r="EW479" s="10"/>
      <c r="EX479" s="10"/>
      <c r="EY479" s="10"/>
      <c r="EZ479" s="10"/>
      <c r="FA479" s="10"/>
      <c r="FB479" s="10"/>
      <c r="FC479" s="10"/>
      <c r="FD479" s="10"/>
      <c r="FE479" s="10"/>
      <c r="FF479" s="10"/>
      <c r="FG479" s="10"/>
      <c r="FH479" s="10"/>
      <c r="FI479" s="10"/>
      <c r="FJ479" s="10"/>
      <c r="FK479" s="10"/>
      <c r="FL479" s="10"/>
      <c r="FM479" s="10"/>
      <c r="FN479" s="10"/>
      <c r="FO479" s="10"/>
      <c r="FP479" s="10"/>
      <c r="FQ479" s="10"/>
      <c r="FR479" s="10"/>
      <c r="FS479" s="10"/>
      <c r="FT479" s="10"/>
      <c r="FU479" s="10"/>
      <c r="FV479" s="10"/>
      <c r="FW479" s="10"/>
      <c r="FX479" s="10"/>
      <c r="FY479" s="10"/>
      <c r="FZ479" s="10"/>
      <c r="GA479" s="10"/>
      <c r="GB479" s="10"/>
      <c r="GC479" s="10"/>
      <c r="GD479" s="10"/>
      <c r="GE479" s="10"/>
      <c r="GF479" s="10"/>
      <c r="GG479" s="10"/>
      <c r="GH479" s="10"/>
      <c r="GI479" s="10"/>
      <c r="GJ479" s="10"/>
      <c r="GK479" s="10"/>
      <c r="GL479" s="10"/>
      <c r="GM479" s="10"/>
      <c r="GN479" s="10"/>
      <c r="GO479" s="10"/>
      <c r="GP479" s="10"/>
      <c r="GQ479" s="10"/>
      <c r="GR479" s="10"/>
      <c r="GS479" s="10"/>
      <c r="GT479" s="10"/>
      <c r="GU479" s="10"/>
      <c r="GV479" s="10"/>
      <c r="GW479" s="10"/>
      <c r="GX479" s="10"/>
      <c r="GY479" s="10"/>
      <c r="GZ479" s="10"/>
      <c r="HA479" s="10"/>
      <c r="HB479" s="10"/>
      <c r="HC479" s="10"/>
      <c r="HD479" s="10"/>
      <c r="HE479" s="10"/>
      <c r="HF479" s="10"/>
      <c r="HG479" s="10"/>
      <c r="HH479" s="10"/>
      <c r="HI479" s="10"/>
      <c r="HJ479" s="10"/>
      <c r="HK479" s="10"/>
      <c r="HL479" s="10"/>
      <c r="HM479" s="10"/>
      <c r="HN479" s="10"/>
      <c r="HO479" s="10"/>
      <c r="HP479" s="10"/>
      <c r="HQ479" s="10"/>
      <c r="HR479" s="10"/>
      <c r="HS479" s="10"/>
      <c r="HT479" s="10"/>
    </row>
    <row r="480" spans="2:228" ht="18" customHeight="1" x14ac:dyDescent="0.2">
      <c r="B480" s="146" t="s">
        <v>1344</v>
      </c>
      <c r="C480" s="755">
        <f>P112</f>
        <v>0</v>
      </c>
      <c r="D480" s="731"/>
      <c r="E480" s="18" t="s">
        <v>1754</v>
      </c>
      <c r="F480" s="1023">
        <v>0.01</v>
      </c>
      <c r="G480" s="1023"/>
      <c r="H480" s="1272" t="s">
        <v>1756</v>
      </c>
      <c r="I480" s="1272"/>
      <c r="J480" s="1290">
        <f>IF(C488&lt;R1,"DOI&lt;2005",IF($P$269&gt;0,0,T480))</f>
        <v>0</v>
      </c>
      <c r="K480" s="1290"/>
      <c r="L480" s="1290"/>
      <c r="M480" s="1290"/>
      <c r="N480" s="1272" t="str">
        <f>IF(C480=0,"",IF($P$269&gt;0,"Converted",""))</f>
        <v/>
      </c>
      <c r="O480" s="1272"/>
      <c r="P480" s="1272"/>
      <c r="R480" s="10"/>
      <c r="S480" s="583">
        <f t="shared" si="102"/>
        <v>0</v>
      </c>
      <c r="T480" s="147">
        <f t="shared" si="101"/>
        <v>0</v>
      </c>
      <c r="U480" s="578">
        <f>IF(AND(U478&gt;0,U479&gt;0),1,0)</f>
        <v>0</v>
      </c>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c r="EM480" s="10"/>
      <c r="EN480" s="10"/>
      <c r="EO480" s="10"/>
      <c r="EP480" s="10"/>
      <c r="EQ480" s="10"/>
      <c r="ER480" s="10"/>
      <c r="ES480" s="10"/>
      <c r="ET480" s="10"/>
      <c r="EU480" s="10"/>
      <c r="EV480" s="10"/>
      <c r="EW480" s="10"/>
      <c r="EX480" s="10"/>
      <c r="EY480" s="10"/>
      <c r="EZ480" s="10"/>
      <c r="FA480" s="10"/>
      <c r="FB480" s="10"/>
      <c r="FC480" s="10"/>
      <c r="FD480" s="10"/>
      <c r="FE480" s="10"/>
      <c r="FF480" s="10"/>
      <c r="FG480" s="10"/>
      <c r="FH480" s="10"/>
      <c r="FI480" s="10"/>
      <c r="FJ480" s="10"/>
      <c r="FK480" s="10"/>
      <c r="FL480" s="10"/>
      <c r="FM480" s="10"/>
      <c r="FN480" s="10"/>
      <c r="FO480" s="10"/>
      <c r="FP480" s="10"/>
      <c r="FQ480" s="10"/>
      <c r="FR480" s="10"/>
      <c r="FS480" s="10"/>
      <c r="FT480" s="10"/>
      <c r="FU480" s="10"/>
      <c r="FV480" s="10"/>
      <c r="FW480" s="10"/>
      <c r="FX480" s="10"/>
      <c r="FY480" s="10"/>
      <c r="FZ480" s="10"/>
      <c r="GA480" s="10"/>
      <c r="GB480" s="10"/>
      <c r="GC480" s="10"/>
      <c r="GD480" s="10"/>
      <c r="GE480" s="10"/>
      <c r="GF480" s="10"/>
      <c r="GG480" s="10"/>
      <c r="GH480" s="10"/>
      <c r="GI480" s="10"/>
      <c r="GJ480" s="10"/>
      <c r="GK480" s="10"/>
      <c r="GL480" s="10"/>
      <c r="GM480" s="10"/>
      <c r="GN480" s="10"/>
      <c r="GO480" s="10"/>
      <c r="GP480" s="10"/>
      <c r="GQ480" s="10"/>
      <c r="GR480" s="10"/>
      <c r="GS480" s="10"/>
      <c r="GT480" s="10"/>
      <c r="GU480" s="10"/>
      <c r="GV480" s="10"/>
      <c r="GW480" s="10"/>
      <c r="GX480" s="10"/>
      <c r="GY480" s="10"/>
      <c r="GZ480" s="10"/>
      <c r="HA480" s="10"/>
      <c r="HB480" s="10"/>
      <c r="HC480" s="10"/>
      <c r="HD480" s="10"/>
      <c r="HE480" s="10"/>
      <c r="HF480" s="10"/>
      <c r="HG480" s="10"/>
      <c r="HH480" s="10"/>
      <c r="HI480" s="10"/>
      <c r="HJ480" s="10"/>
      <c r="HK480" s="10"/>
      <c r="HL480" s="10"/>
      <c r="HM480" s="10"/>
      <c r="HN480" s="10"/>
      <c r="HO480" s="10"/>
      <c r="HP480" s="10"/>
      <c r="HQ480" s="10"/>
      <c r="HR480" s="10"/>
      <c r="HS480" s="10"/>
      <c r="HT480" s="10"/>
    </row>
    <row r="481" spans="2:228" ht="18" customHeight="1" x14ac:dyDescent="0.2">
      <c r="B481" s="146" t="s">
        <v>1345</v>
      </c>
      <c r="C481" s="755">
        <f>P152</f>
        <v>0</v>
      </c>
      <c r="D481" s="731"/>
      <c r="E481" s="18" t="s">
        <v>1754</v>
      </c>
      <c r="F481" s="1023">
        <v>0.01</v>
      </c>
      <c r="G481" s="1023"/>
      <c r="H481" s="1272" t="s">
        <v>1756</v>
      </c>
      <c r="I481" s="1272"/>
      <c r="J481" s="1290">
        <f>IF(C488&lt;R1,"DOI&lt;2005",IF($P$269&gt;0,0,T481))</f>
        <v>0</v>
      </c>
      <c r="K481" s="1290"/>
      <c r="L481" s="1290"/>
      <c r="M481" s="1290"/>
      <c r="N481" s="1272" t="str">
        <f>IF(C481=0,"",IF($P$269&gt;0,"Converted",""))</f>
        <v/>
      </c>
      <c r="O481" s="1272"/>
      <c r="P481" s="1272"/>
      <c r="R481" s="10"/>
      <c r="S481" s="583">
        <f t="shared" si="102"/>
        <v>0</v>
      </c>
      <c r="T481" s="147">
        <f t="shared" si="101"/>
        <v>0</v>
      </c>
      <c r="U481" s="14"/>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c r="DO481" s="10"/>
      <c r="DP481" s="10"/>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c r="EM481" s="10"/>
      <c r="EN481" s="10"/>
      <c r="EO481" s="10"/>
      <c r="EP481" s="10"/>
      <c r="EQ481" s="10"/>
      <c r="ER481" s="10"/>
      <c r="ES481" s="10"/>
      <c r="ET481" s="10"/>
      <c r="EU481" s="10"/>
      <c r="EV481" s="10"/>
      <c r="EW481" s="10"/>
      <c r="EX481" s="10"/>
      <c r="EY481" s="10"/>
      <c r="EZ481" s="10"/>
      <c r="FA481" s="10"/>
      <c r="FB481" s="10"/>
      <c r="FC481" s="10"/>
      <c r="FD481" s="10"/>
      <c r="FE481" s="10"/>
      <c r="FF481" s="10"/>
      <c r="FG481" s="10"/>
      <c r="FH481" s="10"/>
      <c r="FI481" s="10"/>
      <c r="FJ481" s="10"/>
      <c r="FK481" s="10"/>
      <c r="FL481" s="10"/>
      <c r="FM481" s="10"/>
      <c r="FN481" s="10"/>
      <c r="FO481" s="10"/>
      <c r="FP481" s="10"/>
      <c r="FQ481" s="10"/>
      <c r="FR481" s="10"/>
      <c r="FS481" s="10"/>
      <c r="FT481" s="10"/>
      <c r="FU481" s="10"/>
      <c r="FV481" s="10"/>
      <c r="FW481" s="10"/>
      <c r="FX481" s="10"/>
      <c r="FY481" s="10"/>
      <c r="FZ481" s="10"/>
      <c r="GA481" s="10"/>
      <c r="GB481" s="10"/>
      <c r="GC481" s="10"/>
      <c r="GD481" s="10"/>
      <c r="GE481" s="10"/>
      <c r="GF481" s="10"/>
      <c r="GG481" s="10"/>
      <c r="GH481" s="10"/>
      <c r="GI481" s="10"/>
      <c r="GJ481" s="10"/>
      <c r="GK481" s="10"/>
      <c r="GL481" s="10"/>
      <c r="GM481" s="10"/>
      <c r="GN481" s="10"/>
      <c r="GO481" s="10"/>
      <c r="GP481" s="10"/>
      <c r="GQ481" s="10"/>
      <c r="GR481" s="10"/>
      <c r="GS481" s="10"/>
      <c r="GT481" s="10"/>
      <c r="GU481" s="10"/>
      <c r="GV481" s="10"/>
      <c r="GW481" s="10"/>
      <c r="GX481" s="10"/>
      <c r="GY481" s="10"/>
      <c r="GZ481" s="10"/>
      <c r="HA481" s="10"/>
      <c r="HB481" s="10"/>
      <c r="HC481" s="10"/>
      <c r="HD481" s="10"/>
      <c r="HE481" s="10"/>
      <c r="HF481" s="10"/>
      <c r="HG481" s="10"/>
      <c r="HH481" s="10"/>
      <c r="HI481" s="10"/>
      <c r="HJ481" s="10"/>
      <c r="HK481" s="10"/>
      <c r="HL481" s="10"/>
      <c r="HM481" s="10"/>
      <c r="HN481" s="10"/>
      <c r="HO481" s="10"/>
      <c r="HP481" s="10"/>
      <c r="HQ481" s="10"/>
      <c r="HR481" s="10"/>
      <c r="HS481" s="10"/>
      <c r="HT481" s="10"/>
    </row>
    <row r="482" spans="2:228" ht="18" customHeight="1" x14ac:dyDescent="0.2">
      <c r="B482" s="146" t="s">
        <v>1346</v>
      </c>
      <c r="C482" s="755">
        <f>P192</f>
        <v>0</v>
      </c>
      <c r="D482" s="731"/>
      <c r="E482" s="18" t="s">
        <v>1754</v>
      </c>
      <c r="F482" s="1023">
        <v>0.01</v>
      </c>
      <c r="G482" s="1023"/>
      <c r="H482" s="1272" t="s">
        <v>1756</v>
      </c>
      <c r="I482" s="1272"/>
      <c r="J482" s="1290">
        <f>IF(C488&lt;R1,"DOI&lt;2005",IF($P$269&gt;0,0,T482))</f>
        <v>0</v>
      </c>
      <c r="K482" s="1290"/>
      <c r="L482" s="1290"/>
      <c r="M482" s="1290"/>
      <c r="N482" s="1272" t="str">
        <f>IF(C482=0,"",IF($P$269&gt;0,"Converted",""))</f>
        <v/>
      </c>
      <c r="O482" s="1272"/>
      <c r="P482" s="1272"/>
      <c r="R482" s="10"/>
      <c r="S482" s="583">
        <f t="shared" si="102"/>
        <v>0</v>
      </c>
      <c r="T482" s="147">
        <f t="shared" si="101"/>
        <v>0</v>
      </c>
      <c r="U482" s="14"/>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c r="EM482" s="10"/>
      <c r="EN482" s="10"/>
      <c r="EO482" s="10"/>
      <c r="EP482" s="10"/>
      <c r="EQ482" s="10"/>
      <c r="ER482" s="10"/>
      <c r="ES482" s="10"/>
      <c r="ET482" s="10"/>
      <c r="EU482" s="10"/>
      <c r="EV482" s="10"/>
      <c r="EW482" s="10"/>
      <c r="EX482" s="10"/>
      <c r="EY482" s="10"/>
      <c r="EZ482" s="10"/>
      <c r="FA482" s="10"/>
      <c r="FB482" s="10"/>
      <c r="FC482" s="10"/>
      <c r="FD482" s="10"/>
      <c r="FE482" s="10"/>
      <c r="FF482" s="10"/>
      <c r="FG482" s="10"/>
      <c r="FH482" s="10"/>
      <c r="FI482" s="10"/>
      <c r="FJ482" s="10"/>
      <c r="FK482" s="10"/>
      <c r="FL482" s="10"/>
      <c r="FM482" s="10"/>
      <c r="FN482" s="10"/>
      <c r="FO482" s="10"/>
      <c r="FP482" s="10"/>
      <c r="FQ482" s="10"/>
      <c r="FR482" s="10"/>
      <c r="FS482" s="10"/>
      <c r="FT482" s="10"/>
      <c r="FU482" s="10"/>
      <c r="FV482" s="10"/>
      <c r="FW482" s="10"/>
      <c r="FX482" s="10"/>
      <c r="FY482" s="10"/>
      <c r="FZ482" s="10"/>
      <c r="GA482" s="10"/>
      <c r="GB482" s="10"/>
      <c r="GC482" s="10"/>
      <c r="GD482" s="10"/>
      <c r="GE482" s="10"/>
      <c r="GF482" s="10"/>
      <c r="GG482" s="10"/>
      <c r="GH482" s="10"/>
      <c r="GI482" s="10"/>
      <c r="GJ482" s="10"/>
      <c r="GK482" s="10"/>
      <c r="GL482" s="10"/>
      <c r="GM482" s="10"/>
      <c r="GN482" s="10"/>
      <c r="GO482" s="10"/>
      <c r="GP482" s="10"/>
      <c r="GQ482" s="10"/>
      <c r="GR482" s="10"/>
      <c r="GS482" s="10"/>
      <c r="GT482" s="10"/>
      <c r="GU482" s="10"/>
      <c r="GV482" s="10"/>
      <c r="GW482" s="10"/>
      <c r="GX482" s="10"/>
      <c r="GY482" s="10"/>
      <c r="GZ482" s="10"/>
      <c r="HA482" s="10"/>
      <c r="HB482" s="10"/>
      <c r="HC482" s="10"/>
      <c r="HD482" s="10"/>
      <c r="HE482" s="10"/>
      <c r="HF482" s="10"/>
      <c r="HG482" s="10"/>
      <c r="HH482" s="10"/>
      <c r="HI482" s="10"/>
      <c r="HJ482" s="10"/>
      <c r="HK482" s="10"/>
      <c r="HL482" s="10"/>
      <c r="HM482" s="10"/>
      <c r="HN482" s="10"/>
      <c r="HO482" s="10"/>
      <c r="HP482" s="10"/>
      <c r="HQ482" s="10"/>
      <c r="HR482" s="10"/>
      <c r="HS482" s="10"/>
      <c r="HT482" s="10"/>
    </row>
    <row r="483" spans="2:228" ht="18" customHeight="1" x14ac:dyDescent="0.2">
      <c r="B483" s="146" t="s">
        <v>463</v>
      </c>
      <c r="C483" s="755">
        <f>P340</f>
        <v>0</v>
      </c>
      <c r="D483" s="731"/>
      <c r="E483" s="18" t="s">
        <v>1754</v>
      </c>
      <c r="F483" s="1023">
        <v>0.42</v>
      </c>
      <c r="G483" s="1023"/>
      <c r="H483" s="1272" t="s">
        <v>1756</v>
      </c>
      <c r="I483" s="1272"/>
      <c r="J483" s="1290">
        <f>IF(C488&lt;R1,"DOI&lt;2005",IF(AND(C483&gt;0,C484&gt;0),0,T483))</f>
        <v>0</v>
      </c>
      <c r="K483" s="1290"/>
      <c r="L483" s="1290"/>
      <c r="M483" s="1290"/>
      <c r="N483" s="1272" t="str">
        <f>IF(C483=0,"",IF(U480=1,"Converted",""))</f>
        <v/>
      </c>
      <c r="O483" s="1272"/>
      <c r="P483" s="1272"/>
      <c r="R483" s="10"/>
      <c r="S483" s="583">
        <f t="shared" si="102"/>
        <v>0</v>
      </c>
      <c r="T483" s="147">
        <f t="shared" si="101"/>
        <v>0</v>
      </c>
      <c r="U483" s="14"/>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10"/>
      <c r="DN483" s="10"/>
      <c r="DO483" s="10"/>
      <c r="DP483" s="10"/>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c r="EM483" s="10"/>
      <c r="EN483" s="10"/>
      <c r="EO483" s="10"/>
      <c r="EP483" s="10"/>
      <c r="EQ483" s="10"/>
      <c r="ER483" s="10"/>
      <c r="ES483" s="10"/>
      <c r="ET483" s="10"/>
      <c r="EU483" s="10"/>
      <c r="EV483" s="10"/>
      <c r="EW483" s="10"/>
      <c r="EX483" s="10"/>
      <c r="EY483" s="10"/>
      <c r="EZ483" s="10"/>
      <c r="FA483" s="10"/>
      <c r="FB483" s="10"/>
      <c r="FC483" s="10"/>
      <c r="FD483" s="10"/>
      <c r="FE483" s="10"/>
      <c r="FF483" s="10"/>
      <c r="FG483" s="10"/>
      <c r="FH483" s="10"/>
      <c r="FI483" s="10"/>
      <c r="FJ483" s="10"/>
      <c r="FK483" s="10"/>
      <c r="FL483" s="10"/>
      <c r="FM483" s="10"/>
      <c r="FN483" s="10"/>
      <c r="FO483" s="10"/>
      <c r="FP483" s="10"/>
      <c r="FQ483" s="10"/>
      <c r="FR483" s="10"/>
      <c r="FS483" s="10"/>
      <c r="FT483" s="10"/>
      <c r="FU483" s="10"/>
      <c r="FV483" s="10"/>
      <c r="FW483" s="10"/>
      <c r="FX483" s="10"/>
      <c r="FY483" s="10"/>
      <c r="FZ483" s="10"/>
      <c r="GA483" s="10"/>
      <c r="GB483" s="10"/>
      <c r="GC483" s="10"/>
      <c r="GD483" s="10"/>
      <c r="GE483" s="10"/>
      <c r="GF483" s="10"/>
      <c r="GG483" s="10"/>
      <c r="GH483" s="10"/>
      <c r="GI483" s="10"/>
      <c r="GJ483" s="10"/>
      <c r="GK483" s="10"/>
      <c r="GL483" s="10"/>
      <c r="GM483" s="10"/>
      <c r="GN483" s="10"/>
      <c r="GO483" s="10"/>
      <c r="GP483" s="10"/>
      <c r="GQ483" s="10"/>
      <c r="GR483" s="10"/>
      <c r="GS483" s="10"/>
      <c r="GT483" s="10"/>
      <c r="GU483" s="10"/>
      <c r="GV483" s="10"/>
      <c r="GW483" s="10"/>
      <c r="GX483" s="10"/>
      <c r="GY483" s="10"/>
      <c r="GZ483" s="10"/>
      <c r="HA483" s="10"/>
      <c r="HB483" s="10"/>
      <c r="HC483" s="10"/>
      <c r="HD483" s="10"/>
      <c r="HE483" s="10"/>
      <c r="HF483" s="10"/>
      <c r="HG483" s="10"/>
      <c r="HH483" s="10"/>
      <c r="HI483" s="10"/>
      <c r="HJ483" s="10"/>
      <c r="HK483" s="10"/>
      <c r="HL483" s="10"/>
      <c r="HM483" s="10"/>
      <c r="HN483" s="10"/>
      <c r="HO483" s="10"/>
      <c r="HP483" s="10"/>
      <c r="HQ483" s="10"/>
      <c r="HR483" s="10"/>
      <c r="HS483" s="10"/>
      <c r="HT483" s="10"/>
    </row>
    <row r="484" spans="2:228" ht="18" customHeight="1" x14ac:dyDescent="0.2">
      <c r="B484" s="146" t="s">
        <v>1225</v>
      </c>
      <c r="C484" s="755">
        <f>P447</f>
        <v>0</v>
      </c>
      <c r="D484" s="731"/>
      <c r="E484" s="18" t="s">
        <v>1754</v>
      </c>
      <c r="F484" s="1023">
        <v>0.47</v>
      </c>
      <c r="G484" s="1023"/>
      <c r="H484" s="1272" t="s">
        <v>1756</v>
      </c>
      <c r="I484" s="1272"/>
      <c r="J484" s="1290">
        <f>IF(C488&lt;R1,"DOI&lt;2005",T484)</f>
        <v>0</v>
      </c>
      <c r="K484" s="1290"/>
      <c r="L484" s="1290"/>
      <c r="M484" s="1290"/>
      <c r="N484" s="1272"/>
      <c r="O484" s="1272"/>
      <c r="P484" s="1272"/>
      <c r="R484" s="10"/>
      <c r="S484" s="583">
        <f t="shared" si="102"/>
        <v>0</v>
      </c>
      <c r="T484" s="147">
        <f t="shared" si="101"/>
        <v>0</v>
      </c>
      <c r="U484" s="14"/>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10"/>
      <c r="DN484" s="10"/>
      <c r="DO484" s="10"/>
      <c r="DP484" s="10"/>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c r="EM484" s="10"/>
      <c r="EN484" s="10"/>
      <c r="EO484" s="10"/>
      <c r="EP484" s="10"/>
      <c r="EQ484" s="10"/>
      <c r="ER484" s="10"/>
      <c r="ES484" s="10"/>
      <c r="ET484" s="10"/>
      <c r="EU484" s="10"/>
      <c r="EV484" s="10"/>
      <c r="EW484" s="10"/>
      <c r="EX484" s="10"/>
      <c r="EY484" s="10"/>
      <c r="EZ484" s="10"/>
      <c r="FA484" s="10"/>
      <c r="FB484" s="10"/>
      <c r="FC484" s="10"/>
      <c r="FD484" s="10"/>
      <c r="FE484" s="10"/>
      <c r="FF484" s="10"/>
      <c r="FG484" s="10"/>
      <c r="FH484" s="10"/>
      <c r="FI484" s="10"/>
      <c r="FJ484" s="10"/>
      <c r="FK484" s="10"/>
      <c r="FL484" s="10"/>
      <c r="FM484" s="10"/>
      <c r="FN484" s="10"/>
      <c r="FO484" s="10"/>
      <c r="FP484" s="10"/>
      <c r="FQ484" s="10"/>
      <c r="FR484" s="10"/>
      <c r="FS484" s="10"/>
      <c r="FT484" s="10"/>
      <c r="FU484" s="10"/>
      <c r="FV484" s="10"/>
      <c r="FW484" s="10"/>
      <c r="FX484" s="10"/>
      <c r="FY484" s="10"/>
      <c r="FZ484" s="10"/>
      <c r="GA484" s="10"/>
      <c r="GB484" s="10"/>
      <c r="GC484" s="10"/>
      <c r="GD484" s="10"/>
      <c r="GE484" s="10"/>
      <c r="GF484" s="10"/>
      <c r="GG484" s="10"/>
      <c r="GH484" s="10"/>
      <c r="GI484" s="10"/>
      <c r="GJ484" s="10"/>
      <c r="GK484" s="10"/>
      <c r="GL484" s="10"/>
      <c r="GM484" s="10"/>
      <c r="GN484" s="10"/>
      <c r="GO484" s="10"/>
      <c r="GP484" s="10"/>
      <c r="GQ484" s="10"/>
      <c r="GR484" s="10"/>
      <c r="GS484" s="10"/>
      <c r="GT484" s="10"/>
      <c r="GU484" s="10"/>
      <c r="GV484" s="10"/>
      <c r="GW484" s="10"/>
      <c r="GX484" s="10"/>
      <c r="GY484" s="10"/>
      <c r="GZ484" s="10"/>
      <c r="HA484" s="10"/>
      <c r="HB484" s="10"/>
      <c r="HC484" s="10"/>
      <c r="HD484" s="10"/>
      <c r="HE484" s="10"/>
      <c r="HF484" s="10"/>
      <c r="HG484" s="10"/>
      <c r="HH484" s="10"/>
      <c r="HI484" s="10"/>
      <c r="HJ484" s="10"/>
      <c r="HK484" s="10"/>
      <c r="HL484" s="10"/>
      <c r="HM484" s="10"/>
      <c r="HN484" s="10"/>
      <c r="HO484" s="10"/>
      <c r="HP484" s="10"/>
      <c r="HQ484" s="10"/>
      <c r="HR484" s="10"/>
      <c r="HS484" s="10"/>
      <c r="HT484" s="10"/>
    </row>
    <row r="485" spans="2:228" ht="18" customHeight="1" x14ac:dyDescent="0.25">
      <c r="B485" s="1311"/>
      <c r="C485" s="1312"/>
      <c r="D485" s="1312"/>
      <c r="E485" s="1312"/>
      <c r="F485" s="1312"/>
      <c r="G485" s="1312"/>
      <c r="H485" s="1312"/>
      <c r="I485" s="1312"/>
      <c r="J485" s="1312"/>
      <c r="K485" s="1312"/>
      <c r="L485" s="1312"/>
      <c r="M485" s="1312"/>
      <c r="N485" s="1312"/>
      <c r="O485" s="1312"/>
      <c r="P485" s="1313"/>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10"/>
      <c r="DN485" s="10"/>
      <c r="DO485" s="10"/>
      <c r="DP485" s="10"/>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c r="EM485" s="10"/>
      <c r="EN485" s="10"/>
      <c r="EO485" s="10"/>
      <c r="EP485" s="10"/>
      <c r="EQ485" s="10"/>
      <c r="ER485" s="10"/>
      <c r="ES485" s="10"/>
      <c r="ET485" s="10"/>
      <c r="EU485" s="10"/>
      <c r="EV485" s="10"/>
      <c r="EW485" s="10"/>
      <c r="EX485" s="10"/>
      <c r="EY485" s="10"/>
      <c r="EZ485" s="10"/>
      <c r="FA485" s="10"/>
      <c r="FB485" s="10"/>
      <c r="FC485" s="10"/>
      <c r="FD485" s="10"/>
      <c r="FE485" s="10"/>
      <c r="FF485" s="10"/>
      <c r="FG485" s="10"/>
      <c r="FH485" s="10"/>
      <c r="FI485" s="10"/>
      <c r="FJ485" s="10"/>
      <c r="FK485" s="10"/>
      <c r="FL485" s="10"/>
      <c r="FM485" s="10"/>
      <c r="FN485" s="10"/>
      <c r="FO485" s="10"/>
      <c r="FP485" s="10"/>
      <c r="FQ485" s="10"/>
      <c r="FR485" s="10"/>
      <c r="FS485" s="10"/>
      <c r="FT485" s="10"/>
      <c r="FU485" s="10"/>
      <c r="FV485" s="10"/>
      <c r="FW485" s="10"/>
      <c r="FX485" s="10"/>
      <c r="FY485" s="10"/>
      <c r="FZ485" s="10"/>
      <c r="GA485" s="10"/>
      <c r="GB485" s="10"/>
      <c r="GC485" s="10"/>
      <c r="GD485" s="10"/>
      <c r="GE485" s="10"/>
      <c r="GF485" s="10"/>
      <c r="GG485" s="10"/>
      <c r="GH485" s="10"/>
      <c r="GI485" s="10"/>
      <c r="GJ485" s="10"/>
      <c r="GK485" s="10"/>
      <c r="GL485" s="10"/>
      <c r="GM485" s="10"/>
      <c r="GN485" s="10"/>
      <c r="GO485" s="10"/>
      <c r="GP485" s="10"/>
      <c r="GQ485" s="10"/>
      <c r="GR485" s="10"/>
      <c r="GS485" s="10"/>
      <c r="GT485" s="10"/>
      <c r="GU485" s="10"/>
      <c r="GV485" s="10"/>
      <c r="GW485" s="10"/>
      <c r="GX485" s="10"/>
      <c r="GY485" s="10"/>
      <c r="GZ485" s="10"/>
      <c r="HA485" s="10"/>
      <c r="HB485" s="10"/>
      <c r="HC485" s="10"/>
      <c r="HD485" s="10"/>
      <c r="HE485" s="10"/>
      <c r="HF485" s="10"/>
      <c r="HG485" s="10"/>
      <c r="HH485" s="10"/>
      <c r="HI485" s="10"/>
      <c r="HJ485" s="10"/>
      <c r="HK485" s="10"/>
      <c r="HL485" s="10"/>
      <c r="HM485" s="10"/>
      <c r="HN485" s="10"/>
      <c r="HO485" s="10"/>
      <c r="HP485" s="10"/>
      <c r="HQ485" s="10"/>
      <c r="HR485" s="10"/>
      <c r="HS485" s="10"/>
      <c r="HT485" s="10"/>
    </row>
    <row r="486" spans="2:228" ht="30.75" customHeight="1" x14ac:dyDescent="0.2">
      <c r="B486" s="912" t="s">
        <v>1034</v>
      </c>
      <c r="C486" s="910"/>
      <c r="D486" s="910"/>
      <c r="E486" s="910"/>
      <c r="F486" s="910"/>
      <c r="G486" s="910"/>
      <c r="H486" s="910"/>
      <c r="I486" s="910"/>
      <c r="J486" s="910"/>
      <c r="K486" s="910"/>
      <c r="L486" s="910"/>
      <c r="M486" s="910"/>
      <c r="N486" s="910"/>
      <c r="O486" s="910"/>
      <c r="P486" s="9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row>
    <row r="487" spans="2:228" x14ac:dyDescent="0.2">
      <c r="B487" s="1287"/>
      <c r="C487" s="1288"/>
      <c r="D487" s="1288"/>
      <c r="E487" s="1288"/>
      <c r="F487" s="1288"/>
      <c r="G487" s="1288"/>
      <c r="H487" s="1288"/>
      <c r="I487" s="1288"/>
      <c r="J487" s="1288"/>
      <c r="K487" s="1288"/>
      <c r="L487" s="1288"/>
      <c r="M487" s="1288"/>
      <c r="N487" s="1288"/>
      <c r="O487" s="1288"/>
      <c r="P487" s="1289"/>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c r="DG487" s="10"/>
      <c r="DH487" s="10"/>
      <c r="DI487" s="10"/>
      <c r="DJ487" s="10"/>
      <c r="DK487" s="10"/>
      <c r="DL487" s="10"/>
      <c r="DM487" s="10"/>
      <c r="DN487" s="10"/>
      <c r="DO487" s="10"/>
      <c r="DP487" s="10"/>
      <c r="DQ487" s="10"/>
      <c r="DR487" s="10"/>
      <c r="DS487" s="10"/>
      <c r="DT487" s="10"/>
      <c r="DU487" s="10"/>
      <c r="DV487" s="10"/>
      <c r="DW487" s="10"/>
      <c r="DX487" s="10"/>
      <c r="DY487" s="10"/>
      <c r="DZ487" s="10"/>
      <c r="EA487" s="10"/>
      <c r="EB487" s="10"/>
      <c r="EC487" s="10"/>
      <c r="ED487" s="10"/>
      <c r="EE487" s="10"/>
      <c r="EF487" s="10"/>
      <c r="EG487" s="10"/>
      <c r="EH487" s="10"/>
      <c r="EI487" s="10"/>
      <c r="EJ487" s="10"/>
      <c r="EK487" s="10"/>
      <c r="EL487" s="10"/>
    </row>
    <row r="488" spans="2:228" ht="16.5" customHeight="1" x14ac:dyDescent="0.2">
      <c r="B488" s="299" t="s">
        <v>1170</v>
      </c>
      <c r="C488" s="1303" t="str">
        <f>IF('Start here'!A8="","",'Start here'!A8)</f>
        <v/>
      </c>
      <c r="D488" s="1304"/>
      <c r="E488" s="1305"/>
      <c r="F488" s="1040" t="str">
        <f>IF(C488="","Enter date of injury on 'Start here' worksheet.","")</f>
        <v>Enter date of injury on 'Start here' worksheet.</v>
      </c>
      <c r="G488" s="1041"/>
      <c r="H488" s="1041"/>
      <c r="I488" s="1041"/>
      <c r="J488" s="1041"/>
      <c r="K488" s="1041"/>
      <c r="L488" s="1041"/>
      <c r="M488" s="1041"/>
      <c r="N488" s="1041"/>
      <c r="O488" s="1041"/>
      <c r="P488" s="1293"/>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c r="DF488" s="10"/>
      <c r="DG488" s="10"/>
      <c r="DH488" s="10"/>
      <c r="DI488" s="10"/>
      <c r="DJ488" s="10"/>
      <c r="DK488" s="10"/>
      <c r="DL488" s="10"/>
      <c r="DM488" s="10"/>
      <c r="DN488" s="10"/>
      <c r="DO488" s="10"/>
      <c r="DP488" s="10"/>
      <c r="DQ488" s="10"/>
      <c r="DR488" s="10"/>
      <c r="DS488" s="10"/>
      <c r="DT488" s="10"/>
      <c r="DU488" s="10"/>
      <c r="DV488" s="10"/>
      <c r="DW488" s="10"/>
      <c r="DX488" s="10"/>
      <c r="DY488" s="10"/>
      <c r="DZ488" s="10"/>
      <c r="EA488" s="10"/>
      <c r="EB488" s="10"/>
      <c r="EC488" s="10"/>
      <c r="ED488" s="10"/>
      <c r="EE488" s="10"/>
      <c r="EF488" s="10"/>
      <c r="EG488" s="10"/>
      <c r="EH488" s="10"/>
      <c r="EI488" s="10"/>
      <c r="EJ488" s="10"/>
      <c r="EK488" s="10"/>
      <c r="EL488" s="10"/>
    </row>
    <row r="489" spans="2:228" x14ac:dyDescent="0.2">
      <c r="B489" s="1301"/>
      <c r="C489" s="1196"/>
      <c r="D489" s="1196"/>
      <c r="E489" s="1196"/>
      <c r="F489" s="1196"/>
      <c r="G489" s="1196"/>
      <c r="H489" s="1196"/>
      <c r="I489" s="1196"/>
      <c r="J489" s="1196"/>
      <c r="K489" s="1196"/>
      <c r="L489" s="1196"/>
      <c r="M489" s="1196"/>
      <c r="N489" s="1196"/>
      <c r="O489" s="1196"/>
      <c r="P489" s="1302"/>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c r="DG489" s="10"/>
      <c r="DH489" s="10"/>
      <c r="DI489" s="10"/>
      <c r="DJ489" s="10"/>
      <c r="DK489" s="10"/>
      <c r="DL489" s="10"/>
      <c r="DM489" s="10"/>
      <c r="DN489" s="10"/>
      <c r="DO489" s="10"/>
      <c r="DP489" s="10"/>
      <c r="DQ489" s="10"/>
      <c r="DR489" s="10"/>
      <c r="DS489" s="10"/>
      <c r="DT489" s="10"/>
      <c r="DU489" s="10"/>
      <c r="DV489" s="10"/>
      <c r="DW489" s="10"/>
      <c r="DX489" s="10"/>
      <c r="DY489" s="10"/>
      <c r="DZ489" s="10"/>
      <c r="EA489" s="10"/>
      <c r="EB489" s="10"/>
      <c r="EC489" s="10"/>
      <c r="ED489" s="10"/>
      <c r="EE489" s="10"/>
      <c r="EF489" s="10"/>
      <c r="EG489" s="10"/>
      <c r="EH489" s="10"/>
      <c r="EI489" s="10"/>
      <c r="EJ489" s="10"/>
      <c r="EK489" s="10"/>
      <c r="EL489" s="10"/>
    </row>
    <row r="490" spans="2:228" ht="40.5" customHeight="1" x14ac:dyDescent="0.2">
      <c r="B490" s="1257" t="s">
        <v>105</v>
      </c>
      <c r="C490" s="1258"/>
      <c r="D490" s="1258"/>
      <c r="E490" s="1258"/>
      <c r="F490" s="1258"/>
      <c r="G490" s="1258"/>
      <c r="H490" s="1258"/>
      <c r="I490" s="1258"/>
      <c r="J490" s="1258"/>
      <c r="K490" s="1258"/>
      <c r="L490" s="1258"/>
      <c r="M490" s="1258"/>
      <c r="N490" s="1258"/>
      <c r="O490" s="1258"/>
      <c r="P490" s="1259"/>
      <c r="R490" s="50">
        <f>IF(OR(V365&gt;0,V469&gt;0),1,0)</f>
        <v>0</v>
      </c>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c r="DF490" s="10"/>
      <c r="DG490" s="10"/>
      <c r="DH490" s="10"/>
      <c r="DI490" s="10"/>
      <c r="DJ490" s="10"/>
      <c r="DK490" s="10"/>
      <c r="DL490" s="10"/>
      <c r="DM490" s="10"/>
      <c r="DN490" s="10"/>
      <c r="DO490" s="10"/>
      <c r="DP490" s="10"/>
      <c r="DQ490" s="10"/>
      <c r="DR490" s="10"/>
      <c r="DS490" s="10"/>
      <c r="DT490" s="10"/>
      <c r="DU490" s="10"/>
      <c r="DV490" s="10"/>
      <c r="DW490" s="10"/>
      <c r="DX490" s="10"/>
      <c r="DY490" s="10"/>
      <c r="DZ490" s="10"/>
      <c r="EA490" s="10"/>
      <c r="EB490" s="10"/>
      <c r="EC490" s="10"/>
      <c r="ED490" s="10"/>
      <c r="EE490" s="10"/>
      <c r="EF490" s="10"/>
      <c r="EG490" s="10"/>
      <c r="EH490" s="10"/>
      <c r="EI490" s="10"/>
      <c r="EJ490" s="10"/>
      <c r="EK490" s="10"/>
      <c r="EL490" s="10"/>
    </row>
    <row r="491" spans="2:228" ht="27" customHeight="1" x14ac:dyDescent="0.2">
      <c r="B491" s="289"/>
      <c r="C491" s="1161" t="s">
        <v>1759</v>
      </c>
      <c r="D491" s="1161"/>
      <c r="E491" s="36"/>
      <c r="F491" s="1295" t="s">
        <v>1333</v>
      </c>
      <c r="G491" s="1161"/>
      <c r="H491" s="1161" t="s">
        <v>355</v>
      </c>
      <c r="I491" s="1161"/>
      <c r="J491" s="1161"/>
      <c r="K491" s="36"/>
      <c r="L491" s="1295" t="s">
        <v>1334</v>
      </c>
      <c r="M491" s="1161"/>
      <c r="N491" s="36"/>
      <c r="O491" s="1161" t="s">
        <v>1173</v>
      </c>
      <c r="P491" s="1161"/>
      <c r="R491" s="527" t="s">
        <v>2147</v>
      </c>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c r="DG491" s="10"/>
      <c r="DH491" s="10"/>
      <c r="DI491" s="10"/>
      <c r="DJ491" s="10"/>
      <c r="DK491" s="10"/>
      <c r="DL491" s="10"/>
      <c r="DM491" s="10"/>
      <c r="DN491" s="10"/>
      <c r="DO491" s="10"/>
      <c r="DP491" s="10"/>
      <c r="DQ491" s="10"/>
      <c r="DR491" s="10"/>
      <c r="DS491" s="10"/>
      <c r="DT491" s="10"/>
      <c r="DU491" s="10"/>
      <c r="DV491" s="10"/>
      <c r="DW491" s="10"/>
      <c r="DX491" s="10"/>
      <c r="DY491" s="10"/>
      <c r="DZ491" s="10"/>
      <c r="EA491" s="10"/>
      <c r="EB491" s="10"/>
      <c r="EC491" s="10"/>
      <c r="ED491" s="10"/>
      <c r="EE491" s="10"/>
      <c r="EF491" s="10"/>
      <c r="EG491" s="10"/>
      <c r="EH491" s="10"/>
      <c r="EI491" s="10"/>
      <c r="EJ491" s="10"/>
      <c r="EK491" s="10"/>
      <c r="EL491" s="10"/>
    </row>
    <row r="492" spans="2:228" ht="18" customHeight="1" x14ac:dyDescent="0.2">
      <c r="B492" s="289" t="s">
        <v>1035</v>
      </c>
      <c r="C492" s="1142">
        <f>P33</f>
        <v>0</v>
      </c>
      <c r="D492" s="1162"/>
      <c r="E492" s="36" t="s">
        <v>1754</v>
      </c>
      <c r="F492" s="36">
        <v>18</v>
      </c>
      <c r="G492" s="36" t="s">
        <v>1756</v>
      </c>
      <c r="H492" s="1291">
        <f>C492*F492</f>
        <v>0</v>
      </c>
      <c r="I492" s="1291"/>
      <c r="J492" s="1291"/>
      <c r="K492" s="36" t="s">
        <v>1754</v>
      </c>
      <c r="L492" s="1292" t="e">
        <f>'Dol Per Deg'!$H$11</f>
        <v>#N/A</v>
      </c>
      <c r="M492" s="1162"/>
      <c r="N492" s="36" t="s">
        <v>1756</v>
      </c>
      <c r="O492" s="1286" t="str">
        <f>IF(C488&gt;=R1,"DOI&gt;2004",IF(C492=0,0,IF($R$490=1,"Converted",H492*L492)))</f>
        <v>DOI&gt;2004</v>
      </c>
      <c r="P492" s="1286"/>
      <c r="R492" s="365">
        <f t="shared" ref="R492:R497" si="103">IF(O492="Converted",0,C492)</f>
        <v>0</v>
      </c>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10"/>
      <c r="DN492" s="10"/>
      <c r="DO492" s="10"/>
      <c r="DP492" s="10"/>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row>
    <row r="493" spans="2:228" ht="18" customHeight="1" x14ac:dyDescent="0.2">
      <c r="B493" s="289" t="s">
        <v>1036</v>
      </c>
      <c r="C493" s="1142">
        <f>P72</f>
        <v>0</v>
      </c>
      <c r="D493" s="1162"/>
      <c r="E493" s="36" t="s">
        <v>1754</v>
      </c>
      <c r="F493" s="36">
        <v>4</v>
      </c>
      <c r="G493" s="36" t="s">
        <v>1756</v>
      </c>
      <c r="H493" s="1291">
        <f t="shared" ref="H493:H498" si="104">C493*F493</f>
        <v>0</v>
      </c>
      <c r="I493" s="1291"/>
      <c r="J493" s="1291"/>
      <c r="K493" s="36" t="s">
        <v>1754</v>
      </c>
      <c r="L493" s="1292" t="e">
        <f>'Dol Per Deg'!$H$11</f>
        <v>#N/A</v>
      </c>
      <c r="M493" s="1162"/>
      <c r="N493" s="36" t="s">
        <v>1756</v>
      </c>
      <c r="O493" s="1286" t="str">
        <f>IF(C488&gt;=R1,"DOI&gt;2004",IF(C493=0,0,IF($R$490=1,"Converted",H493*L493)))</f>
        <v>DOI&gt;2004</v>
      </c>
      <c r="P493" s="1286"/>
      <c r="R493" s="365">
        <f t="shared" si="103"/>
        <v>0</v>
      </c>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c r="DF493" s="10"/>
      <c r="DG493" s="10"/>
      <c r="DH493" s="10"/>
      <c r="DI493" s="10"/>
      <c r="DJ493" s="10"/>
      <c r="DK493" s="10"/>
      <c r="DL493" s="10"/>
      <c r="DM493" s="10"/>
      <c r="DN493" s="10"/>
      <c r="DO493" s="10"/>
      <c r="DP493" s="10"/>
      <c r="DQ493" s="10"/>
      <c r="DR493" s="10"/>
      <c r="DS493" s="10"/>
      <c r="DT493" s="10"/>
      <c r="DU493" s="10"/>
      <c r="DV493" s="10"/>
      <c r="DW493" s="10"/>
      <c r="DX493" s="10"/>
      <c r="DY493" s="10"/>
      <c r="DZ493" s="10"/>
      <c r="EA493" s="10"/>
      <c r="EB493" s="10"/>
      <c r="EC493" s="10"/>
      <c r="ED493" s="10"/>
      <c r="EE493" s="10"/>
      <c r="EF493" s="10"/>
      <c r="EG493" s="10"/>
      <c r="EH493" s="10"/>
      <c r="EI493" s="10"/>
      <c r="EJ493" s="10"/>
      <c r="EK493" s="10"/>
      <c r="EL493" s="10"/>
    </row>
    <row r="494" spans="2:228" ht="18" customHeight="1" x14ac:dyDescent="0.2">
      <c r="B494" s="289" t="s">
        <v>1037</v>
      </c>
      <c r="C494" s="1142">
        <f>P112</f>
        <v>0</v>
      </c>
      <c r="D494" s="1162"/>
      <c r="E494" s="36" t="s">
        <v>1754</v>
      </c>
      <c r="F494" s="36">
        <v>4</v>
      </c>
      <c r="G494" s="36" t="s">
        <v>1756</v>
      </c>
      <c r="H494" s="1291">
        <f t="shared" si="104"/>
        <v>0</v>
      </c>
      <c r="I494" s="1291"/>
      <c r="J494" s="1291"/>
      <c r="K494" s="36" t="s">
        <v>1754</v>
      </c>
      <c r="L494" s="1292" t="e">
        <f>'Dol Per Deg'!$H$11</f>
        <v>#N/A</v>
      </c>
      <c r="M494" s="1162"/>
      <c r="N494" s="36" t="s">
        <v>1756</v>
      </c>
      <c r="O494" s="1286" t="str">
        <f>IF(C488&gt;=R1,"DOI&gt;2004",IF(C494=0,0,IF($R$490=1,"Converted",H494*L494)))</f>
        <v>DOI&gt;2004</v>
      </c>
      <c r="P494" s="1286"/>
      <c r="R494" s="365">
        <f t="shared" si="103"/>
        <v>0</v>
      </c>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row>
    <row r="495" spans="2:228" ht="18" customHeight="1" x14ac:dyDescent="0.2">
      <c r="B495" s="289" t="s">
        <v>1038</v>
      </c>
      <c r="C495" s="1142">
        <f>P152</f>
        <v>0</v>
      </c>
      <c r="D495" s="1162"/>
      <c r="E495" s="36" t="s">
        <v>1754</v>
      </c>
      <c r="F495" s="36">
        <v>4</v>
      </c>
      <c r="G495" s="36" t="s">
        <v>1756</v>
      </c>
      <c r="H495" s="1291">
        <f t="shared" si="104"/>
        <v>0</v>
      </c>
      <c r="I495" s="1291"/>
      <c r="J495" s="1291"/>
      <c r="K495" s="36" t="s">
        <v>1754</v>
      </c>
      <c r="L495" s="1292" t="e">
        <f>'Dol Per Deg'!$H$11</f>
        <v>#N/A</v>
      </c>
      <c r="M495" s="1162"/>
      <c r="N495" s="36" t="s">
        <v>1756</v>
      </c>
      <c r="O495" s="1286" t="str">
        <f>IF(C488&gt;=R1,"DOI&gt;2004",IF(C495=0,0,IF($R$490=1,"Converted",H495*L495)))</f>
        <v>DOI&gt;2004</v>
      </c>
      <c r="P495" s="1286"/>
      <c r="R495" s="365">
        <f t="shared" si="103"/>
        <v>0</v>
      </c>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10"/>
      <c r="DN495" s="10"/>
      <c r="DO495" s="10"/>
      <c r="DP495" s="10"/>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row>
    <row r="496" spans="2:228" ht="18" customHeight="1" x14ac:dyDescent="0.2">
      <c r="B496" s="289" t="s">
        <v>1039</v>
      </c>
      <c r="C496" s="1142">
        <f>P192</f>
        <v>0</v>
      </c>
      <c r="D496" s="1162"/>
      <c r="E496" s="36" t="s">
        <v>1754</v>
      </c>
      <c r="F496" s="36">
        <v>4</v>
      </c>
      <c r="G496" s="36" t="s">
        <v>1756</v>
      </c>
      <c r="H496" s="1291">
        <f t="shared" si="104"/>
        <v>0</v>
      </c>
      <c r="I496" s="1291"/>
      <c r="J496" s="1291"/>
      <c r="K496" s="36" t="s">
        <v>1754</v>
      </c>
      <c r="L496" s="1292" t="e">
        <f>'Dol Per Deg'!$H$11</f>
        <v>#N/A</v>
      </c>
      <c r="M496" s="1162"/>
      <c r="N496" s="36" t="s">
        <v>1756</v>
      </c>
      <c r="O496" s="1286" t="str">
        <f>IF(C488&gt;=R1,"DOI&gt;2004",IF(C496=0,0,IF($R$490=1,"Converted",H496*L496)))</f>
        <v>DOI&gt;2004</v>
      </c>
      <c r="P496" s="1286"/>
      <c r="R496" s="365">
        <f t="shared" si="103"/>
        <v>0</v>
      </c>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c r="DF496" s="10"/>
      <c r="DG496" s="10"/>
      <c r="DH496" s="10"/>
      <c r="DI496" s="10"/>
      <c r="DJ496" s="10"/>
      <c r="DK496" s="10"/>
      <c r="DL496" s="10"/>
      <c r="DM496" s="10"/>
      <c r="DN496" s="10"/>
      <c r="DO496" s="10"/>
      <c r="DP496" s="10"/>
      <c r="DQ496" s="10"/>
      <c r="DR496" s="10"/>
      <c r="DS496" s="10"/>
      <c r="DT496" s="10"/>
      <c r="DU496" s="10"/>
      <c r="DV496" s="10"/>
      <c r="DW496" s="10"/>
      <c r="DX496" s="10"/>
      <c r="DY496" s="10"/>
      <c r="DZ496" s="10"/>
      <c r="EA496" s="10"/>
      <c r="EB496" s="10"/>
      <c r="EC496" s="10"/>
      <c r="ED496" s="10"/>
      <c r="EE496" s="10"/>
      <c r="EF496" s="10"/>
      <c r="EG496" s="10"/>
      <c r="EH496" s="10"/>
      <c r="EI496" s="10"/>
      <c r="EJ496" s="10"/>
      <c r="EK496" s="10"/>
      <c r="EL496" s="10"/>
    </row>
    <row r="497" spans="2:241" ht="18" customHeight="1" x14ac:dyDescent="0.2">
      <c r="B497" s="289" t="s">
        <v>1040</v>
      </c>
      <c r="C497" s="1142">
        <f>P340</f>
        <v>0</v>
      </c>
      <c r="D497" s="1162"/>
      <c r="E497" s="36" t="s">
        <v>1754</v>
      </c>
      <c r="F497" s="36">
        <v>135</v>
      </c>
      <c r="G497" s="36" t="s">
        <v>1756</v>
      </c>
      <c r="H497" s="1291">
        <f t="shared" si="104"/>
        <v>0</v>
      </c>
      <c r="I497" s="1291"/>
      <c r="J497" s="1291"/>
      <c r="K497" s="36" t="s">
        <v>1754</v>
      </c>
      <c r="L497" s="1292" t="e">
        <f>'Dol Per Deg'!$H$11</f>
        <v>#N/A</v>
      </c>
      <c r="M497" s="1162"/>
      <c r="N497" s="36" t="s">
        <v>1756</v>
      </c>
      <c r="O497" s="1286" t="str">
        <f>IF(C488&gt;=R1,"DOI&gt;2004",IF(C497=0,0,IF(AND(C497&gt;0,C498&gt;0),"Converted",H497*L497)))</f>
        <v>DOI&gt;2004</v>
      </c>
      <c r="P497" s="1286"/>
      <c r="R497" s="365">
        <f t="shared" si="103"/>
        <v>0</v>
      </c>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c r="DO497" s="10"/>
      <c r="DP497" s="10"/>
      <c r="DQ497" s="10"/>
      <c r="DR497" s="10"/>
      <c r="DS497" s="10"/>
      <c r="DT497" s="10"/>
      <c r="DU497" s="10"/>
      <c r="DV497" s="10"/>
      <c r="DW497" s="10"/>
      <c r="DX497" s="10"/>
      <c r="DY497" s="10"/>
      <c r="DZ497" s="10"/>
      <c r="EA497" s="10"/>
      <c r="EB497" s="10"/>
      <c r="EC497" s="10"/>
      <c r="ED497" s="10"/>
      <c r="EE497" s="10"/>
      <c r="EF497" s="10"/>
      <c r="EG497" s="10"/>
      <c r="EH497" s="10"/>
      <c r="EI497" s="10"/>
      <c r="EJ497" s="10"/>
      <c r="EK497" s="10"/>
      <c r="EL497" s="10"/>
    </row>
    <row r="498" spans="2:241" ht="18" customHeight="1" x14ac:dyDescent="0.2">
      <c r="B498" s="289" t="s">
        <v>1041</v>
      </c>
      <c r="C498" s="1142">
        <f>P447</f>
        <v>0</v>
      </c>
      <c r="D498" s="1162"/>
      <c r="E498" s="36" t="s">
        <v>1754</v>
      </c>
      <c r="F498" s="36">
        <v>150</v>
      </c>
      <c r="G498" s="36" t="s">
        <v>1756</v>
      </c>
      <c r="H498" s="1291">
        <f t="shared" si="104"/>
        <v>0</v>
      </c>
      <c r="I498" s="1291"/>
      <c r="J498" s="1291"/>
      <c r="K498" s="36" t="s">
        <v>1754</v>
      </c>
      <c r="L498" s="1292" t="e">
        <f>'Dol Per Deg'!$H$11</f>
        <v>#N/A</v>
      </c>
      <c r="M498" s="1162"/>
      <c r="N498" s="36" t="s">
        <v>1756</v>
      </c>
      <c r="O498" s="1292" t="str">
        <f>IF(C488&gt;=R1,"DOI&gt;2004",IF(C498=0,0,H498*L498))</f>
        <v>DOI&gt;2004</v>
      </c>
      <c r="P498" s="1162"/>
      <c r="R498" s="365">
        <f>C498</f>
        <v>0</v>
      </c>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c r="DO498" s="10"/>
      <c r="DP498" s="10"/>
      <c r="DQ498" s="10"/>
      <c r="DR498" s="10"/>
      <c r="DS498" s="10"/>
      <c r="DT498" s="10"/>
      <c r="DU498" s="10"/>
      <c r="DV498" s="10"/>
      <c r="DW498" s="10"/>
      <c r="DX498" s="10"/>
      <c r="DY498" s="10"/>
      <c r="DZ498" s="10"/>
      <c r="EA498" s="10"/>
      <c r="EB498" s="10"/>
      <c r="EC498" s="10"/>
      <c r="ED498" s="10"/>
      <c r="EE498" s="10"/>
      <c r="EF498" s="10"/>
      <c r="EG498" s="10"/>
      <c r="EH498" s="10"/>
      <c r="EI498" s="10"/>
      <c r="EJ498" s="10"/>
      <c r="EK498" s="10"/>
      <c r="EL498" s="10"/>
    </row>
    <row r="499" spans="2:241" ht="31.5" customHeight="1" x14ac:dyDescent="0.25">
      <c r="B499" s="1037" t="s">
        <v>931</v>
      </c>
      <c r="C499" s="1037"/>
      <c r="D499" s="1037"/>
      <c r="E499" s="1037"/>
      <c r="F499" s="1037"/>
      <c r="G499" s="1037"/>
      <c r="H499" s="1037"/>
      <c r="I499" s="1037"/>
      <c r="J499" s="1037"/>
      <c r="K499" s="1037"/>
      <c r="L499" s="1037"/>
      <c r="M499" s="1037"/>
      <c r="N499" s="1037"/>
      <c r="O499" s="1037"/>
      <c r="P499" s="1037"/>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c r="DO499" s="10"/>
      <c r="DP499" s="10"/>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c r="EM499" s="10"/>
      <c r="EN499" s="10"/>
      <c r="EO499" s="10"/>
      <c r="EP499" s="10"/>
      <c r="EQ499" s="10"/>
      <c r="ER499" s="10"/>
      <c r="ES499" s="10"/>
      <c r="ET499" s="10"/>
      <c r="EU499" s="10"/>
      <c r="EV499" s="10"/>
      <c r="EW499" s="10"/>
      <c r="EX499" s="10"/>
      <c r="EY499" s="10"/>
      <c r="EZ499" s="10"/>
      <c r="FA499" s="10"/>
      <c r="FB499" s="10"/>
      <c r="FC499" s="10"/>
      <c r="FD499" s="10"/>
      <c r="FE499" s="10"/>
      <c r="FF499" s="10"/>
      <c r="FG499" s="10"/>
      <c r="FH499" s="10"/>
      <c r="FI499" s="10"/>
      <c r="FJ499" s="10"/>
      <c r="FK499" s="10"/>
      <c r="FL499" s="10"/>
      <c r="FM499" s="10"/>
      <c r="FN499" s="10"/>
      <c r="FO499" s="10"/>
      <c r="FP499" s="10"/>
      <c r="FQ499" s="10"/>
      <c r="FR499" s="10"/>
      <c r="FS499" s="10"/>
      <c r="FT499" s="10"/>
      <c r="FU499" s="10"/>
      <c r="FV499" s="10"/>
      <c r="FW499" s="10"/>
      <c r="FX499" s="10"/>
      <c r="FY499" s="10"/>
      <c r="FZ499" s="10"/>
      <c r="GA499" s="10"/>
      <c r="GB499" s="10"/>
      <c r="GC499" s="10"/>
      <c r="GD499" s="10"/>
      <c r="GE499" s="10"/>
      <c r="GF499" s="10"/>
      <c r="GG499" s="10"/>
      <c r="GH499" s="10"/>
      <c r="GI499" s="10"/>
      <c r="GJ499" s="10"/>
      <c r="GK499" s="10"/>
      <c r="GL499" s="10"/>
      <c r="GM499" s="10"/>
      <c r="GN499" s="10"/>
      <c r="GO499" s="10"/>
      <c r="GP499" s="10"/>
      <c r="GQ499" s="10"/>
      <c r="GR499" s="10"/>
      <c r="GS499" s="10"/>
      <c r="GT499" s="10"/>
      <c r="GU499" s="10"/>
      <c r="GV499" s="10"/>
      <c r="GW499" s="10"/>
      <c r="GX499" s="10"/>
      <c r="GY499" s="10"/>
      <c r="GZ499" s="10"/>
      <c r="HA499" s="10"/>
      <c r="HB499" s="10"/>
      <c r="HC499" s="10"/>
      <c r="HD499" s="10"/>
      <c r="HE499" s="10"/>
      <c r="HF499" s="10"/>
      <c r="HG499" s="10"/>
      <c r="HH499" s="10"/>
      <c r="HI499" s="10"/>
      <c r="HJ499" s="10"/>
      <c r="HK499" s="10"/>
      <c r="HL499" s="10"/>
      <c r="HM499" s="10"/>
      <c r="HN499" s="10"/>
      <c r="HO499" s="10"/>
      <c r="HP499" s="10"/>
      <c r="HQ499" s="10"/>
      <c r="HR499" s="10"/>
      <c r="HS499" s="10"/>
      <c r="HT499" s="10"/>
    </row>
    <row r="500" spans="2:241" x14ac:dyDescent="0.2">
      <c r="B500" s="243" t="s">
        <v>775</v>
      </c>
      <c r="C500" s="1294" t="str">
        <f>IF(S1&lt;&gt;"",S1,"")</f>
        <v>Go to PPD Worksheet</v>
      </c>
      <c r="D500" s="1294"/>
      <c r="E500" s="1294"/>
      <c r="F500" s="1294"/>
      <c r="G500" s="1294"/>
      <c r="H500" s="1294" t="str">
        <f>IF(S2&lt;&gt;"",S2,"")</f>
        <v/>
      </c>
      <c r="I500" s="1294"/>
      <c r="J500" s="1294"/>
      <c r="K500" s="1294"/>
      <c r="L500" s="1294"/>
      <c r="M500" s="1294"/>
      <c r="N500" s="167"/>
      <c r="O500" s="167"/>
      <c r="P500" s="172"/>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c r="DO500" s="10"/>
      <c r="DP500" s="10"/>
      <c r="DQ500" s="10"/>
      <c r="DR500" s="10"/>
      <c r="DS500" s="10"/>
      <c r="DT500" s="10"/>
      <c r="DU500" s="10"/>
      <c r="DV500" s="10"/>
      <c r="DW500" s="10"/>
      <c r="DX500" s="10"/>
      <c r="DY500" s="10"/>
      <c r="DZ500" s="10"/>
      <c r="EA500" s="10"/>
      <c r="EB500" s="10"/>
      <c r="EC500" s="10"/>
      <c r="ED500" s="10"/>
      <c r="EE500" s="10"/>
      <c r="EF500" s="10"/>
      <c r="EG500" s="10"/>
      <c r="EH500" s="10"/>
      <c r="EI500" s="10"/>
      <c r="EJ500" s="10"/>
      <c r="EK500" s="10"/>
      <c r="EL500" s="10"/>
    </row>
    <row r="501" spans="2:241" hidden="1" x14ac:dyDescent="0.2">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c r="DO501" s="10"/>
      <c r="DP501" s="10"/>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c r="EM501" s="10"/>
      <c r="EN501" s="10"/>
      <c r="EO501" s="10"/>
      <c r="EP501" s="10"/>
      <c r="EQ501" s="10"/>
      <c r="ER501" s="10"/>
      <c r="ES501" s="10"/>
      <c r="ET501" s="10"/>
      <c r="EU501" s="10"/>
      <c r="EV501" s="10"/>
      <c r="EW501" s="10"/>
      <c r="EX501" s="10"/>
      <c r="EY501" s="10"/>
      <c r="EZ501" s="10"/>
      <c r="FA501" s="10"/>
      <c r="FB501" s="10"/>
      <c r="FC501" s="10"/>
      <c r="FD501" s="10"/>
      <c r="FE501" s="10"/>
      <c r="FF501" s="10"/>
      <c r="FG501" s="10"/>
      <c r="FH501" s="10"/>
      <c r="FI501" s="10"/>
      <c r="FJ501" s="10"/>
      <c r="FK501" s="10"/>
      <c r="FL501" s="10"/>
      <c r="FM501" s="10"/>
      <c r="FN501" s="10"/>
      <c r="FO501" s="10"/>
      <c r="FP501" s="10"/>
      <c r="FQ501" s="10"/>
      <c r="FR501" s="10"/>
      <c r="FS501" s="10"/>
      <c r="FT501" s="10"/>
      <c r="FU501" s="10"/>
      <c r="FV501" s="10"/>
      <c r="FW501" s="10"/>
      <c r="FX501" s="10"/>
      <c r="FY501" s="10"/>
      <c r="FZ501" s="10"/>
      <c r="GA501" s="10"/>
      <c r="GB501" s="10"/>
      <c r="GC501" s="10"/>
      <c r="GD501" s="10"/>
      <c r="GE501" s="10"/>
      <c r="GF501" s="10"/>
      <c r="GG501" s="10"/>
      <c r="GH501" s="10"/>
      <c r="GI501" s="10"/>
      <c r="GJ501" s="10"/>
      <c r="GK501" s="10"/>
      <c r="GL501" s="10"/>
      <c r="GM501" s="10"/>
      <c r="GN501" s="10"/>
      <c r="GO501" s="10"/>
      <c r="GP501" s="10"/>
      <c r="GQ501" s="10"/>
      <c r="GR501" s="10"/>
      <c r="GS501" s="10"/>
      <c r="GT501" s="10"/>
      <c r="GU501" s="10"/>
      <c r="GV501" s="10"/>
      <c r="GW501" s="10"/>
      <c r="GX501" s="10"/>
      <c r="GY501" s="10"/>
      <c r="GZ501" s="10"/>
      <c r="HA501" s="10"/>
      <c r="HB501" s="10"/>
      <c r="HC501" s="10"/>
      <c r="HD501" s="10"/>
      <c r="HE501" s="10"/>
      <c r="HF501" s="10"/>
      <c r="HG501" s="10"/>
      <c r="HH501" s="10"/>
      <c r="HI501" s="10"/>
      <c r="HJ501" s="10"/>
      <c r="HK501" s="10"/>
      <c r="HL501" s="10"/>
      <c r="HM501" s="10"/>
      <c r="HN501" s="10"/>
      <c r="HO501" s="10"/>
      <c r="HP501" s="10"/>
      <c r="HQ501" s="10"/>
      <c r="HR501" s="10"/>
      <c r="HS501" s="10"/>
      <c r="HT501" s="10"/>
    </row>
    <row r="502" spans="2:241" hidden="1" x14ac:dyDescent="0.2">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c r="EM502" s="10"/>
      <c r="EN502" s="10"/>
      <c r="EO502" s="10"/>
      <c r="EP502" s="10"/>
      <c r="EQ502" s="10"/>
      <c r="ER502" s="10"/>
      <c r="ES502" s="10"/>
      <c r="ET502" s="10"/>
      <c r="EU502" s="10"/>
      <c r="EV502" s="10"/>
      <c r="EW502" s="10"/>
      <c r="EX502" s="10"/>
      <c r="EY502" s="10"/>
      <c r="EZ502" s="10"/>
      <c r="FA502" s="10"/>
      <c r="FB502" s="10"/>
      <c r="FC502" s="10"/>
      <c r="FD502" s="10"/>
      <c r="FE502" s="10"/>
      <c r="FF502" s="10"/>
      <c r="FG502" s="10"/>
      <c r="FH502" s="10"/>
      <c r="FI502" s="10"/>
      <c r="FJ502" s="10"/>
      <c r="FK502" s="10"/>
      <c r="FL502" s="10"/>
      <c r="FM502" s="10"/>
      <c r="FN502" s="10"/>
      <c r="FO502" s="10"/>
      <c r="FP502" s="10"/>
      <c r="FQ502" s="10"/>
      <c r="FR502" s="10"/>
      <c r="FS502" s="10"/>
      <c r="FT502" s="10"/>
      <c r="FU502" s="10"/>
      <c r="FV502" s="10"/>
      <c r="FW502" s="10"/>
      <c r="FX502" s="10"/>
      <c r="FY502" s="10"/>
      <c r="FZ502" s="10"/>
      <c r="GA502" s="10"/>
      <c r="GB502" s="10"/>
      <c r="GC502" s="10"/>
      <c r="GD502" s="10"/>
      <c r="GE502" s="10"/>
      <c r="GF502" s="10"/>
      <c r="GG502" s="10"/>
      <c r="GH502" s="10"/>
      <c r="GI502" s="10"/>
      <c r="GJ502" s="10"/>
      <c r="GK502" s="10"/>
      <c r="GL502" s="10"/>
      <c r="GM502" s="10"/>
      <c r="GN502" s="10"/>
      <c r="GO502" s="10"/>
      <c r="GP502" s="10"/>
      <c r="GQ502" s="10"/>
      <c r="GR502" s="10"/>
      <c r="GS502" s="10"/>
      <c r="GT502" s="10"/>
      <c r="GU502" s="10"/>
      <c r="GV502" s="10"/>
      <c r="GW502" s="10"/>
      <c r="GX502" s="10"/>
      <c r="GY502" s="10"/>
      <c r="GZ502" s="10"/>
      <c r="HA502" s="10"/>
      <c r="HB502" s="10"/>
      <c r="HC502" s="10"/>
      <c r="HD502" s="10"/>
      <c r="HE502" s="10"/>
      <c r="HF502" s="10"/>
      <c r="HG502" s="10"/>
      <c r="HH502" s="10"/>
      <c r="HI502" s="10"/>
      <c r="HJ502" s="10"/>
      <c r="HK502" s="10"/>
      <c r="HL502" s="10"/>
      <c r="HM502" s="10"/>
      <c r="HN502" s="10"/>
      <c r="HO502" s="10"/>
      <c r="HP502" s="10"/>
      <c r="HQ502" s="10"/>
      <c r="HR502" s="10"/>
      <c r="HS502" s="10"/>
      <c r="HT502" s="10"/>
    </row>
    <row r="503" spans="2:241" hidden="1" x14ac:dyDescent="0.2">
      <c r="B503" s="1143" t="s">
        <v>2190</v>
      </c>
      <c r="C503" s="1143"/>
      <c r="D503" s="1143"/>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c r="DO503" s="10"/>
      <c r="DP503" s="10"/>
      <c r="DQ503" s="10"/>
      <c r="DR503" s="10"/>
      <c r="DS503" s="10"/>
      <c r="DT503" s="10"/>
      <c r="DU503" s="10"/>
      <c r="DV503" s="10"/>
      <c r="DW503" s="10"/>
      <c r="DX503" s="10"/>
      <c r="DY503" s="10"/>
      <c r="DZ503" s="10"/>
      <c r="EA503" s="10"/>
      <c r="EB503" s="10"/>
      <c r="EC503" s="10"/>
      <c r="ED503" s="10"/>
      <c r="EE503" s="10"/>
      <c r="EF503" s="10"/>
      <c r="EG503" s="10"/>
      <c r="EH503" s="10"/>
      <c r="EI503" s="10"/>
      <c r="EJ503" s="10"/>
      <c r="EK503" s="10"/>
      <c r="EL503" s="10"/>
      <c r="EM503" s="10"/>
      <c r="EN503" s="10"/>
      <c r="EO503" s="10"/>
      <c r="EP503" s="10"/>
      <c r="EQ503" s="10"/>
      <c r="ER503" s="10"/>
      <c r="ES503" s="10"/>
      <c r="ET503" s="10"/>
      <c r="EU503" s="10"/>
      <c r="EV503" s="10"/>
      <c r="EW503" s="10"/>
      <c r="EX503" s="10"/>
      <c r="EY503" s="10"/>
      <c r="EZ503" s="10"/>
      <c r="FA503" s="10"/>
      <c r="FB503" s="10"/>
      <c r="FC503" s="10"/>
      <c r="FD503" s="10"/>
      <c r="FE503" s="10"/>
      <c r="FF503" s="10"/>
      <c r="FG503" s="10"/>
      <c r="FH503" s="10"/>
      <c r="FI503" s="10"/>
      <c r="FJ503" s="10"/>
      <c r="FK503" s="10"/>
      <c r="FL503" s="10"/>
      <c r="FM503" s="10"/>
      <c r="FN503" s="10"/>
      <c r="FO503" s="10"/>
      <c r="FP503" s="10"/>
      <c r="FQ503" s="10"/>
      <c r="FR503" s="10"/>
      <c r="FS503" s="10"/>
      <c r="FT503" s="10"/>
      <c r="FU503" s="10"/>
      <c r="FV503" s="10"/>
      <c r="FW503" s="10"/>
      <c r="FX503" s="10"/>
      <c r="FY503" s="10"/>
      <c r="FZ503" s="10"/>
      <c r="GA503" s="10"/>
      <c r="GB503" s="10"/>
      <c r="GC503" s="10"/>
      <c r="GD503" s="10"/>
      <c r="GE503" s="10"/>
      <c r="GF503" s="10"/>
      <c r="GG503" s="10"/>
      <c r="GH503" s="10"/>
      <c r="GI503" s="10"/>
      <c r="GJ503" s="10"/>
      <c r="GK503" s="10"/>
      <c r="GL503" s="10"/>
      <c r="GM503" s="10"/>
      <c r="GN503" s="10"/>
      <c r="GO503" s="10"/>
      <c r="GP503" s="10"/>
      <c r="GQ503" s="10"/>
      <c r="GR503" s="10"/>
      <c r="GS503" s="10"/>
      <c r="GT503" s="10"/>
      <c r="GU503" s="10"/>
      <c r="GV503" s="10"/>
      <c r="GW503" s="10"/>
      <c r="GX503" s="10"/>
      <c r="GY503" s="10"/>
      <c r="GZ503" s="10"/>
      <c r="HA503" s="10"/>
      <c r="HB503" s="10"/>
      <c r="HC503" s="10"/>
      <c r="HD503" s="10"/>
      <c r="HE503" s="10"/>
      <c r="HF503" s="10"/>
      <c r="HG503" s="10"/>
      <c r="HH503" s="10"/>
      <c r="HI503" s="10"/>
      <c r="HJ503" s="10"/>
      <c r="HK503" s="10"/>
      <c r="HL503" s="10"/>
      <c r="HM503" s="10"/>
      <c r="HN503" s="10"/>
      <c r="HO503" s="10"/>
      <c r="HP503" s="10"/>
      <c r="HQ503" s="10"/>
      <c r="HR503" s="10"/>
      <c r="HS503" s="10"/>
      <c r="HT503" s="10"/>
    </row>
    <row r="504" spans="2:241" hidden="1" x14ac:dyDescent="0.2">
      <c r="B504" s="1143"/>
      <c r="C504" s="1143"/>
      <c r="D504" s="1143"/>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c r="EM504" s="10"/>
      <c r="EN504" s="10"/>
      <c r="EO504" s="10"/>
      <c r="EP504" s="10"/>
      <c r="EQ504" s="10"/>
      <c r="ER504" s="10"/>
      <c r="ES504" s="10"/>
      <c r="ET504" s="10"/>
      <c r="EU504" s="10"/>
      <c r="EV504" s="10"/>
      <c r="EW504" s="10"/>
      <c r="EX504" s="10"/>
      <c r="EY504" s="10"/>
      <c r="EZ504" s="10"/>
      <c r="FA504" s="10"/>
      <c r="FB504" s="10"/>
      <c r="FC504" s="10"/>
      <c r="FD504" s="10"/>
      <c r="FE504" s="10"/>
      <c r="FF504" s="10"/>
      <c r="FG504" s="10"/>
      <c r="FH504" s="10"/>
      <c r="FI504" s="10"/>
      <c r="FJ504" s="10"/>
      <c r="FK504" s="10"/>
      <c r="FL504" s="10"/>
      <c r="FM504" s="10"/>
      <c r="FN504" s="10"/>
      <c r="FO504" s="10"/>
      <c r="FP504" s="10"/>
      <c r="FQ504" s="10"/>
      <c r="FR504" s="10"/>
      <c r="FS504" s="10"/>
      <c r="FT504" s="10"/>
      <c r="FU504" s="10"/>
      <c r="FV504" s="10"/>
      <c r="FW504" s="10"/>
      <c r="FX504" s="10"/>
      <c r="FY504" s="10"/>
      <c r="FZ504" s="10"/>
      <c r="GA504" s="10"/>
      <c r="GB504" s="10"/>
      <c r="GC504" s="10"/>
      <c r="GD504" s="10"/>
      <c r="GE504" s="10"/>
      <c r="GF504" s="10"/>
      <c r="GG504" s="10"/>
      <c r="GH504" s="10"/>
      <c r="GI504" s="10"/>
      <c r="GJ504" s="10"/>
      <c r="GK504" s="10"/>
      <c r="GL504" s="10"/>
      <c r="GM504" s="10"/>
      <c r="GN504" s="10"/>
      <c r="GO504" s="10"/>
      <c r="GP504" s="10"/>
      <c r="GQ504" s="10"/>
      <c r="GR504" s="10"/>
      <c r="GS504" s="10"/>
      <c r="GT504" s="10"/>
      <c r="GU504" s="10"/>
      <c r="GV504" s="10"/>
      <c r="GW504" s="10"/>
      <c r="GX504" s="10"/>
      <c r="GY504" s="10"/>
      <c r="GZ504" s="10"/>
      <c r="HA504" s="10"/>
      <c r="HB504" s="10"/>
      <c r="HC504" s="10"/>
      <c r="HD504" s="10"/>
      <c r="HE504" s="10"/>
      <c r="HF504" s="10"/>
      <c r="HG504" s="10"/>
      <c r="HH504" s="10"/>
      <c r="HI504" s="10"/>
      <c r="HJ504" s="10"/>
      <c r="HK504" s="10"/>
      <c r="HL504" s="10"/>
      <c r="HM504" s="10"/>
      <c r="HN504" s="10"/>
      <c r="HO504" s="10"/>
      <c r="HP504" s="10"/>
      <c r="HQ504" s="10"/>
      <c r="HR504" s="10"/>
      <c r="HS504" s="10"/>
      <c r="HT504" s="10"/>
    </row>
    <row r="505" spans="2:241" hidden="1" x14ac:dyDescent="0.2">
      <c r="B505" s="1143"/>
      <c r="C505" s="1143"/>
      <c r="D505" s="1143"/>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c r="EM505" s="10"/>
      <c r="EN505" s="10"/>
      <c r="EO505" s="10"/>
      <c r="EP505" s="10"/>
      <c r="EQ505" s="10"/>
      <c r="ER505" s="10"/>
      <c r="ES505" s="10"/>
      <c r="ET505" s="10"/>
      <c r="EU505" s="10"/>
      <c r="EV505" s="10"/>
      <c r="EW505" s="10"/>
      <c r="EX505" s="10"/>
      <c r="EY505" s="10"/>
      <c r="EZ505" s="10"/>
      <c r="FA505" s="10"/>
      <c r="FB505" s="10"/>
      <c r="FC505" s="10"/>
      <c r="FD505" s="10"/>
      <c r="FE505" s="10"/>
      <c r="FF505" s="10"/>
      <c r="FG505" s="10"/>
      <c r="FH505" s="10"/>
      <c r="FI505" s="10"/>
      <c r="FJ505" s="10"/>
      <c r="FK505" s="10"/>
      <c r="FL505" s="10"/>
      <c r="FM505" s="10"/>
      <c r="FN505" s="10"/>
      <c r="FO505" s="10"/>
      <c r="FP505" s="10"/>
      <c r="FQ505" s="10"/>
      <c r="FR505" s="10"/>
      <c r="FS505" s="10"/>
      <c r="FT505" s="10"/>
      <c r="FU505" s="10"/>
      <c r="FV505" s="10"/>
      <c r="FW505" s="10"/>
      <c r="FX505" s="10"/>
      <c r="FY505" s="10"/>
      <c r="FZ505" s="10"/>
      <c r="GA505" s="10"/>
      <c r="GB505" s="10"/>
      <c r="GC505" s="10"/>
      <c r="GD505" s="10"/>
      <c r="GE505" s="10"/>
      <c r="GF505" s="10"/>
      <c r="GG505" s="10"/>
      <c r="GH505" s="10"/>
      <c r="GI505" s="10"/>
      <c r="GJ505" s="10"/>
      <c r="GK505" s="10"/>
      <c r="GL505" s="10"/>
      <c r="GM505" s="10"/>
      <c r="GN505" s="10"/>
      <c r="GO505" s="10"/>
      <c r="GP505" s="10"/>
      <c r="GQ505" s="10"/>
      <c r="GR505" s="10"/>
      <c r="GS505" s="10"/>
      <c r="GT505" s="10"/>
      <c r="GU505" s="10"/>
      <c r="GV505" s="10"/>
      <c r="GW505" s="10"/>
      <c r="GX505" s="10"/>
      <c r="GY505" s="10"/>
      <c r="GZ505" s="10"/>
      <c r="HA505" s="10"/>
      <c r="HB505" s="10"/>
      <c r="HC505" s="10"/>
      <c r="HD505" s="10"/>
      <c r="HE505" s="10"/>
      <c r="HF505" s="10"/>
      <c r="HG505" s="10"/>
      <c r="HH505" s="10"/>
      <c r="HI505" s="10"/>
      <c r="HJ505" s="10"/>
      <c r="HK505" s="10"/>
      <c r="HL505" s="10"/>
      <c r="HM505" s="10"/>
      <c r="HN505" s="10"/>
      <c r="HO505" s="10"/>
      <c r="HP505" s="10"/>
      <c r="HQ505" s="10"/>
      <c r="HR505" s="10"/>
      <c r="HS505" s="10"/>
      <c r="HT505" s="10"/>
    </row>
    <row r="506" spans="2:241" hidden="1" x14ac:dyDescent="0.2">
      <c r="B506" s="160">
        <v>0.01</v>
      </c>
      <c r="C506" s="1024">
        <v>0.99</v>
      </c>
      <c r="D506" s="1024"/>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c r="DO506" s="10"/>
      <c r="DP506" s="10"/>
      <c r="DQ506" s="10"/>
      <c r="DR506" s="10"/>
      <c r="DS506" s="10"/>
      <c r="DT506" s="10"/>
      <c r="DU506" s="10"/>
      <c r="DV506" s="10"/>
      <c r="DW506" s="10"/>
      <c r="DX506" s="10"/>
      <c r="DY506" s="10"/>
      <c r="DZ506" s="10"/>
      <c r="EA506" s="10"/>
      <c r="EB506" s="10"/>
      <c r="EC506" s="10"/>
      <c r="ED506" s="10"/>
      <c r="EE506" s="10"/>
      <c r="EF506" s="10"/>
      <c r="EG506" s="10"/>
      <c r="EH506" s="10"/>
      <c r="EI506" s="10"/>
      <c r="EJ506" s="10"/>
      <c r="EK506" s="10"/>
      <c r="EL506" s="10"/>
      <c r="EM506" s="10"/>
      <c r="EN506" s="10"/>
      <c r="EO506" s="10"/>
      <c r="EP506" s="10"/>
      <c r="EQ506" s="10"/>
      <c r="ER506" s="10"/>
      <c r="ES506" s="10"/>
      <c r="ET506" s="10"/>
      <c r="EU506" s="10"/>
      <c r="EV506" s="10"/>
      <c r="EW506" s="10"/>
      <c r="EX506" s="10"/>
      <c r="EY506" s="10"/>
      <c r="EZ506" s="10"/>
      <c r="FA506" s="10"/>
      <c r="FB506" s="10"/>
      <c r="FC506" s="10"/>
      <c r="FD506" s="10"/>
      <c r="FE506" s="10"/>
      <c r="FF506" s="10"/>
      <c r="FG506" s="10"/>
      <c r="FH506" s="10"/>
      <c r="FI506" s="10"/>
      <c r="FJ506" s="10"/>
      <c r="FK506" s="10"/>
      <c r="FL506" s="10"/>
      <c r="FM506" s="10"/>
      <c r="FN506" s="10"/>
      <c r="FO506" s="10"/>
      <c r="FP506" s="10"/>
      <c r="FQ506" s="10"/>
      <c r="FR506" s="10"/>
      <c r="FS506" s="10"/>
      <c r="FT506" s="10"/>
      <c r="FU506" s="10"/>
      <c r="FV506" s="10"/>
      <c r="FW506" s="10"/>
      <c r="FX506" s="10"/>
      <c r="FY506" s="10"/>
      <c r="FZ506" s="10"/>
      <c r="GA506" s="10"/>
      <c r="GB506" s="10"/>
      <c r="GC506" s="10"/>
      <c r="GD506" s="10"/>
      <c r="GE506" s="10"/>
      <c r="GF506" s="10"/>
      <c r="GG506" s="10"/>
      <c r="GH506" s="10"/>
      <c r="GI506" s="10"/>
      <c r="GJ506" s="10"/>
      <c r="GK506" s="10"/>
      <c r="GL506" s="10"/>
      <c r="GM506" s="10"/>
      <c r="GN506" s="10"/>
      <c r="GO506" s="10"/>
      <c r="GP506" s="10"/>
      <c r="GQ506" s="10"/>
      <c r="GR506" s="10"/>
      <c r="GS506" s="10"/>
      <c r="GT506" s="10"/>
      <c r="GU506" s="10"/>
      <c r="GV506" s="10"/>
      <c r="GW506" s="10"/>
      <c r="GX506" s="10"/>
      <c r="GY506" s="10"/>
      <c r="GZ506" s="10"/>
      <c r="HA506" s="10"/>
      <c r="HB506" s="10"/>
      <c r="HC506" s="10"/>
      <c r="HD506" s="10"/>
      <c r="HE506" s="10"/>
      <c r="HF506" s="10"/>
      <c r="HG506" s="10"/>
      <c r="HH506" s="10"/>
      <c r="HI506" s="10"/>
      <c r="HJ506" s="10"/>
      <c r="HK506" s="10"/>
      <c r="HL506" s="10"/>
      <c r="HM506" s="10"/>
      <c r="HN506" s="10"/>
      <c r="HO506" s="10"/>
      <c r="HP506" s="10"/>
      <c r="HQ506" s="10"/>
      <c r="HR506" s="10"/>
      <c r="HS506" s="10"/>
      <c r="HT506" s="10"/>
    </row>
    <row r="507" spans="2:241" s="171" customFormat="1" hidden="1" x14ac:dyDescent="0.2">
      <c r="C507" s="9"/>
      <c r="D507" s="373"/>
      <c r="F507" s="9"/>
      <c r="G507" s="373"/>
      <c r="I507" s="9"/>
      <c r="J507" s="373"/>
      <c r="L507" s="9"/>
      <c r="M507" s="373"/>
      <c r="O507" s="9"/>
      <c r="P507" s="373"/>
      <c r="R507" s="61"/>
      <c r="S507" s="62"/>
      <c r="T507" s="61"/>
      <c r="U507" s="61"/>
      <c r="V507" s="62"/>
      <c r="W507" s="61"/>
      <c r="X507" s="61"/>
      <c r="Y507" s="62"/>
      <c r="Z507" s="61"/>
      <c r="AA507" s="61"/>
      <c r="AB507" s="62"/>
      <c r="AC507" s="61"/>
      <c r="AD507" s="61"/>
      <c r="AE507" s="62"/>
      <c r="AF507" s="61"/>
      <c r="AG507" s="61"/>
      <c r="AH507" s="62"/>
      <c r="AI507" s="61"/>
      <c r="AJ507" s="61"/>
      <c r="AK507" s="62"/>
      <c r="AL507" s="61"/>
      <c r="AM507" s="61"/>
      <c r="AN507" s="62"/>
      <c r="AO507" s="61"/>
      <c r="AP507" s="61"/>
      <c r="AQ507" s="62"/>
      <c r="AR507" s="61"/>
      <c r="AS507" s="61"/>
      <c r="AT507" s="62"/>
      <c r="AU507" s="61"/>
      <c r="AV507" s="61"/>
      <c r="AW507" s="62"/>
      <c r="AX507" s="61"/>
      <c r="AY507" s="61"/>
      <c r="AZ507" s="62"/>
      <c r="BA507" s="61"/>
      <c r="BB507" s="61"/>
      <c r="BC507" s="87"/>
      <c r="BD507" s="61"/>
      <c r="BE507" s="61"/>
      <c r="BF507" s="87"/>
      <c r="BG507" s="61"/>
      <c r="BH507" s="61"/>
      <c r="BI507" s="87"/>
      <c r="BJ507" s="61"/>
      <c r="BK507" s="61"/>
      <c r="BL507" s="87"/>
      <c r="BM507" s="61"/>
      <c r="BN507" s="61"/>
      <c r="BO507" s="87"/>
      <c r="BP507" s="61"/>
      <c r="BQ507" s="61"/>
      <c r="BR507" s="87"/>
      <c r="BS507" s="61"/>
      <c r="BT507" s="61"/>
      <c r="BU507" s="87"/>
      <c r="BV507" s="61"/>
      <c r="BW507" s="61"/>
      <c r="BX507" s="87"/>
      <c r="BY507" s="61"/>
      <c r="BZ507" s="61"/>
      <c r="CA507" s="87"/>
      <c r="CB507" s="61"/>
      <c r="CC507" s="61"/>
      <c r="CD507" s="87"/>
      <c r="CE507" s="61"/>
      <c r="CF507" s="61"/>
      <c r="CG507" s="87"/>
      <c r="CH507" s="61"/>
      <c r="CI507" s="61"/>
      <c r="CJ507" s="87"/>
      <c r="CK507" s="61"/>
      <c r="CL507" s="61"/>
      <c r="CM507" s="87"/>
      <c r="CN507" s="61"/>
      <c r="CO507" s="61"/>
      <c r="CP507" s="87"/>
      <c r="CQ507" s="61"/>
      <c r="CR507" s="61"/>
      <c r="CS507" s="87"/>
      <c r="CT507" s="61"/>
      <c r="CU507" s="61"/>
      <c r="CV507" s="87"/>
      <c r="CW507" s="61"/>
      <c r="CX507" s="61"/>
      <c r="CY507" s="87"/>
      <c r="CZ507" s="61"/>
      <c r="DA507" s="61"/>
      <c r="DB507" s="87"/>
      <c r="DC507" s="61"/>
      <c r="DD507" s="61"/>
      <c r="DE507" s="87"/>
      <c r="DF507" s="61"/>
      <c r="DG507" s="61"/>
      <c r="DH507" s="87"/>
      <c r="DI507" s="61"/>
      <c r="DJ507" s="61"/>
      <c r="DK507" s="87"/>
      <c r="DL507" s="61"/>
      <c r="DM507" s="61"/>
      <c r="DN507" s="87"/>
      <c r="DO507" s="61"/>
      <c r="DP507" s="61"/>
      <c r="DQ507" s="87"/>
      <c r="DR507" s="61"/>
      <c r="DS507" s="61"/>
      <c r="DT507" s="87"/>
      <c r="DU507" s="61"/>
      <c r="DV507" s="61"/>
      <c r="DW507" s="87"/>
      <c r="DX507" s="61"/>
      <c r="DY507" s="61"/>
      <c r="DZ507" s="87"/>
      <c r="EA507" s="61"/>
      <c r="EB507" s="61"/>
      <c r="EC507" s="87"/>
      <c r="ED507" s="61"/>
      <c r="EE507" s="61"/>
      <c r="EF507" s="87"/>
      <c r="EG507" s="61"/>
      <c r="EH507" s="61"/>
      <c r="EI507" s="87"/>
      <c r="EJ507" s="61"/>
      <c r="EK507" s="61"/>
      <c r="EL507" s="87"/>
      <c r="EN507" s="9"/>
      <c r="EO507" s="373"/>
      <c r="EQ507" s="9"/>
      <c r="ER507" s="373"/>
      <c r="ET507" s="9"/>
      <c r="EU507" s="373"/>
      <c r="EW507" s="9"/>
      <c r="EX507" s="373"/>
      <c r="EZ507" s="9"/>
      <c r="FA507" s="373"/>
      <c r="FC507" s="9"/>
      <c r="FD507" s="373"/>
      <c r="FF507" s="9"/>
      <c r="FG507" s="373"/>
      <c r="FI507" s="9"/>
      <c r="FJ507" s="373"/>
      <c r="FL507" s="9"/>
      <c r="FM507" s="373"/>
      <c r="FO507" s="9"/>
      <c r="FP507" s="373"/>
      <c r="FR507" s="9"/>
      <c r="FS507" s="373"/>
      <c r="FU507" s="9"/>
      <c r="FV507" s="373"/>
      <c r="FX507" s="9"/>
      <c r="FY507" s="373"/>
      <c r="GA507" s="9"/>
      <c r="GB507" s="373"/>
      <c r="GD507" s="9"/>
      <c r="GE507" s="373"/>
      <c r="GG507" s="9"/>
      <c r="GH507" s="373"/>
      <c r="GJ507" s="9"/>
      <c r="GK507" s="373"/>
      <c r="GM507" s="9"/>
      <c r="GN507" s="373"/>
      <c r="GP507" s="9"/>
      <c r="GQ507" s="373"/>
      <c r="GS507" s="9"/>
      <c r="GT507" s="373"/>
      <c r="GV507" s="9"/>
      <c r="GW507" s="373"/>
      <c r="GY507" s="9"/>
      <c r="GZ507" s="373"/>
      <c r="HB507" s="9"/>
      <c r="HC507" s="373"/>
      <c r="HE507" s="9"/>
      <c r="HF507" s="373"/>
      <c r="HH507" s="9"/>
      <c r="HI507" s="373"/>
      <c r="HK507" s="9"/>
      <c r="HL507" s="373"/>
      <c r="HN507" s="9"/>
      <c r="HO507" s="373"/>
      <c r="HQ507" s="9"/>
      <c r="HR507" s="373"/>
      <c r="HT507" s="9"/>
      <c r="HU507" s="373"/>
      <c r="HW507" s="9"/>
      <c r="HX507" s="373"/>
      <c r="HZ507" s="9"/>
      <c r="IA507" s="373"/>
      <c r="IC507" s="9"/>
      <c r="ID507" s="373"/>
      <c r="IF507" s="9"/>
      <c r="IG507" s="373"/>
    </row>
    <row r="508" spans="2:241" hidden="1" x14ac:dyDescent="0.2">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c r="DF508" s="10"/>
      <c r="DG508" s="10"/>
      <c r="DH508" s="10"/>
      <c r="DI508" s="10"/>
      <c r="DJ508" s="10"/>
      <c r="DK508" s="10"/>
      <c r="DL508" s="10"/>
      <c r="DM508" s="10"/>
      <c r="DN508" s="10"/>
      <c r="DO508" s="10"/>
      <c r="DP508" s="10"/>
      <c r="DQ508" s="10"/>
      <c r="DR508" s="10"/>
      <c r="DS508" s="10"/>
      <c r="DT508" s="10"/>
      <c r="DU508" s="10"/>
      <c r="DV508" s="10"/>
      <c r="DW508" s="10"/>
      <c r="DX508" s="10"/>
      <c r="DY508" s="10"/>
      <c r="DZ508" s="10"/>
      <c r="EA508" s="10"/>
      <c r="EB508" s="10"/>
      <c r="EC508" s="10"/>
      <c r="ED508" s="10"/>
      <c r="EE508" s="10"/>
      <c r="EF508" s="10"/>
      <c r="EG508" s="10"/>
      <c r="EH508" s="10"/>
      <c r="EI508" s="10"/>
      <c r="EJ508" s="10"/>
      <c r="EK508" s="10"/>
      <c r="EL508" s="10"/>
      <c r="EM508" s="10"/>
      <c r="EN508" s="10"/>
      <c r="EO508" s="10"/>
      <c r="EP508" s="10"/>
      <c r="EQ508" s="10"/>
      <c r="ER508" s="10"/>
      <c r="ES508" s="10"/>
      <c r="ET508" s="10"/>
      <c r="EU508" s="10"/>
      <c r="EV508" s="10"/>
      <c r="EW508" s="10"/>
      <c r="EX508" s="10"/>
      <c r="EY508" s="10"/>
      <c r="EZ508" s="10"/>
      <c r="FA508" s="10"/>
      <c r="FB508" s="10"/>
      <c r="FC508" s="10"/>
      <c r="FD508" s="10"/>
      <c r="FE508" s="10"/>
      <c r="FF508" s="10"/>
      <c r="FG508" s="10"/>
      <c r="FH508" s="10"/>
      <c r="FI508" s="10"/>
      <c r="FJ508" s="10"/>
      <c r="FK508" s="10"/>
      <c r="FL508" s="10"/>
      <c r="FM508" s="10"/>
      <c r="FN508" s="10"/>
      <c r="FO508" s="10"/>
      <c r="FP508" s="10"/>
      <c r="FQ508" s="10"/>
      <c r="FR508" s="10"/>
      <c r="FS508" s="10"/>
      <c r="FT508" s="10"/>
      <c r="FU508" s="10"/>
      <c r="FV508" s="10"/>
      <c r="FW508" s="10"/>
      <c r="FX508" s="10"/>
      <c r="FY508" s="10"/>
      <c r="FZ508" s="10"/>
      <c r="GA508" s="10"/>
      <c r="GB508" s="10"/>
      <c r="GC508" s="10"/>
      <c r="GD508" s="10"/>
      <c r="GE508" s="10"/>
      <c r="GF508" s="10"/>
      <c r="GG508" s="10"/>
      <c r="GH508" s="10"/>
      <c r="GI508" s="10"/>
      <c r="GJ508" s="10"/>
      <c r="GK508" s="10"/>
      <c r="GL508" s="10"/>
      <c r="GM508" s="10"/>
      <c r="GN508" s="10"/>
      <c r="GO508" s="10"/>
      <c r="GP508" s="10"/>
      <c r="GQ508" s="10"/>
      <c r="GR508" s="10"/>
      <c r="GS508" s="10"/>
      <c r="GT508" s="10"/>
      <c r="GU508" s="10"/>
      <c r="GV508" s="10"/>
      <c r="GW508" s="10"/>
      <c r="GX508" s="10"/>
      <c r="GY508" s="10"/>
      <c r="GZ508" s="10"/>
      <c r="HA508" s="10"/>
      <c r="HB508" s="10"/>
      <c r="HC508" s="10"/>
      <c r="HD508" s="10"/>
      <c r="HE508" s="10"/>
      <c r="HF508" s="10"/>
      <c r="HG508" s="10"/>
      <c r="HH508" s="10"/>
      <c r="HI508" s="10"/>
      <c r="HJ508" s="10"/>
      <c r="HK508" s="10"/>
      <c r="HL508" s="10"/>
      <c r="HM508" s="10"/>
      <c r="HN508" s="10"/>
      <c r="HO508" s="10"/>
      <c r="HP508" s="10"/>
      <c r="HQ508" s="10"/>
      <c r="HR508" s="10"/>
      <c r="HS508" s="10"/>
      <c r="HT508" s="10"/>
    </row>
    <row r="509" spans="2:241" hidden="1" x14ac:dyDescent="0.2">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c r="EM509" s="10"/>
      <c r="EN509" s="10"/>
      <c r="EO509" s="10"/>
      <c r="EP509" s="10"/>
      <c r="EQ509" s="10"/>
      <c r="ER509" s="10"/>
      <c r="ES509" s="10"/>
      <c r="ET509" s="10"/>
      <c r="EU509" s="10"/>
      <c r="EV509" s="10"/>
      <c r="EW509" s="10"/>
      <c r="EX509" s="10"/>
      <c r="EY509" s="10"/>
      <c r="EZ509" s="10"/>
      <c r="FA509" s="10"/>
      <c r="FB509" s="10"/>
      <c r="FC509" s="10"/>
      <c r="FD509" s="10"/>
      <c r="FE509" s="10"/>
      <c r="FF509" s="10"/>
      <c r="FG509" s="10"/>
      <c r="FH509" s="10"/>
      <c r="FI509" s="10"/>
      <c r="FJ509" s="10"/>
      <c r="FK509" s="10"/>
      <c r="FL509" s="10"/>
      <c r="FM509" s="10"/>
      <c r="FN509" s="10"/>
      <c r="FO509" s="10"/>
      <c r="FP509" s="10"/>
      <c r="FQ509" s="10"/>
      <c r="FR509" s="10"/>
      <c r="FS509" s="10"/>
      <c r="FT509" s="10"/>
      <c r="FU509" s="10"/>
      <c r="FV509" s="10"/>
      <c r="FW509" s="10"/>
      <c r="FX509" s="10"/>
      <c r="FY509" s="10"/>
      <c r="FZ509" s="10"/>
      <c r="GA509" s="10"/>
      <c r="GB509" s="10"/>
      <c r="GC509" s="10"/>
      <c r="GD509" s="10"/>
      <c r="GE509" s="10"/>
      <c r="GF509" s="10"/>
      <c r="GG509" s="10"/>
      <c r="GH509" s="10"/>
      <c r="GI509" s="10"/>
      <c r="GJ509" s="10"/>
      <c r="GK509" s="10"/>
      <c r="GL509" s="10"/>
      <c r="GM509" s="10"/>
      <c r="GN509" s="10"/>
      <c r="GO509" s="10"/>
      <c r="GP509" s="10"/>
      <c r="GQ509" s="10"/>
      <c r="GR509" s="10"/>
      <c r="GS509" s="10"/>
      <c r="GT509" s="10"/>
      <c r="GU509" s="10"/>
      <c r="GV509" s="10"/>
      <c r="GW509" s="10"/>
      <c r="GX509" s="10"/>
      <c r="GY509" s="10"/>
      <c r="GZ509" s="10"/>
      <c r="HA509" s="10"/>
      <c r="HB509" s="10"/>
      <c r="HC509" s="10"/>
      <c r="HD509" s="10"/>
      <c r="HE509" s="10"/>
      <c r="HF509" s="10"/>
      <c r="HG509" s="10"/>
      <c r="HH509" s="10"/>
      <c r="HI509" s="10"/>
      <c r="HJ509" s="10"/>
      <c r="HK509" s="10"/>
      <c r="HL509" s="10"/>
      <c r="HM509" s="10"/>
      <c r="HN509" s="10"/>
      <c r="HO509" s="10"/>
      <c r="HP509" s="10"/>
      <c r="HQ509" s="10"/>
      <c r="HR509" s="10"/>
      <c r="HS509" s="10"/>
      <c r="HT509" s="10"/>
    </row>
    <row r="510" spans="2:241" hidden="1" x14ac:dyDescent="0.2">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c r="EM510" s="10"/>
      <c r="EN510" s="10"/>
      <c r="EO510" s="10"/>
      <c r="EP510" s="10"/>
      <c r="EQ510" s="10"/>
      <c r="ER510" s="10"/>
      <c r="ES510" s="10"/>
      <c r="ET510" s="10"/>
      <c r="EU510" s="10"/>
      <c r="EV510" s="10"/>
      <c r="EW510" s="10"/>
      <c r="EX510" s="10"/>
      <c r="EY510" s="10"/>
      <c r="EZ510" s="10"/>
      <c r="FA510" s="10"/>
      <c r="FB510" s="10"/>
      <c r="FC510" s="10"/>
      <c r="FD510" s="10"/>
      <c r="FE510" s="10"/>
      <c r="FF510" s="10"/>
      <c r="FG510" s="10"/>
      <c r="FH510" s="10"/>
      <c r="FI510" s="10"/>
      <c r="FJ510" s="10"/>
      <c r="FK510" s="10"/>
      <c r="FL510" s="10"/>
      <c r="FM510" s="10"/>
      <c r="FN510" s="10"/>
      <c r="FO510" s="10"/>
      <c r="FP510" s="10"/>
      <c r="FQ510" s="10"/>
      <c r="FR510" s="10"/>
      <c r="FS510" s="10"/>
      <c r="FT510" s="10"/>
      <c r="FU510" s="10"/>
      <c r="FV510" s="10"/>
      <c r="FW510" s="10"/>
      <c r="FX510" s="10"/>
      <c r="FY510" s="10"/>
      <c r="FZ510" s="10"/>
      <c r="GA510" s="10"/>
      <c r="GB510" s="10"/>
      <c r="GC510" s="10"/>
      <c r="GD510" s="10"/>
      <c r="GE510" s="10"/>
      <c r="GF510" s="10"/>
      <c r="GG510" s="10"/>
      <c r="GH510" s="10"/>
      <c r="GI510" s="10"/>
      <c r="GJ510" s="10"/>
      <c r="GK510" s="10"/>
      <c r="GL510" s="10"/>
      <c r="GM510" s="10"/>
      <c r="GN510" s="10"/>
      <c r="GO510" s="10"/>
      <c r="GP510" s="10"/>
      <c r="GQ510" s="10"/>
      <c r="GR510" s="10"/>
      <c r="GS510" s="10"/>
      <c r="GT510" s="10"/>
      <c r="GU510" s="10"/>
      <c r="GV510" s="10"/>
      <c r="GW510" s="10"/>
      <c r="GX510" s="10"/>
      <c r="GY510" s="10"/>
      <c r="GZ510" s="10"/>
      <c r="HA510" s="10"/>
      <c r="HB510" s="10"/>
      <c r="HC510" s="10"/>
      <c r="HD510" s="10"/>
      <c r="HE510" s="10"/>
      <c r="HF510" s="10"/>
      <c r="HG510" s="10"/>
      <c r="HH510" s="10"/>
      <c r="HI510" s="10"/>
      <c r="HJ510" s="10"/>
      <c r="HK510" s="10"/>
      <c r="HL510" s="10"/>
      <c r="HM510" s="10"/>
      <c r="HN510" s="10"/>
      <c r="HO510" s="10"/>
      <c r="HP510" s="10"/>
      <c r="HQ510" s="10"/>
      <c r="HR510" s="10"/>
      <c r="HS510" s="10"/>
      <c r="HT510" s="10"/>
    </row>
    <row r="511" spans="2:241" ht="38.25" hidden="1" x14ac:dyDescent="0.2">
      <c r="B511" s="527" t="s">
        <v>2181</v>
      </c>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c r="DO511" s="10"/>
      <c r="DP511" s="10"/>
      <c r="DQ511" s="10"/>
      <c r="DR511" s="10"/>
      <c r="DS511" s="10"/>
      <c r="DT511" s="10"/>
      <c r="DU511" s="10"/>
      <c r="DV511" s="10"/>
      <c r="DW511" s="10"/>
      <c r="DX511" s="10"/>
      <c r="DY511" s="10"/>
      <c r="DZ511" s="10"/>
      <c r="EA511" s="10"/>
      <c r="EB511" s="10"/>
      <c r="EC511" s="10"/>
      <c r="ED511" s="10"/>
      <c r="EE511" s="10"/>
      <c r="EF511" s="10"/>
      <c r="EG511" s="10"/>
      <c r="EH511" s="10"/>
      <c r="EI511" s="10"/>
      <c r="EJ511" s="10"/>
      <c r="EK511" s="10"/>
      <c r="EL511" s="10"/>
      <c r="EM511" s="10"/>
      <c r="EN511" s="10"/>
      <c r="EO511" s="10"/>
      <c r="EP511" s="10"/>
      <c r="EQ511" s="10"/>
      <c r="ER511" s="10"/>
      <c r="ES511" s="10"/>
      <c r="ET511" s="10"/>
      <c r="EU511" s="10"/>
      <c r="EV511" s="10"/>
      <c r="EW511" s="10"/>
      <c r="EX511" s="10"/>
      <c r="EY511" s="10"/>
      <c r="EZ511" s="10"/>
      <c r="FA511" s="10"/>
      <c r="FB511" s="10"/>
      <c r="FC511" s="10"/>
      <c r="FD511" s="10"/>
      <c r="FE511" s="10"/>
      <c r="FF511" s="10"/>
      <c r="FG511" s="10"/>
      <c r="FH511" s="10"/>
      <c r="FI511" s="10"/>
      <c r="FJ511" s="10"/>
      <c r="FK511" s="10"/>
      <c r="FL511" s="10"/>
      <c r="FM511" s="10"/>
      <c r="FN511" s="10"/>
      <c r="FO511" s="10"/>
      <c r="FP511" s="10"/>
      <c r="FQ511" s="10"/>
      <c r="FR511" s="10"/>
      <c r="FS511" s="10"/>
      <c r="FT511" s="10"/>
      <c r="FU511" s="10"/>
      <c r="FV511" s="10"/>
      <c r="FW511" s="10"/>
      <c r="FX511" s="10"/>
      <c r="FY511" s="10"/>
      <c r="FZ511" s="10"/>
      <c r="GA511" s="10"/>
      <c r="GB511" s="10"/>
      <c r="GC511" s="10"/>
      <c r="GD511" s="10"/>
      <c r="GE511" s="10"/>
      <c r="GF511" s="10"/>
      <c r="GG511" s="10"/>
      <c r="GH511" s="10"/>
      <c r="GI511" s="10"/>
      <c r="GJ511" s="10"/>
      <c r="GK511" s="10"/>
      <c r="GL511" s="10"/>
      <c r="GM511" s="10"/>
      <c r="GN511" s="10"/>
      <c r="GO511" s="10"/>
      <c r="GP511" s="10"/>
      <c r="GQ511" s="10"/>
      <c r="GR511" s="10"/>
      <c r="GS511" s="10"/>
      <c r="GT511" s="10"/>
      <c r="GU511" s="10"/>
      <c r="GV511" s="10"/>
      <c r="GW511" s="10"/>
      <c r="GX511" s="10"/>
      <c r="GY511" s="10"/>
      <c r="GZ511" s="10"/>
      <c r="HA511" s="10"/>
      <c r="HB511" s="10"/>
      <c r="HC511" s="10"/>
      <c r="HD511" s="10"/>
      <c r="HE511" s="10"/>
      <c r="HF511" s="10"/>
      <c r="HG511" s="10"/>
      <c r="HH511" s="10"/>
      <c r="HI511" s="10"/>
      <c r="HJ511" s="10"/>
      <c r="HK511" s="10"/>
      <c r="HL511" s="10"/>
      <c r="HM511" s="10"/>
      <c r="HN511" s="10"/>
      <c r="HO511" s="10"/>
      <c r="HP511" s="10"/>
      <c r="HQ511" s="10"/>
      <c r="HR511" s="10"/>
      <c r="HS511" s="10"/>
      <c r="HT511" s="10"/>
    </row>
    <row r="512" spans="2:241" hidden="1" x14ac:dyDescent="0.2">
      <c r="B512" s="146" t="s">
        <v>1901</v>
      </c>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c r="DO512" s="10"/>
      <c r="DP512" s="10"/>
      <c r="DQ512" s="10"/>
      <c r="DR512" s="10"/>
      <c r="DS512" s="10"/>
      <c r="DT512" s="10"/>
      <c r="DU512" s="10"/>
      <c r="DV512" s="10"/>
      <c r="DW512" s="10"/>
      <c r="DX512" s="10"/>
      <c r="DY512" s="10"/>
      <c r="DZ512" s="10"/>
      <c r="EA512" s="10"/>
      <c r="EB512" s="10"/>
      <c r="EC512" s="10"/>
      <c r="ED512" s="10"/>
      <c r="EE512" s="10"/>
      <c r="EF512" s="10"/>
      <c r="EG512" s="10"/>
      <c r="EH512" s="10"/>
      <c r="EI512" s="10"/>
      <c r="EJ512" s="10"/>
      <c r="EK512" s="10"/>
      <c r="EL512" s="10"/>
      <c r="EM512" s="10"/>
      <c r="EN512" s="10"/>
      <c r="EO512" s="10"/>
      <c r="EP512" s="10"/>
      <c r="EQ512" s="10"/>
      <c r="ER512" s="10"/>
      <c r="ES512" s="10"/>
      <c r="ET512" s="10"/>
      <c r="EU512" s="10"/>
      <c r="EV512" s="10"/>
      <c r="EW512" s="10"/>
      <c r="EX512" s="10"/>
      <c r="EY512" s="10"/>
      <c r="EZ512" s="10"/>
      <c r="FA512" s="10"/>
      <c r="FB512" s="10"/>
      <c r="FC512" s="10"/>
      <c r="FD512" s="10"/>
      <c r="FE512" s="10"/>
      <c r="FF512" s="10"/>
      <c r="FG512" s="10"/>
      <c r="FH512" s="10"/>
      <c r="FI512" s="10"/>
      <c r="FJ512" s="10"/>
      <c r="FK512" s="10"/>
      <c r="FL512" s="10"/>
      <c r="FM512" s="10"/>
      <c r="FN512" s="10"/>
      <c r="FO512" s="10"/>
      <c r="FP512" s="10"/>
      <c r="FQ512" s="10"/>
      <c r="FR512" s="10"/>
      <c r="FS512" s="10"/>
      <c r="FT512" s="10"/>
      <c r="FU512" s="10"/>
      <c r="FV512" s="10"/>
      <c r="FW512" s="10"/>
      <c r="FX512" s="10"/>
      <c r="FY512" s="10"/>
      <c r="FZ512" s="10"/>
      <c r="GA512" s="10"/>
      <c r="GB512" s="10"/>
      <c r="GC512" s="10"/>
      <c r="GD512" s="10"/>
      <c r="GE512" s="10"/>
      <c r="GF512" s="10"/>
      <c r="GG512" s="10"/>
      <c r="GH512" s="10"/>
      <c r="GI512" s="10"/>
      <c r="GJ512" s="10"/>
      <c r="GK512" s="10"/>
      <c r="GL512" s="10"/>
      <c r="GM512" s="10"/>
      <c r="GN512" s="10"/>
      <c r="GO512" s="10"/>
      <c r="GP512" s="10"/>
      <c r="GQ512" s="10"/>
      <c r="GR512" s="10"/>
      <c r="GS512" s="10"/>
      <c r="GT512" s="10"/>
      <c r="GU512" s="10"/>
      <c r="GV512" s="10"/>
      <c r="GW512" s="10"/>
      <c r="GX512" s="10"/>
      <c r="GY512" s="10"/>
      <c r="GZ512" s="10"/>
      <c r="HA512" s="10"/>
      <c r="HB512" s="10"/>
      <c r="HC512" s="10"/>
      <c r="HD512" s="10"/>
      <c r="HE512" s="10"/>
      <c r="HF512" s="10"/>
      <c r="HG512" s="10"/>
      <c r="HH512" s="10"/>
      <c r="HI512" s="10"/>
      <c r="HJ512" s="10"/>
      <c r="HK512" s="10"/>
      <c r="HL512" s="10"/>
      <c r="HM512" s="10"/>
      <c r="HN512" s="10"/>
      <c r="HO512" s="10"/>
      <c r="HP512" s="10"/>
      <c r="HQ512" s="10"/>
      <c r="HR512" s="10"/>
      <c r="HS512" s="10"/>
      <c r="HT512" s="10"/>
    </row>
    <row r="513" spans="2:228" hidden="1" x14ac:dyDescent="0.2">
      <c r="B513" s="146">
        <v>0</v>
      </c>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c r="EM513" s="10"/>
      <c r="EN513" s="10"/>
      <c r="EO513" s="10"/>
      <c r="EP513" s="10"/>
      <c r="EQ513" s="10"/>
      <c r="ER513" s="10"/>
      <c r="ES513" s="10"/>
      <c r="ET513" s="10"/>
      <c r="EU513" s="10"/>
      <c r="EV513" s="10"/>
      <c r="EW513" s="10"/>
      <c r="EX513" s="10"/>
      <c r="EY513" s="10"/>
      <c r="EZ513" s="10"/>
      <c r="FA513" s="10"/>
      <c r="FB513" s="10"/>
      <c r="FC513" s="10"/>
      <c r="FD513" s="10"/>
      <c r="FE513" s="10"/>
      <c r="FF513" s="10"/>
      <c r="FG513" s="10"/>
      <c r="FH513" s="10"/>
      <c r="FI513" s="10"/>
      <c r="FJ513" s="10"/>
      <c r="FK513" s="10"/>
      <c r="FL513" s="10"/>
      <c r="FM513" s="10"/>
      <c r="FN513" s="10"/>
      <c r="FO513" s="10"/>
      <c r="FP513" s="10"/>
      <c r="FQ513" s="10"/>
      <c r="FR513" s="10"/>
      <c r="FS513" s="10"/>
      <c r="FT513" s="10"/>
      <c r="FU513" s="10"/>
      <c r="FV513" s="10"/>
      <c r="FW513" s="10"/>
      <c r="FX513" s="10"/>
      <c r="FY513" s="10"/>
      <c r="FZ513" s="10"/>
      <c r="GA513" s="10"/>
      <c r="GB513" s="10"/>
      <c r="GC513" s="10"/>
      <c r="GD513" s="10"/>
      <c r="GE513" s="10"/>
      <c r="GF513" s="10"/>
      <c r="GG513" s="10"/>
      <c r="GH513" s="10"/>
      <c r="GI513" s="10"/>
      <c r="GJ513" s="10"/>
      <c r="GK513" s="10"/>
      <c r="GL513" s="10"/>
      <c r="GM513" s="10"/>
      <c r="GN513" s="10"/>
      <c r="GO513" s="10"/>
      <c r="GP513" s="10"/>
      <c r="GQ513" s="10"/>
      <c r="GR513" s="10"/>
      <c r="GS513" s="10"/>
      <c r="GT513" s="10"/>
      <c r="GU513" s="10"/>
      <c r="GV513" s="10"/>
      <c r="GW513" s="10"/>
      <c r="GX513" s="10"/>
      <c r="GY513" s="10"/>
      <c r="GZ513" s="10"/>
      <c r="HA513" s="10"/>
      <c r="HB513" s="10"/>
      <c r="HC513" s="10"/>
      <c r="HD513" s="10"/>
      <c r="HE513" s="10"/>
      <c r="HF513" s="10"/>
      <c r="HG513" s="10"/>
      <c r="HH513" s="10"/>
      <c r="HI513" s="10"/>
      <c r="HJ513" s="10"/>
      <c r="HK513" s="10"/>
      <c r="HL513" s="10"/>
      <c r="HM513" s="10"/>
      <c r="HN513" s="10"/>
      <c r="HO513" s="10"/>
      <c r="HP513" s="10"/>
      <c r="HQ513" s="10"/>
      <c r="HR513" s="10"/>
      <c r="HS513" s="10"/>
      <c r="HT513" s="10"/>
    </row>
    <row r="514" spans="2:228" hidden="1" x14ac:dyDescent="0.2">
      <c r="B514" s="146">
        <v>1</v>
      </c>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c r="DO514" s="10"/>
      <c r="DP514" s="10"/>
      <c r="DQ514" s="10"/>
      <c r="DR514" s="10"/>
      <c r="DS514" s="10"/>
      <c r="DT514" s="10"/>
      <c r="DU514" s="10"/>
      <c r="DV514" s="10"/>
      <c r="DW514" s="10"/>
      <c r="DX514" s="10"/>
      <c r="DY514" s="10"/>
      <c r="DZ514" s="10"/>
      <c r="EA514" s="10"/>
      <c r="EB514" s="10"/>
      <c r="EC514" s="10"/>
      <c r="ED514" s="10"/>
      <c r="EE514" s="10"/>
      <c r="EF514" s="10"/>
      <c r="EG514" s="10"/>
      <c r="EH514" s="10"/>
      <c r="EI514" s="10"/>
      <c r="EJ514" s="10"/>
      <c r="EK514" s="10"/>
      <c r="EL514" s="10"/>
      <c r="EM514" s="10"/>
      <c r="EN514" s="10"/>
      <c r="EO514" s="10"/>
      <c r="EP514" s="10"/>
      <c r="EQ514" s="10"/>
      <c r="ER514" s="10"/>
      <c r="ES514" s="10"/>
      <c r="ET514" s="10"/>
      <c r="EU514" s="10"/>
      <c r="EV514" s="10"/>
      <c r="EW514" s="10"/>
      <c r="EX514" s="10"/>
      <c r="EY514" s="10"/>
      <c r="EZ514" s="10"/>
      <c r="FA514" s="10"/>
      <c r="FB514" s="10"/>
      <c r="FC514" s="10"/>
      <c r="FD514" s="10"/>
      <c r="FE514" s="10"/>
      <c r="FF514" s="10"/>
      <c r="FG514" s="10"/>
      <c r="FH514" s="10"/>
      <c r="FI514" s="10"/>
      <c r="FJ514" s="10"/>
      <c r="FK514" s="10"/>
      <c r="FL514" s="10"/>
      <c r="FM514" s="10"/>
      <c r="FN514" s="10"/>
      <c r="FO514" s="10"/>
      <c r="FP514" s="10"/>
      <c r="FQ514" s="10"/>
      <c r="FR514" s="10"/>
      <c r="FS514" s="10"/>
      <c r="FT514" s="10"/>
      <c r="FU514" s="10"/>
      <c r="FV514" s="10"/>
      <c r="FW514" s="10"/>
      <c r="FX514" s="10"/>
      <c r="FY514" s="10"/>
      <c r="FZ514" s="10"/>
      <c r="GA514" s="10"/>
      <c r="GB514" s="10"/>
      <c r="GC514" s="10"/>
      <c r="GD514" s="10"/>
      <c r="GE514" s="10"/>
      <c r="GF514" s="10"/>
      <c r="GG514" s="10"/>
      <c r="GH514" s="10"/>
      <c r="GI514" s="10"/>
      <c r="GJ514" s="10"/>
      <c r="GK514" s="10"/>
      <c r="GL514" s="10"/>
      <c r="GM514" s="10"/>
      <c r="GN514" s="10"/>
      <c r="GO514" s="10"/>
      <c r="GP514" s="10"/>
      <c r="GQ514" s="10"/>
      <c r="GR514" s="10"/>
      <c r="GS514" s="10"/>
      <c r="GT514" s="10"/>
      <c r="GU514" s="10"/>
      <c r="GV514" s="10"/>
      <c r="GW514" s="10"/>
      <c r="GX514" s="10"/>
      <c r="GY514" s="10"/>
      <c r="GZ514" s="10"/>
      <c r="HA514" s="10"/>
      <c r="HB514" s="10"/>
      <c r="HC514" s="10"/>
      <c r="HD514" s="10"/>
      <c r="HE514" s="10"/>
      <c r="HF514" s="10"/>
      <c r="HG514" s="10"/>
      <c r="HH514" s="10"/>
      <c r="HI514" s="10"/>
      <c r="HJ514" s="10"/>
      <c r="HK514" s="10"/>
      <c r="HL514" s="10"/>
      <c r="HM514" s="10"/>
      <c r="HN514" s="10"/>
      <c r="HO514" s="10"/>
      <c r="HP514" s="10"/>
      <c r="HQ514" s="10"/>
      <c r="HR514" s="10"/>
      <c r="HS514" s="10"/>
      <c r="HT514" s="10"/>
    </row>
    <row r="515" spans="2:228" hidden="1" x14ac:dyDescent="0.2">
      <c r="B515" s="146">
        <v>2</v>
      </c>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c r="EM515" s="10"/>
      <c r="EN515" s="10"/>
      <c r="EO515" s="10"/>
      <c r="EP515" s="10"/>
      <c r="EQ515" s="10"/>
      <c r="ER515" s="10"/>
      <c r="ES515" s="10"/>
      <c r="ET515" s="10"/>
      <c r="EU515" s="10"/>
      <c r="EV515" s="10"/>
      <c r="EW515" s="10"/>
      <c r="EX515" s="10"/>
      <c r="EY515" s="10"/>
      <c r="EZ515" s="10"/>
      <c r="FA515" s="10"/>
      <c r="FB515" s="10"/>
      <c r="FC515" s="10"/>
      <c r="FD515" s="10"/>
      <c r="FE515" s="10"/>
      <c r="FF515" s="10"/>
      <c r="FG515" s="10"/>
      <c r="FH515" s="10"/>
      <c r="FI515" s="10"/>
      <c r="FJ515" s="10"/>
      <c r="FK515" s="10"/>
      <c r="FL515" s="10"/>
      <c r="FM515" s="10"/>
      <c r="FN515" s="10"/>
      <c r="FO515" s="10"/>
      <c r="FP515" s="10"/>
      <c r="FQ515" s="10"/>
      <c r="FR515" s="10"/>
      <c r="FS515" s="10"/>
      <c r="FT515" s="10"/>
      <c r="FU515" s="10"/>
      <c r="FV515" s="10"/>
      <c r="FW515" s="10"/>
      <c r="FX515" s="10"/>
      <c r="FY515" s="10"/>
      <c r="FZ515" s="10"/>
      <c r="GA515" s="10"/>
      <c r="GB515" s="10"/>
      <c r="GC515" s="10"/>
      <c r="GD515" s="10"/>
      <c r="GE515" s="10"/>
      <c r="GF515" s="10"/>
      <c r="GG515" s="10"/>
      <c r="GH515" s="10"/>
      <c r="GI515" s="10"/>
      <c r="GJ515" s="10"/>
      <c r="GK515" s="10"/>
      <c r="GL515" s="10"/>
      <c r="GM515" s="10"/>
      <c r="GN515" s="10"/>
      <c r="GO515" s="10"/>
      <c r="GP515" s="10"/>
      <c r="GQ515" s="10"/>
      <c r="GR515" s="10"/>
      <c r="GS515" s="10"/>
      <c r="GT515" s="10"/>
      <c r="GU515" s="10"/>
      <c r="GV515" s="10"/>
      <c r="GW515" s="10"/>
      <c r="GX515" s="10"/>
      <c r="GY515" s="10"/>
      <c r="GZ515" s="10"/>
      <c r="HA515" s="10"/>
      <c r="HB515" s="10"/>
      <c r="HC515" s="10"/>
      <c r="HD515" s="10"/>
      <c r="HE515" s="10"/>
      <c r="HF515" s="10"/>
      <c r="HG515" s="10"/>
      <c r="HH515" s="10"/>
      <c r="HI515" s="10"/>
      <c r="HJ515" s="10"/>
      <c r="HK515" s="10"/>
      <c r="HL515" s="10"/>
      <c r="HM515" s="10"/>
      <c r="HN515" s="10"/>
      <c r="HO515" s="10"/>
      <c r="HP515" s="10"/>
      <c r="HQ515" s="10"/>
      <c r="HR515" s="10"/>
      <c r="HS515" s="10"/>
      <c r="HT515" s="10"/>
    </row>
    <row r="516" spans="2:228" hidden="1" x14ac:dyDescent="0.2">
      <c r="B516" s="146">
        <v>3</v>
      </c>
    </row>
    <row r="517" spans="2:228" hidden="1" x14ac:dyDescent="0.2">
      <c r="B517" s="146">
        <v>4</v>
      </c>
    </row>
    <row r="518" spans="2:228" hidden="1" x14ac:dyDescent="0.2">
      <c r="B518" s="146">
        <v>5</v>
      </c>
    </row>
    <row r="519" spans="2:228" hidden="1" x14ac:dyDescent="0.2">
      <c r="B519" s="146">
        <v>6</v>
      </c>
    </row>
    <row r="520" spans="2:228" hidden="1" x14ac:dyDescent="0.2">
      <c r="B520" s="146">
        <v>7</v>
      </c>
    </row>
    <row r="521" spans="2:228" hidden="1" x14ac:dyDescent="0.2">
      <c r="B521" s="146">
        <v>8</v>
      </c>
    </row>
    <row r="522" spans="2:228" hidden="1" x14ac:dyDescent="0.2">
      <c r="B522" s="146">
        <v>9</v>
      </c>
    </row>
    <row r="523" spans="2:228" hidden="1" x14ac:dyDescent="0.2">
      <c r="B523" s="146">
        <v>10</v>
      </c>
    </row>
    <row r="524" spans="2:228" hidden="1" x14ac:dyDescent="0.2">
      <c r="B524" s="146">
        <v>11</v>
      </c>
    </row>
    <row r="525" spans="2:228" hidden="1" x14ac:dyDescent="0.2">
      <c r="B525" s="146">
        <v>12</v>
      </c>
    </row>
    <row r="526" spans="2:228" hidden="1" x14ac:dyDescent="0.2">
      <c r="B526" s="146">
        <v>13</v>
      </c>
    </row>
    <row r="527" spans="2:228" hidden="1" x14ac:dyDescent="0.2">
      <c r="B527" s="146">
        <v>14</v>
      </c>
    </row>
    <row r="528" spans="2:228" hidden="1" x14ac:dyDescent="0.2">
      <c r="B528" s="146">
        <v>15</v>
      </c>
    </row>
    <row r="529" spans="2:2" hidden="1" x14ac:dyDescent="0.2">
      <c r="B529" s="146">
        <v>16</v>
      </c>
    </row>
    <row r="530" spans="2:2" hidden="1" x14ac:dyDescent="0.2">
      <c r="B530" s="146">
        <v>17</v>
      </c>
    </row>
    <row r="531" spans="2:2" hidden="1" x14ac:dyDescent="0.2">
      <c r="B531" s="146">
        <v>18</v>
      </c>
    </row>
    <row r="532" spans="2:2" hidden="1" x14ac:dyDescent="0.2">
      <c r="B532" s="146">
        <v>19</v>
      </c>
    </row>
    <row r="533" spans="2:2" hidden="1" x14ac:dyDescent="0.2">
      <c r="B533" s="146">
        <v>20</v>
      </c>
    </row>
    <row r="534" spans="2:2" hidden="1" x14ac:dyDescent="0.2">
      <c r="B534" s="146">
        <v>21</v>
      </c>
    </row>
    <row r="535" spans="2:2" hidden="1" x14ac:dyDescent="0.2">
      <c r="B535" s="146">
        <v>22</v>
      </c>
    </row>
    <row r="536" spans="2:2" hidden="1" x14ac:dyDescent="0.2">
      <c r="B536" s="146">
        <v>23</v>
      </c>
    </row>
    <row r="537" spans="2:2" hidden="1" x14ac:dyDescent="0.2">
      <c r="B537" s="146">
        <v>24</v>
      </c>
    </row>
    <row r="538" spans="2:2" hidden="1" x14ac:dyDescent="0.2">
      <c r="B538" s="146">
        <v>25</v>
      </c>
    </row>
    <row r="539" spans="2:2" hidden="1" x14ac:dyDescent="0.2">
      <c r="B539" s="146">
        <v>26</v>
      </c>
    </row>
    <row r="540" spans="2:2" hidden="1" x14ac:dyDescent="0.2">
      <c r="B540" s="146">
        <v>27</v>
      </c>
    </row>
    <row r="541" spans="2:2" hidden="1" x14ac:dyDescent="0.2">
      <c r="B541" s="146">
        <v>28</v>
      </c>
    </row>
    <row r="542" spans="2:2" hidden="1" x14ac:dyDescent="0.2">
      <c r="B542" s="146">
        <v>29</v>
      </c>
    </row>
    <row r="543" spans="2:2" hidden="1" x14ac:dyDescent="0.2">
      <c r="B543" s="146">
        <v>30</v>
      </c>
    </row>
    <row r="544" spans="2:2" hidden="1" x14ac:dyDescent="0.2">
      <c r="B544" s="146">
        <v>31</v>
      </c>
    </row>
    <row r="545" spans="2:2" hidden="1" x14ac:dyDescent="0.2">
      <c r="B545" s="146">
        <v>32</v>
      </c>
    </row>
    <row r="546" spans="2:2" hidden="1" x14ac:dyDescent="0.2">
      <c r="B546" s="146">
        <v>33</v>
      </c>
    </row>
    <row r="547" spans="2:2" hidden="1" x14ac:dyDescent="0.2">
      <c r="B547" s="146">
        <v>34</v>
      </c>
    </row>
    <row r="548" spans="2:2" hidden="1" x14ac:dyDescent="0.2">
      <c r="B548" s="146">
        <v>35</v>
      </c>
    </row>
    <row r="549" spans="2:2" hidden="1" x14ac:dyDescent="0.2">
      <c r="B549" s="146">
        <v>36</v>
      </c>
    </row>
    <row r="550" spans="2:2" hidden="1" x14ac:dyDescent="0.2">
      <c r="B550" s="146">
        <v>37</v>
      </c>
    </row>
    <row r="551" spans="2:2" hidden="1" x14ac:dyDescent="0.2">
      <c r="B551" s="146">
        <v>38</v>
      </c>
    </row>
    <row r="552" spans="2:2" hidden="1" x14ac:dyDescent="0.2">
      <c r="B552" s="146">
        <v>39</v>
      </c>
    </row>
    <row r="553" spans="2:2" hidden="1" x14ac:dyDescent="0.2">
      <c r="B553" s="146">
        <v>40</v>
      </c>
    </row>
    <row r="554" spans="2:2" hidden="1" x14ac:dyDescent="0.2">
      <c r="B554" s="146">
        <v>41</v>
      </c>
    </row>
    <row r="555" spans="2:2" hidden="1" x14ac:dyDescent="0.2">
      <c r="B555" s="146">
        <v>42</v>
      </c>
    </row>
    <row r="556" spans="2:2" hidden="1" x14ac:dyDescent="0.2">
      <c r="B556" s="146">
        <v>43</v>
      </c>
    </row>
    <row r="557" spans="2:2" hidden="1" x14ac:dyDescent="0.2">
      <c r="B557" s="146">
        <v>44</v>
      </c>
    </row>
    <row r="558" spans="2:2" hidden="1" x14ac:dyDescent="0.2">
      <c r="B558" s="146">
        <v>45</v>
      </c>
    </row>
    <row r="559" spans="2:2" hidden="1" x14ac:dyDescent="0.2">
      <c r="B559" s="146">
        <v>46</v>
      </c>
    </row>
    <row r="560" spans="2:2" hidden="1" x14ac:dyDescent="0.2">
      <c r="B560" s="146">
        <v>47</v>
      </c>
    </row>
    <row r="561" spans="2:2" hidden="1" x14ac:dyDescent="0.2">
      <c r="B561" s="146">
        <v>48</v>
      </c>
    </row>
    <row r="562" spans="2:2" hidden="1" x14ac:dyDescent="0.2">
      <c r="B562" s="146">
        <v>49</v>
      </c>
    </row>
    <row r="563" spans="2:2" hidden="1" x14ac:dyDescent="0.2">
      <c r="B563" s="146">
        <v>50</v>
      </c>
    </row>
    <row r="564" spans="2:2" hidden="1" x14ac:dyDescent="0.2">
      <c r="B564" s="146">
        <v>51</v>
      </c>
    </row>
    <row r="565" spans="2:2" hidden="1" x14ac:dyDescent="0.2">
      <c r="B565" s="146">
        <v>52</v>
      </c>
    </row>
    <row r="566" spans="2:2" hidden="1" x14ac:dyDescent="0.2">
      <c r="B566" s="146">
        <v>53</v>
      </c>
    </row>
    <row r="567" spans="2:2" hidden="1" x14ac:dyDescent="0.2">
      <c r="B567" s="146">
        <v>54</v>
      </c>
    </row>
    <row r="568" spans="2:2" hidden="1" x14ac:dyDescent="0.2">
      <c r="B568" s="146">
        <v>55</v>
      </c>
    </row>
    <row r="569" spans="2:2" hidden="1" x14ac:dyDescent="0.2">
      <c r="B569" s="146">
        <v>56</v>
      </c>
    </row>
    <row r="570" spans="2:2" hidden="1" x14ac:dyDescent="0.2">
      <c r="B570" s="146">
        <v>57</v>
      </c>
    </row>
    <row r="571" spans="2:2" hidden="1" x14ac:dyDescent="0.2">
      <c r="B571" s="146">
        <v>58</v>
      </c>
    </row>
    <row r="572" spans="2:2" hidden="1" x14ac:dyDescent="0.2">
      <c r="B572" s="146">
        <v>59</v>
      </c>
    </row>
    <row r="573" spans="2:2" hidden="1" x14ac:dyDescent="0.2">
      <c r="B573" s="146">
        <v>60</v>
      </c>
    </row>
    <row r="574" spans="2:2" hidden="1" x14ac:dyDescent="0.2">
      <c r="B574" s="146">
        <v>61</v>
      </c>
    </row>
    <row r="575" spans="2:2" hidden="1" x14ac:dyDescent="0.2">
      <c r="B575" s="146">
        <v>62</v>
      </c>
    </row>
    <row r="576" spans="2:2" hidden="1" x14ac:dyDescent="0.2">
      <c r="B576" s="146">
        <v>63</v>
      </c>
    </row>
    <row r="577" spans="2:2" hidden="1" x14ac:dyDescent="0.2">
      <c r="B577" s="146">
        <v>64</v>
      </c>
    </row>
    <row r="578" spans="2:2" hidden="1" x14ac:dyDescent="0.2">
      <c r="B578" s="146">
        <v>65</v>
      </c>
    </row>
    <row r="579" spans="2:2" hidden="1" x14ac:dyDescent="0.2">
      <c r="B579" s="146">
        <v>66</v>
      </c>
    </row>
    <row r="580" spans="2:2" hidden="1" x14ac:dyDescent="0.2">
      <c r="B580" s="146">
        <v>67</v>
      </c>
    </row>
    <row r="581" spans="2:2" hidden="1" x14ac:dyDescent="0.2">
      <c r="B581" s="146">
        <v>68</v>
      </c>
    </row>
    <row r="582" spans="2:2" hidden="1" x14ac:dyDescent="0.2">
      <c r="B582" s="146">
        <v>69</v>
      </c>
    </row>
    <row r="583" spans="2:2" hidden="1" x14ac:dyDescent="0.2">
      <c r="B583" s="146">
        <v>70</v>
      </c>
    </row>
    <row r="584" spans="2:2" hidden="1" x14ac:dyDescent="0.2">
      <c r="B584" s="146">
        <v>71</v>
      </c>
    </row>
    <row r="585" spans="2:2" hidden="1" x14ac:dyDescent="0.2">
      <c r="B585" s="146">
        <v>72</v>
      </c>
    </row>
    <row r="586" spans="2:2" hidden="1" x14ac:dyDescent="0.2">
      <c r="B586" s="146">
        <v>73</v>
      </c>
    </row>
    <row r="587" spans="2:2" hidden="1" x14ac:dyDescent="0.2">
      <c r="B587" s="146">
        <v>74</v>
      </c>
    </row>
    <row r="588" spans="2:2" hidden="1" x14ac:dyDescent="0.2">
      <c r="B588" s="146">
        <v>75</v>
      </c>
    </row>
    <row r="589" spans="2:2" hidden="1" x14ac:dyDescent="0.2">
      <c r="B589" s="146">
        <v>76</v>
      </c>
    </row>
    <row r="590" spans="2:2" hidden="1" x14ac:dyDescent="0.2">
      <c r="B590" s="146">
        <v>77</v>
      </c>
    </row>
    <row r="591" spans="2:2" hidden="1" x14ac:dyDescent="0.2">
      <c r="B591" s="146">
        <v>78</v>
      </c>
    </row>
    <row r="592" spans="2:2" hidden="1" x14ac:dyDescent="0.2">
      <c r="B592" s="146">
        <v>79</v>
      </c>
    </row>
    <row r="593" spans="2:2" hidden="1" x14ac:dyDescent="0.2">
      <c r="B593" s="146">
        <v>80</v>
      </c>
    </row>
    <row r="594" spans="2:2" hidden="1" x14ac:dyDescent="0.2">
      <c r="B594" s="146">
        <v>81</v>
      </c>
    </row>
    <row r="595" spans="2:2" hidden="1" x14ac:dyDescent="0.2">
      <c r="B595" s="146">
        <v>82</v>
      </c>
    </row>
    <row r="596" spans="2:2" hidden="1" x14ac:dyDescent="0.2">
      <c r="B596" s="146">
        <v>83</v>
      </c>
    </row>
    <row r="597" spans="2:2" hidden="1" x14ac:dyDescent="0.2">
      <c r="B597" s="146">
        <v>84</v>
      </c>
    </row>
    <row r="598" spans="2:2" hidden="1" x14ac:dyDescent="0.2">
      <c r="B598" s="146">
        <v>85</v>
      </c>
    </row>
    <row r="599" spans="2:2" hidden="1" x14ac:dyDescent="0.2">
      <c r="B599" s="146">
        <v>86</v>
      </c>
    </row>
    <row r="600" spans="2:2" hidden="1" x14ac:dyDescent="0.2">
      <c r="B600" s="146">
        <v>87</v>
      </c>
    </row>
    <row r="601" spans="2:2" hidden="1" x14ac:dyDescent="0.2">
      <c r="B601" s="146">
        <v>88</v>
      </c>
    </row>
    <row r="602" spans="2:2" hidden="1" x14ac:dyDescent="0.2">
      <c r="B602" s="146">
        <v>89</v>
      </c>
    </row>
    <row r="603" spans="2:2" hidden="1" x14ac:dyDescent="0.2">
      <c r="B603" s="146">
        <v>90</v>
      </c>
    </row>
    <row r="604" spans="2:2" hidden="1" x14ac:dyDescent="0.2">
      <c r="B604" s="146">
        <v>91</v>
      </c>
    </row>
    <row r="605" spans="2:2" hidden="1" x14ac:dyDescent="0.2">
      <c r="B605" s="146">
        <v>92</v>
      </c>
    </row>
    <row r="606" spans="2:2" hidden="1" x14ac:dyDescent="0.2">
      <c r="B606" s="146">
        <v>93</v>
      </c>
    </row>
    <row r="607" spans="2:2" hidden="1" x14ac:dyDescent="0.2">
      <c r="B607" s="146">
        <v>94</v>
      </c>
    </row>
    <row r="608" spans="2:2" hidden="1" x14ac:dyDescent="0.2">
      <c r="B608" s="146">
        <v>95</v>
      </c>
    </row>
    <row r="609" spans="2:2" hidden="1" x14ac:dyDescent="0.2">
      <c r="B609" s="146">
        <v>96</v>
      </c>
    </row>
    <row r="610" spans="2:2" hidden="1" x14ac:dyDescent="0.2">
      <c r="B610" s="146">
        <v>97</v>
      </c>
    </row>
    <row r="611" spans="2:2" hidden="1" x14ac:dyDescent="0.2">
      <c r="B611" s="146">
        <v>98</v>
      </c>
    </row>
    <row r="612" spans="2:2" hidden="1" x14ac:dyDescent="0.2">
      <c r="B612" s="146">
        <v>99</v>
      </c>
    </row>
    <row r="613" spans="2:2" hidden="1" x14ac:dyDescent="0.2">
      <c r="B613" s="146">
        <v>100</v>
      </c>
    </row>
    <row r="614" spans="2:2" hidden="1" x14ac:dyDescent="0.2">
      <c r="B614" s="146">
        <v>101</v>
      </c>
    </row>
    <row r="615" spans="2:2" hidden="1" x14ac:dyDescent="0.2">
      <c r="B615" s="146">
        <v>102</v>
      </c>
    </row>
    <row r="616" spans="2:2" hidden="1" x14ac:dyDescent="0.2">
      <c r="B616" s="146">
        <v>103</v>
      </c>
    </row>
    <row r="617" spans="2:2" hidden="1" x14ac:dyDescent="0.2">
      <c r="B617" s="146">
        <v>104</v>
      </c>
    </row>
    <row r="618" spans="2:2" hidden="1" x14ac:dyDescent="0.2">
      <c r="B618" s="146">
        <v>105</v>
      </c>
    </row>
    <row r="619" spans="2:2" hidden="1" x14ac:dyDescent="0.2">
      <c r="B619" s="146">
        <v>106</v>
      </c>
    </row>
    <row r="620" spans="2:2" hidden="1" x14ac:dyDescent="0.2">
      <c r="B620" s="146">
        <v>107</v>
      </c>
    </row>
    <row r="621" spans="2:2" hidden="1" x14ac:dyDescent="0.2">
      <c r="B621" s="146">
        <v>108</v>
      </c>
    </row>
    <row r="622" spans="2:2" hidden="1" x14ac:dyDescent="0.2">
      <c r="B622" s="146">
        <v>109</v>
      </c>
    </row>
    <row r="623" spans="2:2" hidden="1" x14ac:dyDescent="0.2">
      <c r="B623" s="146">
        <v>110</v>
      </c>
    </row>
    <row r="624" spans="2:2" hidden="1" x14ac:dyDescent="0.2">
      <c r="B624" s="146">
        <v>111</v>
      </c>
    </row>
    <row r="625" spans="2:2" hidden="1" x14ac:dyDescent="0.2">
      <c r="B625" s="146">
        <v>112</v>
      </c>
    </row>
    <row r="626" spans="2:2" hidden="1" x14ac:dyDescent="0.2">
      <c r="B626" s="146">
        <v>113</v>
      </c>
    </row>
    <row r="627" spans="2:2" hidden="1" x14ac:dyDescent="0.2">
      <c r="B627" s="146">
        <v>114</v>
      </c>
    </row>
    <row r="628" spans="2:2" hidden="1" x14ac:dyDescent="0.2">
      <c r="B628" s="146">
        <v>115</v>
      </c>
    </row>
    <row r="629" spans="2:2" hidden="1" x14ac:dyDescent="0.2">
      <c r="B629" s="146">
        <v>116</v>
      </c>
    </row>
    <row r="630" spans="2:2" hidden="1" x14ac:dyDescent="0.2">
      <c r="B630" s="146">
        <v>117</v>
      </c>
    </row>
    <row r="631" spans="2:2" hidden="1" x14ac:dyDescent="0.2">
      <c r="B631" s="146">
        <v>118</v>
      </c>
    </row>
    <row r="632" spans="2:2" hidden="1" x14ac:dyDescent="0.2">
      <c r="B632" s="146">
        <v>119</v>
      </c>
    </row>
    <row r="633" spans="2:2" hidden="1" x14ac:dyDescent="0.2">
      <c r="B633" s="146">
        <v>120</v>
      </c>
    </row>
    <row r="634" spans="2:2" hidden="1" x14ac:dyDescent="0.2">
      <c r="B634" s="146">
        <v>121</v>
      </c>
    </row>
    <row r="635" spans="2:2" hidden="1" x14ac:dyDescent="0.2">
      <c r="B635" s="146">
        <v>122</v>
      </c>
    </row>
    <row r="636" spans="2:2" hidden="1" x14ac:dyDescent="0.2">
      <c r="B636" s="146">
        <v>123</v>
      </c>
    </row>
    <row r="637" spans="2:2" hidden="1" x14ac:dyDescent="0.2">
      <c r="B637" s="146">
        <v>124</v>
      </c>
    </row>
    <row r="638" spans="2:2" hidden="1" x14ac:dyDescent="0.2">
      <c r="B638" s="146">
        <v>125</v>
      </c>
    </row>
    <row r="639" spans="2:2" hidden="1" x14ac:dyDescent="0.2">
      <c r="B639" s="146">
        <v>126</v>
      </c>
    </row>
    <row r="640" spans="2:2" hidden="1" x14ac:dyDescent="0.2">
      <c r="B640" s="146">
        <v>127</v>
      </c>
    </row>
    <row r="641" spans="2:2" hidden="1" x14ac:dyDescent="0.2">
      <c r="B641" s="146">
        <v>128</v>
      </c>
    </row>
    <row r="642" spans="2:2" hidden="1" x14ac:dyDescent="0.2">
      <c r="B642" s="146">
        <v>129</v>
      </c>
    </row>
    <row r="643" spans="2:2" hidden="1" x14ac:dyDescent="0.2">
      <c r="B643" s="146">
        <v>130</v>
      </c>
    </row>
    <row r="644" spans="2:2" hidden="1" x14ac:dyDescent="0.2">
      <c r="B644" s="146">
        <v>131</v>
      </c>
    </row>
    <row r="645" spans="2:2" hidden="1" x14ac:dyDescent="0.2">
      <c r="B645" s="146">
        <v>132</v>
      </c>
    </row>
    <row r="646" spans="2:2" hidden="1" x14ac:dyDescent="0.2">
      <c r="B646" s="146">
        <v>133</v>
      </c>
    </row>
    <row r="647" spans="2:2" hidden="1" x14ac:dyDescent="0.2">
      <c r="B647" s="146">
        <v>134</v>
      </c>
    </row>
    <row r="648" spans="2:2" hidden="1" x14ac:dyDescent="0.2">
      <c r="B648" s="146">
        <v>135</v>
      </c>
    </row>
    <row r="649" spans="2:2" hidden="1" x14ac:dyDescent="0.2">
      <c r="B649" s="146">
        <v>136</v>
      </c>
    </row>
    <row r="650" spans="2:2" hidden="1" x14ac:dyDescent="0.2">
      <c r="B650" s="146">
        <v>137</v>
      </c>
    </row>
    <row r="651" spans="2:2" hidden="1" x14ac:dyDescent="0.2">
      <c r="B651" s="146">
        <v>138</v>
      </c>
    </row>
    <row r="652" spans="2:2" hidden="1" x14ac:dyDescent="0.2">
      <c r="B652" s="146">
        <v>139</v>
      </c>
    </row>
    <row r="653" spans="2:2" hidden="1" x14ac:dyDescent="0.2">
      <c r="B653" s="146">
        <v>140</v>
      </c>
    </row>
    <row r="654" spans="2:2" hidden="1" x14ac:dyDescent="0.2">
      <c r="B654" s="146">
        <v>141</v>
      </c>
    </row>
    <row r="655" spans="2:2" hidden="1" x14ac:dyDescent="0.2">
      <c r="B655" s="146">
        <v>142</v>
      </c>
    </row>
    <row r="656" spans="2:2" hidden="1" x14ac:dyDescent="0.2">
      <c r="B656" s="146">
        <v>143</v>
      </c>
    </row>
    <row r="657" spans="2:2" hidden="1" x14ac:dyDescent="0.2">
      <c r="B657" s="146">
        <v>144</v>
      </c>
    </row>
    <row r="658" spans="2:2" hidden="1" x14ac:dyDescent="0.2">
      <c r="B658" s="146">
        <v>145</v>
      </c>
    </row>
    <row r="659" spans="2:2" hidden="1" x14ac:dyDescent="0.2">
      <c r="B659" s="146">
        <v>146</v>
      </c>
    </row>
    <row r="660" spans="2:2" hidden="1" x14ac:dyDescent="0.2">
      <c r="B660" s="146">
        <v>147</v>
      </c>
    </row>
    <row r="661" spans="2:2" hidden="1" x14ac:dyDescent="0.2">
      <c r="B661" s="146">
        <v>148</v>
      </c>
    </row>
    <row r="662" spans="2:2" hidden="1" x14ac:dyDescent="0.2">
      <c r="B662" s="146">
        <v>149</v>
      </c>
    </row>
    <row r="663" spans="2:2" hidden="1" x14ac:dyDescent="0.2">
      <c r="B663" s="146">
        <v>150</v>
      </c>
    </row>
    <row r="664" spans="2:2" hidden="1" x14ac:dyDescent="0.2"/>
    <row r="665" spans="2:2" hidden="1" x14ac:dyDescent="0.2"/>
    <row r="666" spans="2:2" hidden="1" x14ac:dyDescent="0.2"/>
    <row r="667" spans="2:2" hidden="1" x14ac:dyDescent="0.2"/>
    <row r="668" spans="2:2" hidden="1" x14ac:dyDescent="0.2"/>
    <row r="669" spans="2:2" hidden="1" x14ac:dyDescent="0.2"/>
  </sheetData>
  <sheetProtection sheet="1" objects="1" scenarios="1"/>
  <mergeCells count="1208">
    <mergeCell ref="B178:J179"/>
    <mergeCell ref="B232:K233"/>
    <mergeCell ref="G381:I381"/>
    <mergeCell ref="J381:K381"/>
    <mergeCell ref="J383:K383"/>
    <mergeCell ref="L382:O382"/>
    <mergeCell ref="L383:O383"/>
    <mergeCell ref="B372:O372"/>
    <mergeCell ref="J345:K345"/>
    <mergeCell ref="J342:K342"/>
    <mergeCell ref="G349:I349"/>
    <mergeCell ref="B334:O334"/>
    <mergeCell ref="G348:I348"/>
    <mergeCell ref="B348:D348"/>
    <mergeCell ref="E347:F347"/>
    <mergeCell ref="E350:F350"/>
    <mergeCell ref="G157:I157"/>
    <mergeCell ref="E231:F231"/>
    <mergeCell ref="G231:O231"/>
    <mergeCell ref="E256:F256"/>
    <mergeCell ref="G259:O259"/>
    <mergeCell ref="G242:O242"/>
    <mergeCell ref="C177:D177"/>
    <mergeCell ref="J195:K195"/>
    <mergeCell ref="B206:O206"/>
    <mergeCell ref="F208:G208"/>
    <mergeCell ref="F209:G209"/>
    <mergeCell ref="B220:O220"/>
    <mergeCell ref="N271:O271"/>
    <mergeCell ref="F270:K270"/>
    <mergeCell ref="L270:M270"/>
    <mergeCell ref="H216:O216"/>
    <mergeCell ref="R405:R406"/>
    <mergeCell ref="L361:O366"/>
    <mergeCell ref="B367:O367"/>
    <mergeCell ref="J350:K350"/>
    <mergeCell ref="J348:K348"/>
    <mergeCell ref="B351:D351"/>
    <mergeCell ref="B349:D349"/>
    <mergeCell ref="G355:I355"/>
    <mergeCell ref="B356:D356"/>
    <mergeCell ref="G346:I346"/>
    <mergeCell ref="J347:K347"/>
    <mergeCell ref="G357:I357"/>
    <mergeCell ref="G356:I356"/>
    <mergeCell ref="B347:D347"/>
    <mergeCell ref="G256:O256"/>
    <mergeCell ref="F249:G249"/>
    <mergeCell ref="K20:N20"/>
    <mergeCell ref="K21:O21"/>
    <mergeCell ref="K178:N178"/>
    <mergeCell ref="K179:O179"/>
    <mergeCell ref="K138:N138"/>
    <mergeCell ref="K139:O139"/>
    <mergeCell ref="K58:N58"/>
    <mergeCell ref="K59:O59"/>
    <mergeCell ref="L37:O40"/>
    <mergeCell ref="B41:O41"/>
    <mergeCell ref="L77:O80"/>
    <mergeCell ref="B81:O81"/>
    <mergeCell ref="L56:O56"/>
    <mergeCell ref="J56:K56"/>
    <mergeCell ref="G55:O55"/>
    <mergeCell ref="C227:F227"/>
    <mergeCell ref="AA88:AD88"/>
    <mergeCell ref="T165:T166"/>
    <mergeCell ref="AD229:AG229"/>
    <mergeCell ref="S269:T269"/>
    <mergeCell ref="W376:X376"/>
    <mergeCell ref="S270:T270"/>
    <mergeCell ref="R279:S279"/>
    <mergeCell ref="V375:Y375"/>
    <mergeCell ref="L90:N90"/>
    <mergeCell ref="B91:O91"/>
    <mergeCell ref="R237:R238"/>
    <mergeCell ref="R241:R242"/>
    <mergeCell ref="R129:R130"/>
    <mergeCell ref="V133:W133"/>
    <mergeCell ref="R146:S146"/>
    <mergeCell ref="R169:R170"/>
    <mergeCell ref="T132:U132"/>
    <mergeCell ref="T92:U92"/>
    <mergeCell ref="V173:W173"/>
    <mergeCell ref="R186:S186"/>
    <mergeCell ref="Z251:AB251"/>
    <mergeCell ref="E154:F154"/>
    <mergeCell ref="J158:K158"/>
    <mergeCell ref="B155:D155"/>
    <mergeCell ref="E155:F155"/>
    <mergeCell ref="B162:O162"/>
    <mergeCell ref="J160:K160"/>
    <mergeCell ref="G152:K152"/>
    <mergeCell ref="C188:D188"/>
    <mergeCell ref="B191:O191"/>
    <mergeCell ref="G223:O223"/>
    <mergeCell ref="B98:J99"/>
    <mergeCell ref="AA294:AB294"/>
    <mergeCell ref="AA295:AB295"/>
    <mergeCell ref="AA296:AB296"/>
    <mergeCell ref="Z105:AB105"/>
    <mergeCell ref="R89:R90"/>
    <mergeCell ref="V93:W93"/>
    <mergeCell ref="Z252:AB252"/>
    <mergeCell ref="R106:S106"/>
    <mergeCell ref="Z215:AB215"/>
    <mergeCell ref="C53:D53"/>
    <mergeCell ref="C49:K49"/>
    <mergeCell ref="C50:K50"/>
    <mergeCell ref="G93:I93"/>
    <mergeCell ref="E94:F94"/>
    <mergeCell ref="G94:I94"/>
    <mergeCell ref="J94:K94"/>
    <mergeCell ref="E54:F54"/>
    <mergeCell ref="C93:D93"/>
    <mergeCell ref="G74:I74"/>
    <mergeCell ref="G75:I75"/>
    <mergeCell ref="J76:K76"/>
    <mergeCell ref="J77:K77"/>
    <mergeCell ref="E73:F73"/>
    <mergeCell ref="C70:D70"/>
    <mergeCell ref="J78:K78"/>
    <mergeCell ref="B75:D75"/>
    <mergeCell ref="B72:F72"/>
    <mergeCell ref="E76:F76"/>
    <mergeCell ref="E75:F75"/>
    <mergeCell ref="G78:I78"/>
    <mergeCell ref="B168:O168"/>
    <mergeCell ref="Y62:Y63"/>
    <mergeCell ref="M1:P1"/>
    <mergeCell ref="D1:K1"/>
    <mergeCell ref="B1:C1"/>
    <mergeCell ref="E117:F117"/>
    <mergeCell ref="E118:F118"/>
    <mergeCell ref="B122:P122"/>
    <mergeCell ref="E120:F120"/>
    <mergeCell ref="J80:K80"/>
    <mergeCell ref="B78:D78"/>
    <mergeCell ref="E78:F78"/>
    <mergeCell ref="B43:P43"/>
    <mergeCell ref="B45:P45"/>
    <mergeCell ref="B44:P44"/>
    <mergeCell ref="B40:D40"/>
    <mergeCell ref="E40:F40"/>
    <mergeCell ref="L53:O53"/>
    <mergeCell ref="J54:K54"/>
    <mergeCell ref="N28:O28"/>
    <mergeCell ref="J93:K93"/>
    <mergeCell ref="L93:O93"/>
    <mergeCell ref="B88:O88"/>
    <mergeCell ref="G52:K52"/>
    <mergeCell ref="B51:O51"/>
    <mergeCell ref="E53:F53"/>
    <mergeCell ref="B48:O48"/>
    <mergeCell ref="P48:P58"/>
    <mergeCell ref="E55:F55"/>
    <mergeCell ref="G53:I53"/>
    <mergeCell ref="L52:O52"/>
    <mergeCell ref="C52:F52"/>
    <mergeCell ref="J38:K38"/>
    <mergeCell ref="C69:D69"/>
    <mergeCell ref="B463:D463"/>
    <mergeCell ref="E97:F97"/>
    <mergeCell ref="C382:D382"/>
    <mergeCell ref="G97:O97"/>
    <mergeCell ref="E95:F95"/>
    <mergeCell ref="E113:F113"/>
    <mergeCell ref="L112:O112"/>
    <mergeCell ref="L113:O114"/>
    <mergeCell ref="C108:D108"/>
    <mergeCell ref="E108:O108"/>
    <mergeCell ref="G95:O95"/>
    <mergeCell ref="L449:O449"/>
    <mergeCell ref="L465:O470"/>
    <mergeCell ref="C384:D384"/>
    <mergeCell ref="C378:D378"/>
    <mergeCell ref="B392:O392"/>
    <mergeCell ref="B393:O393"/>
    <mergeCell ref="J384:K384"/>
    <mergeCell ref="C381:D381"/>
    <mergeCell ref="E379:F379"/>
    <mergeCell ref="C383:D383"/>
    <mergeCell ref="N146:O146"/>
    <mergeCell ref="E377:F377"/>
    <mergeCell ref="J385:K385"/>
    <mergeCell ref="L381:O381"/>
    <mergeCell ref="G386:I386"/>
    <mergeCell ref="G382:I382"/>
    <mergeCell ref="J382:K382"/>
    <mergeCell ref="L227:O227"/>
    <mergeCell ref="E364:F364"/>
    <mergeCell ref="G227:K227"/>
    <mergeCell ref="B438:M438"/>
    <mergeCell ref="Z146:AB146"/>
    <mergeCell ref="B117:D117"/>
    <mergeCell ref="B462:D462"/>
    <mergeCell ref="T45:T46"/>
    <mergeCell ref="T85:T86"/>
    <mergeCell ref="T125:T126"/>
    <mergeCell ref="R66:S66"/>
    <mergeCell ref="R49:R50"/>
    <mergeCell ref="E376:F376"/>
    <mergeCell ref="B387:O387"/>
    <mergeCell ref="C395:O395"/>
    <mergeCell ref="B390:O390"/>
    <mergeCell ref="C385:D385"/>
    <mergeCell ref="E385:F385"/>
    <mergeCell ref="L384:O384"/>
    <mergeCell ref="G383:I383"/>
    <mergeCell ref="E383:F383"/>
    <mergeCell ref="G378:I378"/>
    <mergeCell ref="E378:F378"/>
    <mergeCell ref="N106:O106"/>
    <mergeCell ref="C90:K90"/>
    <mergeCell ref="G92:K92"/>
    <mergeCell ref="C92:F92"/>
    <mergeCell ref="L94:O94"/>
    <mergeCell ref="C110:D110"/>
    <mergeCell ref="B113:D113"/>
    <mergeCell ref="E93:F93"/>
    <mergeCell ref="E455:F455"/>
    <mergeCell ref="J461:K461"/>
    <mergeCell ref="E461:F461"/>
    <mergeCell ref="E433:F433"/>
    <mergeCell ref="C377:D377"/>
    <mergeCell ref="C500:G500"/>
    <mergeCell ref="H500:M500"/>
    <mergeCell ref="J470:K470"/>
    <mergeCell ref="E469:F469"/>
    <mergeCell ref="J469:K469"/>
    <mergeCell ref="J467:K467"/>
    <mergeCell ref="G469:I469"/>
    <mergeCell ref="B459:D459"/>
    <mergeCell ref="G457:I457"/>
    <mergeCell ref="B457:D457"/>
    <mergeCell ref="B465:D465"/>
    <mergeCell ref="E465:F465"/>
    <mergeCell ref="G464:I464"/>
    <mergeCell ref="G465:I465"/>
    <mergeCell ref="E459:F459"/>
    <mergeCell ref="E460:F460"/>
    <mergeCell ref="G459:I459"/>
    <mergeCell ref="C483:D483"/>
    <mergeCell ref="C479:D479"/>
    <mergeCell ref="F479:G479"/>
    <mergeCell ref="B468:D468"/>
    <mergeCell ref="B471:O471"/>
    <mergeCell ref="E466:F466"/>
    <mergeCell ref="H479:I479"/>
    <mergeCell ref="J479:M479"/>
    <mergeCell ref="N479:P479"/>
    <mergeCell ref="C478:D478"/>
    <mergeCell ref="F478:G478"/>
    <mergeCell ref="H478:I478"/>
    <mergeCell ref="J478:M478"/>
    <mergeCell ref="C477:D477"/>
    <mergeCell ref="F477:G477"/>
    <mergeCell ref="S2:T2"/>
    <mergeCell ref="S1:T1"/>
    <mergeCell ref="E157:F157"/>
    <mergeCell ref="J157:K157"/>
    <mergeCell ref="Z185:AB185"/>
    <mergeCell ref="G133:I133"/>
    <mergeCell ref="V12:W12"/>
    <mergeCell ref="S23:U23"/>
    <mergeCell ref="Z186:AB186"/>
    <mergeCell ref="B38:D38"/>
    <mergeCell ref="B116:D116"/>
    <mergeCell ref="J117:K117"/>
    <mergeCell ref="Z28:AB28"/>
    <mergeCell ref="Z27:AB27"/>
    <mergeCell ref="Z65:AB65"/>
    <mergeCell ref="B66:M66"/>
    <mergeCell ref="N66:O66"/>
    <mergeCell ref="Z66:AB66"/>
    <mergeCell ref="J35:K35"/>
    <mergeCell ref="C31:D31"/>
    <mergeCell ref="C54:D54"/>
    <mergeCell ref="Z106:AB106"/>
    <mergeCell ref="Z145:AB145"/>
    <mergeCell ref="B146:M146"/>
    <mergeCell ref="J153:K153"/>
    <mergeCell ref="J116:K116"/>
    <mergeCell ref="C175:D175"/>
    <mergeCell ref="L176:O176"/>
    <mergeCell ref="B185:O185"/>
    <mergeCell ref="P168:P178"/>
    <mergeCell ref="G120:I120"/>
    <mergeCell ref="C170:K170"/>
    <mergeCell ref="G435:O435"/>
    <mergeCell ref="L445:M445"/>
    <mergeCell ref="B439:P439"/>
    <mergeCell ref="B456:D456"/>
    <mergeCell ref="B469:D469"/>
    <mergeCell ref="E454:F454"/>
    <mergeCell ref="J454:K454"/>
    <mergeCell ref="B458:D458"/>
    <mergeCell ref="E470:F470"/>
    <mergeCell ref="B466:D466"/>
    <mergeCell ref="B467:D467"/>
    <mergeCell ref="F294:L294"/>
    <mergeCell ref="F317:O317"/>
    <mergeCell ref="G260:O260"/>
    <mergeCell ref="G261:O261"/>
    <mergeCell ref="N305:P305"/>
    <mergeCell ref="B276:P276"/>
    <mergeCell ref="N272:O272"/>
    <mergeCell ref="B265:O265"/>
    <mergeCell ref="F335:L335"/>
    <mergeCell ref="B336:O336"/>
    <mergeCell ref="F332:L332"/>
    <mergeCell ref="B327:O327"/>
    <mergeCell ref="F325:L325"/>
    <mergeCell ref="E261:F261"/>
    <mergeCell ref="F315:L315"/>
    <mergeCell ref="F324:L324"/>
    <mergeCell ref="L273:M273"/>
    <mergeCell ref="J376:K376"/>
    <mergeCell ref="C376:D376"/>
    <mergeCell ref="F313:L313"/>
    <mergeCell ref="B374:O374"/>
    <mergeCell ref="B244:O244"/>
    <mergeCell ref="B255:O255"/>
    <mergeCell ref="G222:I222"/>
    <mergeCell ref="C224:D224"/>
    <mergeCell ref="J224:K224"/>
    <mergeCell ref="E229:F229"/>
    <mergeCell ref="L228:O228"/>
    <mergeCell ref="E228:F228"/>
    <mergeCell ref="F219:G219"/>
    <mergeCell ref="G230:I230"/>
    <mergeCell ref="J230:K230"/>
    <mergeCell ref="B226:N226"/>
    <mergeCell ref="J222:K222"/>
    <mergeCell ref="N266:O266"/>
    <mergeCell ref="E260:F260"/>
    <mergeCell ref="B249:E249"/>
    <mergeCell ref="B242:F242"/>
    <mergeCell ref="B243:O243"/>
    <mergeCell ref="E257:F257"/>
    <mergeCell ref="E258:F258"/>
    <mergeCell ref="C230:D230"/>
    <mergeCell ref="G229:O229"/>
    <mergeCell ref="G241:O241"/>
    <mergeCell ref="B240:O240"/>
    <mergeCell ref="G262:O262"/>
    <mergeCell ref="B241:F241"/>
    <mergeCell ref="B239:O239"/>
    <mergeCell ref="C238:N238"/>
    <mergeCell ref="L170:N170"/>
    <mergeCell ref="N186:O186"/>
    <mergeCell ref="J228:K228"/>
    <mergeCell ref="F272:K272"/>
    <mergeCell ref="B250:O250"/>
    <mergeCell ref="F269:K269"/>
    <mergeCell ref="E262:F262"/>
    <mergeCell ref="C270:E270"/>
    <mergeCell ref="B254:O254"/>
    <mergeCell ref="B279:L279"/>
    <mergeCell ref="B277:P277"/>
    <mergeCell ref="C183:N183"/>
    <mergeCell ref="B200:D200"/>
    <mergeCell ref="B251:O251"/>
    <mergeCell ref="B253:M253"/>
    <mergeCell ref="B268:O268"/>
    <mergeCell ref="B266:M266"/>
    <mergeCell ref="N269:O269"/>
    <mergeCell ref="L230:O230"/>
    <mergeCell ref="B208:E208"/>
    <mergeCell ref="B263:O263"/>
    <mergeCell ref="C269:E269"/>
    <mergeCell ref="E223:F223"/>
    <mergeCell ref="G228:I228"/>
    <mergeCell ref="E230:F230"/>
    <mergeCell ref="N270:O270"/>
    <mergeCell ref="E259:F259"/>
    <mergeCell ref="B252:M252"/>
    <mergeCell ref="B267:O267"/>
    <mergeCell ref="L269:M269"/>
    <mergeCell ref="G258:O258"/>
    <mergeCell ref="G247:O247"/>
    <mergeCell ref="C142:N142"/>
    <mergeCell ref="J154:K154"/>
    <mergeCell ref="B126:O126"/>
    <mergeCell ref="C129:K129"/>
    <mergeCell ref="B330:D330"/>
    <mergeCell ref="F330:L330"/>
    <mergeCell ref="J349:K349"/>
    <mergeCell ref="G351:I351"/>
    <mergeCell ref="J351:K351"/>
    <mergeCell ref="B127:P127"/>
    <mergeCell ref="B234:O234"/>
    <mergeCell ref="B245:O245"/>
    <mergeCell ref="G257:O257"/>
    <mergeCell ref="B256:D262"/>
    <mergeCell ref="P269:P274"/>
    <mergeCell ref="F273:K273"/>
    <mergeCell ref="N252:O252"/>
    <mergeCell ref="B196:D196"/>
    <mergeCell ref="P221:P232"/>
    <mergeCell ref="G172:K172"/>
    <mergeCell ref="G173:I173"/>
    <mergeCell ref="J173:K173"/>
    <mergeCell ref="C190:D190"/>
    <mergeCell ref="E199:F199"/>
    <mergeCell ref="L157:O160"/>
    <mergeCell ref="F283:L283"/>
    <mergeCell ref="B264:O264"/>
    <mergeCell ref="F212:G212"/>
    <mergeCell ref="C237:N237"/>
    <mergeCell ref="B235:O235"/>
    <mergeCell ref="C246:O246"/>
    <mergeCell ref="H215:O215"/>
    <mergeCell ref="E362:F362"/>
    <mergeCell ref="E363:F363"/>
    <mergeCell ref="B366:D366"/>
    <mergeCell ref="B370:O370"/>
    <mergeCell ref="C375:F375"/>
    <mergeCell ref="B355:D355"/>
    <mergeCell ref="E349:F349"/>
    <mergeCell ref="B353:D353"/>
    <mergeCell ref="J354:K354"/>
    <mergeCell ref="E358:F358"/>
    <mergeCell ref="B368:P368"/>
    <mergeCell ref="B369:P369"/>
    <mergeCell ref="E361:F361"/>
    <mergeCell ref="J360:K360"/>
    <mergeCell ref="G359:I359"/>
    <mergeCell ref="B331:D333"/>
    <mergeCell ref="F333:L333"/>
    <mergeCell ref="L352:O357"/>
    <mergeCell ref="J352:K352"/>
    <mergeCell ref="B357:D357"/>
    <mergeCell ref="B352:D352"/>
    <mergeCell ref="E356:F356"/>
    <mergeCell ref="G366:I366"/>
    <mergeCell ref="G365:I365"/>
    <mergeCell ref="E353:F353"/>
    <mergeCell ref="B159:D159"/>
    <mergeCell ref="L172:O172"/>
    <mergeCell ref="G352:I352"/>
    <mergeCell ref="B358:D358"/>
    <mergeCell ref="J361:K361"/>
    <mergeCell ref="J356:K356"/>
    <mergeCell ref="J357:K357"/>
    <mergeCell ref="P340:P367"/>
    <mergeCell ref="B365:D365"/>
    <mergeCell ref="G341:I341"/>
    <mergeCell ref="F282:L282"/>
    <mergeCell ref="B306:M306"/>
    <mergeCell ref="F308:L308"/>
    <mergeCell ref="F329:L329"/>
    <mergeCell ref="F318:L318"/>
    <mergeCell ref="B320:D321"/>
    <mergeCell ref="B328:D328"/>
    <mergeCell ref="J365:K365"/>
    <mergeCell ref="J364:K364"/>
    <mergeCell ref="J362:K362"/>
    <mergeCell ref="G353:I353"/>
    <mergeCell ref="J353:K353"/>
    <mergeCell ref="J366:K366"/>
    <mergeCell ref="G364:I364"/>
    <mergeCell ref="M278:M279"/>
    <mergeCell ref="F292:L292"/>
    <mergeCell ref="N291:O291"/>
    <mergeCell ref="B275:O275"/>
    <mergeCell ref="C231:D231"/>
    <mergeCell ref="L271:M271"/>
    <mergeCell ref="B236:O236"/>
    <mergeCell ref="B248:O248"/>
    <mergeCell ref="P88:P98"/>
    <mergeCell ref="B121:O121"/>
    <mergeCell ref="E150:O150"/>
    <mergeCell ref="G137:O137"/>
    <mergeCell ref="L133:O133"/>
    <mergeCell ref="C135:D135"/>
    <mergeCell ref="E134:F134"/>
    <mergeCell ref="C132:F132"/>
    <mergeCell ref="E137:F137"/>
    <mergeCell ref="B87:P87"/>
    <mergeCell ref="B85:P85"/>
    <mergeCell ref="G80:I80"/>
    <mergeCell ref="B123:P123"/>
    <mergeCell ref="G117:I117"/>
    <mergeCell ref="G119:I119"/>
    <mergeCell ref="J119:K119"/>
    <mergeCell ref="J120:K120"/>
    <mergeCell ref="B83:P83"/>
    <mergeCell ref="G115:I115"/>
    <mergeCell ref="J115:K115"/>
    <mergeCell ref="L129:N129"/>
    <mergeCell ref="L130:N130"/>
    <mergeCell ref="B124:P124"/>
    <mergeCell ref="E135:F135"/>
    <mergeCell ref="J133:K133"/>
    <mergeCell ref="C143:N143"/>
    <mergeCell ref="P112:P121"/>
    <mergeCell ref="E114:F114"/>
    <mergeCell ref="B115:D115"/>
    <mergeCell ref="B112:F112"/>
    <mergeCell ref="B144:O144"/>
    <mergeCell ref="J113:K113"/>
    <mergeCell ref="T11:U11"/>
    <mergeCell ref="G35:I35"/>
    <mergeCell ref="G34:I34"/>
    <mergeCell ref="B60:O60"/>
    <mergeCell ref="B61:O61"/>
    <mergeCell ref="E68:O68"/>
    <mergeCell ref="E69:O69"/>
    <mergeCell ref="B23:O23"/>
    <mergeCell ref="L117:O120"/>
    <mergeCell ref="B105:O105"/>
    <mergeCell ref="B101:O101"/>
    <mergeCell ref="C102:N102"/>
    <mergeCell ref="C103:N103"/>
    <mergeCell ref="E110:O110"/>
    <mergeCell ref="B104:O104"/>
    <mergeCell ref="C109:D109"/>
    <mergeCell ref="C95:D95"/>
    <mergeCell ref="E116:F116"/>
    <mergeCell ref="B65:O65"/>
    <mergeCell ref="G112:K112"/>
    <mergeCell ref="B84:P84"/>
    <mergeCell ref="C97:D97"/>
    <mergeCell ref="C63:N63"/>
    <mergeCell ref="B64:O64"/>
    <mergeCell ref="B77:D77"/>
    <mergeCell ref="E77:F77"/>
    <mergeCell ref="L92:O92"/>
    <mergeCell ref="C89:K89"/>
    <mergeCell ref="T52:U52"/>
    <mergeCell ref="B20:J21"/>
    <mergeCell ref="B58:J59"/>
    <mergeCell ref="C68:D68"/>
    <mergeCell ref="L49:N49"/>
    <mergeCell ref="L50:N50"/>
    <mergeCell ref="B71:O71"/>
    <mergeCell ref="B73:D73"/>
    <mergeCell ref="E70:O70"/>
    <mergeCell ref="B152:F152"/>
    <mergeCell ref="E119:F119"/>
    <mergeCell ref="C62:N62"/>
    <mergeCell ref="G56:I56"/>
    <mergeCell ref="C55:D55"/>
    <mergeCell ref="L134:O134"/>
    <mergeCell ref="G134:I134"/>
    <mergeCell ref="L152:O152"/>
    <mergeCell ref="C56:D56"/>
    <mergeCell ref="E56:F56"/>
    <mergeCell ref="B86:O86"/>
    <mergeCell ref="C96:D96"/>
    <mergeCell ref="J96:K96"/>
    <mergeCell ref="G77:I77"/>
    <mergeCell ref="G79:I79"/>
    <mergeCell ref="C134:D134"/>
    <mergeCell ref="C133:D133"/>
    <mergeCell ref="B141:O141"/>
    <mergeCell ref="C130:K130"/>
    <mergeCell ref="B138:J139"/>
    <mergeCell ref="G118:I118"/>
    <mergeCell ref="J118:K118"/>
    <mergeCell ref="E136:F136"/>
    <mergeCell ref="C148:D148"/>
    <mergeCell ref="L136:O136"/>
    <mergeCell ref="B145:O145"/>
    <mergeCell ref="B140:O140"/>
    <mergeCell ref="T7:T8"/>
    <mergeCell ref="B8:O8"/>
    <mergeCell ref="B9:P9"/>
    <mergeCell ref="B10:O10"/>
    <mergeCell ref="G11:K11"/>
    <mergeCell ref="L11:O11"/>
    <mergeCell ref="B7:P7"/>
    <mergeCell ref="P10:P20"/>
    <mergeCell ref="G39:I39"/>
    <mergeCell ref="E37:F37"/>
    <mergeCell ref="G16:I16"/>
    <mergeCell ref="L16:O16"/>
    <mergeCell ref="C19:D19"/>
    <mergeCell ref="G19:O19"/>
    <mergeCell ref="E16:F16"/>
    <mergeCell ref="L35:O36"/>
    <mergeCell ref="B22:O22"/>
    <mergeCell ref="C18:D18"/>
    <mergeCell ref="P33:P41"/>
    <mergeCell ref="G33:K33"/>
    <mergeCell ref="E14:F14"/>
    <mergeCell ref="E13:F13"/>
    <mergeCell ref="G12:I12"/>
    <mergeCell ref="C17:D17"/>
    <mergeCell ref="C14:D14"/>
    <mergeCell ref="E19:F19"/>
    <mergeCell ref="G18:I18"/>
    <mergeCell ref="E17:F17"/>
    <mergeCell ref="R28:S28"/>
    <mergeCell ref="L12:O12"/>
    <mergeCell ref="E12:F12"/>
    <mergeCell ref="J13:K13"/>
    <mergeCell ref="AJ208:AN208"/>
    <mergeCell ref="E224:F224"/>
    <mergeCell ref="E225:F225"/>
    <mergeCell ref="L222:O222"/>
    <mergeCell ref="G221:K221"/>
    <mergeCell ref="L221:O221"/>
    <mergeCell ref="B214:O214"/>
    <mergeCell ref="C223:D223"/>
    <mergeCell ref="AD223:AG223"/>
    <mergeCell ref="C222:D222"/>
    <mergeCell ref="G159:I159"/>
    <mergeCell ref="B157:D157"/>
    <mergeCell ref="G225:O225"/>
    <mergeCell ref="L224:O224"/>
    <mergeCell ref="E80:F80"/>
    <mergeCell ref="J74:K74"/>
    <mergeCell ref="G76:I76"/>
    <mergeCell ref="J75:K75"/>
    <mergeCell ref="B82:P82"/>
    <mergeCell ref="B76:D76"/>
    <mergeCell ref="E74:F74"/>
    <mergeCell ref="J79:K79"/>
    <mergeCell ref="G96:I96"/>
    <mergeCell ref="B119:D119"/>
    <mergeCell ref="B74:D74"/>
    <mergeCell ref="E173:F173"/>
    <mergeCell ref="E175:F175"/>
    <mergeCell ref="G174:I174"/>
    <mergeCell ref="G175:O175"/>
    <mergeCell ref="E176:F176"/>
    <mergeCell ref="E174:F174"/>
    <mergeCell ref="E148:O148"/>
    <mergeCell ref="V53:W53"/>
    <mergeCell ref="E109:O109"/>
    <mergeCell ref="B100:O100"/>
    <mergeCell ref="E96:F96"/>
    <mergeCell ref="J53:K53"/>
    <mergeCell ref="E57:F57"/>
    <mergeCell ref="G57:O57"/>
    <mergeCell ref="L54:O54"/>
    <mergeCell ref="G54:I54"/>
    <mergeCell ref="B36:D36"/>
    <mergeCell ref="B42:P42"/>
    <mergeCell ref="E36:F36"/>
    <mergeCell ref="J39:K39"/>
    <mergeCell ref="E31:O31"/>
    <mergeCell ref="B39:D39"/>
    <mergeCell ref="E39:F39"/>
    <mergeCell ref="B32:O32"/>
    <mergeCell ref="G40:I40"/>
    <mergeCell ref="J40:K40"/>
    <mergeCell ref="L72:O72"/>
    <mergeCell ref="L73:O74"/>
    <mergeCell ref="E79:F79"/>
    <mergeCell ref="B80:D80"/>
    <mergeCell ref="B37:D37"/>
    <mergeCell ref="B47:P47"/>
    <mergeCell ref="B79:D79"/>
    <mergeCell ref="P72:P81"/>
    <mergeCell ref="G72:K72"/>
    <mergeCell ref="G73:I73"/>
    <mergeCell ref="J73:K73"/>
    <mergeCell ref="C94:D94"/>
    <mergeCell ref="L89:N89"/>
    <mergeCell ref="Z208:AB208"/>
    <mergeCell ref="B164:P164"/>
    <mergeCell ref="G155:I155"/>
    <mergeCell ref="Y182:Y183"/>
    <mergeCell ref="V221:W221"/>
    <mergeCell ref="T220:U220"/>
    <mergeCell ref="C221:F221"/>
    <mergeCell ref="B213:O213"/>
    <mergeCell ref="F215:G215"/>
    <mergeCell ref="E197:F197"/>
    <mergeCell ref="G193:I193"/>
    <mergeCell ref="G195:I195"/>
    <mergeCell ref="B193:D193"/>
    <mergeCell ref="B209:E212"/>
    <mergeCell ref="J193:K193"/>
    <mergeCell ref="E188:O188"/>
    <mergeCell ref="H208:O208"/>
    <mergeCell ref="H212:O212"/>
    <mergeCell ref="H219:O219"/>
    <mergeCell ref="L174:O174"/>
    <mergeCell ref="P152:P161"/>
    <mergeCell ref="B156:D156"/>
    <mergeCell ref="B165:P165"/>
    <mergeCell ref="E159:F159"/>
    <mergeCell ref="L169:N169"/>
    <mergeCell ref="G154:I154"/>
    <mergeCell ref="B167:P167"/>
    <mergeCell ref="H211:O211"/>
    <mergeCell ref="H210:O210"/>
    <mergeCell ref="B192:F192"/>
    <mergeCell ref="G194:I194"/>
    <mergeCell ref="B205:O205"/>
    <mergeCell ref="F321:L321"/>
    <mergeCell ref="F297:L297"/>
    <mergeCell ref="F290:L290"/>
    <mergeCell ref="C273:E273"/>
    <mergeCell ref="N273:O273"/>
    <mergeCell ref="B278:L278"/>
    <mergeCell ref="B322:D326"/>
    <mergeCell ref="F289:L289"/>
    <mergeCell ref="F288:L288"/>
    <mergeCell ref="F286:L286"/>
    <mergeCell ref="G350:I350"/>
    <mergeCell ref="J346:K346"/>
    <mergeCell ref="G345:I345"/>
    <mergeCell ref="F271:K271"/>
    <mergeCell ref="F328:L328"/>
    <mergeCell ref="G342:I342"/>
    <mergeCell ref="G344:I344"/>
    <mergeCell ref="J344:K344"/>
    <mergeCell ref="E343:F343"/>
    <mergeCell ref="E342:F342"/>
    <mergeCell ref="G343:I343"/>
    <mergeCell ref="J341:K341"/>
    <mergeCell ref="B341:D341"/>
    <mergeCell ref="G340:K340"/>
    <mergeCell ref="B350:D350"/>
    <mergeCell ref="J343:K343"/>
    <mergeCell ref="B339:P339"/>
    <mergeCell ref="P389:P390"/>
    <mergeCell ref="G384:I384"/>
    <mergeCell ref="C391:O391"/>
    <mergeCell ref="C386:D386"/>
    <mergeCell ref="L385:O385"/>
    <mergeCell ref="L386:O386"/>
    <mergeCell ref="B388:O388"/>
    <mergeCell ref="P381:P386"/>
    <mergeCell ref="L192:O192"/>
    <mergeCell ref="L193:O194"/>
    <mergeCell ref="E193:F193"/>
    <mergeCell ref="J194:K194"/>
    <mergeCell ref="J196:K196"/>
    <mergeCell ref="E196:F196"/>
    <mergeCell ref="G197:I197"/>
    <mergeCell ref="G196:I196"/>
    <mergeCell ref="L378:O378"/>
    <mergeCell ref="C274:O274"/>
    <mergeCell ref="C271:E271"/>
    <mergeCell ref="L232:N232"/>
    <mergeCell ref="L233:O233"/>
    <mergeCell ref="F298:O298"/>
    <mergeCell ref="F301:L301"/>
    <mergeCell ref="F307:L307"/>
    <mergeCell ref="F293:L293"/>
    <mergeCell ref="N278:P278"/>
    <mergeCell ref="E200:F200"/>
    <mergeCell ref="B203:O203"/>
    <mergeCell ref="L376:O376"/>
    <mergeCell ref="B371:O371"/>
    <mergeCell ref="H249:O249"/>
    <mergeCell ref="F322:L322"/>
    <mergeCell ref="J156:K156"/>
    <mergeCell ref="G153:I153"/>
    <mergeCell ref="J155:K155"/>
    <mergeCell ref="E153:F153"/>
    <mergeCell ref="B151:O151"/>
    <mergeCell ref="E158:F158"/>
    <mergeCell ref="B158:D158"/>
    <mergeCell ref="B5:P5"/>
    <mergeCell ref="B6:P6"/>
    <mergeCell ref="L13:O13"/>
    <mergeCell ref="J12:K12"/>
    <mergeCell ref="C11:F11"/>
    <mergeCell ref="B34:D34"/>
    <mergeCell ref="E34:F34"/>
    <mergeCell ref="B35:D35"/>
    <mergeCell ref="J34:K34"/>
    <mergeCell ref="G13:I13"/>
    <mergeCell ref="C25:N25"/>
    <mergeCell ref="B26:O26"/>
    <mergeCell ref="L33:O34"/>
    <mergeCell ref="G36:I36"/>
    <mergeCell ref="J36:K36"/>
    <mergeCell ref="B27:O27"/>
    <mergeCell ref="C24:N24"/>
    <mergeCell ref="B46:O46"/>
    <mergeCell ref="P128:P138"/>
    <mergeCell ref="G135:O135"/>
    <mergeCell ref="G37:I37"/>
    <mergeCell ref="J37:K37"/>
    <mergeCell ref="E38:F38"/>
    <mergeCell ref="G38:I38"/>
    <mergeCell ref="C57:D57"/>
    <mergeCell ref="B2:P2"/>
    <mergeCell ref="L18:O18"/>
    <mergeCell ref="G17:O17"/>
    <mergeCell ref="C15:K15"/>
    <mergeCell ref="L15:N15"/>
    <mergeCell ref="C12:D12"/>
    <mergeCell ref="G14:O14"/>
    <mergeCell ref="B3:P3"/>
    <mergeCell ref="C16:D16"/>
    <mergeCell ref="L4:M4"/>
    <mergeCell ref="C4:D4"/>
    <mergeCell ref="C30:D30"/>
    <mergeCell ref="E30:O30"/>
    <mergeCell ref="J18:K18"/>
    <mergeCell ref="E18:F18"/>
    <mergeCell ref="E35:F35"/>
    <mergeCell ref="B33:F33"/>
    <mergeCell ref="B28:M28"/>
    <mergeCell ref="E4:F4"/>
    <mergeCell ref="G4:I4"/>
    <mergeCell ref="J4:K4"/>
    <mergeCell ref="C13:D13"/>
    <mergeCell ref="J16:K16"/>
    <mergeCell ref="G160:I160"/>
    <mergeCell ref="E177:F177"/>
    <mergeCell ref="G177:O177"/>
    <mergeCell ref="G200:I200"/>
    <mergeCell ref="J200:K200"/>
    <mergeCell ref="L173:O173"/>
    <mergeCell ref="J174:K174"/>
    <mergeCell ref="G176:I176"/>
    <mergeCell ref="B202:O202"/>
    <mergeCell ref="B199:D199"/>
    <mergeCell ref="J199:K199"/>
    <mergeCell ref="G199:I199"/>
    <mergeCell ref="E160:F160"/>
    <mergeCell ref="E189:O189"/>
    <mergeCell ref="B184:O184"/>
    <mergeCell ref="C182:N182"/>
    <mergeCell ref="B181:O181"/>
    <mergeCell ref="B197:D197"/>
    <mergeCell ref="E195:F195"/>
    <mergeCell ref="J176:K176"/>
    <mergeCell ref="C176:D176"/>
    <mergeCell ref="B195:D195"/>
    <mergeCell ref="B186:M186"/>
    <mergeCell ref="C189:D189"/>
    <mergeCell ref="B180:O180"/>
    <mergeCell ref="J197:K197"/>
    <mergeCell ref="L197:O200"/>
    <mergeCell ref="B201:O201"/>
    <mergeCell ref="B171:O171"/>
    <mergeCell ref="B166:O166"/>
    <mergeCell ref="B160:D160"/>
    <mergeCell ref="B161:O161"/>
    <mergeCell ref="P429:P435"/>
    <mergeCell ref="F296:L296"/>
    <mergeCell ref="G358:I358"/>
    <mergeCell ref="E359:F359"/>
    <mergeCell ref="G360:I360"/>
    <mergeCell ref="B362:D362"/>
    <mergeCell ref="B363:D363"/>
    <mergeCell ref="G354:I354"/>
    <mergeCell ref="E357:F357"/>
    <mergeCell ref="E348:F348"/>
    <mergeCell ref="E360:F360"/>
    <mergeCell ref="E355:F355"/>
    <mergeCell ref="F331:L331"/>
    <mergeCell ref="B338:P338"/>
    <mergeCell ref="E351:F351"/>
    <mergeCell ref="E352:F352"/>
    <mergeCell ref="B354:D354"/>
    <mergeCell ref="D416:O416"/>
    <mergeCell ref="B422:O422"/>
    <mergeCell ref="B340:F340"/>
    <mergeCell ref="B337:O337"/>
    <mergeCell ref="L340:O340"/>
    <mergeCell ref="L341:O345"/>
    <mergeCell ref="L346:O351"/>
    <mergeCell ref="J363:K363"/>
    <mergeCell ref="G362:I362"/>
    <mergeCell ref="B361:D361"/>
    <mergeCell ref="E366:F366"/>
    <mergeCell ref="B303:P303"/>
    <mergeCell ref="F310:L310"/>
    <mergeCell ref="F299:L299"/>
    <mergeCell ref="C379:D379"/>
    <mergeCell ref="J457:K457"/>
    <mergeCell ref="E458:F458"/>
    <mergeCell ref="G461:I461"/>
    <mergeCell ref="E463:F463"/>
    <mergeCell ref="G466:I466"/>
    <mergeCell ref="G450:I450"/>
    <mergeCell ref="B440:O440"/>
    <mergeCell ref="J450:K450"/>
    <mergeCell ref="B454:D454"/>
    <mergeCell ref="E462:F462"/>
    <mergeCell ref="G451:I451"/>
    <mergeCell ref="G430:O430"/>
    <mergeCell ref="B410:B411"/>
    <mergeCell ref="C406:O406"/>
    <mergeCell ref="G158:I158"/>
    <mergeCell ref="C172:F172"/>
    <mergeCell ref="C174:D174"/>
    <mergeCell ref="C169:K169"/>
    <mergeCell ref="C173:D173"/>
    <mergeCell ref="G452:I452"/>
    <mergeCell ref="G375:K375"/>
    <mergeCell ref="J378:K378"/>
    <mergeCell ref="G377:O377"/>
    <mergeCell ref="G376:I376"/>
    <mergeCell ref="F295:L295"/>
    <mergeCell ref="N419:O419"/>
    <mergeCell ref="N420:O420"/>
    <mergeCell ref="B198:D198"/>
    <mergeCell ref="E190:O190"/>
    <mergeCell ref="B204:P204"/>
    <mergeCell ref="B194:D194"/>
    <mergeCell ref="E194:F194"/>
    <mergeCell ref="B470:D470"/>
    <mergeCell ref="E467:F467"/>
    <mergeCell ref="E468:F468"/>
    <mergeCell ref="N477:P477"/>
    <mergeCell ref="B475:P475"/>
    <mergeCell ref="G454:I454"/>
    <mergeCell ref="G468:I468"/>
    <mergeCell ref="J468:K468"/>
    <mergeCell ref="E464:F464"/>
    <mergeCell ref="J465:K465"/>
    <mergeCell ref="J463:K463"/>
    <mergeCell ref="B464:D464"/>
    <mergeCell ref="E448:F448"/>
    <mergeCell ref="B448:D448"/>
    <mergeCell ref="G379:O379"/>
    <mergeCell ref="G361:I361"/>
    <mergeCell ref="J386:K386"/>
    <mergeCell ref="B405:O405"/>
    <mergeCell ref="B404:O404"/>
    <mergeCell ref="J464:K464"/>
    <mergeCell ref="G458:I458"/>
    <mergeCell ref="G460:I460"/>
    <mergeCell ref="G462:I462"/>
    <mergeCell ref="J462:K462"/>
    <mergeCell ref="G463:I463"/>
    <mergeCell ref="G467:I467"/>
    <mergeCell ref="G470:I470"/>
    <mergeCell ref="J460:K460"/>
    <mergeCell ref="E456:F456"/>
    <mergeCell ref="J459:K459"/>
    <mergeCell ref="J466:K466"/>
    <mergeCell ref="G455:I455"/>
    <mergeCell ref="P440:P441"/>
    <mergeCell ref="B444:O444"/>
    <mergeCell ref="E452:F452"/>
    <mergeCell ref="N442:O442"/>
    <mergeCell ref="B443:O443"/>
    <mergeCell ref="N445:O445"/>
    <mergeCell ref="J451:K451"/>
    <mergeCell ref="J455:K455"/>
    <mergeCell ref="E457:F457"/>
    <mergeCell ref="N484:P484"/>
    <mergeCell ref="C482:D482"/>
    <mergeCell ref="F482:G482"/>
    <mergeCell ref="H482:I482"/>
    <mergeCell ref="J482:M482"/>
    <mergeCell ref="N480:P480"/>
    <mergeCell ref="C481:D481"/>
    <mergeCell ref="F481:G481"/>
    <mergeCell ref="H481:I481"/>
    <mergeCell ref="J481:M481"/>
    <mergeCell ref="N481:P481"/>
    <mergeCell ref="C480:D480"/>
    <mergeCell ref="F480:G480"/>
    <mergeCell ref="H480:I480"/>
    <mergeCell ref="J480:M480"/>
    <mergeCell ref="J483:M483"/>
    <mergeCell ref="N478:P478"/>
    <mergeCell ref="G449:I449"/>
    <mergeCell ref="J449:K449"/>
    <mergeCell ref="E449:F449"/>
    <mergeCell ref="B472:P472"/>
    <mergeCell ref="B473:P473"/>
    <mergeCell ref="B476:P476"/>
    <mergeCell ref="B499:P499"/>
    <mergeCell ref="C498:D498"/>
    <mergeCell ref="H498:J498"/>
    <mergeCell ref="L498:M498"/>
    <mergeCell ref="O498:P498"/>
    <mergeCell ref="L495:M495"/>
    <mergeCell ref="O495:P495"/>
    <mergeCell ref="O493:P493"/>
    <mergeCell ref="C495:D495"/>
    <mergeCell ref="H496:J496"/>
    <mergeCell ref="C491:D491"/>
    <mergeCell ref="H495:J495"/>
    <mergeCell ref="C497:D497"/>
    <mergeCell ref="H497:J497"/>
    <mergeCell ref="C494:D494"/>
    <mergeCell ref="C492:D492"/>
    <mergeCell ref="H492:J492"/>
    <mergeCell ref="L497:M497"/>
    <mergeCell ref="O497:P497"/>
    <mergeCell ref="O491:P491"/>
    <mergeCell ref="F491:G491"/>
    <mergeCell ref="H491:J491"/>
    <mergeCell ref="L491:M491"/>
    <mergeCell ref="L496:M496"/>
    <mergeCell ref="O496:P496"/>
    <mergeCell ref="O494:P494"/>
    <mergeCell ref="H494:J494"/>
    <mergeCell ref="L494:M494"/>
    <mergeCell ref="C496:D496"/>
    <mergeCell ref="L492:M492"/>
    <mergeCell ref="C493:D493"/>
    <mergeCell ref="H493:J493"/>
    <mergeCell ref="L493:M493"/>
    <mergeCell ref="O492:P492"/>
    <mergeCell ref="C484:D484"/>
    <mergeCell ref="F484:G484"/>
    <mergeCell ref="H484:I484"/>
    <mergeCell ref="B487:P487"/>
    <mergeCell ref="C488:E488"/>
    <mergeCell ref="F488:P488"/>
    <mergeCell ref="B486:P486"/>
    <mergeCell ref="B489:P489"/>
    <mergeCell ref="B490:P490"/>
    <mergeCell ref="J484:M484"/>
    <mergeCell ref="B485:P485"/>
    <mergeCell ref="N482:P482"/>
    <mergeCell ref="L153:O154"/>
    <mergeCell ref="B153:D153"/>
    <mergeCell ref="E156:F156"/>
    <mergeCell ref="B163:P163"/>
    <mergeCell ref="B154:D154"/>
    <mergeCell ref="J159:K159"/>
    <mergeCell ref="J458:K458"/>
    <mergeCell ref="P396:P399"/>
    <mergeCell ref="B436:O436"/>
    <mergeCell ref="C445:E445"/>
    <mergeCell ref="F445:K445"/>
    <mergeCell ref="B455:D455"/>
    <mergeCell ref="H477:I477"/>
    <mergeCell ref="J477:M477"/>
    <mergeCell ref="B474:P474"/>
    <mergeCell ref="F483:G483"/>
    <mergeCell ref="H483:I483"/>
    <mergeCell ref="N483:P483"/>
    <mergeCell ref="B106:M106"/>
    <mergeCell ref="E115:F115"/>
    <mergeCell ref="B120:D120"/>
    <mergeCell ref="G116:I116"/>
    <mergeCell ref="B118:D118"/>
    <mergeCell ref="G113:I113"/>
    <mergeCell ref="G132:K132"/>
    <mergeCell ref="C136:D136"/>
    <mergeCell ref="B128:O128"/>
    <mergeCell ref="B131:O131"/>
    <mergeCell ref="C137:D137"/>
    <mergeCell ref="G114:I114"/>
    <mergeCell ref="B111:O111"/>
    <mergeCell ref="J114:K114"/>
    <mergeCell ref="B114:D114"/>
    <mergeCell ref="L132:O132"/>
    <mergeCell ref="B125:P125"/>
    <mergeCell ref="L96:O96"/>
    <mergeCell ref="J134:K134"/>
    <mergeCell ref="E133:F133"/>
    <mergeCell ref="J136:K136"/>
    <mergeCell ref="G198:I198"/>
    <mergeCell ref="J198:K198"/>
    <mergeCell ref="N253:O253"/>
    <mergeCell ref="P256:P262"/>
    <mergeCell ref="P235:P236"/>
    <mergeCell ref="C229:D229"/>
    <mergeCell ref="C225:D225"/>
    <mergeCell ref="G224:I224"/>
    <mergeCell ref="C228:D228"/>
    <mergeCell ref="F210:G210"/>
    <mergeCell ref="F211:G211"/>
    <mergeCell ref="E222:F222"/>
    <mergeCell ref="H209:O209"/>
    <mergeCell ref="H218:O218"/>
    <mergeCell ref="F217:G217"/>
    <mergeCell ref="F218:G218"/>
    <mergeCell ref="H217:O217"/>
    <mergeCell ref="B215:E219"/>
    <mergeCell ref="P192:P201"/>
    <mergeCell ref="G192:K192"/>
    <mergeCell ref="E198:F198"/>
    <mergeCell ref="B207:O207"/>
    <mergeCell ref="F216:G216"/>
    <mergeCell ref="G136:I136"/>
    <mergeCell ref="C149:D149"/>
    <mergeCell ref="C150:D150"/>
    <mergeCell ref="E149:O149"/>
    <mergeCell ref="B247:F247"/>
    <mergeCell ref="G156:I156"/>
    <mergeCell ref="B503:D505"/>
    <mergeCell ref="C506:D506"/>
    <mergeCell ref="AJ410:AN410"/>
    <mergeCell ref="C411:O411"/>
    <mergeCell ref="B451:D451"/>
    <mergeCell ref="G456:I456"/>
    <mergeCell ref="J456:K456"/>
    <mergeCell ref="E434:F434"/>
    <mergeCell ref="B441:O441"/>
    <mergeCell ref="B447:F447"/>
    <mergeCell ref="B453:D453"/>
    <mergeCell ref="B449:D449"/>
    <mergeCell ref="G448:I448"/>
    <mergeCell ref="E450:F450"/>
    <mergeCell ref="E451:F451"/>
    <mergeCell ref="E453:F453"/>
    <mergeCell ref="J453:K453"/>
    <mergeCell ref="J452:K452"/>
    <mergeCell ref="G453:I453"/>
    <mergeCell ref="R419:R420"/>
    <mergeCell ref="B442:M442"/>
    <mergeCell ref="B419:M419"/>
    <mergeCell ref="G433:O433"/>
    <mergeCell ref="C426:O426"/>
    <mergeCell ref="E431:F431"/>
    <mergeCell ref="B428:O428"/>
    <mergeCell ref="C425:O425"/>
    <mergeCell ref="D417:O417"/>
    <mergeCell ref="P423:P425"/>
    <mergeCell ref="E435:F435"/>
    <mergeCell ref="G429:O429"/>
    <mergeCell ref="W457:W459"/>
    <mergeCell ref="L447:O447"/>
    <mergeCell ref="L452:O457"/>
    <mergeCell ref="L458:O461"/>
    <mergeCell ref="E432:F432"/>
    <mergeCell ref="R409:R410"/>
    <mergeCell ref="B450:D450"/>
    <mergeCell ref="G447:K447"/>
    <mergeCell ref="J448:K448"/>
    <mergeCell ref="C412:O415"/>
    <mergeCell ref="B446:O446"/>
    <mergeCell ref="B412:B417"/>
    <mergeCell ref="B427:O427"/>
    <mergeCell ref="N438:O438"/>
    <mergeCell ref="G434:O434"/>
    <mergeCell ref="G431:O431"/>
    <mergeCell ref="B437:O437"/>
    <mergeCell ref="P447:P471"/>
    <mergeCell ref="B452:D452"/>
    <mergeCell ref="B460:D460"/>
    <mergeCell ref="B461:D461"/>
    <mergeCell ref="E430:F430"/>
    <mergeCell ref="C423:O423"/>
    <mergeCell ref="B420:M420"/>
    <mergeCell ref="B421:O421"/>
    <mergeCell ref="B418:O418"/>
    <mergeCell ref="C424:O424"/>
    <mergeCell ref="G432:O432"/>
    <mergeCell ref="E429:F429"/>
    <mergeCell ref="B429:D435"/>
    <mergeCell ref="B409:O409"/>
    <mergeCell ref="C410:O410"/>
    <mergeCell ref="B407:P407"/>
    <mergeCell ref="B408:P408"/>
    <mergeCell ref="E382:F382"/>
    <mergeCell ref="H380:O380"/>
    <mergeCell ref="B389:O389"/>
    <mergeCell ref="E386:F386"/>
    <mergeCell ref="G385:I385"/>
    <mergeCell ref="E384:F384"/>
    <mergeCell ref="C399:N399"/>
    <mergeCell ref="C397:N397"/>
    <mergeCell ref="F323:L323"/>
    <mergeCell ref="F312:L312"/>
    <mergeCell ref="F309:L309"/>
    <mergeCell ref="C396:N396"/>
    <mergeCell ref="J400:O400"/>
    <mergeCell ref="C403:O403"/>
    <mergeCell ref="B402:O402"/>
    <mergeCell ref="B401:O401"/>
    <mergeCell ref="B400:I400"/>
    <mergeCell ref="P374:P379"/>
    <mergeCell ref="J358:K358"/>
    <mergeCell ref="J355:K355"/>
    <mergeCell ref="B373:O373"/>
    <mergeCell ref="B360:D360"/>
    <mergeCell ref="G363:I363"/>
    <mergeCell ref="E354:F354"/>
    <mergeCell ref="E344:F344"/>
    <mergeCell ref="E345:F345"/>
    <mergeCell ref="B335:D335"/>
    <mergeCell ref="G347:I347"/>
    <mergeCell ref="E341:F341"/>
    <mergeCell ref="E346:F346"/>
    <mergeCell ref="AC225:AE225"/>
    <mergeCell ref="AA381:AC381"/>
    <mergeCell ref="E365:F365"/>
    <mergeCell ref="L375:O375"/>
    <mergeCell ref="B364:D364"/>
    <mergeCell ref="C398:N398"/>
    <mergeCell ref="L272:M272"/>
    <mergeCell ref="F287:L287"/>
    <mergeCell ref="B329:D329"/>
    <mergeCell ref="B304:P304"/>
    <mergeCell ref="F284:L284"/>
    <mergeCell ref="B285:L285"/>
    <mergeCell ref="B280:D284"/>
    <mergeCell ref="F311:L311"/>
    <mergeCell ref="B292:D301"/>
    <mergeCell ref="F300:L300"/>
    <mergeCell ref="C272:E272"/>
    <mergeCell ref="F280:L280"/>
    <mergeCell ref="F316:L316"/>
    <mergeCell ref="F326:L326"/>
    <mergeCell ref="B291:L291"/>
    <mergeCell ref="B302:O302"/>
    <mergeCell ref="B305:M305"/>
    <mergeCell ref="B319:O319"/>
    <mergeCell ref="F320:L320"/>
    <mergeCell ref="F314:L314"/>
    <mergeCell ref="J359:K359"/>
    <mergeCell ref="B380:G380"/>
    <mergeCell ref="E381:F381"/>
    <mergeCell ref="F281:L281"/>
    <mergeCell ref="P393:P394"/>
    <mergeCell ref="B394:O394"/>
  </mergeCells>
  <phoneticPr fontId="0" type="noConversion"/>
  <conditionalFormatting sqref="G448:I469">
    <cfRule type="cellIs" dxfId="31" priority="162" operator="lessThan">
      <formula>$AA$448</formula>
    </cfRule>
  </conditionalFormatting>
  <conditionalFormatting sqref="G223:O223">
    <cfRule type="cellIs" dxfId="30" priority="6" operator="equal">
      <formula>$AC$225</formula>
    </cfRule>
  </conditionalFormatting>
  <conditionalFormatting sqref="G225:O225">
    <cfRule type="cellIs" dxfId="29" priority="5" operator="equal">
      <formula>$AC$225</formula>
    </cfRule>
  </conditionalFormatting>
  <conditionalFormatting sqref="G229:O229">
    <cfRule type="cellIs" dxfId="28" priority="4" operator="equal">
      <formula>$AC$225</formula>
    </cfRule>
  </conditionalFormatting>
  <conditionalFormatting sqref="G231:O231">
    <cfRule type="cellIs" dxfId="27" priority="3" operator="equal">
      <formula>$AC$225</formula>
    </cfRule>
  </conditionalFormatting>
  <conditionalFormatting sqref="G377:O377">
    <cfRule type="cellIs" dxfId="26" priority="2" operator="equal">
      <formula>$AA$381</formula>
    </cfRule>
  </conditionalFormatting>
  <conditionalFormatting sqref="G379:O379">
    <cfRule type="cellIs" dxfId="25" priority="1" operator="equal">
      <formula>$AA$381</formula>
    </cfRule>
  </conditionalFormatting>
  <dataValidations xWindow="913" yWindow="251" count="108">
    <dataValidation type="list" allowBlank="1" showInputMessage="1" showErrorMessage="1" promptTitle="Great toe amputation" prompt="Select extent of loss." sqref="B8:O8" xr:uid="{B2C92CB5-0359-4936-97B8-4E72864D7369}">
      <formula1>$U$7:$AO$7</formula1>
    </dataValidation>
    <dataValidation type="list" allowBlank="1" showInputMessage="1" showErrorMessage="1" promptTitle="Sensation loss" prompt="Select partial or total. Partial is part of the toe. Total means the entire toe." sqref="C24:N24" xr:uid="{1CBAA290-016B-4210-8176-1AB0FB134C70}">
      <formula1>$S$24:$U$24</formula1>
    </dataValidation>
    <dataValidation type="list" allowBlank="1" showInputMessage="1" showErrorMessage="1" promptTitle="Hypersensitivity" prompt="Select partial or total. Partial is part of the toe. Total means the entire toe." sqref="C25:N25" xr:uid="{CD4E636F-F6D5-4052-B57F-00D7D8D71327}">
      <formula1>$S$25:$U$25</formula1>
    </dataValidation>
    <dataValidation type="list" allowBlank="1" showInputMessage="1" showErrorMessage="1" promptTitle="Second toe amputation" prompt="Select extent of loss." sqref="B46:O46" xr:uid="{77BE6071-5197-4A07-A873-48A7E13348D8}">
      <formula1>$U$45:$AO$45</formula1>
    </dataValidation>
    <dataValidation type="list" allowBlank="1" showInputMessage="1" showErrorMessage="1" promptTitle="DIP joint" prompt="No rating is given for loss of motion in the distal interphalangeal joint, except in the case of ankylosis. " sqref="C169:G169" xr:uid="{BE2FD669-DD32-47B6-93FC-3FCF1259D163}">
      <formula1>$S$169:$V$169</formula1>
    </dataValidation>
    <dataValidation type="list" allowBlank="1" showInputMessage="1" showErrorMessage="1" promptTitle="PIP joint" prompt="No rating is given for loss of motion in the proximal interphalangeal joint, except in the case of ankylosis. " sqref="C170:G170" xr:uid="{463C7ED3-E594-41AA-9CBF-661CC00F5553}">
      <formula1>$S$170:$V$170</formula1>
    </dataValidation>
    <dataValidation type="list" allowBlank="1" showInputMessage="1" showErrorMessage="1" promptTitle="Third toe amputation" prompt="Select extent of loss." sqref="B86:O86" xr:uid="{E1D43615-C5C1-4412-9AE9-4ECABEF0E63D}">
      <formula1>$U$85:$AO$85</formula1>
    </dataValidation>
    <dataValidation type="list" allowBlank="1" showInputMessage="1" showErrorMessage="1" promptTitle="Fourth toe amputation" prompt="Select extent of loss." sqref="B126:O126" xr:uid="{6C962D35-FA2A-4042-AE0B-B41BB0306D55}">
      <formula1>$U$125:$AO$125</formula1>
    </dataValidation>
    <dataValidation type="list" allowBlank="1" showInputMessage="1" showErrorMessage="1" promptTitle="Fifth toe amputation" prompt="Select extent of loss." sqref="B166:O166" xr:uid="{7CEB4C4B-F2D6-4270-8271-296CB712569D}">
      <formula1>$U$165:$AO$165</formula1>
    </dataValidation>
    <dataValidation type="list" allowBlank="1" showInputMessage="1" showErrorMessage="1" promptTitle="DIP joint" prompt="No rating is given for loss of motion in the distal interphalangeal joint, except in the case of ankylosis. " sqref="C49" xr:uid="{8B9A4BB1-3DAB-472E-9E14-07E967358A82}">
      <formula1>$S$49:$V$49</formula1>
    </dataValidation>
    <dataValidation type="list" allowBlank="1" showInputMessage="1" showErrorMessage="1" promptTitle="PIP joint" prompt="No rating is given for loss of motion in the proximal interphalangeal joint, except in the case of ankylosis. " sqref="C50" xr:uid="{A2B78135-17DD-44F6-9CE1-15D282D451D7}">
      <formula1>$S$50:$V$50</formula1>
    </dataValidation>
    <dataValidation type="list" allowBlank="1" showInputMessage="1" showErrorMessage="1" promptTitle="Sensation loss" prompt="Select partial or total. Partial is part of the toe. Total means the entire toe." sqref="C62:N62" xr:uid="{2FA02AF7-8043-4A01-A43C-6FA4A06B1477}">
      <formula1>$S$62:$U$62</formula1>
    </dataValidation>
    <dataValidation type="list" allowBlank="1" showInputMessage="1" showErrorMessage="1" promptTitle="Hypersensitivity" prompt="Select partial or total. Partial is part of the toe. Total means the entire toe." sqref="C63:N63" xr:uid="{3074A464-C140-4226-9889-3014FB86B939}">
      <formula1>$S$63:$U$63</formula1>
    </dataValidation>
    <dataValidation type="list" allowBlank="1" showInputMessage="1" showErrorMessage="1" promptTitle="DIP joint" prompt="No rating is given for loss of motion in the distal interphalangeal joint, except in the case of ankylosis. " sqref="C89:G89" xr:uid="{F1D382C0-42C8-417D-9F96-3A753DF0224C}">
      <formula1>$S$89:$V$89</formula1>
    </dataValidation>
    <dataValidation type="list" allowBlank="1" showInputMessage="1" showErrorMessage="1" promptTitle="PIP joint" prompt="No rating is given for loss of motion in the proximal interphalangeal joint, except in the case of ankylosis. " sqref="C90:G90" xr:uid="{0D673CBD-559C-4226-A0D4-A51DA1F8A439}">
      <formula1>$S$90:$V$90</formula1>
    </dataValidation>
    <dataValidation type="list" allowBlank="1" showInputMessage="1" showErrorMessage="1" promptTitle="Sensation loss" prompt="Select partial or total. Partial is part of the toe. Total means the entire toe." sqref="C102:N102" xr:uid="{B67D64C2-F1D4-46AE-88FF-971A94D4D640}">
      <formula1>$S$102:$U$102</formula1>
    </dataValidation>
    <dataValidation type="list" allowBlank="1" showInputMessage="1" showErrorMessage="1" promptTitle="Hypersensitivity" prompt="Select partial or total. Partial is part of the toe. Total means the entire toe." sqref="C103:N103" xr:uid="{CB8A167D-F39D-4360-A9DF-BA7EE4D68D56}">
      <formula1>$S$103:$U$103</formula1>
    </dataValidation>
    <dataValidation type="list" allowBlank="1" showInputMessage="1" showErrorMessage="1" promptTitle="DIP joint" prompt="No rating is given for loss of motion in the distal interphalangeal joint, except in the case of ankylosis. " sqref="C129:G129" xr:uid="{6ABB4481-693E-45E9-ACCA-67D992357627}">
      <formula1>$S$129:$V$129</formula1>
    </dataValidation>
    <dataValidation type="list" allowBlank="1" showInputMessage="1" showErrorMessage="1" promptTitle="PIP joint" prompt="No rating is given for loss of motion in the proximal interphalangeal joint, except in the case of ankylosis. " sqref="C130:G130" xr:uid="{120B5DC1-2DEE-4592-B5A6-3DB8AD571DB0}">
      <formula1>$S$130:$V$130</formula1>
    </dataValidation>
    <dataValidation type="list" allowBlank="1" showInputMessage="1" showErrorMessage="1" promptTitle="Sensation loss" prompt="Select partial or total. Partial is part of the toe. Total means the entire toe." sqref="C142:N142" xr:uid="{54752454-571C-4DBB-A3FE-E670CD3B9AE9}">
      <formula1>$S$142:$U$142</formula1>
    </dataValidation>
    <dataValidation type="list" allowBlank="1" showInputMessage="1" showErrorMessage="1" promptTitle="Hypersensitivity" prompt="Select partial or total. Partial is part of the toe. Total means the entire toe." sqref="C143:N143" xr:uid="{9441DFED-85AB-44BF-AA8B-DA54DF008FD2}">
      <formula1>$S$143:$U$143</formula1>
    </dataValidation>
    <dataValidation type="list" allowBlank="1" showInputMessage="1" showErrorMessage="1" promptTitle="Sensation loss" prompt="Select partial or total. Partial is part of the toe. Total means the entire toe." sqref="C182:N182" xr:uid="{B8F8C985-6A56-46AA-BC6F-5F413D0D4AD7}">
      <formula1>$S$182:$U$182</formula1>
    </dataValidation>
    <dataValidation type="list" allowBlank="1" showInputMessage="1" showErrorMessage="1" promptTitle="Hypersensitivity" prompt="Select partial or total. Partial is part of the toe. Total means the entire toe." sqref="C183:N183" xr:uid="{1D3859CB-0B2A-478E-92DF-BA226ABC860F}">
      <formula1>$S$183:$U$183</formula1>
    </dataValidation>
    <dataValidation type="list" allowBlank="1" showInputMessage="1" showErrorMessage="1" promptTitle="Sensation loss" prompt="Select partial or total. Partial is part of the foot. Total means the entire foot." sqref="C237:N237" xr:uid="{15508740-DF85-430C-9707-AAED750BB98C}">
      <formula1>$S$237:$U$237</formula1>
    </dataValidation>
    <dataValidation type="list" allowBlank="1" showInputMessage="1" showErrorMessage="1" promptTitle="Hypersensitivity" prompt="Select partial or total. Partial is part of the foot. Total means the entire foot." sqref="C238:N238" xr:uid="{288A6D27-9758-49B3-8A86-AF8334B4B292}">
      <formula1>$S$238:$U$238</formula1>
    </dataValidation>
    <dataValidation type="list" allowBlank="1" showInputMessage="1" showErrorMessage="1" promptTitle="Ankle instability" prompt="Select severity of damage to the lateral collateral ligaments. Examples of ligaments that may contribute to joint instability: anterior talofibular, calcaneofibular, talocalcaneal, posterior talocalcaneal, and the posterior talofibular." sqref="G241:O241" xr:uid="{AC2BB479-4F9B-4B5F-8654-72AD9A9B3F44}">
      <formula1>$S$241:$V$241</formula1>
    </dataValidation>
    <dataValidation type="list" allowBlank="1" showInputMessage="1" showErrorMessage="1" promptTitle="Knee joint instability" prompt="Select severity of the joint opening." sqref="C396:N399" xr:uid="{8393984C-B5F0-4970-B853-892D105451BE}">
      <formula1>$S$394:$V$394</formula1>
    </dataValidation>
    <dataValidation type="list" allowBlank="1" showInputMessage="1" showErrorMessage="1" promptTitle="Tibial shaft fracture" prompt="Select severity of malalignment (rotational deformity) resulting from the tibial shaft fracture." sqref="C406:O406" xr:uid="{9446211A-2729-4BD9-9272-C0FBC204D169}">
      <formula1>$S$405:$AM$405</formula1>
    </dataValidation>
    <dataValidation type="decimal" operator="equal" allowBlank="1" showInputMessage="1" showErrorMessage="1" promptTitle="Surgery" prompt="Check (click) the box or boxes if surgery has occurred to the IP or MP joints." sqref="A30" xr:uid="{FE0FD743-3AB1-42AF-9992-EFE3648C2C85}">
      <formula1>W30</formula1>
    </dataValidation>
    <dataValidation type="decimal" operator="equal" allowBlank="1" showInputMessage="1" showErrorMessage="1" promptTitle="Amputation - metatarsals" prompt="Check (click) the box next to amputated metatarsals, if any." sqref="A208" xr:uid="{4B306E2D-CA82-4F2E-A472-7058B4B8E964}">
      <formula1>W208</formula1>
    </dataValidation>
    <dataValidation type="decimal" operator="equal" allowBlank="1" showInputMessage="1" showErrorMessage="1" promptTitle="Ankylosis - metatarsals" prompt="Check (click) the box next to ankylosed  metatarsals, if any." sqref="A215" xr:uid="{67223F49-A3CB-4EAB-9DE7-C53950E9F3E7}">
      <formula1>W215</formula1>
    </dataValidation>
    <dataValidation type="decimal" operator="equal" allowBlank="1" showInputMessage="1" showErrorMessage="1" promptTitle="Ankle angulation" prompt="Check (click) varus or valgus, if applicable." sqref="A246" xr:uid="{5C0D28DD-53F0-4248-BC3B-F01B75C0F409}">
      <formula1>W246</formula1>
    </dataValidation>
    <dataValidation type="decimal" operator="equal" allowBlank="1" showInputMessage="1" showErrorMessage="1" promptTitle="Rocker bottom deformity" prompt="Check (click) the box if the worker has rocker bottom deformity of the foot." sqref="A247" xr:uid="{E7BF5782-A110-41EE-975A-53A7AF5DA173}">
      <formula1>W247</formula1>
    </dataValidation>
    <dataValidation type="decimal" operator="equal" allowBlank="1" showInputMessage="1" showErrorMessage="1" promptTitle="Additional foot loss" prompt="Check (click) the boxes that describe the worker's condition, if any." sqref="A256" xr:uid="{9C1AFC83-B070-48DE-9F8D-B0944ECAFE5F}">
      <formula1>W256</formula1>
    </dataValidation>
    <dataValidation type="decimal" operator="equal" allowBlank="1" showInputMessage="1" showErrorMessage="1" promptTitle="Chronic condition" prompt="Select &quot;Yes&quot; if the worker has a chronic condition as described in OAR 436-035-0019." sqref="A442 A266" xr:uid="{2B4ED7AE-925A-4FA3-B0DF-E1AB07D74D59}">
      <formula1>W266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280" xr:uid="{5F863BCA-4AF1-4E3A-AD10-140D5A41E7D7}">
      <formula1>AK282</formula1>
    </dataValidation>
    <dataValidation type="decimal" operator="equal" allowBlank="1" showInputMessage="1" showErrorMessage="1" promptTitle="Amputation - Leg" prompt="Select the level of loss, if any." sqref="A372" xr:uid="{B07F41EB-FF26-45C7-844A-2ACF4097AEC4}">
      <formula1>W372</formula1>
    </dataValidation>
    <dataValidation type="decimal" operator="equal" allowBlank="1" showInputMessage="1" showErrorMessage="1" promptTitle="Knee angulation or malalignment" prompt="Select varus or valgus deformity, if applicable." sqref="A403" xr:uid="{A89A7B40-FBE1-40D2-AA85-07BEC4B3FDF4}">
      <formula1>W403</formula1>
    </dataValidation>
    <dataValidation type="decimal" operator="equal" allowBlank="1" showInputMessage="1" showErrorMessage="1" promptTitle="Motor loss" prompt="Show severity of motor loss, if any, due to brain or spinal cord damage." sqref="A423" xr:uid="{DF1CCA4C-D265-441C-8A94-2D2F81B7AB52}">
      <formula1>W423</formula1>
    </dataValidation>
    <dataValidation type="decimal" operator="equal" allowBlank="1" showInputMessage="1" showErrorMessage="1" promptTitle="Additional leg impairment" prompt="Select the conditions, if any, affecting the leg." sqref="A430" xr:uid="{EFC957AF-6EB9-4B62-87CA-E047A34F13B9}">
      <formula1>W430</formula1>
    </dataValidation>
    <dataValidation type="decimal" operator="equal" allowBlank="1" showInputMessage="1" showErrorMessage="1" promptTitle="Standing or walking limitation" prompt="Select &quot;Yes&quot; if the worker has the limitation described." sqref="A438" xr:uid="{C83254EB-0FC9-443A-8E39-C6CCB9068431}">
      <formula1>W438</formula1>
    </dataValidation>
    <dataValidation type="decimal" operator="equal" allowBlank="1" showInputMessage="1" showErrorMessage="1" promptTitle="Surgery" prompt="Check (click) the box or boxes if surgery has occurred to the DIP, PIP, or MP joints." sqref="A188 A68 A108 A148" xr:uid="{F6E91216-84BF-40DD-BC45-FCBAE79345C6}">
      <formula1>W68</formula1>
    </dataValidation>
    <dataValidation type="decimal" operator="equal" allowBlank="1" showInputMessage="1" showErrorMessage="1" promptTitle="Amputation - Foot" prompt="Select the level of loss, if any." sqref="A207" xr:uid="{3FBD43BC-3939-4750-A83B-EDB2776A0A63}">
      <formula1>W207</formula1>
    </dataValidation>
    <dataValidation type="textLength" operator="equal" allowBlank="1" showInputMessage="1" showErrorMessage="1" sqref="A406:A407" xr:uid="{3AE10B18-BD4F-4865-AC8F-F1140125E12D}">
      <formula1>W403</formula1>
    </dataValidation>
    <dataValidation type="decimal" operator="equal" allowBlank="1" showInputMessage="1" showErrorMessage="1" promptTitle="Leg surgery" prompt="Select the type and extent of surgery, if any." sqref="A410:A411" xr:uid="{C76BCE2D-F04D-4DCC-A86D-7466858991AF}">
      <formula1>W412</formula1>
    </dataValidation>
    <dataValidation type="decimal" operator="equal" allowBlank="1" showInputMessage="1" showErrorMessage="1" promptTitle="Ankle joint instability" prompt="Show extent of disability." sqref="A240" xr:uid="{D2011AE2-81C9-42BF-BBE8-0C95D821C220}">
      <formula1>W240</formula1>
    </dataValidation>
    <dataValidation type="decimal" operator="equal" allowBlank="1" showInputMessage="1" showErrorMessage="1" promptTitle="Ankle replacement" prompt="Check the box if the worker has had a prosthetic ankle replacement." sqref="A249" xr:uid="{F587780F-CDB4-4E79-B5B7-AA4E7886A1DE}">
      <formula1>W249</formula1>
    </dataValidation>
    <dataValidation type="list" allowBlank="1" showInputMessage="1" showErrorMessage="1" promptTitle="Ankle instability" prompt="Select severity of damage to the medial collateral ligaments._x000a_Examples of ligaments that may contribute to joint instability: tibionavicular, calcaneotibial, anterior talotibial, and the posterior talotibial." sqref="G242:O242" xr:uid="{9966CFE4-F63C-4AE0-88EF-D2F89F9EB7FA}">
      <formula1>$S$241:$V$241</formula1>
    </dataValidation>
    <dataValidation allowBlank="1" showInputMessage="1" showErrorMessage="1" promptTitle="Date of injury" prompt="The dollar value of each degree of disability depends on the date of injury, and the program cannot calculate the disability award without the date." sqref="C488:E488" xr:uid="{BB4101D0-03A2-44E9-8A80-7B8E84F23CC6}"/>
    <dataValidation allowBlank="1" showInputMessage="1" showErrorMessage="1" promptTitle="End of worksheet" prompt="Press TAB to return to top of sheet." sqref="P500" xr:uid="{1D535835-7019-47DF-9E92-59A25EEF36DE}"/>
    <dataValidation type="decimal" allowBlank="1" showInputMessage="1" showErrorMessage="1" promptTitle="Apportionment (if any)" prompt="Enter percentage of impairment caused by the injury or illness. See OAR 436-035-0013." sqref="H194:I195 G154:G160 G113:I113 H114:I115 G114:G120 H352:I353 H35:I36 H355:I360 G352:G360 G35:G40 H74:I75 G74:G80 G153:I153 G361:I365 G194:G200 H154:I155 G341:I351 G193:I193 G34:I34 G73:I73 G448:I469" xr:uid="{267A7108-719D-482F-824C-9FC2CBA8B7F3}">
      <formula1>$B$506</formula1>
      <formula2>$C$506</formula2>
    </dataValidation>
    <dataValidation type="list" allowBlank="1" showInputMessage="1" showErrorMessage="1" promptTitle="Surgery" prompt="Menisci: Select extent of loss. No additional value is allowed for multiple partial resections of a single meniscus. A meniscectomy is rated as a complete loss unless the record indicates that more than the rim of the meniscus remains." sqref="C410:O410" xr:uid="{BA45A77F-F84E-4741-AB6A-B49BF3495D32}">
      <formula1>$R$409:$W$409</formula1>
    </dataValidation>
    <dataValidation type="list" allowBlank="1" showInputMessage="1" showErrorMessage="1" promptTitle="Dermatological condition" prompt="Affecting toe -- select from classes 1-5. See OAR 436-035-0230." sqref="O28 O66 O106 O146 O186" xr:uid="{311BDE64-4AFC-4A3C-8F16-80E20676EC7D}">
      <formula1>U27:Y27</formula1>
    </dataValidation>
    <dataValidation type="list" showInputMessage="1" showErrorMessage="1" promptTitle="Great toe ankylosis" prompt="Enter degrees of plantarflexion ankylosis, interphalangeal joint. If joint was not affected by the injury, select &quot;NA&quot; or leave blank." sqref="C14:D14" xr:uid="{D8FBE69A-BA26-4067-9882-CBDE6E820AEB}">
      <formula1>$B$512:$B$543</formula1>
    </dataValidation>
    <dataValidation type="list" showInputMessage="1" showErrorMessage="1" promptTitle="Great toe ROM" prompt="Enter retained degrees of motion, interphalangeal joint, plantar flexion. If joint was not affected by the injury, select &quot;NA&quot; or leave blank." sqref="C13:D13" xr:uid="{1879F8BE-2B7C-4B87-B795-EC973B05FCDE}">
      <formula1>$B$512:$B$543</formula1>
    </dataValidation>
    <dataValidation type="list" showInputMessage="1" showErrorMessage="1" promptTitle="Contralateral comparison" prompt="Enter retained degrees of motion or &quot;NA&quot; if contralateral joint has a history of injury or disease." sqref="G13:I13 G382:I382 G222:I222 G176:I176 G136:I136 G96:I96 G56:I56 G18:I18" xr:uid="{A979AA6C-674D-4A2D-8CAE-AC01093114BD}">
      <formula1>$B$512:$B$543</formula1>
    </dataValidation>
    <dataValidation type="list" showInputMessage="1" showErrorMessage="1" promptTitle="Great toe ankylosis" prompt="Enter degrees of plantarflexion ankylosis, metatarsophalangeal joint. If joint was not affected by the injury, select &quot;NA&quot; or leave blank." sqref="C19:D19" xr:uid="{B304567B-7C00-46A0-9DA6-EBB401E4287A}">
      <formula1>$B$512:$B$543</formula1>
    </dataValidation>
    <dataValidation type="list" showInputMessage="1" showErrorMessage="1" promptTitle="Great toe ROM" prompt="Enter retained degrees of motion,metatarsophalangeal joint, plantar flexion. If joint was not affected by the injury, select &quot;NA&quot; or leave blank." sqref="C18:D18" xr:uid="{CC091746-CF97-4BC8-A698-8313BA0CC3C8}">
      <formula1>$B$512:$B$543</formula1>
    </dataValidation>
    <dataValidation type="list" showInputMessage="1" showErrorMessage="1" promptTitle="Great toe ankylosis" prompt="Enter degrees of dorsiflexion ankylosis, metatarsophalangeal joint. If joint was not affected by the injury, select &quot;NA&quot; or leave blank." sqref="C17:D17" xr:uid="{FE5911E3-6E9D-4EE6-A6C9-8AC32A450F18}">
      <formula1>$B$512:$B$563</formula1>
    </dataValidation>
    <dataValidation type="list" showInputMessage="1" showErrorMessage="1" promptTitle="Great toe ROM" prompt="Enter retained degrees of motion, metatarsophalangeal joint, dorsiflexion (extension). If joint was not affected by the injury, select &quot;NA&quot; or leave blank." sqref="C16:D16" xr:uid="{A84CDC6C-DCB7-4766-8343-9F42202C2941}">
      <formula1>$B$512:$B$563</formula1>
    </dataValidation>
    <dataValidation type="list" showInputMessage="1" showErrorMessage="1" promptTitle="Contralateral comparison" prompt="Enter retained degrees of motion or &quot;NA&quot; if contralateral joint has a history of injury or disease." sqref="G16:I16 G386:I386" xr:uid="{ADE5FF73-7A00-458D-B5D3-D1F0CCD4D6C4}">
      <formula1>$B$512:$B$563</formula1>
    </dataValidation>
    <dataValidation type="list" showInputMessage="1" showErrorMessage="1" promptTitle="Second toe ankylosis" prompt="Enter degrees of plantarflexion ankylosis, metatarsophalangeal joint. If joint was not affected by the injury, select &quot;NA&quot; or leave blank." sqref="C57:D57" xr:uid="{1DD0E136-8C88-4A92-AADB-11EB567DF673}">
      <formula1>$B$512:$B$543</formula1>
    </dataValidation>
    <dataValidation type="list" showInputMessage="1" showErrorMessage="1" promptTitle="Second toe ROM" prompt="Enter retained degrees of motion,metatarsophalangeal joint, plantar flexion. If joint was not affected by the injury, select &quot;NA&quot; or leave blank." sqref="C56:D56" xr:uid="{D3AC209D-8536-4908-A9B5-3C7302294D46}">
      <formula1>$B$512:$B$543</formula1>
    </dataValidation>
    <dataValidation type="list" showInputMessage="1" showErrorMessage="1" promptTitle="Second toe ankylosis" prompt="Enter degrees of dorsiflexion ankylosis,metatarsophalangeal joint. If joint was not affected by the injury, select &quot;NA&quot; or leave blank." sqref="C55:D55" xr:uid="{EC758E1C-0867-4CC3-BDF2-17E02A9778D7}">
      <formula1>$B$512:$B$553</formula1>
    </dataValidation>
    <dataValidation type="list" showInputMessage="1" showErrorMessage="1" promptTitle="Second toe ROM" prompt="Enter retained degrees of motion, metatarsophalangeal joint, dorsiflexion (extension). If joint was not affected by the injury, select &quot;NA&quot; or leave blank." sqref="C54:D54" xr:uid="{CD36C687-6BAC-4996-9B2C-A82EE4A4B5F4}">
      <formula1>$B$512:$B$553</formula1>
    </dataValidation>
    <dataValidation type="list" showInputMessage="1" showErrorMessage="1" promptTitle="Contralateral comparison" prompt="Enter retained degrees of motion or &quot;NA&quot; if contralateral joint has a history of injury or disease." sqref="G54:I54 G385:I385 G383:I383 G230:I230 G174:I174 G134:I134 G94:I94" xr:uid="{2645A720-64BA-4EDC-A24D-66D8AB35F24B}">
      <formula1>$B$512:$B$553</formula1>
    </dataValidation>
    <dataValidation type="list" showInputMessage="1" showErrorMessage="1" promptTitle="Third toe ankylosis" prompt="Enter degrees of plantarflexion ankylosis, metatarsophalangeal joint. If joint was not affected by the injury, select &quot;NA&quot; or leave blank." sqref="C97:D97" xr:uid="{7FBFD8A9-DE67-40ED-8034-98E7C471F703}">
      <formula1>$B$512:$B$543</formula1>
    </dataValidation>
    <dataValidation type="list" showInputMessage="1" showErrorMessage="1" promptTitle="Third toe ROM" prompt="Enter retained degrees of motion,metatarsophalangeal joint, plantar flexion. If joint was not affected by the injury, select &quot;NA&quot; or leave blank." sqref="C96:D96" xr:uid="{B1BACE4A-11ED-4D11-A1F8-38DF42967714}">
      <formula1>$B$512:$B$543</formula1>
    </dataValidation>
    <dataValidation type="list" showInputMessage="1" showErrorMessage="1" promptTitle="Third toe ankylosis" prompt="Enter degrees of dorsiflexion ankylosis,metatarsophalangeal joint. If joint was not affected by the injury, select &quot;NA&quot; or leave blank." sqref="C95:D95" xr:uid="{C20B7659-32A4-4CD9-AEAB-A4C8BB157887}">
      <formula1>$B$512:$B$553</formula1>
    </dataValidation>
    <dataValidation type="list" showInputMessage="1" showErrorMessage="1" promptTitle="Third toe ROM" prompt="Enter retained degrees of motion, metatarsophalangeal joint, dorsiflexion (extension). If joint was not affected by the injury, select &quot;NA&quot; or leave blank." sqref="C94:D94" xr:uid="{4AC74C21-BD6E-46D0-8E1E-9E1D40F1B63E}">
      <formula1>$B$512:$B$553</formula1>
    </dataValidation>
    <dataValidation type="list" showInputMessage="1" showErrorMessage="1" promptTitle="Fourth toe ankylosis" prompt="Enter degrees of plantarflexion ankylosis, metatarsophalangeal joint. If joint was not affected by the injury, select &quot;NA&quot; or leave blank." sqref="C137:D137" xr:uid="{F4293A74-0F6A-4F37-B206-E3FA67EBE737}">
      <formula1>$B$512:$B$543</formula1>
    </dataValidation>
    <dataValidation type="list" showInputMessage="1" showErrorMessage="1" promptTitle="Fourth toe ROM" prompt="Enter retained degrees of motion,metatarsophalangeal joint, plantar flexion. If joint was not affected by the injury, select &quot;NA&quot; or leave blank." sqref="C136:D136" xr:uid="{55A9B9BB-4B51-4D28-879A-C951A88C19AF}">
      <formula1>$B$512:$B$543</formula1>
    </dataValidation>
    <dataValidation type="list" showInputMessage="1" showErrorMessage="1" promptTitle="Fourth toe ankylosis" prompt="Enter degrees of dorsiflexion ankylosis,metatarsophalangeal joint. If joint was not affected by the injury, select &quot;NA&quot; or leave blank." sqref="C135:D135" xr:uid="{C011D860-0A0B-431A-A9D7-1F45CDE8417F}">
      <formula1>$B$512:$B$553</formula1>
    </dataValidation>
    <dataValidation type="list" showInputMessage="1" showErrorMessage="1" promptTitle="Fourth toe ROM" prompt="Enter retained degrees of motion, metatarsophalangeal joint, dorsiflexion (extension). If joint was not affected by the injury, select &quot;NA&quot; or leave blank." sqref="C134:D134" xr:uid="{5ED941A7-FAFE-4822-AFF4-D1B8832B5E69}">
      <formula1>$B$512:$B$553</formula1>
    </dataValidation>
    <dataValidation type="list" showInputMessage="1" showErrorMessage="1" promptTitle="Fifth toe ankylosis" prompt="Enter degrees of plantarflexion ankylosis, metatarsophalangeal joint. If joint was not affected by the injury, select &quot;NA&quot; or leave blank." sqref="C177:D177" xr:uid="{0CAF75E9-8FD7-4F88-BAF5-E48A66B5C49E}">
      <formula1>$B$512:$B$543</formula1>
    </dataValidation>
    <dataValidation type="list" showInputMessage="1" showErrorMessage="1" promptTitle="Fifth toe ROM" prompt="Enter retained degrees of motion,metatarsophalangeal joint, plantar flexion. If joint was not affected by the injury, select &quot;NA&quot; or leave blank." sqref="C176:D176" xr:uid="{E6FB2124-30CC-4AD5-8E31-686296D0DBC9}">
      <formula1>$B$512:$B$543</formula1>
    </dataValidation>
    <dataValidation type="list" showInputMessage="1" showErrorMessage="1" promptTitle="Fifth toe ankylosis" prompt="Enter degrees of dorsiflexion ankylosis,metatarsophalangeal joint. If joint was not affected by the injury, select &quot;NA&quot; or leave blank." sqref="C175:D175" xr:uid="{EBECFAA7-7D61-4AFE-B752-E3686C19D2F2}">
      <formula1>$B$512:$B$553</formula1>
    </dataValidation>
    <dataValidation type="list" showInputMessage="1" showErrorMessage="1" promptTitle="Fifth toe ROM" prompt="Enter retained degrees of motion, metatarsophalangeal joint, dorsiflexion (extension). If joint was not affected by the injury, select &quot;NA&quot; or leave blank." sqref="C174:D174" xr:uid="{71DABC32-CAE4-4556-935E-5FD5599ABC3D}">
      <formula1>$B$512:$B$553</formula1>
    </dataValidation>
    <dataValidation type="list" showInputMessage="1" showErrorMessage="1" promptTitle="Ankylosis (valgus)" prompt="Enter degrees subtalar eversion ankylosis of the foot.  If joint was not affected by the injury, select &quot;NA&quot; or leave blank." sqref="C225:D225" xr:uid="{CC9846D9-4328-42DF-A979-BB3D2A348ECE}">
      <formula1>$B$512:$B$533</formula1>
    </dataValidation>
    <dataValidation type="list" showInputMessage="1" showErrorMessage="1" promptTitle="ROM, Foot" prompt="Enter retained degrees of motion, subtalar eversion. If joint was not affected by the injury, select &quot;NA&quot; or leave blank." sqref="C224:D224" xr:uid="{EA0368CD-C525-493C-9BA2-1D375132AF9A}">
      <formula1>$B$512:$B$533</formula1>
    </dataValidation>
    <dataValidation type="list" showInputMessage="1" showErrorMessage="1" promptTitle="Ankylosis (varus)" prompt="Enter degrees subtalar inversion ankylosis of the foot.  If joint was not affected by the injury, select &quot;NA&quot; or leave blank." sqref="C223:D223" xr:uid="{1792C0CA-0D55-4731-8E21-9E9655C7CBEF}">
      <formula1>$B$512:$B$543</formula1>
    </dataValidation>
    <dataValidation type="list" showInputMessage="1" showErrorMessage="1" promptTitle="ROM, Foot" prompt="Enter retained degrees of motion, subtalar inversion. If joint was not affected by the injury, select &quot;NA&quot; or leave blank." sqref="C222:D222" xr:uid="{E1FC964D-A148-411B-A198-AD3E40C4BAEF}">
      <formula1>$B$512:$B$543</formula1>
    </dataValidation>
    <dataValidation type="list" showInputMessage="1" showErrorMessage="1" promptTitle="Contralateral comparison" prompt="Enter retained degrees of motion or &quot;NA&quot; if contralateral joint has a history of injury or disease." sqref="G224:I224 G384:I384 G228:I228" xr:uid="{83C7861B-D867-4262-9264-4F24AD9056F1}">
      <formula1>$B$512:$B$533</formula1>
    </dataValidation>
    <dataValidation type="list" showInputMessage="1" showErrorMessage="1" promptTitle="Ankylosis" prompt="Enter degrees plantarflexion ankylosis of the ankle.  If joint was not affected by the injury, select &quot;NA&quot; or leave blank." sqref="C231:D231" xr:uid="{7584523B-A07D-4F91-ADBA-35C079F7417C}">
      <formula1>$B$512:$B$553</formula1>
    </dataValidation>
    <dataValidation type="list" showInputMessage="1" showErrorMessage="1" promptTitle="ROM, Ankle" prompt="Enter retained degrees of motion, plantar flexion. If joint was not affected by the injury, select &quot;NA&quot; or leave blank." sqref="C230:D230" xr:uid="{4AE9C651-650D-498B-8183-B15DD484CD24}">
      <formula1>$B$512:$B$553</formula1>
    </dataValidation>
    <dataValidation type="list" showInputMessage="1" showErrorMessage="1" promptTitle="Ankylosis" prompt="Enter degrees dorsiflexion (extension) ankylosis of the ankle.  If joint was not affected by the injury, select &quot;NA&quot; or leave blank." sqref="C229:D229" xr:uid="{EAAE0C2B-1B17-497D-910C-A7FA56ED9490}">
      <formula1>$B$512:$B$533</formula1>
    </dataValidation>
    <dataValidation type="list" showInputMessage="1" showErrorMessage="1" promptTitle="ROM, Ankle" prompt="Enter retained degrees of motion, dorsiflexion (extension). If joint was not affected by the injury, select &quot;NA&quot; or leave blank." sqref="C228:D228" xr:uid="{A805B2D8-00E4-4471-96CF-5E782256DF87}">
      <formula1>$B$512:$B$533</formula1>
    </dataValidation>
    <dataValidation type="list" showInputMessage="1" showErrorMessage="1" promptTitle="Knee" prompt="Enter degrees of extension ankylosis. If joint was not affected by the injury, select &quot;NA&quot; or leave blank. " sqref="C379:D379" xr:uid="{107C1E99-7489-48E1-A1BE-62EFDA8B65D6}">
      <formula1>$B$512:$B$663</formula1>
    </dataValidation>
    <dataValidation type="list" showInputMessage="1" showErrorMessage="1" promptTitle="Knee extension" prompt="Enter retained degrees of motion, extension. If joint was not affected by the injury, select &quot;NA&quot; or leave blank." sqref="C378:D378" xr:uid="{E7526856-710A-4AE1-8817-1D67CFD4DF8E}">
      <formula1>$B$512:$B$663</formula1>
    </dataValidation>
    <dataValidation type="list" showInputMessage="1" showErrorMessage="1" promptTitle="Knee" prompt="Enter degrees of flexion ankylosis. If joint was not affected by the injury, select &quot;NA&quot; or leave blank." sqref="C377:D377" xr:uid="{0EAE1418-695C-42F9-9E95-765E077AFB2C}">
      <formula1>$B$512:$B$663</formula1>
    </dataValidation>
    <dataValidation type="list" showInputMessage="1" showErrorMessage="1" promptTitle="Knee flexion" prompt="Enter retained degrees of motion, flexion. If joint was not affected by the injury, select &quot;NA&quot; or leave blank." sqref="C376:D376" xr:uid="{FB4111FA-0D9B-4030-80F8-2587EE7EA3D4}">
      <formula1>$B$512:$B$663</formula1>
    </dataValidation>
    <dataValidation type="list" showInputMessage="1" showErrorMessage="1" promptTitle="Contralateral comparison" prompt="Enter retained degrees of motion or &quot;NA&quot; if contralateral joint has a history of injury or disease." sqref="G376:I376 G378:I378" xr:uid="{BCCCEB1F-8F35-4D0E-8A2F-82E674831FBB}">
      <formula1>$B$512:$B$663</formula1>
    </dataValidation>
    <dataValidation type="list" showInputMessage="1" showErrorMessage="1" promptTitle="Hip, external rotation" prompt="Enter retained degrees of motion, external rotation. If joint was not affected by the injury, select &quot;NA&quot; or leave blank." sqref="C386:D386" xr:uid="{2B099E49-3C58-45CA-9076-4DA8A03FF244}">
      <formula1>$B$512:$B$563</formula1>
    </dataValidation>
    <dataValidation type="list" showInputMessage="1" showErrorMessage="1" promptTitle="Hip, internal rotation" prompt="Enter retained degrees of motion, internal rotation. If joint was not affected by the injury, select &quot;NA&quot; or leave blank." sqref="C385:D385" xr:uid="{E9427B08-226F-4F84-A8DB-1434A31D3899}">
      <formula1>$B$512:$B$553</formula1>
    </dataValidation>
    <dataValidation type="list" showInputMessage="1" showErrorMessage="1" promptTitle="Hip adduction" prompt="Enter retained degrees of motion, adduction. If joint was not affected by the injury, select &quot;NA&quot; or leave blank." sqref="C384:D384" xr:uid="{5F008CC6-941B-424C-AD99-F394C16EECFA}">
      <formula1>$B$512:$B$533</formula1>
    </dataValidation>
    <dataValidation type="list" showInputMessage="1" showErrorMessage="1" promptTitle="Hip abduction" prompt="Enter retained degrees of motion, abduction. If joint was not affected by the injury, select &quot;NA&quot; or leave blank." sqref="C383:D383" xr:uid="{46AE67D9-12FA-4002-9E75-7A60260E8664}">
      <formula1>$B$512:$B$553</formula1>
    </dataValidation>
    <dataValidation type="list" showInputMessage="1" showErrorMessage="1" promptTitle="Hip backward extension" prompt="Enter retained degrees of motion, backward extension. If joint was not affected by the injury, select &quot;NA&quot; or leave blank." sqref="C382:D382" xr:uid="{DB22F03B-D1AA-49BE-A328-B0839C59C820}">
      <formula1>$B$512:$B$543</formula1>
    </dataValidation>
    <dataValidation type="list" showInputMessage="1" showErrorMessage="1" promptTitle="Hip forward flexion" prompt="Enter retained degrees of motion, forward flexion. If joint was not affected by the injury, select &quot;NA&quot; or leave blank." sqref="C381:D381" xr:uid="{B8390EBA-5DDC-480A-8310-8EC95888CB32}">
      <formula1>$B$512:$B$613</formula1>
    </dataValidation>
    <dataValidation type="list" showInputMessage="1" showErrorMessage="1" promptTitle="Contralateral comparison" prompt="Enter retained degrees of motion or &quot;NA&quot; if contralateral joint has a history of injury or disease." sqref="G381:I381" xr:uid="{BD113382-A88D-4000-886E-67A1D57AE9AE}">
      <formula1>$B$512:$B$613</formula1>
    </dataValidation>
    <dataValidation type="list" allowBlank="1" showInputMessage="1" showErrorMessage="1" promptTitle="Dermatological condition" prompt="Affecting toe -- select from classes 1-5. See OAR 436-035-0230." sqref="N28 N66 N106 N146 N186" xr:uid="{0B0C5C92-E81B-426B-B640-DDD1DFD2A98D}">
      <formula1>T28:X28</formula1>
    </dataValidation>
    <dataValidation type="list" allowBlank="1" showInputMessage="1" showErrorMessage="1" promptTitle="Amputation" prompt="Select extent of amputation below the knee." sqref="B207:O207" xr:uid="{CE32C55F-82D8-412F-8446-DABCE94C2E37}">
      <formula1>$S$207:$U$207</formula1>
    </dataValidation>
    <dataValidation type="decimal" operator="equal" allowBlank="1" showInputMessage="1" showErrorMessage="1" promptTitle="Skin loss - heel" prompt="Check (click) &quot;Yes&quot; if the worker suffered full thickness skin loss of the heel." sqref="A253" xr:uid="{F8C62D08-751D-4A81-BE6B-17FDE5BEA7A6}">
      <formula1>W254</formula1>
    </dataValidation>
    <dataValidation type="list" allowBlank="1" showInputMessage="1" showErrorMessage="1" promptTitle="Dermatological condition" prompt="Affecting foot -- select from classes 1-5. See OAR 436-035-0230." sqref="N252" xr:uid="{B26511F9-3AEE-4D7D-9B52-C5F289BBD56C}">
      <formula1>$T$252:$X$252</formula1>
    </dataValidation>
    <dataValidation type="list" allowBlank="1" showInputMessage="1" showErrorMessage="1" promptTitle="Strength grade" prompt="Record strength using the 0 to 5  grading system as described in OAR 436-035-0011." sqref="N280:N284 N335 N328:N333 N320:N326 N318 N307:N316 N299:N301 N292:N297 N286:N290" xr:uid="{9C8ADE5A-E334-4DCB-A675-CFCE83754CD9}">
      <formula1>$T$277:$AH$277</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280:O284 O335 O328:O333 O320:O326 O318 O307:O316 O299:O301 O292:O297 O286:O290" xr:uid="{3C01A507-2C02-40A4-BE67-4B3EE69276FC}">
      <formula1>$S$277:$AH$277</formula1>
    </dataValidation>
    <dataValidation type="list" allowBlank="1" showInputMessage="1" showErrorMessage="1" promptTitle="Leg length discrepancy" prompt="Select extent of length change." sqref="C391" xr:uid="{4A3815E1-FB02-4B49-B668-9B94A5126379}">
      <formula1>$S$391:$W$391</formula1>
    </dataValidation>
    <dataValidation type="list" allowBlank="1" showInputMessage="1" showErrorMessage="1" promptTitle="Dermatological condition" prompt="Affecting leg -- select from classes 1-5. See OAR 436-035-0230." sqref="N419:O419" xr:uid="{0FA4DCA5-F6B7-4D35-AF65-2169AADA89AD}">
      <formula1>$S$419:$W$419</formula1>
    </dataValidation>
    <dataValidation type="list" allowBlank="1" showInputMessage="1" showErrorMessage="1" promptTitle="Vascular dysfunction" prompt="Affecting leg -- select from classes 1-5. See OAR 436-035-0230." sqref="N420:O420" xr:uid="{576D304E-9050-41F7-8C77-8F3FF08056F1}">
      <formula1>$Y$419:$AC$419</formula1>
    </dataValidation>
  </dataValidations>
  <hyperlinks>
    <hyperlink ref="N278:P278" location="Rules!A3" display="Strength grade &amp; loss " xr:uid="{00000000-0004-0000-0700-000000000000}"/>
    <hyperlink ref="C4:D4" location="'Lower Extremity-Left'!B6" display="'Lower Extremity-Left'!B6" xr:uid="{00000000-0004-0000-0700-000001000000}"/>
    <hyperlink ref="E4:F4" location="'Lower Extremity-Left'!B44" display="'Lower Extremity-Left'!B44" xr:uid="{00000000-0004-0000-0700-000002000000}"/>
    <hyperlink ref="G4:I4" location="'Lower Extremity-Left'!B84" display="'Lower Extremity-Left'!B84" xr:uid="{00000000-0004-0000-0700-000003000000}"/>
    <hyperlink ref="J4:K4" location="'Lower Extremity-Left'!B124" display="'Lower Extremity-Left'!B124" xr:uid="{00000000-0004-0000-0700-000004000000}"/>
    <hyperlink ref="L4:M4" location="'Lower Extremity-Left'!B164" display="'Lower Extremity-Left'!B164" xr:uid="{00000000-0004-0000-0700-000005000000}"/>
    <hyperlink ref="N4" location="'Lower Extremity-Left'!B204" display="Foot/ankle" xr:uid="{00000000-0004-0000-0700-000006000000}"/>
    <hyperlink ref="O4" location="'Lower Extremity-Left'!B367" display="Leg" xr:uid="{00000000-0004-0000-0700-000007000000}"/>
    <hyperlink ref="P4" location="'Lower Extremity-Left'!B273" display="Strength" xr:uid="{00000000-0004-0000-0700-000008000000}"/>
    <hyperlink ref="P370" location="'Lower Extremity-Left'!A260" display="Leg strength" xr:uid="{00000000-0004-0000-0700-000009000000}"/>
    <hyperlink ref="B500" location="'Lower Extremity-Left'!A1" display="Return to top of sheet" xr:uid="{00000000-0004-0000-0700-00000A000000}"/>
    <hyperlink ref="H500:M500" location="'PPD DOI on or after 2005'!A1" display="'PPD DOI on or after 2005'!A1" xr:uid="{00000000-0004-0000-0700-00000B000000}"/>
    <hyperlink ref="C500:G500" location="'PPD DOI before 2005'!A1" display="'PPD DOI before 2005'!A1" xr:uid="{00000000-0004-0000-0700-00000C000000}"/>
  </hyperlinks>
  <pageMargins left="0.69" right="0.72" top="0.52" bottom="0.92" header="0.38" footer="0.5"/>
  <pageSetup orientation="portrait" horizontalDpi="200" verticalDpi="200" r:id="rId1"/>
  <headerFooter alignWithMargins="0">
    <oddFooter>&amp;LLower Extremity, Left&amp;CPage &amp;P</oddFooter>
  </headerFooter>
  <rowBreaks count="10" manualBreakCount="10">
    <brk id="162" max="16383" man="1"/>
    <brk id="201" max="16383" man="1"/>
    <brk id="238" max="16383" man="1"/>
    <brk id="274" max="16383" man="1"/>
    <brk id="303" max="16383" man="1"/>
    <brk id="338" max="16383" man="1"/>
    <brk id="368" max="16383" man="1"/>
    <brk id="407" max="16383" man="1"/>
    <brk id="442" max="16383" man="1"/>
    <brk id="47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062" r:id="rId4" name="Check Box 6">
              <controlPr locked="0" defaultSize="0" autoFill="0" autoLine="0" autoPict="0">
                <anchor moveWithCells="1">
                  <from>
                    <xdr:col>4</xdr:col>
                    <xdr:colOff>9525</xdr:colOff>
                    <xdr:row>279</xdr:row>
                    <xdr:rowOff>9525</xdr:rowOff>
                  </from>
                  <to>
                    <xdr:col>5</xdr:col>
                    <xdr:colOff>85725</xdr:colOff>
                    <xdr:row>280</xdr:row>
                    <xdr:rowOff>38100</xdr:rowOff>
                  </to>
                </anchor>
              </controlPr>
            </control>
          </mc:Choice>
        </mc:AlternateContent>
        <mc:AlternateContent xmlns:mc="http://schemas.openxmlformats.org/markup-compatibility/2006">
          <mc:Choice Requires="x14">
            <control shapeId="45063" r:id="rId5" name="Check Box 7">
              <controlPr locked="0" defaultSize="0" autoFill="0" autoLine="0" autoPict="0">
                <anchor moveWithCells="1">
                  <from>
                    <xdr:col>4</xdr:col>
                    <xdr:colOff>9525</xdr:colOff>
                    <xdr:row>280</xdr:row>
                    <xdr:rowOff>0</xdr:rowOff>
                  </from>
                  <to>
                    <xdr:col>5</xdr:col>
                    <xdr:colOff>85725</xdr:colOff>
                    <xdr:row>281</xdr:row>
                    <xdr:rowOff>28575</xdr:rowOff>
                  </to>
                </anchor>
              </controlPr>
            </control>
          </mc:Choice>
        </mc:AlternateContent>
        <mc:AlternateContent xmlns:mc="http://schemas.openxmlformats.org/markup-compatibility/2006">
          <mc:Choice Requires="x14">
            <control shapeId="45064" r:id="rId6" name="Check Box 8">
              <controlPr locked="0" defaultSize="0" autoFill="0" autoLine="0" autoPict="0">
                <anchor moveWithCells="1">
                  <from>
                    <xdr:col>4</xdr:col>
                    <xdr:colOff>9525</xdr:colOff>
                    <xdr:row>280</xdr:row>
                    <xdr:rowOff>180975</xdr:rowOff>
                  </from>
                  <to>
                    <xdr:col>5</xdr:col>
                    <xdr:colOff>85725</xdr:colOff>
                    <xdr:row>282</xdr:row>
                    <xdr:rowOff>19050</xdr:rowOff>
                  </to>
                </anchor>
              </controlPr>
            </control>
          </mc:Choice>
        </mc:AlternateContent>
        <mc:AlternateContent xmlns:mc="http://schemas.openxmlformats.org/markup-compatibility/2006">
          <mc:Choice Requires="x14">
            <control shapeId="45065" r:id="rId7" name="Check Box 9">
              <controlPr locked="0" defaultSize="0" autoFill="0" autoLine="0" autoPict="0">
                <anchor moveWithCells="1">
                  <from>
                    <xdr:col>4</xdr:col>
                    <xdr:colOff>9525</xdr:colOff>
                    <xdr:row>281</xdr:row>
                    <xdr:rowOff>171450</xdr:rowOff>
                  </from>
                  <to>
                    <xdr:col>5</xdr:col>
                    <xdr:colOff>85725</xdr:colOff>
                    <xdr:row>283</xdr:row>
                    <xdr:rowOff>9525</xdr:rowOff>
                  </to>
                </anchor>
              </controlPr>
            </control>
          </mc:Choice>
        </mc:AlternateContent>
        <mc:AlternateContent xmlns:mc="http://schemas.openxmlformats.org/markup-compatibility/2006">
          <mc:Choice Requires="x14">
            <control shapeId="45066" r:id="rId8" name="Check Box 10">
              <controlPr locked="0" defaultSize="0" autoFill="0" autoLine="0" autoPict="0">
                <anchor moveWithCells="1">
                  <from>
                    <xdr:col>4</xdr:col>
                    <xdr:colOff>9525</xdr:colOff>
                    <xdr:row>282</xdr:row>
                    <xdr:rowOff>180975</xdr:rowOff>
                  </from>
                  <to>
                    <xdr:col>5</xdr:col>
                    <xdr:colOff>85725</xdr:colOff>
                    <xdr:row>284</xdr:row>
                    <xdr:rowOff>19050</xdr:rowOff>
                  </to>
                </anchor>
              </controlPr>
            </control>
          </mc:Choice>
        </mc:AlternateContent>
        <mc:AlternateContent xmlns:mc="http://schemas.openxmlformats.org/markup-compatibility/2006">
          <mc:Choice Requires="x14">
            <control shapeId="45067" r:id="rId9" name="Check Box 11">
              <controlPr locked="0" defaultSize="0" autoFill="0" autoLine="0" autoPict="0">
                <anchor moveWithCells="1">
                  <from>
                    <xdr:col>4</xdr:col>
                    <xdr:colOff>9525</xdr:colOff>
                    <xdr:row>285</xdr:row>
                    <xdr:rowOff>9525</xdr:rowOff>
                  </from>
                  <to>
                    <xdr:col>5</xdr:col>
                    <xdr:colOff>85725</xdr:colOff>
                    <xdr:row>285</xdr:row>
                    <xdr:rowOff>228600</xdr:rowOff>
                  </to>
                </anchor>
              </controlPr>
            </control>
          </mc:Choice>
        </mc:AlternateContent>
        <mc:AlternateContent xmlns:mc="http://schemas.openxmlformats.org/markup-compatibility/2006">
          <mc:Choice Requires="x14">
            <control shapeId="45068" r:id="rId10" name="Check Box 12">
              <controlPr locked="0" defaultSize="0" autoFill="0" autoLine="0" autoPict="0">
                <anchor moveWithCells="1">
                  <from>
                    <xdr:col>4</xdr:col>
                    <xdr:colOff>9525</xdr:colOff>
                    <xdr:row>286</xdr:row>
                    <xdr:rowOff>0</xdr:rowOff>
                  </from>
                  <to>
                    <xdr:col>5</xdr:col>
                    <xdr:colOff>85725</xdr:colOff>
                    <xdr:row>287</xdr:row>
                    <xdr:rowOff>28575</xdr:rowOff>
                  </to>
                </anchor>
              </controlPr>
            </control>
          </mc:Choice>
        </mc:AlternateContent>
        <mc:AlternateContent xmlns:mc="http://schemas.openxmlformats.org/markup-compatibility/2006">
          <mc:Choice Requires="x14">
            <control shapeId="45069" r:id="rId11" name="Check Box 13">
              <controlPr locked="0" defaultSize="0" autoFill="0" autoLine="0" autoPict="0">
                <anchor moveWithCells="1">
                  <from>
                    <xdr:col>4</xdr:col>
                    <xdr:colOff>9525</xdr:colOff>
                    <xdr:row>286</xdr:row>
                    <xdr:rowOff>180975</xdr:rowOff>
                  </from>
                  <to>
                    <xdr:col>5</xdr:col>
                    <xdr:colOff>85725</xdr:colOff>
                    <xdr:row>288</xdr:row>
                    <xdr:rowOff>19050</xdr:rowOff>
                  </to>
                </anchor>
              </controlPr>
            </control>
          </mc:Choice>
        </mc:AlternateContent>
        <mc:AlternateContent xmlns:mc="http://schemas.openxmlformats.org/markup-compatibility/2006">
          <mc:Choice Requires="x14">
            <control shapeId="45070" r:id="rId12" name="Check Box 14">
              <controlPr locked="0" defaultSize="0" autoFill="0" autoLine="0" autoPict="0">
                <anchor moveWithCells="1">
                  <from>
                    <xdr:col>4</xdr:col>
                    <xdr:colOff>9525</xdr:colOff>
                    <xdr:row>287</xdr:row>
                    <xdr:rowOff>171450</xdr:rowOff>
                  </from>
                  <to>
                    <xdr:col>5</xdr:col>
                    <xdr:colOff>85725</xdr:colOff>
                    <xdr:row>289</xdr:row>
                    <xdr:rowOff>9525</xdr:rowOff>
                  </to>
                </anchor>
              </controlPr>
            </control>
          </mc:Choice>
        </mc:AlternateContent>
        <mc:AlternateContent xmlns:mc="http://schemas.openxmlformats.org/markup-compatibility/2006">
          <mc:Choice Requires="x14">
            <control shapeId="45071" r:id="rId13" name="Check Box 15">
              <controlPr locked="0" defaultSize="0" autoFill="0" autoLine="0" autoPict="0">
                <anchor moveWithCells="1">
                  <from>
                    <xdr:col>4</xdr:col>
                    <xdr:colOff>9525</xdr:colOff>
                    <xdr:row>288</xdr:row>
                    <xdr:rowOff>180975</xdr:rowOff>
                  </from>
                  <to>
                    <xdr:col>5</xdr:col>
                    <xdr:colOff>85725</xdr:colOff>
                    <xdr:row>290</xdr:row>
                    <xdr:rowOff>19050</xdr:rowOff>
                  </to>
                </anchor>
              </controlPr>
            </control>
          </mc:Choice>
        </mc:AlternateContent>
        <mc:AlternateContent xmlns:mc="http://schemas.openxmlformats.org/markup-compatibility/2006">
          <mc:Choice Requires="x14">
            <control shapeId="45072" r:id="rId14" name="Check Box 16">
              <controlPr locked="0" defaultSize="0" autoFill="0" autoLine="0" autoPict="0">
                <anchor moveWithCells="1">
                  <from>
                    <xdr:col>4</xdr:col>
                    <xdr:colOff>9525</xdr:colOff>
                    <xdr:row>291</xdr:row>
                    <xdr:rowOff>19050</xdr:rowOff>
                  </from>
                  <to>
                    <xdr:col>5</xdr:col>
                    <xdr:colOff>85725</xdr:colOff>
                    <xdr:row>292</xdr:row>
                    <xdr:rowOff>9525</xdr:rowOff>
                  </to>
                </anchor>
              </controlPr>
            </control>
          </mc:Choice>
        </mc:AlternateContent>
        <mc:AlternateContent xmlns:mc="http://schemas.openxmlformats.org/markup-compatibility/2006">
          <mc:Choice Requires="x14">
            <control shapeId="45073" r:id="rId15" name="Check Box 17">
              <controlPr locked="0" defaultSize="0" autoFill="0" autoLine="0" autoPict="0">
                <anchor moveWithCells="1">
                  <from>
                    <xdr:col>4</xdr:col>
                    <xdr:colOff>9525</xdr:colOff>
                    <xdr:row>292</xdr:row>
                    <xdr:rowOff>0</xdr:rowOff>
                  </from>
                  <to>
                    <xdr:col>5</xdr:col>
                    <xdr:colOff>85725</xdr:colOff>
                    <xdr:row>293</xdr:row>
                    <xdr:rowOff>28575</xdr:rowOff>
                  </to>
                </anchor>
              </controlPr>
            </control>
          </mc:Choice>
        </mc:AlternateContent>
        <mc:AlternateContent xmlns:mc="http://schemas.openxmlformats.org/markup-compatibility/2006">
          <mc:Choice Requires="x14">
            <control shapeId="45074" r:id="rId16" name="Check Box 18">
              <controlPr locked="0" defaultSize="0" autoFill="0" autoLine="0" autoPict="0">
                <anchor moveWithCells="1">
                  <from>
                    <xdr:col>4</xdr:col>
                    <xdr:colOff>9525</xdr:colOff>
                    <xdr:row>292</xdr:row>
                    <xdr:rowOff>180975</xdr:rowOff>
                  </from>
                  <to>
                    <xdr:col>5</xdr:col>
                    <xdr:colOff>85725</xdr:colOff>
                    <xdr:row>294</xdr:row>
                    <xdr:rowOff>19050</xdr:rowOff>
                  </to>
                </anchor>
              </controlPr>
            </control>
          </mc:Choice>
        </mc:AlternateContent>
        <mc:AlternateContent xmlns:mc="http://schemas.openxmlformats.org/markup-compatibility/2006">
          <mc:Choice Requires="x14">
            <control shapeId="45075" r:id="rId17" name="Check Box 19">
              <controlPr locked="0" defaultSize="0" autoFill="0" autoLine="0" autoPict="0">
                <anchor moveWithCells="1">
                  <from>
                    <xdr:col>4</xdr:col>
                    <xdr:colOff>9525</xdr:colOff>
                    <xdr:row>293</xdr:row>
                    <xdr:rowOff>171450</xdr:rowOff>
                  </from>
                  <to>
                    <xdr:col>5</xdr:col>
                    <xdr:colOff>85725</xdr:colOff>
                    <xdr:row>295</xdr:row>
                    <xdr:rowOff>9525</xdr:rowOff>
                  </to>
                </anchor>
              </controlPr>
            </control>
          </mc:Choice>
        </mc:AlternateContent>
        <mc:AlternateContent xmlns:mc="http://schemas.openxmlformats.org/markup-compatibility/2006">
          <mc:Choice Requires="x14">
            <control shapeId="45076" r:id="rId18" name="Check Box 20">
              <controlPr locked="0" defaultSize="0" autoFill="0" autoLine="0" autoPict="0">
                <anchor moveWithCells="1">
                  <from>
                    <xdr:col>4</xdr:col>
                    <xdr:colOff>9525</xdr:colOff>
                    <xdr:row>294</xdr:row>
                    <xdr:rowOff>180975</xdr:rowOff>
                  </from>
                  <to>
                    <xdr:col>5</xdr:col>
                    <xdr:colOff>85725</xdr:colOff>
                    <xdr:row>296</xdr:row>
                    <xdr:rowOff>19050</xdr:rowOff>
                  </to>
                </anchor>
              </controlPr>
            </control>
          </mc:Choice>
        </mc:AlternateContent>
        <mc:AlternateContent xmlns:mc="http://schemas.openxmlformats.org/markup-compatibility/2006">
          <mc:Choice Requires="x14">
            <control shapeId="45077" r:id="rId19" name="Check Box 21">
              <controlPr locked="0" defaultSize="0" autoFill="0" autoLine="0" autoPict="0">
                <anchor moveWithCells="1">
                  <from>
                    <xdr:col>4</xdr:col>
                    <xdr:colOff>9525</xdr:colOff>
                    <xdr:row>298</xdr:row>
                    <xdr:rowOff>314325</xdr:rowOff>
                  </from>
                  <to>
                    <xdr:col>5</xdr:col>
                    <xdr:colOff>85725</xdr:colOff>
                    <xdr:row>300</xdr:row>
                    <xdr:rowOff>19050</xdr:rowOff>
                  </to>
                </anchor>
              </controlPr>
            </control>
          </mc:Choice>
        </mc:AlternateContent>
        <mc:AlternateContent xmlns:mc="http://schemas.openxmlformats.org/markup-compatibility/2006">
          <mc:Choice Requires="x14">
            <control shapeId="45078" r:id="rId20" name="Check Box 22">
              <controlPr locked="0" defaultSize="0" autoFill="0" autoLine="0" autoPict="0">
                <anchor moveWithCells="1">
                  <from>
                    <xdr:col>4</xdr:col>
                    <xdr:colOff>9525</xdr:colOff>
                    <xdr:row>299</xdr:row>
                    <xdr:rowOff>180975</xdr:rowOff>
                  </from>
                  <to>
                    <xdr:col>5</xdr:col>
                    <xdr:colOff>85725</xdr:colOff>
                    <xdr:row>301</xdr:row>
                    <xdr:rowOff>19050</xdr:rowOff>
                  </to>
                </anchor>
              </controlPr>
            </control>
          </mc:Choice>
        </mc:AlternateContent>
        <mc:AlternateContent xmlns:mc="http://schemas.openxmlformats.org/markup-compatibility/2006">
          <mc:Choice Requires="x14">
            <control shapeId="45079" r:id="rId21" name="Check Box 23">
              <controlPr locked="0" defaultSize="0" autoFill="0" autoLine="0" autoPict="0">
                <anchor moveWithCells="1">
                  <from>
                    <xdr:col>4</xdr:col>
                    <xdr:colOff>9525</xdr:colOff>
                    <xdr:row>307</xdr:row>
                    <xdr:rowOff>0</xdr:rowOff>
                  </from>
                  <to>
                    <xdr:col>5</xdr:col>
                    <xdr:colOff>85725</xdr:colOff>
                    <xdr:row>308</xdr:row>
                    <xdr:rowOff>28575</xdr:rowOff>
                  </to>
                </anchor>
              </controlPr>
            </control>
          </mc:Choice>
        </mc:AlternateContent>
        <mc:AlternateContent xmlns:mc="http://schemas.openxmlformats.org/markup-compatibility/2006">
          <mc:Choice Requires="x14">
            <control shapeId="45080" r:id="rId22" name="Check Box 24">
              <controlPr locked="0" defaultSize="0" autoFill="0" autoLine="0" autoPict="0">
                <anchor moveWithCells="1">
                  <from>
                    <xdr:col>4</xdr:col>
                    <xdr:colOff>9525</xdr:colOff>
                    <xdr:row>308</xdr:row>
                    <xdr:rowOff>0</xdr:rowOff>
                  </from>
                  <to>
                    <xdr:col>5</xdr:col>
                    <xdr:colOff>85725</xdr:colOff>
                    <xdr:row>309</xdr:row>
                    <xdr:rowOff>28575</xdr:rowOff>
                  </to>
                </anchor>
              </controlPr>
            </control>
          </mc:Choice>
        </mc:AlternateContent>
        <mc:AlternateContent xmlns:mc="http://schemas.openxmlformats.org/markup-compatibility/2006">
          <mc:Choice Requires="x14">
            <control shapeId="45081" r:id="rId23" name="Check Box 25">
              <controlPr locked="0" defaultSize="0" autoFill="0" autoLine="0" autoPict="0">
                <anchor moveWithCells="1">
                  <from>
                    <xdr:col>4</xdr:col>
                    <xdr:colOff>9525</xdr:colOff>
                    <xdr:row>308</xdr:row>
                    <xdr:rowOff>180975</xdr:rowOff>
                  </from>
                  <to>
                    <xdr:col>5</xdr:col>
                    <xdr:colOff>85725</xdr:colOff>
                    <xdr:row>310</xdr:row>
                    <xdr:rowOff>19050</xdr:rowOff>
                  </to>
                </anchor>
              </controlPr>
            </control>
          </mc:Choice>
        </mc:AlternateContent>
        <mc:AlternateContent xmlns:mc="http://schemas.openxmlformats.org/markup-compatibility/2006">
          <mc:Choice Requires="x14">
            <control shapeId="45082" r:id="rId24" name="Check Box 26">
              <controlPr locked="0" defaultSize="0" autoFill="0" autoLine="0" autoPict="0">
                <anchor moveWithCells="1">
                  <from>
                    <xdr:col>4</xdr:col>
                    <xdr:colOff>9525</xdr:colOff>
                    <xdr:row>309</xdr:row>
                    <xdr:rowOff>171450</xdr:rowOff>
                  </from>
                  <to>
                    <xdr:col>5</xdr:col>
                    <xdr:colOff>85725</xdr:colOff>
                    <xdr:row>311</xdr:row>
                    <xdr:rowOff>9525</xdr:rowOff>
                  </to>
                </anchor>
              </controlPr>
            </control>
          </mc:Choice>
        </mc:AlternateContent>
        <mc:AlternateContent xmlns:mc="http://schemas.openxmlformats.org/markup-compatibility/2006">
          <mc:Choice Requires="x14">
            <control shapeId="45083" r:id="rId25" name="Check Box 27">
              <controlPr locked="0" defaultSize="0" autoFill="0" autoLine="0" autoPict="0">
                <anchor moveWithCells="1">
                  <from>
                    <xdr:col>4</xdr:col>
                    <xdr:colOff>9525</xdr:colOff>
                    <xdr:row>310</xdr:row>
                    <xdr:rowOff>180975</xdr:rowOff>
                  </from>
                  <to>
                    <xdr:col>5</xdr:col>
                    <xdr:colOff>85725</xdr:colOff>
                    <xdr:row>312</xdr:row>
                    <xdr:rowOff>19050</xdr:rowOff>
                  </to>
                </anchor>
              </controlPr>
            </control>
          </mc:Choice>
        </mc:AlternateContent>
        <mc:AlternateContent xmlns:mc="http://schemas.openxmlformats.org/markup-compatibility/2006">
          <mc:Choice Requires="x14">
            <control shapeId="45084" r:id="rId26" name="Check Box 28">
              <controlPr locked="0" defaultSize="0" autoFill="0" autoLine="0" autoPict="0">
                <anchor moveWithCells="1">
                  <from>
                    <xdr:col>4</xdr:col>
                    <xdr:colOff>9525</xdr:colOff>
                    <xdr:row>312</xdr:row>
                    <xdr:rowOff>0</xdr:rowOff>
                  </from>
                  <to>
                    <xdr:col>5</xdr:col>
                    <xdr:colOff>85725</xdr:colOff>
                    <xdr:row>313</xdr:row>
                    <xdr:rowOff>28575</xdr:rowOff>
                  </to>
                </anchor>
              </controlPr>
            </control>
          </mc:Choice>
        </mc:AlternateContent>
        <mc:AlternateContent xmlns:mc="http://schemas.openxmlformats.org/markup-compatibility/2006">
          <mc:Choice Requires="x14">
            <control shapeId="45085" r:id="rId27" name="Check Box 29">
              <controlPr locked="0" defaultSize="0" autoFill="0" autoLine="0" autoPict="0">
                <anchor moveWithCells="1">
                  <from>
                    <xdr:col>4</xdr:col>
                    <xdr:colOff>9525</xdr:colOff>
                    <xdr:row>313</xdr:row>
                    <xdr:rowOff>0</xdr:rowOff>
                  </from>
                  <to>
                    <xdr:col>5</xdr:col>
                    <xdr:colOff>85725</xdr:colOff>
                    <xdr:row>314</xdr:row>
                    <xdr:rowOff>28575</xdr:rowOff>
                  </to>
                </anchor>
              </controlPr>
            </control>
          </mc:Choice>
        </mc:AlternateContent>
        <mc:AlternateContent xmlns:mc="http://schemas.openxmlformats.org/markup-compatibility/2006">
          <mc:Choice Requires="x14">
            <control shapeId="45086" r:id="rId28" name="Check Box 30">
              <controlPr locked="0" defaultSize="0" autoFill="0" autoLine="0" autoPict="0">
                <anchor moveWithCells="1">
                  <from>
                    <xdr:col>4</xdr:col>
                    <xdr:colOff>9525</xdr:colOff>
                    <xdr:row>313</xdr:row>
                    <xdr:rowOff>180975</xdr:rowOff>
                  </from>
                  <to>
                    <xdr:col>5</xdr:col>
                    <xdr:colOff>85725</xdr:colOff>
                    <xdr:row>315</xdr:row>
                    <xdr:rowOff>19050</xdr:rowOff>
                  </to>
                </anchor>
              </controlPr>
            </control>
          </mc:Choice>
        </mc:AlternateContent>
        <mc:AlternateContent xmlns:mc="http://schemas.openxmlformats.org/markup-compatibility/2006">
          <mc:Choice Requires="x14">
            <control shapeId="45087" r:id="rId29" name="Check Box 31">
              <controlPr locked="0" defaultSize="0" autoFill="0" autoLine="0" autoPict="0">
                <anchor moveWithCells="1">
                  <from>
                    <xdr:col>4</xdr:col>
                    <xdr:colOff>9525</xdr:colOff>
                    <xdr:row>314</xdr:row>
                    <xdr:rowOff>180975</xdr:rowOff>
                  </from>
                  <to>
                    <xdr:col>5</xdr:col>
                    <xdr:colOff>85725</xdr:colOff>
                    <xdr:row>316</xdr:row>
                    <xdr:rowOff>19050</xdr:rowOff>
                  </to>
                </anchor>
              </controlPr>
            </control>
          </mc:Choice>
        </mc:AlternateContent>
        <mc:AlternateContent xmlns:mc="http://schemas.openxmlformats.org/markup-compatibility/2006">
          <mc:Choice Requires="x14">
            <control shapeId="45088" r:id="rId30" name="Check Box 32">
              <controlPr locked="0" defaultSize="0" autoFill="0" autoLine="0" autoPict="0">
                <anchor moveWithCells="1">
                  <from>
                    <xdr:col>4</xdr:col>
                    <xdr:colOff>9525</xdr:colOff>
                    <xdr:row>316</xdr:row>
                    <xdr:rowOff>180975</xdr:rowOff>
                  </from>
                  <to>
                    <xdr:col>5</xdr:col>
                    <xdr:colOff>85725</xdr:colOff>
                    <xdr:row>318</xdr:row>
                    <xdr:rowOff>19050</xdr:rowOff>
                  </to>
                </anchor>
              </controlPr>
            </control>
          </mc:Choice>
        </mc:AlternateContent>
        <mc:AlternateContent xmlns:mc="http://schemas.openxmlformats.org/markup-compatibility/2006">
          <mc:Choice Requires="x14">
            <control shapeId="45089" r:id="rId31" name="Check Box 33">
              <controlPr locked="0" defaultSize="0" autoFill="0" autoLine="0" autoPict="0">
                <anchor moveWithCells="1">
                  <from>
                    <xdr:col>4</xdr:col>
                    <xdr:colOff>9525</xdr:colOff>
                    <xdr:row>318</xdr:row>
                    <xdr:rowOff>219075</xdr:rowOff>
                  </from>
                  <to>
                    <xdr:col>5</xdr:col>
                    <xdr:colOff>85725</xdr:colOff>
                    <xdr:row>320</xdr:row>
                    <xdr:rowOff>19050</xdr:rowOff>
                  </to>
                </anchor>
              </controlPr>
            </control>
          </mc:Choice>
        </mc:AlternateContent>
        <mc:AlternateContent xmlns:mc="http://schemas.openxmlformats.org/markup-compatibility/2006">
          <mc:Choice Requires="x14">
            <control shapeId="45090" r:id="rId32" name="Check Box 34">
              <controlPr locked="0" defaultSize="0" autoFill="0" autoLine="0" autoPict="0">
                <anchor moveWithCells="1">
                  <from>
                    <xdr:col>4</xdr:col>
                    <xdr:colOff>9525</xdr:colOff>
                    <xdr:row>319</xdr:row>
                    <xdr:rowOff>180975</xdr:rowOff>
                  </from>
                  <to>
                    <xdr:col>5</xdr:col>
                    <xdr:colOff>85725</xdr:colOff>
                    <xdr:row>321</xdr:row>
                    <xdr:rowOff>19050</xdr:rowOff>
                  </to>
                </anchor>
              </controlPr>
            </control>
          </mc:Choice>
        </mc:AlternateContent>
        <mc:AlternateContent xmlns:mc="http://schemas.openxmlformats.org/markup-compatibility/2006">
          <mc:Choice Requires="x14">
            <control shapeId="45091" r:id="rId33" name="Check Box 35">
              <controlPr locked="0" defaultSize="0" autoFill="0" autoLine="0" autoPict="0">
                <anchor moveWithCells="1">
                  <from>
                    <xdr:col>4</xdr:col>
                    <xdr:colOff>9525</xdr:colOff>
                    <xdr:row>320</xdr:row>
                    <xdr:rowOff>180975</xdr:rowOff>
                  </from>
                  <to>
                    <xdr:col>5</xdr:col>
                    <xdr:colOff>85725</xdr:colOff>
                    <xdr:row>322</xdr:row>
                    <xdr:rowOff>19050</xdr:rowOff>
                  </to>
                </anchor>
              </controlPr>
            </control>
          </mc:Choice>
        </mc:AlternateContent>
        <mc:AlternateContent xmlns:mc="http://schemas.openxmlformats.org/markup-compatibility/2006">
          <mc:Choice Requires="x14">
            <control shapeId="45092" r:id="rId34" name="Check Box 36">
              <controlPr locked="0" defaultSize="0" autoFill="0" autoLine="0" autoPict="0">
                <anchor moveWithCells="1">
                  <from>
                    <xdr:col>4</xdr:col>
                    <xdr:colOff>9525</xdr:colOff>
                    <xdr:row>321</xdr:row>
                    <xdr:rowOff>180975</xdr:rowOff>
                  </from>
                  <to>
                    <xdr:col>5</xdr:col>
                    <xdr:colOff>85725</xdr:colOff>
                    <xdr:row>323</xdr:row>
                    <xdr:rowOff>19050</xdr:rowOff>
                  </to>
                </anchor>
              </controlPr>
            </control>
          </mc:Choice>
        </mc:AlternateContent>
        <mc:AlternateContent xmlns:mc="http://schemas.openxmlformats.org/markup-compatibility/2006">
          <mc:Choice Requires="x14">
            <control shapeId="45093" r:id="rId35" name="Check Box 37">
              <controlPr locked="0" defaultSize="0" autoFill="0" autoLine="0" autoPict="0">
                <anchor moveWithCells="1">
                  <from>
                    <xdr:col>4</xdr:col>
                    <xdr:colOff>9525</xdr:colOff>
                    <xdr:row>322</xdr:row>
                    <xdr:rowOff>171450</xdr:rowOff>
                  </from>
                  <to>
                    <xdr:col>5</xdr:col>
                    <xdr:colOff>85725</xdr:colOff>
                    <xdr:row>324</xdr:row>
                    <xdr:rowOff>9525</xdr:rowOff>
                  </to>
                </anchor>
              </controlPr>
            </control>
          </mc:Choice>
        </mc:AlternateContent>
        <mc:AlternateContent xmlns:mc="http://schemas.openxmlformats.org/markup-compatibility/2006">
          <mc:Choice Requires="x14">
            <control shapeId="45094" r:id="rId36" name="Check Box 38">
              <controlPr locked="0" defaultSize="0" autoFill="0" autoLine="0" autoPict="0">
                <anchor moveWithCells="1">
                  <from>
                    <xdr:col>4</xdr:col>
                    <xdr:colOff>9525</xdr:colOff>
                    <xdr:row>324</xdr:row>
                    <xdr:rowOff>0</xdr:rowOff>
                  </from>
                  <to>
                    <xdr:col>5</xdr:col>
                    <xdr:colOff>85725</xdr:colOff>
                    <xdr:row>325</xdr:row>
                    <xdr:rowOff>28575</xdr:rowOff>
                  </to>
                </anchor>
              </controlPr>
            </control>
          </mc:Choice>
        </mc:AlternateContent>
        <mc:AlternateContent xmlns:mc="http://schemas.openxmlformats.org/markup-compatibility/2006">
          <mc:Choice Requires="x14">
            <control shapeId="45095" r:id="rId37" name="Check Box 39">
              <controlPr locked="0" defaultSize="0" autoFill="0" autoLine="0" autoPict="0">
                <anchor moveWithCells="1">
                  <from>
                    <xdr:col>4</xdr:col>
                    <xdr:colOff>9525</xdr:colOff>
                    <xdr:row>325</xdr:row>
                    <xdr:rowOff>0</xdr:rowOff>
                  </from>
                  <to>
                    <xdr:col>5</xdr:col>
                    <xdr:colOff>85725</xdr:colOff>
                    <xdr:row>326</xdr:row>
                    <xdr:rowOff>28575</xdr:rowOff>
                  </to>
                </anchor>
              </controlPr>
            </control>
          </mc:Choice>
        </mc:AlternateContent>
        <mc:AlternateContent xmlns:mc="http://schemas.openxmlformats.org/markup-compatibility/2006">
          <mc:Choice Requires="x14">
            <control shapeId="45096" r:id="rId38" name="Check Box 40">
              <controlPr locked="0" defaultSize="0" autoFill="0" autoLine="0" autoPict="0">
                <anchor moveWithCells="1">
                  <from>
                    <xdr:col>4</xdr:col>
                    <xdr:colOff>9525</xdr:colOff>
                    <xdr:row>327</xdr:row>
                    <xdr:rowOff>333375</xdr:rowOff>
                  </from>
                  <to>
                    <xdr:col>5</xdr:col>
                    <xdr:colOff>85725</xdr:colOff>
                    <xdr:row>328</xdr:row>
                    <xdr:rowOff>209550</xdr:rowOff>
                  </to>
                </anchor>
              </controlPr>
            </control>
          </mc:Choice>
        </mc:AlternateContent>
        <mc:AlternateContent xmlns:mc="http://schemas.openxmlformats.org/markup-compatibility/2006">
          <mc:Choice Requires="x14">
            <control shapeId="45097" r:id="rId39" name="Check Box 41">
              <controlPr locked="0" defaultSize="0" autoFill="0" autoLine="0" autoPict="0">
                <anchor moveWithCells="1">
                  <from>
                    <xdr:col>4</xdr:col>
                    <xdr:colOff>9525</xdr:colOff>
                    <xdr:row>329</xdr:row>
                    <xdr:rowOff>0</xdr:rowOff>
                  </from>
                  <to>
                    <xdr:col>5</xdr:col>
                    <xdr:colOff>85725</xdr:colOff>
                    <xdr:row>330</xdr:row>
                    <xdr:rowOff>28575</xdr:rowOff>
                  </to>
                </anchor>
              </controlPr>
            </control>
          </mc:Choice>
        </mc:AlternateContent>
        <mc:AlternateContent xmlns:mc="http://schemas.openxmlformats.org/markup-compatibility/2006">
          <mc:Choice Requires="x14">
            <control shapeId="45098" r:id="rId40" name="Check Box 42">
              <controlPr locked="0" defaultSize="0" autoFill="0" autoLine="0" autoPict="0">
                <anchor moveWithCells="1">
                  <from>
                    <xdr:col>4</xdr:col>
                    <xdr:colOff>9525</xdr:colOff>
                    <xdr:row>329</xdr:row>
                    <xdr:rowOff>180975</xdr:rowOff>
                  </from>
                  <to>
                    <xdr:col>5</xdr:col>
                    <xdr:colOff>85725</xdr:colOff>
                    <xdr:row>331</xdr:row>
                    <xdr:rowOff>19050</xdr:rowOff>
                  </to>
                </anchor>
              </controlPr>
            </control>
          </mc:Choice>
        </mc:AlternateContent>
        <mc:AlternateContent xmlns:mc="http://schemas.openxmlformats.org/markup-compatibility/2006">
          <mc:Choice Requires="x14">
            <control shapeId="45099" r:id="rId41" name="Check Box 43">
              <controlPr locked="0" defaultSize="0" autoFill="0" autoLine="0" autoPict="0">
                <anchor moveWithCells="1">
                  <from>
                    <xdr:col>4</xdr:col>
                    <xdr:colOff>9525</xdr:colOff>
                    <xdr:row>331</xdr:row>
                    <xdr:rowOff>0</xdr:rowOff>
                  </from>
                  <to>
                    <xdr:col>5</xdr:col>
                    <xdr:colOff>85725</xdr:colOff>
                    <xdr:row>332</xdr:row>
                    <xdr:rowOff>28575</xdr:rowOff>
                  </to>
                </anchor>
              </controlPr>
            </control>
          </mc:Choice>
        </mc:AlternateContent>
        <mc:AlternateContent xmlns:mc="http://schemas.openxmlformats.org/markup-compatibility/2006">
          <mc:Choice Requires="x14">
            <control shapeId="45100" r:id="rId42" name="Check Box 44">
              <controlPr locked="0" defaultSize="0" autoFill="0" autoLine="0" autoPict="0">
                <anchor moveWithCells="1">
                  <from>
                    <xdr:col>4</xdr:col>
                    <xdr:colOff>9525</xdr:colOff>
                    <xdr:row>331</xdr:row>
                    <xdr:rowOff>171450</xdr:rowOff>
                  </from>
                  <to>
                    <xdr:col>5</xdr:col>
                    <xdr:colOff>85725</xdr:colOff>
                    <xdr:row>333</xdr:row>
                    <xdr:rowOff>9525</xdr:rowOff>
                  </to>
                </anchor>
              </controlPr>
            </control>
          </mc:Choice>
        </mc:AlternateContent>
        <mc:AlternateContent xmlns:mc="http://schemas.openxmlformats.org/markup-compatibility/2006">
          <mc:Choice Requires="x14">
            <control shapeId="45101" r:id="rId43" name="Check Box 45">
              <controlPr locked="0" defaultSize="0" autoFill="0" autoLine="0" autoPict="0">
                <anchor moveWithCells="1">
                  <from>
                    <xdr:col>4</xdr:col>
                    <xdr:colOff>9525</xdr:colOff>
                    <xdr:row>334</xdr:row>
                    <xdr:rowOff>0</xdr:rowOff>
                  </from>
                  <to>
                    <xdr:col>5</xdr:col>
                    <xdr:colOff>85725</xdr:colOff>
                    <xdr:row>335</xdr:row>
                    <xdr:rowOff>28575</xdr:rowOff>
                  </to>
                </anchor>
              </controlPr>
            </control>
          </mc:Choice>
        </mc:AlternateContent>
        <mc:AlternateContent xmlns:mc="http://schemas.openxmlformats.org/markup-compatibility/2006">
          <mc:Choice Requires="x14">
            <control shapeId="45102" r:id="rId44" name="Check Box 46">
              <controlPr locked="0" defaultSize="0" autoFill="0" autoLine="0" autoPict="0">
                <anchor moveWithCells="1">
                  <from>
                    <xdr:col>4</xdr:col>
                    <xdr:colOff>9525</xdr:colOff>
                    <xdr:row>295</xdr:row>
                    <xdr:rowOff>180975</xdr:rowOff>
                  </from>
                  <to>
                    <xdr:col>5</xdr:col>
                    <xdr:colOff>85725</xdr:colOff>
                    <xdr:row>297</xdr:row>
                    <xdr:rowOff>19050</xdr:rowOff>
                  </to>
                </anchor>
              </controlPr>
            </control>
          </mc:Choice>
        </mc:AlternateContent>
        <mc:AlternateContent xmlns:mc="http://schemas.openxmlformats.org/markup-compatibility/2006">
          <mc:Choice Requires="x14">
            <control shapeId="45103" r:id="rId45" name="Check Box 47">
              <controlPr locked="0" defaultSize="0" autoFill="0" autoLine="0" autoPict="0">
                <anchor moveWithCells="1">
                  <from>
                    <xdr:col>4</xdr:col>
                    <xdr:colOff>9525</xdr:colOff>
                    <xdr:row>305</xdr:row>
                    <xdr:rowOff>180975</xdr:rowOff>
                  </from>
                  <to>
                    <xdr:col>5</xdr:col>
                    <xdr:colOff>85725</xdr:colOff>
                    <xdr:row>306</xdr:row>
                    <xdr:rowOff>276225</xdr:rowOff>
                  </to>
                </anchor>
              </controlPr>
            </control>
          </mc:Choice>
        </mc:AlternateContent>
        <mc:AlternateContent xmlns:mc="http://schemas.openxmlformats.org/markup-compatibility/2006">
          <mc:Choice Requires="x14">
            <control shapeId="45104" r:id="rId46" name="Check Box 48">
              <controlPr locked="0" defaultSize="0" autoFill="0" autoLine="0" autoPict="0">
                <anchor moveWithCells="1">
                  <from>
                    <xdr:col>4</xdr:col>
                    <xdr:colOff>9525</xdr:colOff>
                    <xdr:row>298</xdr:row>
                    <xdr:rowOff>0</xdr:rowOff>
                  </from>
                  <to>
                    <xdr:col>5</xdr:col>
                    <xdr:colOff>85725</xdr:colOff>
                    <xdr:row>299</xdr:row>
                    <xdr:rowOff>9525</xdr:rowOff>
                  </to>
                </anchor>
              </controlPr>
            </control>
          </mc:Choice>
        </mc:AlternateContent>
        <mc:AlternateContent xmlns:mc="http://schemas.openxmlformats.org/markup-compatibility/2006">
          <mc:Choice Requires="x14">
            <control shapeId="45105" r:id="rId47" name="Check Box 49">
              <controlPr locked="0" defaultSize="0" autoFill="0" autoLine="0" autoPict="0">
                <anchor moveWithCells="1">
                  <from>
                    <xdr:col>4</xdr:col>
                    <xdr:colOff>9525</xdr:colOff>
                    <xdr:row>327</xdr:row>
                    <xdr:rowOff>9525</xdr:rowOff>
                  </from>
                  <to>
                    <xdr:col>5</xdr:col>
                    <xdr:colOff>85725</xdr:colOff>
                    <xdr:row>327</xdr:row>
                    <xdr:rowOff>228600</xdr:rowOff>
                  </to>
                </anchor>
              </controlPr>
            </control>
          </mc:Choice>
        </mc:AlternateContent>
        <mc:AlternateContent xmlns:mc="http://schemas.openxmlformats.org/markup-compatibility/2006">
          <mc:Choice Requires="x14">
            <control shapeId="45128" r:id="rId48" name="Check Box 72">
              <controlPr defaultSize="0" autoFill="0" autoLine="0" autoPict="0">
                <anchor moveWithCells="1">
                  <from>
                    <xdr:col>2</xdr:col>
                    <xdr:colOff>190500</xdr:colOff>
                    <xdr:row>67</xdr:row>
                    <xdr:rowOff>9525</xdr:rowOff>
                  </from>
                  <to>
                    <xdr:col>3</xdr:col>
                    <xdr:colOff>276225</xdr:colOff>
                    <xdr:row>68</xdr:row>
                    <xdr:rowOff>0</xdr:rowOff>
                  </to>
                </anchor>
              </controlPr>
            </control>
          </mc:Choice>
        </mc:AlternateContent>
        <mc:AlternateContent xmlns:mc="http://schemas.openxmlformats.org/markup-compatibility/2006">
          <mc:Choice Requires="x14">
            <control shapeId="45129" r:id="rId49" name="Check Box 73">
              <controlPr defaultSize="0" autoFill="0" autoLine="0" autoPict="0">
                <anchor moveWithCells="1">
                  <from>
                    <xdr:col>2</xdr:col>
                    <xdr:colOff>190500</xdr:colOff>
                    <xdr:row>68</xdr:row>
                    <xdr:rowOff>28575</xdr:rowOff>
                  </from>
                  <to>
                    <xdr:col>3</xdr:col>
                    <xdr:colOff>276225</xdr:colOff>
                    <xdr:row>69</xdr:row>
                    <xdr:rowOff>19050</xdr:rowOff>
                  </to>
                </anchor>
              </controlPr>
            </control>
          </mc:Choice>
        </mc:AlternateContent>
        <mc:AlternateContent xmlns:mc="http://schemas.openxmlformats.org/markup-compatibility/2006">
          <mc:Choice Requires="x14">
            <control shapeId="45130" r:id="rId50" name="Check Box 74">
              <controlPr locked="0" defaultSize="0" autoFill="0" autoLine="0" autoPict="0">
                <anchor moveWithCells="1">
                  <from>
                    <xdr:col>2</xdr:col>
                    <xdr:colOff>190500</xdr:colOff>
                    <xdr:row>69</xdr:row>
                    <xdr:rowOff>19050</xdr:rowOff>
                  </from>
                  <to>
                    <xdr:col>3</xdr:col>
                    <xdr:colOff>276225</xdr:colOff>
                    <xdr:row>70</xdr:row>
                    <xdr:rowOff>9525</xdr:rowOff>
                  </to>
                </anchor>
              </controlPr>
            </control>
          </mc:Choice>
        </mc:AlternateContent>
        <mc:AlternateContent xmlns:mc="http://schemas.openxmlformats.org/markup-compatibility/2006">
          <mc:Choice Requires="x14">
            <control shapeId="45131" r:id="rId51" name="Check Box 75">
              <controlPr defaultSize="0" autoFill="0" autoLine="0" autoPict="0">
                <anchor moveWithCells="1">
                  <from>
                    <xdr:col>2</xdr:col>
                    <xdr:colOff>190500</xdr:colOff>
                    <xdr:row>107</xdr:row>
                    <xdr:rowOff>19050</xdr:rowOff>
                  </from>
                  <to>
                    <xdr:col>3</xdr:col>
                    <xdr:colOff>276225</xdr:colOff>
                    <xdr:row>108</xdr:row>
                    <xdr:rowOff>9525</xdr:rowOff>
                  </to>
                </anchor>
              </controlPr>
            </control>
          </mc:Choice>
        </mc:AlternateContent>
        <mc:AlternateContent xmlns:mc="http://schemas.openxmlformats.org/markup-compatibility/2006">
          <mc:Choice Requires="x14">
            <control shapeId="45132" r:id="rId52" name="Check Box 76">
              <controlPr defaultSize="0" autoFill="0" autoLine="0" autoPict="0">
                <anchor moveWithCells="1">
                  <from>
                    <xdr:col>2</xdr:col>
                    <xdr:colOff>190500</xdr:colOff>
                    <xdr:row>108</xdr:row>
                    <xdr:rowOff>28575</xdr:rowOff>
                  </from>
                  <to>
                    <xdr:col>3</xdr:col>
                    <xdr:colOff>276225</xdr:colOff>
                    <xdr:row>109</xdr:row>
                    <xdr:rowOff>19050</xdr:rowOff>
                  </to>
                </anchor>
              </controlPr>
            </control>
          </mc:Choice>
        </mc:AlternateContent>
        <mc:AlternateContent xmlns:mc="http://schemas.openxmlformats.org/markup-compatibility/2006">
          <mc:Choice Requires="x14">
            <control shapeId="45133" r:id="rId53" name="Check Box 77">
              <controlPr locked="0" defaultSize="0" autoFill="0" autoLine="0" autoPict="0">
                <anchor moveWithCells="1">
                  <from>
                    <xdr:col>2</xdr:col>
                    <xdr:colOff>190500</xdr:colOff>
                    <xdr:row>109</xdr:row>
                    <xdr:rowOff>19050</xdr:rowOff>
                  </from>
                  <to>
                    <xdr:col>3</xdr:col>
                    <xdr:colOff>276225</xdr:colOff>
                    <xdr:row>110</xdr:row>
                    <xdr:rowOff>9525</xdr:rowOff>
                  </to>
                </anchor>
              </controlPr>
            </control>
          </mc:Choice>
        </mc:AlternateContent>
        <mc:AlternateContent xmlns:mc="http://schemas.openxmlformats.org/markup-compatibility/2006">
          <mc:Choice Requires="x14">
            <control shapeId="45134" r:id="rId54" name="Check Box 78">
              <controlPr defaultSize="0" autoFill="0" autoLine="0" autoPict="0">
                <anchor moveWithCells="1">
                  <from>
                    <xdr:col>2</xdr:col>
                    <xdr:colOff>190500</xdr:colOff>
                    <xdr:row>147</xdr:row>
                    <xdr:rowOff>19050</xdr:rowOff>
                  </from>
                  <to>
                    <xdr:col>3</xdr:col>
                    <xdr:colOff>276225</xdr:colOff>
                    <xdr:row>148</xdr:row>
                    <xdr:rowOff>9525</xdr:rowOff>
                  </to>
                </anchor>
              </controlPr>
            </control>
          </mc:Choice>
        </mc:AlternateContent>
        <mc:AlternateContent xmlns:mc="http://schemas.openxmlformats.org/markup-compatibility/2006">
          <mc:Choice Requires="x14">
            <control shapeId="45135" r:id="rId55" name="Check Box 79">
              <controlPr defaultSize="0" autoFill="0" autoLine="0" autoPict="0">
                <anchor moveWithCells="1">
                  <from>
                    <xdr:col>2</xdr:col>
                    <xdr:colOff>190500</xdr:colOff>
                    <xdr:row>148</xdr:row>
                    <xdr:rowOff>28575</xdr:rowOff>
                  </from>
                  <to>
                    <xdr:col>3</xdr:col>
                    <xdr:colOff>276225</xdr:colOff>
                    <xdr:row>149</xdr:row>
                    <xdr:rowOff>19050</xdr:rowOff>
                  </to>
                </anchor>
              </controlPr>
            </control>
          </mc:Choice>
        </mc:AlternateContent>
        <mc:AlternateContent xmlns:mc="http://schemas.openxmlformats.org/markup-compatibility/2006">
          <mc:Choice Requires="x14">
            <control shapeId="45136" r:id="rId56" name="Check Box 80">
              <controlPr locked="0" defaultSize="0" autoFill="0" autoLine="0" autoPict="0">
                <anchor moveWithCells="1">
                  <from>
                    <xdr:col>2</xdr:col>
                    <xdr:colOff>190500</xdr:colOff>
                    <xdr:row>149</xdr:row>
                    <xdr:rowOff>19050</xdr:rowOff>
                  </from>
                  <to>
                    <xdr:col>3</xdr:col>
                    <xdr:colOff>276225</xdr:colOff>
                    <xdr:row>150</xdr:row>
                    <xdr:rowOff>9525</xdr:rowOff>
                  </to>
                </anchor>
              </controlPr>
            </control>
          </mc:Choice>
        </mc:AlternateContent>
        <mc:AlternateContent xmlns:mc="http://schemas.openxmlformats.org/markup-compatibility/2006">
          <mc:Choice Requires="x14">
            <control shapeId="45137" r:id="rId57" name="Check Box 81">
              <controlPr defaultSize="0" autoFill="0" autoLine="0" autoPict="0">
                <anchor moveWithCells="1">
                  <from>
                    <xdr:col>2</xdr:col>
                    <xdr:colOff>190500</xdr:colOff>
                    <xdr:row>187</xdr:row>
                    <xdr:rowOff>28575</xdr:rowOff>
                  </from>
                  <to>
                    <xdr:col>3</xdr:col>
                    <xdr:colOff>276225</xdr:colOff>
                    <xdr:row>188</xdr:row>
                    <xdr:rowOff>19050</xdr:rowOff>
                  </to>
                </anchor>
              </controlPr>
            </control>
          </mc:Choice>
        </mc:AlternateContent>
        <mc:AlternateContent xmlns:mc="http://schemas.openxmlformats.org/markup-compatibility/2006">
          <mc:Choice Requires="x14">
            <control shapeId="45138" r:id="rId58" name="Check Box 82">
              <controlPr defaultSize="0" autoFill="0" autoLine="0" autoPict="0">
                <anchor moveWithCells="1">
                  <from>
                    <xdr:col>2</xdr:col>
                    <xdr:colOff>190500</xdr:colOff>
                    <xdr:row>188</xdr:row>
                    <xdr:rowOff>38100</xdr:rowOff>
                  </from>
                  <to>
                    <xdr:col>3</xdr:col>
                    <xdr:colOff>276225</xdr:colOff>
                    <xdr:row>189</xdr:row>
                    <xdr:rowOff>28575</xdr:rowOff>
                  </to>
                </anchor>
              </controlPr>
            </control>
          </mc:Choice>
        </mc:AlternateContent>
        <mc:AlternateContent xmlns:mc="http://schemas.openxmlformats.org/markup-compatibility/2006">
          <mc:Choice Requires="x14">
            <control shapeId="45139" r:id="rId59" name="Check Box 83">
              <controlPr locked="0" defaultSize="0" autoFill="0" autoLine="0" autoPict="0">
                <anchor moveWithCells="1">
                  <from>
                    <xdr:col>2</xdr:col>
                    <xdr:colOff>190500</xdr:colOff>
                    <xdr:row>189</xdr:row>
                    <xdr:rowOff>28575</xdr:rowOff>
                  </from>
                  <to>
                    <xdr:col>3</xdr:col>
                    <xdr:colOff>276225</xdr:colOff>
                    <xdr:row>190</xdr:row>
                    <xdr:rowOff>19050</xdr:rowOff>
                  </to>
                </anchor>
              </controlPr>
            </control>
          </mc:Choice>
        </mc:AlternateContent>
        <mc:AlternateContent xmlns:mc="http://schemas.openxmlformats.org/markup-compatibility/2006">
          <mc:Choice Requires="x14">
            <control shapeId="45140" r:id="rId60" name="Check Box 84">
              <controlPr defaultSize="0" autoFill="0" autoLine="0" autoPict="0">
                <anchor moveWithCells="1">
                  <from>
                    <xdr:col>2</xdr:col>
                    <xdr:colOff>190500</xdr:colOff>
                    <xdr:row>29</xdr:row>
                    <xdr:rowOff>9525</xdr:rowOff>
                  </from>
                  <to>
                    <xdr:col>3</xdr:col>
                    <xdr:colOff>276225</xdr:colOff>
                    <xdr:row>30</xdr:row>
                    <xdr:rowOff>0</xdr:rowOff>
                  </to>
                </anchor>
              </controlPr>
            </control>
          </mc:Choice>
        </mc:AlternateContent>
        <mc:AlternateContent xmlns:mc="http://schemas.openxmlformats.org/markup-compatibility/2006">
          <mc:Choice Requires="x14">
            <control shapeId="45141" r:id="rId61" name="Check Box 85">
              <controlPr locked="0" defaultSize="0" autoFill="0" autoLine="0" autoPict="0">
                <anchor moveWithCells="1">
                  <from>
                    <xdr:col>2</xdr:col>
                    <xdr:colOff>190500</xdr:colOff>
                    <xdr:row>30</xdr:row>
                    <xdr:rowOff>0</xdr:rowOff>
                  </from>
                  <to>
                    <xdr:col>3</xdr:col>
                    <xdr:colOff>276225</xdr:colOff>
                    <xdr:row>30</xdr:row>
                    <xdr:rowOff>219075</xdr:rowOff>
                  </to>
                </anchor>
              </controlPr>
            </control>
          </mc:Choice>
        </mc:AlternateContent>
        <mc:AlternateContent xmlns:mc="http://schemas.openxmlformats.org/markup-compatibility/2006">
          <mc:Choice Requires="x14">
            <control shapeId="45142" r:id="rId62" name="Check Box 86">
              <controlPr defaultSize="0" autoFill="0" autoLine="0" autoPict="0">
                <anchor moveWithCells="1">
                  <from>
                    <xdr:col>2</xdr:col>
                    <xdr:colOff>190500</xdr:colOff>
                    <xdr:row>29</xdr:row>
                    <xdr:rowOff>9525</xdr:rowOff>
                  </from>
                  <to>
                    <xdr:col>3</xdr:col>
                    <xdr:colOff>276225</xdr:colOff>
                    <xdr:row>30</xdr:row>
                    <xdr:rowOff>0</xdr:rowOff>
                  </to>
                </anchor>
              </controlPr>
            </control>
          </mc:Choice>
        </mc:AlternateContent>
        <mc:AlternateContent xmlns:mc="http://schemas.openxmlformats.org/markup-compatibility/2006">
          <mc:Choice Requires="x14">
            <control shapeId="45143" r:id="rId63" name="Check Box 87">
              <controlPr locked="0" defaultSize="0" autoFill="0" autoLine="0" autoPict="0">
                <anchor moveWithCells="1">
                  <from>
                    <xdr:col>2</xdr:col>
                    <xdr:colOff>190500</xdr:colOff>
                    <xdr:row>30</xdr:row>
                    <xdr:rowOff>0</xdr:rowOff>
                  </from>
                  <to>
                    <xdr:col>3</xdr:col>
                    <xdr:colOff>276225</xdr:colOff>
                    <xdr:row>30</xdr:row>
                    <xdr:rowOff>219075</xdr:rowOff>
                  </to>
                </anchor>
              </controlPr>
            </control>
          </mc:Choice>
        </mc:AlternateContent>
        <mc:AlternateContent xmlns:mc="http://schemas.openxmlformats.org/markup-compatibility/2006">
          <mc:Choice Requires="x14">
            <control shapeId="45144" r:id="rId64" name="Check Box 88">
              <controlPr defaultSize="0" autoFill="0" autoLine="0" autoPict="0">
                <anchor moveWithCells="1">
                  <from>
                    <xdr:col>5</xdr:col>
                    <xdr:colOff>238125</xdr:colOff>
                    <xdr:row>207</xdr:row>
                    <xdr:rowOff>0</xdr:rowOff>
                  </from>
                  <to>
                    <xdr:col>8</xdr:col>
                    <xdr:colOff>114300</xdr:colOff>
                    <xdr:row>207</xdr:row>
                    <xdr:rowOff>219075</xdr:rowOff>
                  </to>
                </anchor>
              </controlPr>
            </control>
          </mc:Choice>
        </mc:AlternateContent>
        <mc:AlternateContent xmlns:mc="http://schemas.openxmlformats.org/markup-compatibility/2006">
          <mc:Choice Requires="x14">
            <control shapeId="45145" r:id="rId65" name="Check Box 89">
              <controlPr defaultSize="0" autoFill="0" autoLine="0" autoPict="0">
                <anchor moveWithCells="1">
                  <from>
                    <xdr:col>5</xdr:col>
                    <xdr:colOff>238125</xdr:colOff>
                    <xdr:row>208</xdr:row>
                    <xdr:rowOff>0</xdr:rowOff>
                  </from>
                  <to>
                    <xdr:col>8</xdr:col>
                    <xdr:colOff>114300</xdr:colOff>
                    <xdr:row>209</xdr:row>
                    <xdr:rowOff>0</xdr:rowOff>
                  </to>
                </anchor>
              </controlPr>
            </control>
          </mc:Choice>
        </mc:AlternateContent>
        <mc:AlternateContent xmlns:mc="http://schemas.openxmlformats.org/markup-compatibility/2006">
          <mc:Choice Requires="x14">
            <control shapeId="45146" r:id="rId66" name="Check Box 90">
              <controlPr defaultSize="0" autoFill="0" autoLine="0" autoPict="0">
                <anchor moveWithCells="1">
                  <from>
                    <xdr:col>5</xdr:col>
                    <xdr:colOff>238125</xdr:colOff>
                    <xdr:row>209</xdr:row>
                    <xdr:rowOff>9525</xdr:rowOff>
                  </from>
                  <to>
                    <xdr:col>8</xdr:col>
                    <xdr:colOff>114300</xdr:colOff>
                    <xdr:row>210</xdr:row>
                    <xdr:rowOff>0</xdr:rowOff>
                  </to>
                </anchor>
              </controlPr>
            </control>
          </mc:Choice>
        </mc:AlternateContent>
        <mc:AlternateContent xmlns:mc="http://schemas.openxmlformats.org/markup-compatibility/2006">
          <mc:Choice Requires="x14">
            <control shapeId="45147" r:id="rId67" name="Check Box 91">
              <controlPr defaultSize="0" autoFill="0" autoLine="0" autoPict="0">
                <anchor moveWithCells="1">
                  <from>
                    <xdr:col>5</xdr:col>
                    <xdr:colOff>238125</xdr:colOff>
                    <xdr:row>210</xdr:row>
                    <xdr:rowOff>9525</xdr:rowOff>
                  </from>
                  <to>
                    <xdr:col>8</xdr:col>
                    <xdr:colOff>114300</xdr:colOff>
                    <xdr:row>211</xdr:row>
                    <xdr:rowOff>0</xdr:rowOff>
                  </to>
                </anchor>
              </controlPr>
            </control>
          </mc:Choice>
        </mc:AlternateContent>
        <mc:AlternateContent xmlns:mc="http://schemas.openxmlformats.org/markup-compatibility/2006">
          <mc:Choice Requires="x14">
            <control shapeId="45148" r:id="rId68" name="Check Box 92">
              <controlPr defaultSize="0" autoFill="0" autoLine="0" autoPict="0">
                <anchor moveWithCells="1">
                  <from>
                    <xdr:col>5</xdr:col>
                    <xdr:colOff>238125</xdr:colOff>
                    <xdr:row>211</xdr:row>
                    <xdr:rowOff>9525</xdr:rowOff>
                  </from>
                  <to>
                    <xdr:col>8</xdr:col>
                    <xdr:colOff>114300</xdr:colOff>
                    <xdr:row>212</xdr:row>
                    <xdr:rowOff>0</xdr:rowOff>
                  </to>
                </anchor>
              </controlPr>
            </control>
          </mc:Choice>
        </mc:AlternateContent>
        <mc:AlternateContent xmlns:mc="http://schemas.openxmlformats.org/markup-compatibility/2006">
          <mc:Choice Requires="x14">
            <control shapeId="45149" r:id="rId69" name="Check Box 93">
              <controlPr defaultSize="0" autoFill="0" autoLine="0" autoPict="0">
                <anchor moveWithCells="1">
                  <from>
                    <xdr:col>5</xdr:col>
                    <xdr:colOff>238125</xdr:colOff>
                    <xdr:row>214</xdr:row>
                    <xdr:rowOff>19050</xdr:rowOff>
                  </from>
                  <to>
                    <xdr:col>7</xdr:col>
                    <xdr:colOff>19050</xdr:colOff>
                    <xdr:row>215</xdr:row>
                    <xdr:rowOff>9525</xdr:rowOff>
                  </to>
                </anchor>
              </controlPr>
            </control>
          </mc:Choice>
        </mc:AlternateContent>
        <mc:AlternateContent xmlns:mc="http://schemas.openxmlformats.org/markup-compatibility/2006">
          <mc:Choice Requires="x14">
            <control shapeId="45150" r:id="rId70" name="Check Box 94">
              <controlPr defaultSize="0" autoFill="0" autoLine="0" autoPict="0">
                <anchor moveWithCells="1">
                  <from>
                    <xdr:col>5</xdr:col>
                    <xdr:colOff>238125</xdr:colOff>
                    <xdr:row>215</xdr:row>
                    <xdr:rowOff>19050</xdr:rowOff>
                  </from>
                  <to>
                    <xdr:col>7</xdr:col>
                    <xdr:colOff>19050</xdr:colOff>
                    <xdr:row>216</xdr:row>
                    <xdr:rowOff>19050</xdr:rowOff>
                  </to>
                </anchor>
              </controlPr>
            </control>
          </mc:Choice>
        </mc:AlternateContent>
        <mc:AlternateContent xmlns:mc="http://schemas.openxmlformats.org/markup-compatibility/2006">
          <mc:Choice Requires="x14">
            <control shapeId="45151" r:id="rId71" name="Check Box 95">
              <controlPr defaultSize="0" autoFill="0" autoLine="0" autoPict="0">
                <anchor moveWithCells="1">
                  <from>
                    <xdr:col>5</xdr:col>
                    <xdr:colOff>238125</xdr:colOff>
                    <xdr:row>216</xdr:row>
                    <xdr:rowOff>28575</xdr:rowOff>
                  </from>
                  <to>
                    <xdr:col>7</xdr:col>
                    <xdr:colOff>19050</xdr:colOff>
                    <xdr:row>217</xdr:row>
                    <xdr:rowOff>19050</xdr:rowOff>
                  </to>
                </anchor>
              </controlPr>
            </control>
          </mc:Choice>
        </mc:AlternateContent>
        <mc:AlternateContent xmlns:mc="http://schemas.openxmlformats.org/markup-compatibility/2006">
          <mc:Choice Requires="x14">
            <control shapeId="45152" r:id="rId72" name="Check Box 96">
              <controlPr defaultSize="0" autoFill="0" autoLine="0" autoPict="0">
                <anchor moveWithCells="1">
                  <from>
                    <xdr:col>5</xdr:col>
                    <xdr:colOff>238125</xdr:colOff>
                    <xdr:row>217</xdr:row>
                    <xdr:rowOff>19050</xdr:rowOff>
                  </from>
                  <to>
                    <xdr:col>7</xdr:col>
                    <xdr:colOff>19050</xdr:colOff>
                    <xdr:row>218</xdr:row>
                    <xdr:rowOff>9525</xdr:rowOff>
                  </to>
                </anchor>
              </controlPr>
            </control>
          </mc:Choice>
        </mc:AlternateContent>
        <mc:AlternateContent xmlns:mc="http://schemas.openxmlformats.org/markup-compatibility/2006">
          <mc:Choice Requires="x14">
            <control shapeId="45153" r:id="rId73" name="Check Box 97">
              <controlPr defaultSize="0" autoFill="0" autoLine="0" autoPict="0">
                <anchor moveWithCells="1">
                  <from>
                    <xdr:col>5</xdr:col>
                    <xdr:colOff>238125</xdr:colOff>
                    <xdr:row>218</xdr:row>
                    <xdr:rowOff>9525</xdr:rowOff>
                  </from>
                  <to>
                    <xdr:col>7</xdr:col>
                    <xdr:colOff>19050</xdr:colOff>
                    <xdr:row>219</xdr:row>
                    <xdr:rowOff>0</xdr:rowOff>
                  </to>
                </anchor>
              </controlPr>
            </control>
          </mc:Choice>
        </mc:AlternateContent>
        <mc:AlternateContent xmlns:mc="http://schemas.openxmlformats.org/markup-compatibility/2006">
          <mc:Choice Requires="x14">
            <control shapeId="45159" r:id="rId74" name="Check Box 103">
              <controlPr defaultSize="0" autoFill="0" autoLine="0" autoPict="0">
                <anchor moveWithCells="1">
                  <from>
                    <xdr:col>1</xdr:col>
                    <xdr:colOff>85725</xdr:colOff>
                    <xdr:row>246</xdr:row>
                    <xdr:rowOff>19050</xdr:rowOff>
                  </from>
                  <to>
                    <xdr:col>1</xdr:col>
                    <xdr:colOff>390525</xdr:colOff>
                    <xdr:row>247</xdr:row>
                    <xdr:rowOff>9525</xdr:rowOff>
                  </to>
                </anchor>
              </controlPr>
            </control>
          </mc:Choice>
        </mc:AlternateContent>
        <mc:AlternateContent xmlns:mc="http://schemas.openxmlformats.org/markup-compatibility/2006">
          <mc:Choice Requires="x14">
            <control shapeId="45160" r:id="rId75" name="Check Box 104">
              <controlPr defaultSize="0" autoFill="0" autoLine="0" autoPict="0">
                <anchor moveWithCells="1">
                  <from>
                    <xdr:col>5</xdr:col>
                    <xdr:colOff>142875</xdr:colOff>
                    <xdr:row>248</xdr:row>
                    <xdr:rowOff>9525</xdr:rowOff>
                  </from>
                  <to>
                    <xdr:col>6</xdr:col>
                    <xdr:colOff>190500</xdr:colOff>
                    <xdr:row>249</xdr:row>
                    <xdr:rowOff>0</xdr:rowOff>
                  </to>
                </anchor>
              </controlPr>
            </control>
          </mc:Choice>
        </mc:AlternateContent>
        <mc:AlternateContent xmlns:mc="http://schemas.openxmlformats.org/markup-compatibility/2006">
          <mc:Choice Requires="x14">
            <control shapeId="45165" r:id="rId76" name="Check Box 109">
              <controlPr defaultSize="0" autoFill="0" autoLine="0" autoPict="0">
                <anchor moveWithCells="1">
                  <from>
                    <xdr:col>4</xdr:col>
                    <xdr:colOff>142875</xdr:colOff>
                    <xdr:row>255</xdr:row>
                    <xdr:rowOff>28575</xdr:rowOff>
                  </from>
                  <to>
                    <xdr:col>5</xdr:col>
                    <xdr:colOff>219075</xdr:colOff>
                    <xdr:row>256</xdr:row>
                    <xdr:rowOff>19050</xdr:rowOff>
                  </to>
                </anchor>
              </controlPr>
            </control>
          </mc:Choice>
        </mc:AlternateContent>
        <mc:AlternateContent xmlns:mc="http://schemas.openxmlformats.org/markup-compatibility/2006">
          <mc:Choice Requires="x14">
            <control shapeId="45166" r:id="rId77" name="Check Box 110">
              <controlPr defaultSize="0" autoFill="0" autoLine="0" autoPict="0">
                <anchor moveWithCells="1">
                  <from>
                    <xdr:col>4</xdr:col>
                    <xdr:colOff>142875</xdr:colOff>
                    <xdr:row>256</xdr:row>
                    <xdr:rowOff>38100</xdr:rowOff>
                  </from>
                  <to>
                    <xdr:col>5</xdr:col>
                    <xdr:colOff>219075</xdr:colOff>
                    <xdr:row>257</xdr:row>
                    <xdr:rowOff>28575</xdr:rowOff>
                  </to>
                </anchor>
              </controlPr>
            </control>
          </mc:Choice>
        </mc:AlternateContent>
        <mc:AlternateContent xmlns:mc="http://schemas.openxmlformats.org/markup-compatibility/2006">
          <mc:Choice Requires="x14">
            <control shapeId="45167" r:id="rId78" name="Check Box 111">
              <controlPr defaultSize="0" autoFill="0" autoLine="0" autoPict="0">
                <anchor moveWithCells="1">
                  <from>
                    <xdr:col>4</xdr:col>
                    <xdr:colOff>142875</xdr:colOff>
                    <xdr:row>257</xdr:row>
                    <xdr:rowOff>38100</xdr:rowOff>
                  </from>
                  <to>
                    <xdr:col>5</xdr:col>
                    <xdr:colOff>219075</xdr:colOff>
                    <xdr:row>258</xdr:row>
                    <xdr:rowOff>28575</xdr:rowOff>
                  </to>
                </anchor>
              </controlPr>
            </control>
          </mc:Choice>
        </mc:AlternateContent>
        <mc:AlternateContent xmlns:mc="http://schemas.openxmlformats.org/markup-compatibility/2006">
          <mc:Choice Requires="x14">
            <control shapeId="45168" r:id="rId79" name="Check Box 112">
              <controlPr defaultSize="0" autoFill="0" autoLine="0" autoPict="0">
                <anchor moveWithCells="1">
                  <from>
                    <xdr:col>4</xdr:col>
                    <xdr:colOff>142875</xdr:colOff>
                    <xdr:row>258</xdr:row>
                    <xdr:rowOff>38100</xdr:rowOff>
                  </from>
                  <to>
                    <xdr:col>5</xdr:col>
                    <xdr:colOff>219075</xdr:colOff>
                    <xdr:row>259</xdr:row>
                    <xdr:rowOff>38100</xdr:rowOff>
                  </to>
                </anchor>
              </controlPr>
            </control>
          </mc:Choice>
        </mc:AlternateContent>
        <mc:AlternateContent xmlns:mc="http://schemas.openxmlformats.org/markup-compatibility/2006">
          <mc:Choice Requires="x14">
            <control shapeId="45169" r:id="rId80" name="Check Box 113">
              <controlPr defaultSize="0" autoFill="0" autoLine="0" autoPict="0">
                <anchor moveWithCells="1">
                  <from>
                    <xdr:col>4</xdr:col>
                    <xdr:colOff>142875</xdr:colOff>
                    <xdr:row>259</xdr:row>
                    <xdr:rowOff>47625</xdr:rowOff>
                  </from>
                  <to>
                    <xdr:col>5</xdr:col>
                    <xdr:colOff>219075</xdr:colOff>
                    <xdr:row>260</xdr:row>
                    <xdr:rowOff>38100</xdr:rowOff>
                  </to>
                </anchor>
              </controlPr>
            </control>
          </mc:Choice>
        </mc:AlternateContent>
        <mc:AlternateContent xmlns:mc="http://schemas.openxmlformats.org/markup-compatibility/2006">
          <mc:Choice Requires="x14">
            <control shapeId="45170" r:id="rId81" name="Check Box 114">
              <controlPr defaultSize="0" autoFill="0" autoLine="0" autoPict="0">
                <anchor moveWithCells="1">
                  <from>
                    <xdr:col>4</xdr:col>
                    <xdr:colOff>142875</xdr:colOff>
                    <xdr:row>260</xdr:row>
                    <xdr:rowOff>47625</xdr:rowOff>
                  </from>
                  <to>
                    <xdr:col>5</xdr:col>
                    <xdr:colOff>219075</xdr:colOff>
                    <xdr:row>261</xdr:row>
                    <xdr:rowOff>38100</xdr:rowOff>
                  </to>
                </anchor>
              </controlPr>
            </control>
          </mc:Choice>
        </mc:AlternateContent>
        <mc:AlternateContent xmlns:mc="http://schemas.openxmlformats.org/markup-compatibility/2006">
          <mc:Choice Requires="x14">
            <control shapeId="45171" r:id="rId82" name="Check Box 115">
              <controlPr defaultSize="0" autoFill="0" autoLine="0" autoPict="0">
                <anchor moveWithCells="1">
                  <from>
                    <xdr:col>4</xdr:col>
                    <xdr:colOff>142875</xdr:colOff>
                    <xdr:row>261</xdr:row>
                    <xdr:rowOff>28575</xdr:rowOff>
                  </from>
                  <to>
                    <xdr:col>5</xdr:col>
                    <xdr:colOff>219075</xdr:colOff>
                    <xdr:row>262</xdr:row>
                    <xdr:rowOff>19050</xdr:rowOff>
                  </to>
                </anchor>
              </controlPr>
            </control>
          </mc:Choice>
        </mc:AlternateContent>
        <mc:AlternateContent xmlns:mc="http://schemas.openxmlformats.org/markup-compatibility/2006">
          <mc:Choice Requires="x14">
            <control shapeId="45192" r:id="rId83" name="Check Box 136">
              <controlPr defaultSize="0" autoFill="0" autoLine="0" autoPict="0">
                <anchor moveWithCells="1">
                  <from>
                    <xdr:col>2</xdr:col>
                    <xdr:colOff>0</xdr:colOff>
                    <xdr:row>415</xdr:row>
                    <xdr:rowOff>38100</xdr:rowOff>
                  </from>
                  <to>
                    <xdr:col>3</xdr:col>
                    <xdr:colOff>85725</xdr:colOff>
                    <xdr:row>416</xdr:row>
                    <xdr:rowOff>28575</xdr:rowOff>
                  </to>
                </anchor>
              </controlPr>
            </control>
          </mc:Choice>
        </mc:AlternateContent>
        <mc:AlternateContent xmlns:mc="http://schemas.openxmlformats.org/markup-compatibility/2006">
          <mc:Choice Requires="x14">
            <control shapeId="45193" r:id="rId84" name="Check Box 137">
              <controlPr defaultSize="0" autoFill="0" autoLine="0" autoPict="0">
                <anchor moveWithCells="1">
                  <from>
                    <xdr:col>2</xdr:col>
                    <xdr:colOff>0</xdr:colOff>
                    <xdr:row>416</xdr:row>
                    <xdr:rowOff>38100</xdr:rowOff>
                  </from>
                  <to>
                    <xdr:col>3</xdr:col>
                    <xdr:colOff>85725</xdr:colOff>
                    <xdr:row>417</xdr:row>
                    <xdr:rowOff>28575</xdr:rowOff>
                  </to>
                </anchor>
              </controlPr>
            </control>
          </mc:Choice>
        </mc:AlternateContent>
        <mc:AlternateContent xmlns:mc="http://schemas.openxmlformats.org/markup-compatibility/2006">
          <mc:Choice Requires="x14">
            <control shapeId="45201" r:id="rId85" name="Check Box 145">
              <controlPr defaultSize="0" autoFill="0" autoLine="0" autoPict="0">
                <anchor moveWithCells="1">
                  <from>
                    <xdr:col>4</xdr:col>
                    <xdr:colOff>142875</xdr:colOff>
                    <xdr:row>428</xdr:row>
                    <xdr:rowOff>28575</xdr:rowOff>
                  </from>
                  <to>
                    <xdr:col>5</xdr:col>
                    <xdr:colOff>219075</xdr:colOff>
                    <xdr:row>429</xdr:row>
                    <xdr:rowOff>19050</xdr:rowOff>
                  </to>
                </anchor>
              </controlPr>
            </control>
          </mc:Choice>
        </mc:AlternateContent>
        <mc:AlternateContent xmlns:mc="http://schemas.openxmlformats.org/markup-compatibility/2006">
          <mc:Choice Requires="x14">
            <control shapeId="45202" r:id="rId86" name="Check Box 146">
              <controlPr defaultSize="0" autoFill="0" autoLine="0" autoPict="0">
                <anchor moveWithCells="1">
                  <from>
                    <xdr:col>4</xdr:col>
                    <xdr:colOff>142875</xdr:colOff>
                    <xdr:row>429</xdr:row>
                    <xdr:rowOff>38100</xdr:rowOff>
                  </from>
                  <to>
                    <xdr:col>5</xdr:col>
                    <xdr:colOff>219075</xdr:colOff>
                    <xdr:row>430</xdr:row>
                    <xdr:rowOff>28575</xdr:rowOff>
                  </to>
                </anchor>
              </controlPr>
            </control>
          </mc:Choice>
        </mc:AlternateContent>
        <mc:AlternateContent xmlns:mc="http://schemas.openxmlformats.org/markup-compatibility/2006">
          <mc:Choice Requires="x14">
            <control shapeId="45203" r:id="rId87" name="Check Box 147">
              <controlPr defaultSize="0" autoFill="0" autoLine="0" autoPict="0">
                <anchor moveWithCells="1">
                  <from>
                    <xdr:col>4</xdr:col>
                    <xdr:colOff>142875</xdr:colOff>
                    <xdr:row>430</xdr:row>
                    <xdr:rowOff>19050</xdr:rowOff>
                  </from>
                  <to>
                    <xdr:col>5</xdr:col>
                    <xdr:colOff>219075</xdr:colOff>
                    <xdr:row>431</xdr:row>
                    <xdr:rowOff>9525</xdr:rowOff>
                  </to>
                </anchor>
              </controlPr>
            </control>
          </mc:Choice>
        </mc:AlternateContent>
        <mc:AlternateContent xmlns:mc="http://schemas.openxmlformats.org/markup-compatibility/2006">
          <mc:Choice Requires="x14">
            <control shapeId="45204" r:id="rId88" name="Check Box 148">
              <controlPr defaultSize="0" autoFill="0" autoLine="0" autoPict="0">
                <anchor moveWithCells="1">
                  <from>
                    <xdr:col>4</xdr:col>
                    <xdr:colOff>142875</xdr:colOff>
                    <xdr:row>431</xdr:row>
                    <xdr:rowOff>28575</xdr:rowOff>
                  </from>
                  <to>
                    <xdr:col>5</xdr:col>
                    <xdr:colOff>219075</xdr:colOff>
                    <xdr:row>432</xdr:row>
                    <xdr:rowOff>28575</xdr:rowOff>
                  </to>
                </anchor>
              </controlPr>
            </control>
          </mc:Choice>
        </mc:AlternateContent>
        <mc:AlternateContent xmlns:mc="http://schemas.openxmlformats.org/markup-compatibility/2006">
          <mc:Choice Requires="x14">
            <control shapeId="45205" r:id="rId89" name="Check Box 149">
              <controlPr defaultSize="0" autoFill="0" autoLine="0" autoPict="0">
                <anchor moveWithCells="1">
                  <from>
                    <xdr:col>4</xdr:col>
                    <xdr:colOff>142875</xdr:colOff>
                    <xdr:row>432</xdr:row>
                    <xdr:rowOff>38100</xdr:rowOff>
                  </from>
                  <to>
                    <xdr:col>5</xdr:col>
                    <xdr:colOff>219075</xdr:colOff>
                    <xdr:row>433</xdr:row>
                    <xdr:rowOff>28575</xdr:rowOff>
                  </to>
                </anchor>
              </controlPr>
            </control>
          </mc:Choice>
        </mc:AlternateContent>
        <mc:AlternateContent xmlns:mc="http://schemas.openxmlformats.org/markup-compatibility/2006">
          <mc:Choice Requires="x14">
            <control shapeId="45206" r:id="rId90" name="Check Box 150">
              <controlPr defaultSize="0" autoFill="0" autoLine="0" autoPict="0">
                <anchor moveWithCells="1">
                  <from>
                    <xdr:col>4</xdr:col>
                    <xdr:colOff>142875</xdr:colOff>
                    <xdr:row>433</xdr:row>
                    <xdr:rowOff>38100</xdr:rowOff>
                  </from>
                  <to>
                    <xdr:col>5</xdr:col>
                    <xdr:colOff>219075</xdr:colOff>
                    <xdr:row>434</xdr:row>
                    <xdr:rowOff>28575</xdr:rowOff>
                  </to>
                </anchor>
              </controlPr>
            </control>
          </mc:Choice>
        </mc:AlternateContent>
        <mc:AlternateContent xmlns:mc="http://schemas.openxmlformats.org/markup-compatibility/2006">
          <mc:Choice Requires="x14">
            <control shapeId="45207" r:id="rId91" name="Check Box 151">
              <controlPr defaultSize="0" autoFill="0" autoLine="0" autoPict="0">
                <anchor moveWithCells="1">
                  <from>
                    <xdr:col>4</xdr:col>
                    <xdr:colOff>142875</xdr:colOff>
                    <xdr:row>434</xdr:row>
                    <xdr:rowOff>28575</xdr:rowOff>
                  </from>
                  <to>
                    <xdr:col>5</xdr:col>
                    <xdr:colOff>219075</xdr:colOff>
                    <xdr:row>435</xdr:row>
                    <xdr:rowOff>19050</xdr:rowOff>
                  </to>
                </anchor>
              </controlPr>
            </control>
          </mc:Choice>
        </mc:AlternateContent>
        <mc:AlternateContent xmlns:mc="http://schemas.openxmlformats.org/markup-compatibility/2006">
          <mc:Choice Requires="x14">
            <control shapeId="45220" r:id="rId92" name="Check Box 164">
              <controlPr defaultSize="0" autoFill="0" autoLine="0" autoPict="0">
                <anchor moveWithCells="1">
                  <from>
                    <xdr:col>1</xdr:col>
                    <xdr:colOff>85725</xdr:colOff>
                    <xdr:row>242</xdr:row>
                    <xdr:rowOff>47625</xdr:rowOff>
                  </from>
                  <to>
                    <xdr:col>1</xdr:col>
                    <xdr:colOff>390525</xdr:colOff>
                    <xdr:row>243</xdr:row>
                    <xdr:rowOff>19050</xdr:rowOff>
                  </to>
                </anchor>
              </controlPr>
            </control>
          </mc:Choice>
        </mc:AlternateContent>
        <mc:AlternateContent xmlns:mc="http://schemas.openxmlformats.org/markup-compatibility/2006">
          <mc:Choice Requires="x14">
            <control shapeId="45118" r:id="rId93" name="Group Box 62">
              <controlPr defaultSize="0" autoFill="0" autoPict="0">
                <anchor moveWithCells="1" sizeWithCells="1">
                  <from>
                    <xdr:col>1</xdr:col>
                    <xdr:colOff>9525</xdr:colOff>
                    <xdr:row>291</xdr:row>
                    <xdr:rowOff>342900</xdr:rowOff>
                  </from>
                  <to>
                    <xdr:col>3</xdr:col>
                    <xdr:colOff>276225</xdr:colOff>
                    <xdr:row>300</xdr:row>
                    <xdr:rowOff>190500</xdr:rowOff>
                  </to>
                </anchor>
              </controlPr>
            </control>
          </mc:Choice>
        </mc:AlternateContent>
        <mc:AlternateContent xmlns:mc="http://schemas.openxmlformats.org/markup-compatibility/2006">
          <mc:Choice Requires="x14">
            <control shapeId="45119" r:id="rId94" name="Option Button 63">
              <controlPr defaultSize="0" autoFill="0" autoLine="0" autoPict="0">
                <anchor moveWithCells="1" sizeWithCells="1">
                  <from>
                    <xdr:col>1</xdr:col>
                    <xdr:colOff>19050</xdr:colOff>
                    <xdr:row>292</xdr:row>
                    <xdr:rowOff>85725</xdr:rowOff>
                  </from>
                  <to>
                    <xdr:col>3</xdr:col>
                    <xdr:colOff>247650</xdr:colOff>
                    <xdr:row>293</xdr:row>
                    <xdr:rowOff>152400</xdr:rowOff>
                  </to>
                </anchor>
              </controlPr>
            </control>
          </mc:Choice>
        </mc:AlternateContent>
        <mc:AlternateContent xmlns:mc="http://schemas.openxmlformats.org/markup-compatibility/2006">
          <mc:Choice Requires="x14">
            <control shapeId="45120" r:id="rId95" name="Option Button 64">
              <controlPr defaultSize="0" autoFill="0" autoLine="0" autoPict="0">
                <anchor moveWithCells="1" sizeWithCells="1">
                  <from>
                    <xdr:col>1</xdr:col>
                    <xdr:colOff>19050</xdr:colOff>
                    <xdr:row>293</xdr:row>
                    <xdr:rowOff>152400</xdr:rowOff>
                  </from>
                  <to>
                    <xdr:col>3</xdr:col>
                    <xdr:colOff>247650</xdr:colOff>
                    <xdr:row>295</xdr:row>
                    <xdr:rowOff>38100</xdr:rowOff>
                  </to>
                </anchor>
              </controlPr>
            </control>
          </mc:Choice>
        </mc:AlternateContent>
        <mc:AlternateContent xmlns:mc="http://schemas.openxmlformats.org/markup-compatibility/2006">
          <mc:Choice Requires="x14">
            <control shapeId="45121" r:id="rId96" name="Option Button 65">
              <controlPr defaultSize="0" autoFill="0" autoLine="0" autoPict="0">
                <anchor moveWithCells="1" sizeWithCells="1">
                  <from>
                    <xdr:col>1</xdr:col>
                    <xdr:colOff>419100</xdr:colOff>
                    <xdr:row>295</xdr:row>
                    <xdr:rowOff>38100</xdr:rowOff>
                  </from>
                  <to>
                    <xdr:col>3</xdr:col>
                    <xdr:colOff>247650</xdr:colOff>
                    <xdr:row>296</xdr:row>
                    <xdr:rowOff>104775</xdr:rowOff>
                  </to>
                </anchor>
              </controlPr>
            </control>
          </mc:Choice>
        </mc:AlternateContent>
        <mc:AlternateContent xmlns:mc="http://schemas.openxmlformats.org/markup-compatibility/2006">
          <mc:Choice Requires="x14">
            <control shapeId="45122" r:id="rId97" name="Option Button 66">
              <controlPr defaultSize="0" autoFill="0" autoLine="0" autoPict="0">
                <anchor moveWithCells="1" sizeWithCells="1">
                  <from>
                    <xdr:col>1</xdr:col>
                    <xdr:colOff>419100</xdr:colOff>
                    <xdr:row>296</xdr:row>
                    <xdr:rowOff>104775</xdr:rowOff>
                  </from>
                  <to>
                    <xdr:col>3</xdr:col>
                    <xdr:colOff>247650</xdr:colOff>
                    <xdr:row>297</xdr:row>
                    <xdr:rowOff>161925</xdr:rowOff>
                  </to>
                </anchor>
              </controlPr>
            </control>
          </mc:Choice>
        </mc:AlternateContent>
        <mc:AlternateContent xmlns:mc="http://schemas.openxmlformats.org/markup-compatibility/2006">
          <mc:Choice Requires="x14">
            <control shapeId="45123" r:id="rId98" name="Option Button 67">
              <controlPr defaultSize="0" autoFill="0" autoLine="0" autoPict="0">
                <anchor moveWithCells="1" sizeWithCells="1">
                  <from>
                    <xdr:col>1</xdr:col>
                    <xdr:colOff>419100</xdr:colOff>
                    <xdr:row>297</xdr:row>
                    <xdr:rowOff>161925</xdr:rowOff>
                  </from>
                  <to>
                    <xdr:col>3</xdr:col>
                    <xdr:colOff>247650</xdr:colOff>
                    <xdr:row>298</xdr:row>
                    <xdr:rowOff>228600</xdr:rowOff>
                  </to>
                </anchor>
              </controlPr>
            </control>
          </mc:Choice>
        </mc:AlternateContent>
        <mc:AlternateContent xmlns:mc="http://schemas.openxmlformats.org/markup-compatibility/2006">
          <mc:Choice Requires="x14">
            <control shapeId="45124" r:id="rId99" name="Option Button 68">
              <controlPr defaultSize="0" autoFill="0" autoLine="0" autoPict="0">
                <anchor moveWithCells="1" sizeWithCells="1">
                  <from>
                    <xdr:col>1</xdr:col>
                    <xdr:colOff>419100</xdr:colOff>
                    <xdr:row>298</xdr:row>
                    <xdr:rowOff>228600</xdr:rowOff>
                  </from>
                  <to>
                    <xdr:col>3</xdr:col>
                    <xdr:colOff>247650</xdr:colOff>
                    <xdr:row>299</xdr:row>
                    <xdr:rowOff>171450</xdr:rowOff>
                  </to>
                </anchor>
              </controlPr>
            </control>
          </mc:Choice>
        </mc:AlternateContent>
        <mc:AlternateContent xmlns:mc="http://schemas.openxmlformats.org/markup-compatibility/2006">
          <mc:Choice Requires="x14">
            <control shapeId="45127" r:id="rId100" name="Option Button 71">
              <controlPr defaultSize="0" autoFill="0" autoLine="0" autoPict="0">
                <anchor moveWithCells="1" sizeWithCells="1">
                  <from>
                    <xdr:col>1</xdr:col>
                    <xdr:colOff>28575</xdr:colOff>
                    <xdr:row>299</xdr:row>
                    <xdr:rowOff>171450</xdr:rowOff>
                  </from>
                  <to>
                    <xdr:col>3</xdr:col>
                    <xdr:colOff>257175</xdr:colOff>
                    <xdr:row>301</xdr:row>
                    <xdr:rowOff>47625</xdr:rowOff>
                  </to>
                </anchor>
              </controlPr>
            </control>
          </mc:Choice>
        </mc:AlternateContent>
        <mc:AlternateContent xmlns:mc="http://schemas.openxmlformats.org/markup-compatibility/2006">
          <mc:Choice Requires="x14">
            <control shapeId="45058" r:id="rId101" name="Group Box 2">
              <controlPr defaultSize="0" autoFill="0" autoPict="0">
                <anchor moveWithCells="1" sizeWithCells="1">
                  <from>
                    <xdr:col>1</xdr:col>
                    <xdr:colOff>0</xdr:colOff>
                    <xdr:row>286</xdr:row>
                    <xdr:rowOff>0</xdr:rowOff>
                  </from>
                  <to>
                    <xdr:col>3</xdr:col>
                    <xdr:colOff>276225</xdr:colOff>
                    <xdr:row>290</xdr:row>
                    <xdr:rowOff>0</xdr:rowOff>
                  </to>
                </anchor>
              </controlPr>
            </control>
          </mc:Choice>
        </mc:AlternateContent>
        <mc:AlternateContent xmlns:mc="http://schemas.openxmlformats.org/markup-compatibility/2006">
          <mc:Choice Requires="x14">
            <control shapeId="45059" r:id="rId102" name="Option Button 3">
              <controlPr defaultSize="0" autoFill="0" autoLine="0" autoPict="0">
                <anchor moveWithCells="1" sizeWithCells="1">
                  <from>
                    <xdr:col>1</xdr:col>
                    <xdr:colOff>19050</xdr:colOff>
                    <xdr:row>286</xdr:row>
                    <xdr:rowOff>19050</xdr:rowOff>
                  </from>
                  <to>
                    <xdr:col>3</xdr:col>
                    <xdr:colOff>257175</xdr:colOff>
                    <xdr:row>287</xdr:row>
                    <xdr:rowOff>66675</xdr:rowOff>
                  </to>
                </anchor>
              </controlPr>
            </control>
          </mc:Choice>
        </mc:AlternateContent>
        <mc:AlternateContent xmlns:mc="http://schemas.openxmlformats.org/markup-compatibility/2006">
          <mc:Choice Requires="x14">
            <control shapeId="45060" r:id="rId103" name="Option Button 4">
              <controlPr defaultSize="0" autoFill="0" autoLine="0" autoPict="0">
                <anchor moveWithCells="1" sizeWithCells="1">
                  <from>
                    <xdr:col>1</xdr:col>
                    <xdr:colOff>9525</xdr:colOff>
                    <xdr:row>287</xdr:row>
                    <xdr:rowOff>66675</xdr:rowOff>
                  </from>
                  <to>
                    <xdr:col>3</xdr:col>
                    <xdr:colOff>247650</xdr:colOff>
                    <xdr:row>288</xdr:row>
                    <xdr:rowOff>123825</xdr:rowOff>
                  </to>
                </anchor>
              </controlPr>
            </control>
          </mc:Choice>
        </mc:AlternateContent>
        <mc:AlternateContent xmlns:mc="http://schemas.openxmlformats.org/markup-compatibility/2006">
          <mc:Choice Requires="x14">
            <control shapeId="45061" r:id="rId104" name="Option Button 5">
              <controlPr defaultSize="0" autoFill="0" autoLine="0" autoPict="0">
                <anchor moveWithCells="1" sizeWithCells="1">
                  <from>
                    <xdr:col>1</xdr:col>
                    <xdr:colOff>9525</xdr:colOff>
                    <xdr:row>288</xdr:row>
                    <xdr:rowOff>114300</xdr:rowOff>
                  </from>
                  <to>
                    <xdr:col>3</xdr:col>
                    <xdr:colOff>247650</xdr:colOff>
                    <xdr:row>289</xdr:row>
                    <xdr:rowOff>161925</xdr:rowOff>
                  </to>
                </anchor>
              </controlPr>
            </control>
          </mc:Choice>
        </mc:AlternateContent>
        <mc:AlternateContent xmlns:mc="http://schemas.openxmlformats.org/markup-compatibility/2006">
          <mc:Choice Requires="x14">
            <control shapeId="45108" r:id="rId105" name="Group Box 52">
              <controlPr defaultSize="0" autoFill="0" autoPict="0">
                <anchor moveWithCells="1" sizeWithCells="1">
                  <from>
                    <xdr:col>1</xdr:col>
                    <xdr:colOff>0</xdr:colOff>
                    <xdr:row>307</xdr:row>
                    <xdr:rowOff>0</xdr:rowOff>
                  </from>
                  <to>
                    <xdr:col>3</xdr:col>
                    <xdr:colOff>276225</xdr:colOff>
                    <xdr:row>317</xdr:row>
                    <xdr:rowOff>180975</xdr:rowOff>
                  </to>
                </anchor>
              </controlPr>
            </control>
          </mc:Choice>
        </mc:AlternateContent>
        <mc:AlternateContent xmlns:mc="http://schemas.openxmlformats.org/markup-compatibility/2006">
          <mc:Choice Requires="x14">
            <control shapeId="45109" r:id="rId106" name="Option Button 53">
              <controlPr defaultSize="0" autoFill="0" autoLine="0" autoPict="0">
                <anchor moveWithCells="1" sizeWithCells="1">
                  <from>
                    <xdr:col>1</xdr:col>
                    <xdr:colOff>19050</xdr:colOff>
                    <xdr:row>307</xdr:row>
                    <xdr:rowOff>9525</xdr:rowOff>
                  </from>
                  <to>
                    <xdr:col>3</xdr:col>
                    <xdr:colOff>257175</xdr:colOff>
                    <xdr:row>308</xdr:row>
                    <xdr:rowOff>114300</xdr:rowOff>
                  </to>
                </anchor>
              </controlPr>
            </control>
          </mc:Choice>
        </mc:AlternateContent>
        <mc:AlternateContent xmlns:mc="http://schemas.openxmlformats.org/markup-compatibility/2006">
          <mc:Choice Requires="x14">
            <control shapeId="45110" r:id="rId107" name="Option Button 54">
              <controlPr defaultSize="0" autoFill="0" autoLine="0" autoPict="0">
                <anchor moveWithCells="1" sizeWithCells="1">
                  <from>
                    <xdr:col>1</xdr:col>
                    <xdr:colOff>19050</xdr:colOff>
                    <xdr:row>308</xdr:row>
                    <xdr:rowOff>104775</xdr:rowOff>
                  </from>
                  <to>
                    <xdr:col>3</xdr:col>
                    <xdr:colOff>257175</xdr:colOff>
                    <xdr:row>310</xdr:row>
                    <xdr:rowOff>19050</xdr:rowOff>
                  </to>
                </anchor>
              </controlPr>
            </control>
          </mc:Choice>
        </mc:AlternateContent>
        <mc:AlternateContent xmlns:mc="http://schemas.openxmlformats.org/markup-compatibility/2006">
          <mc:Choice Requires="x14">
            <control shapeId="45111" r:id="rId108" name="Option Button 55">
              <controlPr defaultSize="0" autoFill="0" autoLine="0" autoPict="0">
                <anchor moveWithCells="1" sizeWithCells="1">
                  <from>
                    <xdr:col>1</xdr:col>
                    <xdr:colOff>19050</xdr:colOff>
                    <xdr:row>310</xdr:row>
                    <xdr:rowOff>19050</xdr:rowOff>
                  </from>
                  <to>
                    <xdr:col>3</xdr:col>
                    <xdr:colOff>257175</xdr:colOff>
                    <xdr:row>311</xdr:row>
                    <xdr:rowOff>123825</xdr:rowOff>
                  </to>
                </anchor>
              </controlPr>
            </control>
          </mc:Choice>
        </mc:AlternateContent>
        <mc:AlternateContent xmlns:mc="http://schemas.openxmlformats.org/markup-compatibility/2006">
          <mc:Choice Requires="x14">
            <control shapeId="45112" r:id="rId109" name="Option Button 56">
              <controlPr defaultSize="0" autoFill="0" autoLine="0" autoPict="0">
                <anchor moveWithCells="1" sizeWithCells="1">
                  <from>
                    <xdr:col>1</xdr:col>
                    <xdr:colOff>19050</xdr:colOff>
                    <xdr:row>311</xdr:row>
                    <xdr:rowOff>123825</xdr:rowOff>
                  </from>
                  <to>
                    <xdr:col>3</xdr:col>
                    <xdr:colOff>257175</xdr:colOff>
                    <xdr:row>313</xdr:row>
                    <xdr:rowOff>38100</xdr:rowOff>
                  </to>
                </anchor>
              </controlPr>
            </control>
          </mc:Choice>
        </mc:AlternateContent>
        <mc:AlternateContent xmlns:mc="http://schemas.openxmlformats.org/markup-compatibility/2006">
          <mc:Choice Requires="x14">
            <control shapeId="45113" r:id="rId110" name="Option Button 57">
              <controlPr defaultSize="0" autoFill="0" autoLine="0" autoPict="0">
                <anchor moveWithCells="1" sizeWithCells="1">
                  <from>
                    <xdr:col>1</xdr:col>
                    <xdr:colOff>19050</xdr:colOff>
                    <xdr:row>313</xdr:row>
                    <xdr:rowOff>19050</xdr:rowOff>
                  </from>
                  <to>
                    <xdr:col>3</xdr:col>
                    <xdr:colOff>257175</xdr:colOff>
                    <xdr:row>314</xdr:row>
                    <xdr:rowOff>123825</xdr:rowOff>
                  </to>
                </anchor>
              </controlPr>
            </control>
          </mc:Choice>
        </mc:AlternateContent>
        <mc:AlternateContent xmlns:mc="http://schemas.openxmlformats.org/markup-compatibility/2006">
          <mc:Choice Requires="x14">
            <control shapeId="45114" r:id="rId111" name="Option Button 58">
              <controlPr defaultSize="0" autoFill="0" autoLine="0" autoPict="0">
                <anchor moveWithCells="1" sizeWithCells="1">
                  <from>
                    <xdr:col>1</xdr:col>
                    <xdr:colOff>19050</xdr:colOff>
                    <xdr:row>314</xdr:row>
                    <xdr:rowOff>123825</xdr:rowOff>
                  </from>
                  <to>
                    <xdr:col>3</xdr:col>
                    <xdr:colOff>257175</xdr:colOff>
                    <xdr:row>316</xdr:row>
                    <xdr:rowOff>38100</xdr:rowOff>
                  </to>
                </anchor>
              </controlPr>
            </control>
          </mc:Choice>
        </mc:AlternateContent>
        <mc:AlternateContent xmlns:mc="http://schemas.openxmlformats.org/markup-compatibility/2006">
          <mc:Choice Requires="x14">
            <control shapeId="45115" r:id="rId112" name="Option Button 59">
              <controlPr defaultSize="0" autoFill="0" autoLine="0" autoPict="0">
                <anchor moveWithCells="1" sizeWithCells="1">
                  <from>
                    <xdr:col>1</xdr:col>
                    <xdr:colOff>19050</xdr:colOff>
                    <xdr:row>316</xdr:row>
                    <xdr:rowOff>38100</xdr:rowOff>
                  </from>
                  <to>
                    <xdr:col>3</xdr:col>
                    <xdr:colOff>257175</xdr:colOff>
                    <xdr:row>317</xdr:row>
                    <xdr:rowOff>142875</xdr:rowOff>
                  </to>
                </anchor>
              </controlPr>
            </control>
          </mc:Choice>
        </mc:AlternateContent>
        <mc:AlternateContent xmlns:mc="http://schemas.openxmlformats.org/markup-compatibility/2006">
          <mc:Choice Requires="x14">
            <control shapeId="45155" r:id="rId113" name="Group Box 99">
              <controlPr defaultSize="0" autoFill="0" autoPict="0">
                <anchor moveWithCells="1" sizeWithCells="1">
                  <from>
                    <xdr:col>1</xdr:col>
                    <xdr:colOff>1076325</xdr:colOff>
                    <xdr:row>245</xdr:row>
                    <xdr:rowOff>0</xdr:rowOff>
                  </from>
                  <to>
                    <xdr:col>15</xdr:col>
                    <xdr:colOff>0</xdr:colOff>
                    <xdr:row>246</xdr:row>
                    <xdr:rowOff>0</xdr:rowOff>
                  </to>
                </anchor>
              </controlPr>
            </control>
          </mc:Choice>
        </mc:AlternateContent>
        <mc:AlternateContent xmlns:mc="http://schemas.openxmlformats.org/markup-compatibility/2006">
          <mc:Choice Requires="x14">
            <control shapeId="45156" r:id="rId114" name="Option Button 100">
              <controlPr defaultSize="0" autoFill="0" autoLine="0" autoPict="0">
                <anchor moveWithCells="1" sizeWithCells="1">
                  <from>
                    <xdr:col>1</xdr:col>
                    <xdr:colOff>1085850</xdr:colOff>
                    <xdr:row>245</xdr:row>
                    <xdr:rowOff>9525</xdr:rowOff>
                  </from>
                  <to>
                    <xdr:col>2</xdr:col>
                    <xdr:colOff>28575</xdr:colOff>
                    <xdr:row>245</xdr:row>
                    <xdr:rowOff>228600</xdr:rowOff>
                  </to>
                </anchor>
              </controlPr>
            </control>
          </mc:Choice>
        </mc:AlternateContent>
        <mc:AlternateContent xmlns:mc="http://schemas.openxmlformats.org/markup-compatibility/2006">
          <mc:Choice Requires="x14">
            <control shapeId="45157" r:id="rId115" name="Option Button 101">
              <controlPr defaultSize="0" autoFill="0" autoLine="0" autoPict="0">
                <anchor moveWithCells="1" sizeWithCells="1">
                  <from>
                    <xdr:col>2</xdr:col>
                    <xdr:colOff>161925</xdr:colOff>
                    <xdr:row>245</xdr:row>
                    <xdr:rowOff>19050</xdr:rowOff>
                  </from>
                  <to>
                    <xdr:col>10</xdr:col>
                    <xdr:colOff>190500</xdr:colOff>
                    <xdr:row>245</xdr:row>
                    <xdr:rowOff>238125</xdr:rowOff>
                  </to>
                </anchor>
              </controlPr>
            </control>
          </mc:Choice>
        </mc:AlternateContent>
        <mc:AlternateContent xmlns:mc="http://schemas.openxmlformats.org/markup-compatibility/2006">
          <mc:Choice Requires="x14">
            <control shapeId="45158" r:id="rId116" name="Option Button 102">
              <controlPr defaultSize="0" autoFill="0" autoLine="0" autoPict="0">
                <anchor moveWithCells="1" sizeWithCells="1">
                  <from>
                    <xdr:col>11</xdr:col>
                    <xdr:colOff>28575</xdr:colOff>
                    <xdr:row>245</xdr:row>
                    <xdr:rowOff>19050</xdr:rowOff>
                  </from>
                  <to>
                    <xdr:col>14</xdr:col>
                    <xdr:colOff>495300</xdr:colOff>
                    <xdr:row>245</xdr:row>
                    <xdr:rowOff>238125</xdr:rowOff>
                  </to>
                </anchor>
              </controlPr>
            </control>
          </mc:Choice>
        </mc:AlternateContent>
        <mc:AlternateContent xmlns:mc="http://schemas.openxmlformats.org/markup-compatibility/2006">
          <mc:Choice Requires="x14">
            <control shapeId="45162" r:id="rId117" name="Group Box 106">
              <controlPr defaultSize="0" autoFill="0" autoPict="0">
                <anchor moveWithCells="1" sizeWithCells="1">
                  <from>
                    <xdr:col>13</xdr:col>
                    <xdr:colOff>0</xdr:colOff>
                    <xdr:row>252</xdr:row>
                    <xdr:rowOff>0</xdr:rowOff>
                  </from>
                  <to>
                    <xdr:col>15</xdr:col>
                    <xdr:colOff>0</xdr:colOff>
                    <xdr:row>253</xdr:row>
                    <xdr:rowOff>0</xdr:rowOff>
                  </to>
                </anchor>
              </controlPr>
            </control>
          </mc:Choice>
        </mc:AlternateContent>
        <mc:AlternateContent xmlns:mc="http://schemas.openxmlformats.org/markup-compatibility/2006">
          <mc:Choice Requires="x14">
            <control shapeId="45163" r:id="rId118" name="Option Button 107">
              <controlPr defaultSize="0" autoFill="0" autoLine="0" autoPict="0">
                <anchor moveWithCells="1" sizeWithCells="1">
                  <from>
                    <xdr:col>13</xdr:col>
                    <xdr:colOff>76200</xdr:colOff>
                    <xdr:row>252</xdr:row>
                    <xdr:rowOff>19050</xdr:rowOff>
                  </from>
                  <to>
                    <xdr:col>14</xdr:col>
                    <xdr:colOff>0</xdr:colOff>
                    <xdr:row>252</xdr:row>
                    <xdr:rowOff>257175</xdr:rowOff>
                  </to>
                </anchor>
              </controlPr>
            </control>
          </mc:Choice>
        </mc:AlternateContent>
        <mc:AlternateContent xmlns:mc="http://schemas.openxmlformats.org/markup-compatibility/2006">
          <mc:Choice Requires="x14">
            <control shapeId="45164" r:id="rId119" name="Option Button 108">
              <controlPr defaultSize="0" autoFill="0" autoLine="0" autoPict="0">
                <anchor moveWithCells="1" sizeWithCells="1">
                  <from>
                    <xdr:col>14</xdr:col>
                    <xdr:colOff>28575</xdr:colOff>
                    <xdr:row>252</xdr:row>
                    <xdr:rowOff>19050</xdr:rowOff>
                  </from>
                  <to>
                    <xdr:col>14</xdr:col>
                    <xdr:colOff>428625</xdr:colOff>
                    <xdr:row>252</xdr:row>
                    <xdr:rowOff>257175</xdr:rowOff>
                  </to>
                </anchor>
              </controlPr>
            </control>
          </mc:Choice>
        </mc:AlternateContent>
        <mc:AlternateContent xmlns:mc="http://schemas.openxmlformats.org/markup-compatibility/2006">
          <mc:Choice Requires="x14">
            <control shapeId="45177" r:id="rId120" name="Group Box 121">
              <controlPr defaultSize="0" autoFill="0" autoPict="0">
                <anchor moveWithCells="1" sizeWithCells="1">
                  <from>
                    <xdr:col>13</xdr:col>
                    <xdr:colOff>9525</xdr:colOff>
                    <xdr:row>265</xdr:row>
                    <xdr:rowOff>0</xdr:rowOff>
                  </from>
                  <to>
                    <xdr:col>15</xdr:col>
                    <xdr:colOff>0</xdr:colOff>
                    <xdr:row>266</xdr:row>
                    <xdr:rowOff>0</xdr:rowOff>
                  </to>
                </anchor>
              </controlPr>
            </control>
          </mc:Choice>
        </mc:AlternateContent>
        <mc:AlternateContent xmlns:mc="http://schemas.openxmlformats.org/markup-compatibility/2006">
          <mc:Choice Requires="x14">
            <control shapeId="45178" r:id="rId121" name="Option Button 122">
              <controlPr defaultSize="0" autoFill="0" autoLine="0" autoPict="0">
                <anchor moveWithCells="1" sizeWithCells="1">
                  <from>
                    <xdr:col>13</xdr:col>
                    <xdr:colOff>66675</xdr:colOff>
                    <xdr:row>265</xdr:row>
                    <xdr:rowOff>28575</xdr:rowOff>
                  </from>
                  <to>
                    <xdr:col>14</xdr:col>
                    <xdr:colOff>47625</xdr:colOff>
                    <xdr:row>265</xdr:row>
                    <xdr:rowOff>190500</xdr:rowOff>
                  </to>
                </anchor>
              </controlPr>
            </control>
          </mc:Choice>
        </mc:AlternateContent>
        <mc:AlternateContent xmlns:mc="http://schemas.openxmlformats.org/markup-compatibility/2006">
          <mc:Choice Requires="x14">
            <control shapeId="45179" r:id="rId122" name="Option Button 123">
              <controlPr defaultSize="0" autoFill="0" autoLine="0" autoPict="0">
                <anchor moveWithCells="1" sizeWithCells="1">
                  <from>
                    <xdr:col>14</xdr:col>
                    <xdr:colOff>19050</xdr:colOff>
                    <xdr:row>265</xdr:row>
                    <xdr:rowOff>28575</xdr:rowOff>
                  </from>
                  <to>
                    <xdr:col>14</xdr:col>
                    <xdr:colOff>571500</xdr:colOff>
                    <xdr:row>265</xdr:row>
                    <xdr:rowOff>190500</xdr:rowOff>
                  </to>
                </anchor>
              </controlPr>
            </control>
          </mc:Choice>
        </mc:AlternateContent>
        <mc:AlternateContent xmlns:mc="http://schemas.openxmlformats.org/markup-compatibility/2006">
          <mc:Choice Requires="x14">
            <control shapeId="45181" r:id="rId123" name="Group Box 125">
              <controlPr defaultSize="0" autoFill="0" autoPict="0">
                <anchor moveWithCells="1" sizeWithCells="1">
                  <from>
                    <xdr:col>1</xdr:col>
                    <xdr:colOff>962025</xdr:colOff>
                    <xdr:row>402</xdr:row>
                    <xdr:rowOff>0</xdr:rowOff>
                  </from>
                  <to>
                    <xdr:col>15</xdr:col>
                    <xdr:colOff>0</xdr:colOff>
                    <xdr:row>403</xdr:row>
                    <xdr:rowOff>0</xdr:rowOff>
                  </to>
                </anchor>
              </controlPr>
            </control>
          </mc:Choice>
        </mc:AlternateContent>
        <mc:AlternateContent xmlns:mc="http://schemas.openxmlformats.org/markup-compatibility/2006">
          <mc:Choice Requires="x14">
            <control shapeId="45182" r:id="rId124" name="Option Button 126">
              <controlPr defaultSize="0" autoFill="0" autoLine="0" autoPict="0">
                <anchor moveWithCells="1" sizeWithCells="1">
                  <from>
                    <xdr:col>1</xdr:col>
                    <xdr:colOff>990600</xdr:colOff>
                    <xdr:row>402</xdr:row>
                    <xdr:rowOff>19050</xdr:rowOff>
                  </from>
                  <to>
                    <xdr:col>3</xdr:col>
                    <xdr:colOff>38100</xdr:colOff>
                    <xdr:row>402</xdr:row>
                    <xdr:rowOff>219075</xdr:rowOff>
                  </to>
                </anchor>
              </controlPr>
            </control>
          </mc:Choice>
        </mc:AlternateContent>
        <mc:AlternateContent xmlns:mc="http://schemas.openxmlformats.org/markup-compatibility/2006">
          <mc:Choice Requires="x14">
            <control shapeId="45183" r:id="rId125" name="Option Button 127">
              <controlPr defaultSize="0" autoFill="0" autoLine="0" autoPict="0">
                <anchor moveWithCells="1" sizeWithCells="1">
                  <from>
                    <xdr:col>3</xdr:col>
                    <xdr:colOff>19050</xdr:colOff>
                    <xdr:row>402</xdr:row>
                    <xdr:rowOff>19050</xdr:rowOff>
                  </from>
                  <to>
                    <xdr:col>11</xdr:col>
                    <xdr:colOff>85725</xdr:colOff>
                    <xdr:row>402</xdr:row>
                    <xdr:rowOff>219075</xdr:rowOff>
                  </to>
                </anchor>
              </controlPr>
            </control>
          </mc:Choice>
        </mc:AlternateContent>
        <mc:AlternateContent xmlns:mc="http://schemas.openxmlformats.org/markup-compatibility/2006">
          <mc:Choice Requires="x14">
            <control shapeId="45184" r:id="rId126" name="Option Button 128">
              <controlPr defaultSize="0" autoFill="0" autoLine="0" autoPict="0">
                <anchor moveWithCells="1" sizeWithCells="1">
                  <from>
                    <xdr:col>11</xdr:col>
                    <xdr:colOff>66675</xdr:colOff>
                    <xdr:row>402</xdr:row>
                    <xdr:rowOff>19050</xdr:rowOff>
                  </from>
                  <to>
                    <xdr:col>14</xdr:col>
                    <xdr:colOff>571500</xdr:colOff>
                    <xdr:row>402</xdr:row>
                    <xdr:rowOff>219075</xdr:rowOff>
                  </to>
                </anchor>
              </controlPr>
            </control>
          </mc:Choice>
        </mc:AlternateContent>
        <mc:AlternateContent xmlns:mc="http://schemas.openxmlformats.org/markup-compatibility/2006">
          <mc:Choice Requires="x14">
            <control shapeId="45186" r:id="rId127" name="Option Button 130">
              <controlPr defaultSize="0" autoFill="0" autoLine="0" autoPict="0">
                <anchor moveWithCells="1" sizeWithCells="1">
                  <from>
                    <xdr:col>2</xdr:col>
                    <xdr:colOff>142875</xdr:colOff>
                    <xdr:row>412</xdr:row>
                    <xdr:rowOff>95250</xdr:rowOff>
                  </from>
                  <to>
                    <xdr:col>4</xdr:col>
                    <xdr:colOff>66675</xdr:colOff>
                    <xdr:row>413</xdr:row>
                    <xdr:rowOff>85725</xdr:rowOff>
                  </to>
                </anchor>
              </controlPr>
            </control>
          </mc:Choice>
        </mc:AlternateContent>
        <mc:AlternateContent xmlns:mc="http://schemas.openxmlformats.org/markup-compatibility/2006">
          <mc:Choice Requires="x14">
            <control shapeId="45187" r:id="rId128" name="Option Button 131">
              <controlPr defaultSize="0" autoFill="0" autoLine="0" autoPict="0">
                <anchor moveWithCells="1" sizeWithCells="1">
                  <from>
                    <xdr:col>5</xdr:col>
                    <xdr:colOff>19050</xdr:colOff>
                    <xdr:row>411</xdr:row>
                    <xdr:rowOff>9525</xdr:rowOff>
                  </from>
                  <to>
                    <xdr:col>11</xdr:col>
                    <xdr:colOff>209550</xdr:colOff>
                    <xdr:row>411</xdr:row>
                    <xdr:rowOff>228600</xdr:rowOff>
                  </to>
                </anchor>
              </controlPr>
            </control>
          </mc:Choice>
        </mc:AlternateContent>
        <mc:AlternateContent xmlns:mc="http://schemas.openxmlformats.org/markup-compatibility/2006">
          <mc:Choice Requires="x14">
            <control shapeId="45188" r:id="rId129" name="Option Button 132">
              <controlPr defaultSize="0" autoFill="0" autoLine="0" autoPict="0">
                <anchor moveWithCells="1" sizeWithCells="1">
                  <from>
                    <xdr:col>5</xdr:col>
                    <xdr:colOff>28575</xdr:colOff>
                    <xdr:row>411</xdr:row>
                    <xdr:rowOff>219075</xdr:rowOff>
                  </from>
                  <to>
                    <xdr:col>12</xdr:col>
                    <xdr:colOff>390525</xdr:colOff>
                    <xdr:row>412</xdr:row>
                    <xdr:rowOff>209550</xdr:rowOff>
                  </to>
                </anchor>
              </controlPr>
            </control>
          </mc:Choice>
        </mc:AlternateContent>
        <mc:AlternateContent xmlns:mc="http://schemas.openxmlformats.org/markup-compatibility/2006">
          <mc:Choice Requires="x14">
            <control shapeId="45189" r:id="rId130" name="Option Button 133">
              <controlPr defaultSize="0" autoFill="0" autoLine="0" autoPict="0">
                <anchor moveWithCells="1" sizeWithCells="1">
                  <from>
                    <xdr:col>5</xdr:col>
                    <xdr:colOff>38100</xdr:colOff>
                    <xdr:row>412</xdr:row>
                    <xdr:rowOff>200025</xdr:rowOff>
                  </from>
                  <to>
                    <xdr:col>12</xdr:col>
                    <xdr:colOff>400050</xdr:colOff>
                    <xdr:row>413</xdr:row>
                    <xdr:rowOff>190500</xdr:rowOff>
                  </to>
                </anchor>
              </controlPr>
            </control>
          </mc:Choice>
        </mc:AlternateContent>
        <mc:AlternateContent xmlns:mc="http://schemas.openxmlformats.org/markup-compatibility/2006">
          <mc:Choice Requires="x14">
            <control shapeId="45190" r:id="rId131" name="Option Button 134">
              <controlPr defaultSize="0" autoFill="0" autoLine="0" autoPict="0">
                <anchor moveWithCells="1" sizeWithCells="1">
                  <from>
                    <xdr:col>5</xdr:col>
                    <xdr:colOff>38100</xdr:colOff>
                    <xdr:row>413</xdr:row>
                    <xdr:rowOff>180975</xdr:rowOff>
                  </from>
                  <to>
                    <xdr:col>12</xdr:col>
                    <xdr:colOff>400050</xdr:colOff>
                    <xdr:row>414</xdr:row>
                    <xdr:rowOff>171450</xdr:rowOff>
                  </to>
                </anchor>
              </controlPr>
            </control>
          </mc:Choice>
        </mc:AlternateContent>
        <mc:AlternateContent xmlns:mc="http://schemas.openxmlformats.org/markup-compatibility/2006">
          <mc:Choice Requires="x14">
            <control shapeId="45191" r:id="rId132" name="Group Box 135">
              <controlPr defaultSize="0" autoFill="0" autoPict="0">
                <anchor moveWithCells="1" sizeWithCells="1">
                  <from>
                    <xdr:col>2</xdr:col>
                    <xdr:colOff>0</xdr:colOff>
                    <xdr:row>411</xdr:row>
                    <xdr:rowOff>0</xdr:rowOff>
                  </from>
                  <to>
                    <xdr:col>15</xdr:col>
                    <xdr:colOff>0</xdr:colOff>
                    <xdr:row>415</xdr:row>
                    <xdr:rowOff>0</xdr:rowOff>
                  </to>
                </anchor>
              </controlPr>
            </control>
          </mc:Choice>
        </mc:AlternateContent>
        <mc:AlternateContent xmlns:mc="http://schemas.openxmlformats.org/markup-compatibility/2006">
          <mc:Choice Requires="x14">
            <control shapeId="45195" r:id="rId133" name="Group Box 139">
              <controlPr defaultSize="0" autoFill="0" autoPict="0">
                <anchor moveWithCells="1" sizeWithCells="1">
                  <from>
                    <xdr:col>1</xdr:col>
                    <xdr:colOff>0</xdr:colOff>
                    <xdr:row>422</xdr:row>
                    <xdr:rowOff>19050</xdr:rowOff>
                  </from>
                  <to>
                    <xdr:col>1</xdr:col>
                    <xdr:colOff>1419225</xdr:colOff>
                    <xdr:row>426</xdr:row>
                    <xdr:rowOff>0</xdr:rowOff>
                  </to>
                </anchor>
              </controlPr>
            </control>
          </mc:Choice>
        </mc:AlternateContent>
        <mc:AlternateContent xmlns:mc="http://schemas.openxmlformats.org/markup-compatibility/2006">
          <mc:Choice Requires="x14">
            <control shapeId="45196" r:id="rId134" name="Option Button 140">
              <controlPr defaultSize="0" autoFill="0" autoLine="0" autoPict="0">
                <anchor moveWithCells="1" sizeWithCells="1">
                  <from>
                    <xdr:col>1</xdr:col>
                    <xdr:colOff>1076325</xdr:colOff>
                    <xdr:row>422</xdr:row>
                    <xdr:rowOff>57150</xdr:rowOff>
                  </from>
                  <to>
                    <xdr:col>1</xdr:col>
                    <xdr:colOff>1381125</xdr:colOff>
                    <xdr:row>422</xdr:row>
                    <xdr:rowOff>295275</xdr:rowOff>
                  </to>
                </anchor>
              </controlPr>
            </control>
          </mc:Choice>
        </mc:AlternateContent>
        <mc:AlternateContent xmlns:mc="http://schemas.openxmlformats.org/markup-compatibility/2006">
          <mc:Choice Requires="x14">
            <control shapeId="45197" r:id="rId135" name="Option Button 141">
              <controlPr defaultSize="0" autoFill="0" autoLine="0" autoPict="0">
                <anchor moveWithCells="1" sizeWithCells="1">
                  <from>
                    <xdr:col>1</xdr:col>
                    <xdr:colOff>1076325</xdr:colOff>
                    <xdr:row>423</xdr:row>
                    <xdr:rowOff>76200</xdr:rowOff>
                  </from>
                  <to>
                    <xdr:col>1</xdr:col>
                    <xdr:colOff>1381125</xdr:colOff>
                    <xdr:row>423</xdr:row>
                    <xdr:rowOff>314325</xdr:rowOff>
                  </to>
                </anchor>
              </controlPr>
            </control>
          </mc:Choice>
        </mc:AlternateContent>
        <mc:AlternateContent xmlns:mc="http://schemas.openxmlformats.org/markup-compatibility/2006">
          <mc:Choice Requires="x14">
            <control shapeId="45198" r:id="rId136" name="Option Button 142">
              <controlPr defaultSize="0" autoFill="0" autoLine="0" autoPict="0">
                <anchor moveWithCells="1" sizeWithCells="1">
                  <from>
                    <xdr:col>1</xdr:col>
                    <xdr:colOff>1085850</xdr:colOff>
                    <xdr:row>423</xdr:row>
                    <xdr:rowOff>419100</xdr:rowOff>
                  </from>
                  <to>
                    <xdr:col>1</xdr:col>
                    <xdr:colOff>1390650</xdr:colOff>
                    <xdr:row>424</xdr:row>
                    <xdr:rowOff>180975</xdr:rowOff>
                  </to>
                </anchor>
              </controlPr>
            </control>
          </mc:Choice>
        </mc:AlternateContent>
        <mc:AlternateContent xmlns:mc="http://schemas.openxmlformats.org/markup-compatibility/2006">
          <mc:Choice Requires="x14">
            <control shapeId="45199" r:id="rId137" name="Option Button 143">
              <controlPr defaultSize="0" autoFill="0" autoLine="0" autoPict="0">
                <anchor moveWithCells="1" sizeWithCells="1">
                  <from>
                    <xdr:col>1</xdr:col>
                    <xdr:colOff>1085850</xdr:colOff>
                    <xdr:row>424</xdr:row>
                    <xdr:rowOff>323850</xdr:rowOff>
                  </from>
                  <to>
                    <xdr:col>1</xdr:col>
                    <xdr:colOff>1390650</xdr:colOff>
                    <xdr:row>425</xdr:row>
                    <xdr:rowOff>219075</xdr:rowOff>
                  </to>
                </anchor>
              </controlPr>
            </control>
          </mc:Choice>
        </mc:AlternateContent>
        <mc:AlternateContent xmlns:mc="http://schemas.openxmlformats.org/markup-compatibility/2006">
          <mc:Choice Requires="x14">
            <control shapeId="45200" r:id="rId138" name="Option Button 144">
              <controlPr defaultSize="0" autoFill="0" autoLine="0" autoPict="0">
                <anchor moveWithCells="1" sizeWithCells="1">
                  <from>
                    <xdr:col>1</xdr:col>
                    <xdr:colOff>333375</xdr:colOff>
                    <xdr:row>423</xdr:row>
                    <xdr:rowOff>228600</xdr:rowOff>
                  </from>
                  <to>
                    <xdr:col>1</xdr:col>
                    <xdr:colOff>742950</xdr:colOff>
                    <xdr:row>424</xdr:row>
                    <xdr:rowOff>76200</xdr:rowOff>
                  </to>
                </anchor>
              </controlPr>
            </control>
          </mc:Choice>
        </mc:AlternateContent>
        <mc:AlternateContent xmlns:mc="http://schemas.openxmlformats.org/markup-compatibility/2006">
          <mc:Choice Requires="x14">
            <control shapeId="45209" r:id="rId139" name="Group Box 153">
              <controlPr defaultSize="0" autoFill="0" autoPict="0">
                <anchor moveWithCells="1" sizeWithCells="1">
                  <from>
                    <xdr:col>13</xdr:col>
                    <xdr:colOff>0</xdr:colOff>
                    <xdr:row>437</xdr:row>
                    <xdr:rowOff>0</xdr:rowOff>
                  </from>
                  <to>
                    <xdr:col>15</xdr:col>
                    <xdr:colOff>0</xdr:colOff>
                    <xdr:row>438</xdr:row>
                    <xdr:rowOff>0</xdr:rowOff>
                  </to>
                </anchor>
              </controlPr>
            </control>
          </mc:Choice>
        </mc:AlternateContent>
        <mc:AlternateContent xmlns:mc="http://schemas.openxmlformats.org/markup-compatibility/2006">
          <mc:Choice Requires="x14">
            <control shapeId="45210" r:id="rId140" name="Option Button 154">
              <controlPr defaultSize="0" autoFill="0" autoLine="0" autoPict="0">
                <anchor moveWithCells="1" sizeWithCells="1">
                  <from>
                    <xdr:col>13</xdr:col>
                    <xdr:colOff>57150</xdr:colOff>
                    <xdr:row>437</xdr:row>
                    <xdr:rowOff>85725</xdr:rowOff>
                  </from>
                  <to>
                    <xdr:col>14</xdr:col>
                    <xdr:colOff>38100</xdr:colOff>
                    <xdr:row>437</xdr:row>
                    <xdr:rowOff>428625</xdr:rowOff>
                  </to>
                </anchor>
              </controlPr>
            </control>
          </mc:Choice>
        </mc:AlternateContent>
        <mc:AlternateContent xmlns:mc="http://schemas.openxmlformats.org/markup-compatibility/2006">
          <mc:Choice Requires="x14">
            <control shapeId="45211" r:id="rId141" name="Option Button 155">
              <controlPr defaultSize="0" autoFill="0" autoLine="0" autoPict="0">
                <anchor moveWithCells="1" sizeWithCells="1">
                  <from>
                    <xdr:col>14</xdr:col>
                    <xdr:colOff>9525</xdr:colOff>
                    <xdr:row>437</xdr:row>
                    <xdr:rowOff>85725</xdr:rowOff>
                  </from>
                  <to>
                    <xdr:col>14</xdr:col>
                    <xdr:colOff>571500</xdr:colOff>
                    <xdr:row>437</xdr:row>
                    <xdr:rowOff>428625</xdr:rowOff>
                  </to>
                </anchor>
              </controlPr>
            </control>
          </mc:Choice>
        </mc:AlternateContent>
        <mc:AlternateContent xmlns:mc="http://schemas.openxmlformats.org/markup-compatibility/2006">
          <mc:Choice Requires="x14">
            <control shapeId="45213" r:id="rId142" name="Group Box 157">
              <controlPr defaultSize="0" autoFill="0" autoPict="0">
                <anchor moveWithCells="1" sizeWithCells="1">
                  <from>
                    <xdr:col>13</xdr:col>
                    <xdr:colOff>0</xdr:colOff>
                    <xdr:row>441</xdr:row>
                    <xdr:rowOff>0</xdr:rowOff>
                  </from>
                  <to>
                    <xdr:col>15</xdr:col>
                    <xdr:colOff>0</xdr:colOff>
                    <xdr:row>442</xdr:row>
                    <xdr:rowOff>0</xdr:rowOff>
                  </to>
                </anchor>
              </controlPr>
            </control>
          </mc:Choice>
        </mc:AlternateContent>
        <mc:AlternateContent xmlns:mc="http://schemas.openxmlformats.org/markup-compatibility/2006">
          <mc:Choice Requires="x14">
            <control shapeId="45214" r:id="rId143" name="Option Button 158">
              <controlPr defaultSize="0" autoFill="0" autoLine="0" autoPict="0">
                <anchor moveWithCells="1" sizeWithCells="1">
                  <from>
                    <xdr:col>13</xdr:col>
                    <xdr:colOff>57150</xdr:colOff>
                    <xdr:row>441</xdr:row>
                    <xdr:rowOff>28575</xdr:rowOff>
                  </from>
                  <to>
                    <xdr:col>14</xdr:col>
                    <xdr:colOff>38100</xdr:colOff>
                    <xdr:row>441</xdr:row>
                    <xdr:rowOff>190500</xdr:rowOff>
                  </to>
                </anchor>
              </controlPr>
            </control>
          </mc:Choice>
        </mc:AlternateContent>
        <mc:AlternateContent xmlns:mc="http://schemas.openxmlformats.org/markup-compatibility/2006">
          <mc:Choice Requires="x14">
            <control shapeId="45215" r:id="rId144" name="Option Button 159">
              <controlPr defaultSize="0" autoFill="0" autoLine="0" autoPict="0">
                <anchor moveWithCells="1" sizeWithCells="1">
                  <from>
                    <xdr:col>14</xdr:col>
                    <xdr:colOff>9525</xdr:colOff>
                    <xdr:row>441</xdr:row>
                    <xdr:rowOff>28575</xdr:rowOff>
                  </from>
                  <to>
                    <xdr:col>14</xdr:col>
                    <xdr:colOff>571500</xdr:colOff>
                    <xdr:row>441</xdr:row>
                    <xdr:rowOff>190500</xdr:rowOff>
                  </to>
                </anchor>
              </controlPr>
            </control>
          </mc:Choice>
        </mc:AlternateContent>
        <mc:AlternateContent xmlns:mc="http://schemas.openxmlformats.org/markup-compatibility/2006">
          <mc:Choice Requires="x14">
            <control shapeId="45217" r:id="rId145" name="Group Box 161">
              <controlPr defaultSize="0" autoFill="0" autoPict="0">
                <anchor moveWithCells="1" sizeWithCells="1">
                  <from>
                    <xdr:col>1</xdr:col>
                    <xdr:colOff>0</xdr:colOff>
                    <xdr:row>371</xdr:row>
                    <xdr:rowOff>0</xdr:rowOff>
                  </from>
                  <to>
                    <xdr:col>15</xdr:col>
                    <xdr:colOff>0</xdr:colOff>
                    <xdr:row>372</xdr:row>
                    <xdr:rowOff>0</xdr:rowOff>
                  </to>
                </anchor>
              </controlPr>
            </control>
          </mc:Choice>
        </mc:AlternateContent>
        <mc:AlternateContent xmlns:mc="http://schemas.openxmlformats.org/markup-compatibility/2006">
          <mc:Choice Requires="x14">
            <control shapeId="45218" r:id="rId146" name="Option Button 162">
              <controlPr defaultSize="0" autoFill="0" autoLine="0" autoPict="0">
                <anchor moveWithCells="1" sizeWithCells="1">
                  <from>
                    <xdr:col>1</xdr:col>
                    <xdr:colOff>742950</xdr:colOff>
                    <xdr:row>371</xdr:row>
                    <xdr:rowOff>19050</xdr:rowOff>
                  </from>
                  <to>
                    <xdr:col>2</xdr:col>
                    <xdr:colOff>38100</xdr:colOff>
                    <xdr:row>371</xdr:row>
                    <xdr:rowOff>257175</xdr:rowOff>
                  </to>
                </anchor>
              </controlPr>
            </control>
          </mc:Choice>
        </mc:AlternateContent>
        <mc:AlternateContent xmlns:mc="http://schemas.openxmlformats.org/markup-compatibility/2006">
          <mc:Choice Requires="x14">
            <control shapeId="45219" r:id="rId147" name="Option Button 163">
              <controlPr defaultSize="0" autoFill="0" autoLine="0" autoPict="0">
                <anchor moveWithCells="1" sizeWithCells="1">
                  <from>
                    <xdr:col>1</xdr:col>
                    <xdr:colOff>1400175</xdr:colOff>
                    <xdr:row>371</xdr:row>
                    <xdr:rowOff>19050</xdr:rowOff>
                  </from>
                  <to>
                    <xdr:col>14</xdr:col>
                    <xdr:colOff>561975</xdr:colOff>
                    <xdr:row>371</xdr:row>
                    <xdr:rowOff>257175</xdr:rowOff>
                  </to>
                </anchor>
              </controlPr>
            </control>
          </mc:Choice>
        </mc:AlternateContent>
        <mc:AlternateContent xmlns:mc="http://schemas.openxmlformats.org/markup-compatibility/2006">
          <mc:Choice Requires="x14">
            <control shapeId="45743" r:id="rId148" name="Check Box 687">
              <controlPr defaultSize="0" autoFill="0" autoLine="0" autoPict="0">
                <anchor moveWithCells="1">
                  <from>
                    <xdr:col>5</xdr:col>
                    <xdr:colOff>238125</xdr:colOff>
                    <xdr:row>218</xdr:row>
                    <xdr:rowOff>19050</xdr:rowOff>
                  </from>
                  <to>
                    <xdr:col>7</xdr:col>
                    <xdr:colOff>19050</xdr:colOff>
                    <xdr:row>219</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FN137"/>
  <sheetViews>
    <sheetView showGridLines="0" zoomScale="120" zoomScaleNormal="120" workbookViewId="0"/>
  </sheetViews>
  <sheetFormatPr defaultColWidth="2.28515625" defaultRowHeight="12.75" x14ac:dyDescent="0.2"/>
  <cols>
    <col min="1" max="1" width="1.5703125" style="2" customWidth="1"/>
    <col min="2" max="2" width="22.7109375" style="2" customWidth="1"/>
    <col min="3" max="4" width="3.28515625" style="2" customWidth="1"/>
    <col min="5" max="7" width="3.7109375" style="2" customWidth="1"/>
    <col min="8" max="8" width="3.42578125" style="2" customWidth="1"/>
    <col min="9" max="9" width="3.28515625" style="2" customWidth="1"/>
    <col min="10" max="10" width="3.42578125" style="2" customWidth="1"/>
    <col min="11" max="11" width="4.140625" style="2" customWidth="1"/>
    <col min="12" max="12" width="2.7109375" style="2" customWidth="1"/>
    <col min="13" max="13" width="4" style="2" customWidth="1"/>
    <col min="14" max="14" width="5.42578125" style="2" customWidth="1"/>
    <col min="15" max="15" width="9.140625" style="2" customWidth="1"/>
    <col min="16" max="16" width="12.140625" style="2" customWidth="1"/>
    <col min="17" max="17" width="1.140625" style="2" customWidth="1"/>
    <col min="18" max="18" width="9.140625" style="2" hidden="1" customWidth="1"/>
    <col min="19" max="19" width="10.5703125" style="2" hidden="1" customWidth="1"/>
    <col min="20" max="20" width="10.140625" style="2" hidden="1" customWidth="1"/>
    <col min="21" max="130" width="9.140625" style="2" hidden="1" customWidth="1"/>
    <col min="131" max="255" width="9.140625" style="2" customWidth="1"/>
    <col min="256" max="16384" width="2.28515625" style="2"/>
  </cols>
  <sheetData>
    <row r="1" spans="2:170" ht="15" customHeight="1" x14ac:dyDescent="0.2">
      <c r="B1" s="10" t="s">
        <v>1697</v>
      </c>
      <c r="C1" s="732" t="str">
        <f>IF('Start here'!A6="","",'Start here'!A6)</f>
        <v/>
      </c>
      <c r="D1" s="736"/>
      <c r="E1" s="736"/>
      <c r="F1" s="736"/>
      <c r="G1" s="736"/>
      <c r="H1" s="736"/>
      <c r="I1" s="736"/>
      <c r="J1" s="737"/>
      <c r="K1" s="1"/>
      <c r="L1" s="732" t="str">
        <f>IF('Start here'!A7="","",'Start here'!A7)</f>
        <v/>
      </c>
      <c r="M1" s="736"/>
      <c r="N1" s="736"/>
      <c r="O1" s="736"/>
      <c r="P1" s="737"/>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9" customHeight="1" x14ac:dyDescent="0.2">
      <c r="B2" s="777"/>
      <c r="C2" s="777"/>
      <c r="D2" s="777"/>
      <c r="E2" s="777"/>
      <c r="F2" s="777"/>
      <c r="G2" s="777"/>
      <c r="H2" s="777"/>
      <c r="I2" s="777"/>
      <c r="J2" s="777"/>
      <c r="K2" s="777"/>
      <c r="L2" s="777"/>
      <c r="M2" s="777"/>
      <c r="N2" s="777"/>
      <c r="O2" s="777"/>
      <c r="P2" s="777"/>
    </row>
    <row r="3" spans="2:170" ht="21" customHeight="1" x14ac:dyDescent="0.2">
      <c r="B3" s="1342" t="s">
        <v>136</v>
      </c>
      <c r="C3" s="1343"/>
      <c r="D3" s="1343"/>
      <c r="E3" s="1343"/>
      <c r="F3" s="1343"/>
      <c r="G3" s="1343"/>
      <c r="H3" s="1343"/>
      <c r="I3" s="1343"/>
      <c r="J3" s="1343"/>
      <c r="K3" s="1343"/>
      <c r="L3" s="1343"/>
      <c r="M3" s="1343"/>
      <c r="N3" s="1343"/>
      <c r="O3" s="1343"/>
      <c r="P3" s="1344"/>
      <c r="R3" s="10"/>
      <c r="S3" s="155">
        <v>38353</v>
      </c>
      <c r="T3" s="155">
        <f>'Start here'!A8</f>
        <v>0</v>
      </c>
      <c r="W3" s="10"/>
      <c r="X3" s="10"/>
      <c r="Y3" s="10"/>
      <c r="Z3" s="10"/>
      <c r="AA3" s="10"/>
      <c r="AB3" s="10"/>
      <c r="AC3" s="10"/>
      <c r="AD3" s="10"/>
      <c r="AE3" s="10"/>
      <c r="AF3" s="10"/>
      <c r="AG3" s="10"/>
    </row>
    <row r="4" spans="2:170" ht="65.25" customHeight="1" x14ac:dyDescent="0.2">
      <c r="B4" s="756" t="s">
        <v>721</v>
      </c>
      <c r="C4" s="757"/>
      <c r="D4" s="757"/>
      <c r="E4" s="757"/>
      <c r="F4" s="757"/>
      <c r="G4" s="757"/>
      <c r="H4" s="757"/>
      <c r="I4" s="757"/>
      <c r="J4" s="757"/>
      <c r="K4" s="757"/>
      <c r="L4" s="757"/>
      <c r="M4" s="757"/>
      <c r="N4" s="757"/>
      <c r="O4" s="757"/>
      <c r="P4" s="758"/>
      <c r="R4" s="10"/>
      <c r="S4" s="256" t="str">
        <f>IF(T3&gt;=S3,"Go to PPD Worksheet","")</f>
        <v/>
      </c>
      <c r="T4" s="50" t="str">
        <f>IF(T3&lt;S3,"Go to PPD Worksheet","")</f>
        <v>Go to PPD Worksheet</v>
      </c>
      <c r="U4" s="10"/>
      <c r="V4" s="10"/>
      <c r="W4" s="10"/>
      <c r="X4" s="10"/>
      <c r="AC4" s="10"/>
      <c r="AD4" s="10"/>
      <c r="AE4" s="10"/>
      <c r="AF4" s="10"/>
      <c r="AG4" s="10"/>
    </row>
    <row r="5" spans="2:170" ht="38.25" customHeight="1" x14ac:dyDescent="0.2">
      <c r="B5" s="529"/>
      <c r="C5" s="1362" t="str">
        <f>IF('Start here'!A8="","Enter date of injury on 'Start here' worksheet.","Date of injury:")</f>
        <v>Enter date of injury on 'Start here' worksheet.</v>
      </c>
      <c r="D5" s="1363"/>
      <c r="E5" s="1363"/>
      <c r="F5" s="1364" t="str">
        <f>IF('Start here'!A8="","",'Start here'!A8)</f>
        <v/>
      </c>
      <c r="G5" s="1365"/>
      <c r="H5" s="1365"/>
      <c r="I5" s="944"/>
      <c r="J5" s="945"/>
      <c r="K5" s="945"/>
      <c r="L5" s="945"/>
      <c r="M5" s="945"/>
      <c r="N5" s="946"/>
      <c r="O5" s="944"/>
      <c r="P5" s="945"/>
      <c r="R5" s="10"/>
      <c r="S5" s="10"/>
      <c r="T5" s="101"/>
      <c r="U5" s="10"/>
      <c r="V5" s="10"/>
      <c r="W5" s="10"/>
      <c r="X5" s="10"/>
      <c r="AC5" s="10"/>
      <c r="AD5" s="10"/>
      <c r="AE5" s="10"/>
      <c r="AF5" s="10"/>
      <c r="AG5" s="10"/>
    </row>
    <row r="6" spans="2:170" ht="36.75" customHeight="1" x14ac:dyDescent="0.2">
      <c r="B6" s="396"/>
      <c r="C6" s="947" t="s">
        <v>26</v>
      </c>
      <c r="D6" s="947"/>
      <c r="E6" s="947"/>
      <c r="F6" s="947"/>
      <c r="G6" s="947"/>
      <c r="H6" s="947"/>
      <c r="I6" s="947" t="s">
        <v>495</v>
      </c>
      <c r="J6" s="947"/>
      <c r="K6" s="947"/>
      <c r="L6" s="947"/>
      <c r="M6" s="947"/>
      <c r="N6" s="947"/>
      <c r="O6" s="1361"/>
      <c r="P6" s="1361"/>
      <c r="R6" s="10"/>
      <c r="S6" s="10"/>
      <c r="T6" s="10"/>
      <c r="U6" s="10"/>
      <c r="V6" s="10"/>
      <c r="W6" s="10"/>
      <c r="X6" s="10"/>
      <c r="Y6" s="10"/>
      <c r="Z6" s="10"/>
      <c r="AA6" s="10"/>
      <c r="AC6" s="10"/>
      <c r="AD6" s="10"/>
      <c r="AE6" s="10"/>
      <c r="AF6" s="10"/>
      <c r="AG6" s="10"/>
    </row>
    <row r="7" spans="2:170" ht="18" customHeight="1" x14ac:dyDescent="0.2">
      <c r="B7" s="180"/>
      <c r="C7" s="912" t="s">
        <v>28</v>
      </c>
      <c r="D7" s="912"/>
      <c r="E7" s="912"/>
      <c r="F7" s="912" t="s">
        <v>29</v>
      </c>
      <c r="G7" s="912"/>
      <c r="H7" s="912"/>
      <c r="I7" s="912" t="s">
        <v>28</v>
      </c>
      <c r="J7" s="912"/>
      <c r="K7" s="912"/>
      <c r="L7" s="912" t="s">
        <v>29</v>
      </c>
      <c r="M7" s="912"/>
      <c r="N7" s="912"/>
      <c r="O7" s="809" t="str">
        <f>IF(U10="ERROR",V10,IF(U11="ERROR",V11,IF(U12="ERROR",V12,IF(U13="ERROR",V13,IF(AND(T10=0,T12=6),V9,IF(AND(T11=0,T13=6),V9,""))))))</f>
        <v/>
      </c>
      <c r="P7" s="811"/>
      <c r="R7" s="10"/>
      <c r="S7" s="10"/>
      <c r="T7" s="10"/>
      <c r="U7" s="10"/>
      <c r="V7" s="10"/>
      <c r="W7" s="10"/>
      <c r="X7" s="10"/>
      <c r="Y7" s="10"/>
      <c r="Z7" s="10"/>
      <c r="AA7" s="10"/>
      <c r="AB7" s="10"/>
      <c r="AC7" s="10"/>
      <c r="AD7" s="10"/>
      <c r="AE7" s="10"/>
      <c r="AF7" s="10"/>
      <c r="AG7" s="10"/>
    </row>
    <row r="8" spans="2:170" ht="18" customHeight="1" x14ac:dyDescent="0.2">
      <c r="B8" s="318" t="s">
        <v>30</v>
      </c>
      <c r="C8" s="1222"/>
      <c r="D8" s="1238"/>
      <c r="E8" s="1223"/>
      <c r="F8" s="1222"/>
      <c r="G8" s="1238"/>
      <c r="H8" s="1223"/>
      <c r="I8" s="1222"/>
      <c r="J8" s="1238"/>
      <c r="K8" s="1223"/>
      <c r="L8" s="1222"/>
      <c r="M8" s="1238"/>
      <c r="N8" s="1223"/>
      <c r="O8" s="812"/>
      <c r="P8" s="814"/>
      <c r="R8" s="10"/>
      <c r="S8" s="10"/>
      <c r="T8" s="10"/>
      <c r="U8" s="10"/>
      <c r="V8" s="10"/>
      <c r="W8" s="10"/>
      <c r="X8" s="10"/>
      <c r="Y8" s="10"/>
      <c r="Z8" s="10"/>
      <c r="AA8" s="10"/>
      <c r="AB8" s="10"/>
      <c r="AC8" s="10"/>
      <c r="AD8" s="10"/>
      <c r="AE8" s="10"/>
      <c r="AF8" s="10"/>
      <c r="AG8" s="10"/>
    </row>
    <row r="9" spans="2:170" ht="18" customHeight="1" x14ac:dyDescent="0.2">
      <c r="B9" s="397">
        <v>1000</v>
      </c>
      <c r="C9" s="1222"/>
      <c r="D9" s="1238"/>
      <c r="E9" s="1223"/>
      <c r="F9" s="1222"/>
      <c r="G9" s="1238"/>
      <c r="H9" s="1223"/>
      <c r="I9" s="1222"/>
      <c r="J9" s="1238"/>
      <c r="K9" s="1223"/>
      <c r="L9" s="1222"/>
      <c r="M9" s="1238"/>
      <c r="N9" s="1223"/>
      <c r="O9" s="812"/>
      <c r="P9" s="814"/>
      <c r="R9" s="10"/>
      <c r="S9" s="947" t="s">
        <v>2300</v>
      </c>
      <c r="T9" s="947"/>
      <c r="U9" s="146"/>
      <c r="V9" s="742" t="s">
        <v>2305</v>
      </c>
      <c r="W9" s="743"/>
      <c r="X9" s="743"/>
      <c r="Y9" s="743"/>
      <c r="Z9" s="743"/>
      <c r="AA9" s="744"/>
      <c r="AB9" s="10"/>
      <c r="AC9" s="10"/>
      <c r="AD9" s="10"/>
      <c r="AE9" s="10"/>
      <c r="AF9" s="10"/>
      <c r="AG9" s="10"/>
    </row>
    <row r="10" spans="2:170" ht="18" customHeight="1" x14ac:dyDescent="0.2">
      <c r="B10" s="397">
        <v>2000</v>
      </c>
      <c r="C10" s="1222"/>
      <c r="D10" s="1238"/>
      <c r="E10" s="1223"/>
      <c r="F10" s="1222"/>
      <c r="G10" s="1238"/>
      <c r="H10" s="1223"/>
      <c r="I10" s="1222"/>
      <c r="J10" s="1238"/>
      <c r="K10" s="1223"/>
      <c r="L10" s="1222"/>
      <c r="M10" s="1238"/>
      <c r="N10" s="1223"/>
      <c r="O10" s="812"/>
      <c r="P10" s="814"/>
      <c r="R10" s="10"/>
      <c r="S10" s="146" t="s">
        <v>2301</v>
      </c>
      <c r="T10" s="20">
        <f>COUNTIF(C8:C13,"")</f>
        <v>6</v>
      </c>
      <c r="U10" s="18" t="str">
        <f>IF(AND(T10&gt;0,T10&lt;6),"ERROR","OK")</f>
        <v>OK</v>
      </c>
      <c r="V10" s="50" t="s">
        <v>1301</v>
      </c>
      <c r="W10" s="50"/>
      <c r="X10" s="50"/>
      <c r="Y10" s="50"/>
      <c r="Z10" s="50"/>
      <c r="AA10" s="50"/>
      <c r="AB10" s="10"/>
      <c r="AC10" s="10"/>
      <c r="AD10" s="10"/>
      <c r="AE10" s="10"/>
      <c r="AF10" s="10"/>
      <c r="AG10" s="10"/>
    </row>
    <row r="11" spans="2:170" ht="18" customHeight="1" x14ac:dyDescent="0.2">
      <c r="B11" s="397">
        <v>3000</v>
      </c>
      <c r="C11" s="1222"/>
      <c r="D11" s="1238"/>
      <c r="E11" s="1223"/>
      <c r="F11" s="1222"/>
      <c r="G11" s="1238"/>
      <c r="H11" s="1223"/>
      <c r="I11" s="1222"/>
      <c r="J11" s="1238"/>
      <c r="K11" s="1223"/>
      <c r="L11" s="1222"/>
      <c r="M11" s="1238"/>
      <c r="N11" s="1223"/>
      <c r="O11" s="812"/>
      <c r="P11" s="814"/>
      <c r="R11" s="10"/>
      <c r="S11" s="146" t="s">
        <v>2302</v>
      </c>
      <c r="T11" s="18">
        <f>COUNTIF(F8:F13,"")</f>
        <v>6</v>
      </c>
      <c r="U11" s="18" t="str">
        <f>IF(AND(T11&gt;0,T11&lt;6),"ERROR","OK")</f>
        <v>OK</v>
      </c>
      <c r="V11" s="50" t="s">
        <v>1503</v>
      </c>
      <c r="W11" s="50"/>
      <c r="X11" s="50"/>
      <c r="Y11" s="50"/>
      <c r="Z11" s="50"/>
      <c r="AA11" s="50"/>
      <c r="AB11" s="10"/>
      <c r="AC11" s="10"/>
      <c r="AD11" s="10"/>
      <c r="AE11" s="10"/>
      <c r="AF11" s="10"/>
      <c r="AG11" s="10"/>
    </row>
    <row r="12" spans="2:170" ht="18" customHeight="1" x14ac:dyDescent="0.2">
      <c r="B12" s="397">
        <v>4000</v>
      </c>
      <c r="C12" s="1222"/>
      <c r="D12" s="1238"/>
      <c r="E12" s="1223"/>
      <c r="F12" s="1222"/>
      <c r="G12" s="1238"/>
      <c r="H12" s="1223"/>
      <c r="I12" s="1222"/>
      <c r="J12" s="1238"/>
      <c r="K12" s="1223"/>
      <c r="L12" s="1222"/>
      <c r="M12" s="1238"/>
      <c r="N12" s="1223"/>
      <c r="O12" s="812"/>
      <c r="P12" s="814"/>
      <c r="R12" s="10"/>
      <c r="S12" s="146" t="s">
        <v>2303</v>
      </c>
      <c r="T12" s="18">
        <f>COUNTIF(I8:I13,"")</f>
        <v>6</v>
      </c>
      <c r="U12" s="18" t="str">
        <f>IF(AND(T12&gt;0,T12&lt;6),"ERROR","OK")</f>
        <v>OK</v>
      </c>
      <c r="V12" s="50" t="s">
        <v>1733</v>
      </c>
      <c r="W12" s="50"/>
      <c r="X12" s="50"/>
      <c r="Y12" s="50"/>
      <c r="Z12" s="50"/>
      <c r="AA12" s="50"/>
      <c r="AB12" s="10"/>
      <c r="AC12" s="10"/>
      <c r="AD12" s="10"/>
      <c r="AE12" s="10"/>
      <c r="AF12" s="10"/>
      <c r="AG12" s="10"/>
    </row>
    <row r="13" spans="2:170" ht="18" customHeight="1" x14ac:dyDescent="0.2">
      <c r="B13" s="397">
        <v>6000</v>
      </c>
      <c r="C13" s="1222"/>
      <c r="D13" s="1238"/>
      <c r="E13" s="1223"/>
      <c r="F13" s="1222"/>
      <c r="G13" s="1238"/>
      <c r="H13" s="1223"/>
      <c r="I13" s="1222"/>
      <c r="J13" s="1238"/>
      <c r="K13" s="1223"/>
      <c r="L13" s="1222"/>
      <c r="M13" s="1238"/>
      <c r="N13" s="1223"/>
      <c r="O13" s="815"/>
      <c r="P13" s="817"/>
      <c r="R13" s="10"/>
      <c r="S13" s="146" t="s">
        <v>2304</v>
      </c>
      <c r="T13" s="18">
        <f>COUNTIF(L8:L13,"")</f>
        <v>6</v>
      </c>
      <c r="U13" s="18" t="str">
        <f>IF(AND(T13&gt;0,T13&lt;6),"ERROR","OK")</f>
        <v>OK</v>
      </c>
      <c r="V13" s="50" t="s">
        <v>61</v>
      </c>
      <c r="W13" s="50"/>
      <c r="X13" s="50"/>
      <c r="Y13" s="50"/>
      <c r="Z13" s="50"/>
      <c r="AA13" s="50"/>
      <c r="AB13" s="10"/>
      <c r="AC13" s="10"/>
      <c r="AD13" s="10"/>
      <c r="AE13" s="10"/>
      <c r="AF13" s="10"/>
      <c r="AG13" s="10"/>
    </row>
    <row r="14" spans="2:170" ht="18" customHeight="1" x14ac:dyDescent="0.2">
      <c r="B14" s="318" t="s">
        <v>62</v>
      </c>
      <c r="C14" s="1348">
        <f>SUM(C8:C13)</f>
        <v>0</v>
      </c>
      <c r="D14" s="1349"/>
      <c r="E14" s="1350"/>
      <c r="F14" s="1348">
        <f>SUM(F8:F13)</f>
        <v>0</v>
      </c>
      <c r="G14" s="1349"/>
      <c r="H14" s="1350"/>
      <c r="I14" s="1348">
        <f>SUM(I8:I13)</f>
        <v>0</v>
      </c>
      <c r="J14" s="1349"/>
      <c r="K14" s="1350"/>
      <c r="L14" s="1348">
        <f>SUM(L8:L13)</f>
        <v>0</v>
      </c>
      <c r="M14" s="1349"/>
      <c r="N14" s="1350"/>
      <c r="O14" s="684"/>
      <c r="P14" s="685"/>
      <c r="R14" s="10"/>
      <c r="S14" s="10"/>
      <c r="T14" s="10"/>
      <c r="U14" s="10"/>
      <c r="V14" s="10"/>
      <c r="W14" s="10"/>
      <c r="X14" s="10"/>
      <c r="Y14" s="10"/>
      <c r="Z14" s="10"/>
      <c r="AA14" s="10"/>
      <c r="AB14" s="10"/>
      <c r="AC14" s="10"/>
      <c r="AD14" s="10"/>
      <c r="AE14" s="10"/>
      <c r="AF14" s="10"/>
      <c r="AG14" s="10"/>
    </row>
    <row r="15" spans="2:170" ht="18" customHeight="1" x14ac:dyDescent="0.2">
      <c r="B15" s="318" t="s">
        <v>1147</v>
      </c>
      <c r="C15" s="1351">
        <f>IF(O7&lt;&gt;"",0,'Hearing-Table'!B3)</f>
        <v>0</v>
      </c>
      <c r="D15" s="1351"/>
      <c r="E15" s="1351"/>
      <c r="F15" s="1351">
        <f>IF(O7&lt;&gt;"",0,'Hearing-Table'!C3)</f>
        <v>0</v>
      </c>
      <c r="G15" s="1351"/>
      <c r="H15" s="1351"/>
      <c r="I15" s="1351">
        <f>IF(O7&lt;&gt;"",0,'Hearing-Table'!B6)</f>
        <v>0</v>
      </c>
      <c r="J15" s="1351"/>
      <c r="K15" s="1351"/>
      <c r="L15" s="1351">
        <f>IF(O7&lt;&gt;"",0,'Hearing-Table'!C6)</f>
        <v>0</v>
      </c>
      <c r="M15" s="1351"/>
      <c r="N15" s="1351"/>
      <c r="O15" s="686"/>
      <c r="P15" s="687"/>
      <c r="R15" s="10"/>
      <c r="S15" s="10"/>
      <c r="AA15" s="10"/>
      <c r="AB15" s="10"/>
      <c r="AC15" s="10"/>
      <c r="AD15" s="10"/>
      <c r="AE15" s="10"/>
      <c r="AF15" s="10"/>
      <c r="AG15" s="10"/>
    </row>
    <row r="16" spans="2:170" ht="12" customHeight="1" x14ac:dyDescent="0.2">
      <c r="B16" s="697"/>
      <c r="C16" s="697"/>
      <c r="D16" s="697"/>
      <c r="E16" s="697"/>
      <c r="F16" s="697"/>
      <c r="G16" s="697"/>
      <c r="H16" s="697"/>
      <c r="I16" s="697"/>
      <c r="J16" s="697"/>
      <c r="K16" s="697"/>
      <c r="L16" s="697"/>
      <c r="M16" s="697"/>
      <c r="N16" s="697"/>
      <c r="O16" s="697"/>
      <c r="P16" s="697"/>
      <c r="R16" s="10"/>
      <c r="S16" s="10"/>
      <c r="AA16" s="10"/>
      <c r="AB16" s="10"/>
      <c r="AC16" s="10"/>
      <c r="AD16" s="10"/>
      <c r="AE16" s="10"/>
      <c r="AF16" s="10"/>
      <c r="AG16" s="10"/>
    </row>
    <row r="17" spans="2:33" ht="12" customHeight="1" x14ac:dyDescent="0.2">
      <c r="B17" s="57"/>
      <c r="C17" s="57"/>
      <c r="D17" s="57"/>
      <c r="E17" s="57"/>
      <c r="F17" s="57"/>
      <c r="G17" s="57"/>
      <c r="H17" s="57"/>
      <c r="I17" s="57"/>
      <c r="J17" s="57"/>
      <c r="K17" s="57"/>
      <c r="L17" s="57"/>
      <c r="M17" s="57"/>
      <c r="N17" s="57"/>
      <c r="O17" s="57"/>
      <c r="P17" s="57"/>
      <c r="R17" s="10"/>
      <c r="AF17" s="10"/>
      <c r="AG17" s="10"/>
    </row>
    <row r="18" spans="2:33" ht="27.75" customHeight="1" x14ac:dyDescent="0.2">
      <c r="B18" s="947" t="s">
        <v>1898</v>
      </c>
      <c r="C18" s="947"/>
      <c r="D18" s="947"/>
      <c r="E18" s="947"/>
      <c r="F18" s="1366"/>
      <c r="G18" s="1366"/>
      <c r="H18" s="1366"/>
      <c r="I18" s="1366"/>
      <c r="J18" s="1366"/>
      <c r="K18" s="1366"/>
      <c r="L18" s="1366"/>
      <c r="M18" s="1366"/>
      <c r="N18" s="1366"/>
      <c r="O18" s="1366"/>
      <c r="P18" s="1366"/>
      <c r="R18" s="10"/>
      <c r="S18" s="10"/>
      <c r="T18" s="10"/>
      <c r="U18" s="10"/>
      <c r="V18" s="10"/>
      <c r="W18" s="10"/>
      <c r="X18" s="10"/>
      <c r="Y18" s="10"/>
      <c r="Z18" s="10"/>
      <c r="AA18" s="10"/>
      <c r="AB18" s="10"/>
      <c r="AC18" s="10"/>
      <c r="AD18" s="10"/>
      <c r="AE18" s="10"/>
      <c r="AF18" s="10"/>
      <c r="AG18" s="10"/>
    </row>
    <row r="19" spans="2:33" ht="44.25" customHeight="1" x14ac:dyDescent="0.2">
      <c r="B19" s="372" t="s">
        <v>1381</v>
      </c>
      <c r="C19" s="319"/>
      <c r="D19" s="319"/>
      <c r="E19" s="319"/>
      <c r="F19" s="947" t="s">
        <v>1774</v>
      </c>
      <c r="G19" s="947"/>
      <c r="H19" s="947"/>
      <c r="I19" s="947"/>
      <c r="J19" s="910"/>
      <c r="K19" s="910"/>
      <c r="L19" s="910"/>
      <c r="M19" s="910"/>
      <c r="N19" s="910"/>
      <c r="O19" s="910"/>
      <c r="P19" s="910"/>
      <c r="R19" s="910" t="s">
        <v>2191</v>
      </c>
      <c r="S19" s="910"/>
      <c r="T19" s="10"/>
      <c r="U19" s="50" t="s">
        <v>1285</v>
      </c>
      <c r="V19" s="256" t="s">
        <v>2192</v>
      </c>
      <c r="W19" s="50" t="s">
        <v>1286</v>
      </c>
      <c r="X19" s="50" t="s">
        <v>1287</v>
      </c>
      <c r="Y19" s="10"/>
      <c r="Z19" s="10"/>
      <c r="AA19" s="10"/>
      <c r="AB19" s="10"/>
      <c r="AC19" s="10"/>
      <c r="AD19" s="10"/>
      <c r="AE19" s="10"/>
      <c r="AF19" s="10"/>
      <c r="AG19" s="10"/>
    </row>
    <row r="20" spans="2:33" ht="18" customHeight="1" x14ac:dyDescent="0.2">
      <c r="B20" s="256" t="s">
        <v>28</v>
      </c>
      <c r="C20" s="1338">
        <f>IF(F5&lt;S3,"DOI&lt;05",S20)</f>
        <v>0</v>
      </c>
      <c r="D20" s="1338"/>
      <c r="E20" s="1338"/>
      <c r="F20" s="18" t="s">
        <v>1754</v>
      </c>
      <c r="G20" s="1151">
        <v>0.19</v>
      </c>
      <c r="H20" s="1151"/>
      <c r="I20" s="19" t="s">
        <v>1756</v>
      </c>
      <c r="J20" s="1072">
        <f>IF(F5&lt;S3,"DOI&lt;05",IF(AND(C20*G20&gt;0,C20*G20&lt;0.01),0.01,ROUND(C20*G20,2)))</f>
        <v>0</v>
      </c>
      <c r="K20" s="1072"/>
      <c r="L20" s="20"/>
      <c r="M20" s="1352" t="s">
        <v>586</v>
      </c>
      <c r="N20" s="1353"/>
      <c r="O20" s="1066"/>
      <c r="P20" s="899" t="s">
        <v>589</v>
      </c>
      <c r="R20" s="50" t="s">
        <v>280</v>
      </c>
      <c r="S20" s="581">
        <f>IF(I15-C15&lt;0,0,I15-C15)</f>
        <v>0</v>
      </c>
      <c r="T20" s="10"/>
      <c r="U20" s="544">
        <f>MAX(J20,J21)</f>
        <v>0</v>
      </c>
      <c r="V20" s="544">
        <f>IF(AND(U20&gt;0,U20&lt;0.01),0.01,U20)</f>
        <v>0</v>
      </c>
      <c r="W20" s="562">
        <f>V20+V21*(1-V20)</f>
        <v>0</v>
      </c>
      <c r="X20" s="562">
        <f>ROUND(W20,2)</f>
        <v>0</v>
      </c>
      <c r="Y20" s="10"/>
      <c r="Z20" s="10"/>
      <c r="AA20" s="10"/>
      <c r="AB20" s="10"/>
      <c r="AC20" s="10"/>
      <c r="AD20" s="10"/>
      <c r="AE20" s="10"/>
      <c r="AF20" s="10"/>
      <c r="AG20" s="10"/>
    </row>
    <row r="21" spans="2:33" ht="18" customHeight="1" x14ac:dyDescent="0.2">
      <c r="B21" s="274" t="s">
        <v>29</v>
      </c>
      <c r="C21" s="1345">
        <f>IF(F5&lt;S3,"DOI&lt;05",S21)</f>
        <v>0</v>
      </c>
      <c r="D21" s="1346"/>
      <c r="E21" s="1347"/>
      <c r="F21" s="18" t="s">
        <v>1754</v>
      </c>
      <c r="G21" s="1151">
        <v>0.19</v>
      </c>
      <c r="H21" s="1151"/>
      <c r="I21" s="215" t="s">
        <v>1756</v>
      </c>
      <c r="J21" s="738">
        <f>IF(F5&lt;S3,"DOI&lt;05",IF(AND(C21*G21&gt;0,C21*G21&lt;0.01),0.01,ROUND(C21*G21,2)))</f>
        <v>0</v>
      </c>
      <c r="K21" s="740"/>
      <c r="L21" s="18"/>
      <c r="M21" s="1354"/>
      <c r="N21" s="1355"/>
      <c r="O21" s="912"/>
      <c r="P21" s="947"/>
      <c r="R21" s="50" t="s">
        <v>284</v>
      </c>
      <c r="S21" s="581">
        <f>IF(L15-F15&lt;0,0,L15-F15)</f>
        <v>0</v>
      </c>
      <c r="T21" s="10"/>
      <c r="U21" s="544">
        <f>MIN(J20,J21)</f>
        <v>0</v>
      </c>
      <c r="V21" s="544">
        <f>IF(AND(U21&gt;0,U21&lt;0.01),0.01,U21)</f>
        <v>0</v>
      </c>
      <c r="X21" s="10"/>
      <c r="Y21" s="10"/>
      <c r="Z21" s="10"/>
      <c r="AA21" s="10"/>
      <c r="AB21" s="10"/>
      <c r="AC21" s="10"/>
      <c r="AD21" s="10"/>
      <c r="AE21" s="10"/>
      <c r="AF21" s="10"/>
      <c r="AG21" s="10"/>
    </row>
    <row r="22" spans="2:33" ht="18" customHeight="1" x14ac:dyDescent="0.2">
      <c r="B22" s="1358" t="str">
        <f>IF(AND(C20&gt;0,C21&gt;0),"Monaural total (combined):","Monaural total:")</f>
        <v>Monaural total:</v>
      </c>
      <c r="C22" s="1359"/>
      <c r="D22" s="1359"/>
      <c r="E22" s="1359"/>
      <c r="F22" s="1359"/>
      <c r="G22" s="1359"/>
      <c r="H22" s="1360"/>
      <c r="I22" s="215" t="s">
        <v>1756</v>
      </c>
      <c r="J22" s="1151">
        <f>IF(F5&lt;S3,"DOI&lt;05",IF(OR(J20=0,J21=0),J20+J21,X20))</f>
        <v>0</v>
      </c>
      <c r="K22" s="1151"/>
      <c r="L22" s="18" t="s">
        <v>1754</v>
      </c>
      <c r="M22" s="799">
        <f>SAWW!D6</f>
        <v>0</v>
      </c>
      <c r="N22" s="1356"/>
      <c r="O22" s="19" t="s">
        <v>590</v>
      </c>
      <c r="P22" s="276">
        <f>IF(F5&lt;S3,"DOI&lt;05",ROUND(J22*M22*100,2))</f>
        <v>0</v>
      </c>
      <c r="R22" s="10"/>
      <c r="S22" s="10"/>
      <c r="T22" s="10"/>
      <c r="U22" s="10"/>
      <c r="V22" s="10"/>
      <c r="W22" s="10"/>
      <c r="X22" s="10"/>
      <c r="Y22" s="10"/>
      <c r="Z22" s="10"/>
      <c r="AA22" s="10"/>
      <c r="AB22" s="10"/>
      <c r="AC22" s="10"/>
      <c r="AD22" s="10"/>
      <c r="AE22" s="10"/>
      <c r="AF22" s="10"/>
      <c r="AG22" s="10"/>
    </row>
    <row r="23" spans="2:33" ht="14.25" customHeight="1" x14ac:dyDescent="0.2">
      <c r="B23" s="398"/>
      <c r="C23" s="399"/>
      <c r="D23" s="399"/>
      <c r="E23" s="399"/>
      <c r="F23" s="399"/>
      <c r="G23" s="399"/>
      <c r="H23" s="399"/>
      <c r="I23" s="399"/>
      <c r="J23" s="399"/>
      <c r="K23" s="399"/>
      <c r="L23" s="399"/>
      <c r="M23" s="399"/>
      <c r="N23" s="399"/>
      <c r="O23" s="399"/>
      <c r="P23" s="400"/>
      <c r="R23" s="10"/>
      <c r="S23" s="96"/>
      <c r="T23" s="10"/>
      <c r="U23" s="10"/>
      <c r="V23" s="10"/>
      <c r="W23" s="10"/>
      <c r="X23" s="10"/>
      <c r="Y23" s="10"/>
      <c r="Z23" s="10"/>
      <c r="AA23" s="10"/>
      <c r="AB23" s="10"/>
      <c r="AC23" s="10"/>
      <c r="AD23" s="10"/>
      <c r="AE23" s="10"/>
      <c r="AF23" s="10"/>
      <c r="AG23" s="10"/>
    </row>
    <row r="24" spans="2:33" ht="21" customHeight="1" x14ac:dyDescent="0.2">
      <c r="B24" s="949" t="s">
        <v>470</v>
      </c>
      <c r="C24" s="949"/>
      <c r="D24" s="949"/>
      <c r="E24" s="949"/>
      <c r="F24" s="949"/>
      <c r="G24" s="949"/>
      <c r="H24" s="949"/>
      <c r="I24" s="949"/>
      <c r="J24" s="949"/>
      <c r="K24" s="949"/>
      <c r="L24" s="949"/>
      <c r="M24" s="949"/>
      <c r="N24" s="949"/>
      <c r="O24" s="949"/>
      <c r="P24" s="949"/>
      <c r="R24" s="10"/>
      <c r="S24" s="211">
        <f>MAX(I29,J22)</f>
        <v>0</v>
      </c>
      <c r="T24" s="10"/>
      <c r="U24" s="10"/>
      <c r="V24" s="10"/>
      <c r="W24" s="10"/>
      <c r="X24" s="10"/>
      <c r="Y24" s="10"/>
      <c r="Z24" s="10"/>
      <c r="AA24" s="10"/>
      <c r="AB24" s="10"/>
      <c r="AC24" s="10"/>
      <c r="AD24" s="10"/>
      <c r="AE24" s="10"/>
      <c r="AF24" s="10"/>
      <c r="AG24" s="10"/>
    </row>
    <row r="25" spans="2:33" ht="18" customHeight="1" x14ac:dyDescent="0.2">
      <c r="B25" s="1337" t="s">
        <v>464</v>
      </c>
      <c r="C25" s="1337"/>
      <c r="D25" s="1337"/>
      <c r="E25" s="1337"/>
      <c r="F25" s="1337"/>
      <c r="G25" s="1337"/>
      <c r="H25" s="1337"/>
      <c r="I25" s="1338">
        <f>IF(F5&lt;S3,"DOI&lt;05",MIN(S20,S21))</f>
        <v>0</v>
      </c>
      <c r="J25" s="1338"/>
      <c r="K25" s="1338"/>
      <c r="L25" s="19" t="s">
        <v>1754</v>
      </c>
      <c r="M25" s="1339">
        <v>7</v>
      </c>
      <c r="N25" s="1339"/>
      <c r="O25" s="19" t="s">
        <v>1756</v>
      </c>
      <c r="P25" s="190">
        <f>IF(F5&lt;S3,"DOI&lt;05",IF(I25=0,0,I25*M25))</f>
        <v>0</v>
      </c>
      <c r="R25" s="50">
        <f>IF(AND(S25=1,C20&gt;0),"Right",IF(AND(S25=1,C21&gt;0),"Left",0))</f>
        <v>0</v>
      </c>
      <c r="S25" s="588">
        <f>IF(AND(C20=0,C21=0),0,IF(OR(C20=0,C21=0),1,IF(AND(C20&gt;0,C21&gt;0,J22&gt;I29),2,3)))</f>
        <v>0</v>
      </c>
      <c r="T25" s="10"/>
      <c r="U25" s="10"/>
      <c r="V25" s="10"/>
      <c r="W25" s="10"/>
      <c r="X25" s="10"/>
      <c r="Y25" s="10"/>
      <c r="Z25" s="10"/>
      <c r="AA25" s="10"/>
      <c r="AB25" s="10"/>
      <c r="AC25" s="10"/>
      <c r="AD25" s="10"/>
      <c r="AE25" s="10"/>
      <c r="AF25" s="10"/>
      <c r="AG25" s="10"/>
    </row>
    <row r="26" spans="2:33" ht="18" customHeight="1" x14ac:dyDescent="0.2">
      <c r="B26" s="761" t="s">
        <v>465</v>
      </c>
      <c r="C26" s="761"/>
      <c r="D26" s="761"/>
      <c r="E26" s="761"/>
      <c r="F26" s="761"/>
      <c r="G26" s="761"/>
      <c r="H26" s="761"/>
      <c r="I26" s="1338">
        <f>IF(F5&lt;S3,"DOI&lt;05",IF(I25=0,0,MAX(S20,S21)))</f>
        <v>0</v>
      </c>
      <c r="J26" s="1338"/>
      <c r="K26" s="1338"/>
      <c r="L26" s="910"/>
      <c r="M26" s="910"/>
      <c r="N26" s="910"/>
      <c r="O26" s="19" t="s">
        <v>1756</v>
      </c>
      <c r="P26" s="190">
        <f>IF(F5&lt;S3,"DOI&lt;05",P25+I26)</f>
        <v>0</v>
      </c>
      <c r="R26" s="10"/>
      <c r="S26" s="791" t="s">
        <v>587</v>
      </c>
      <c r="T26" s="791"/>
      <c r="U26" s="791"/>
      <c r="V26" s="791"/>
      <c r="W26" s="791"/>
      <c r="X26" s="10"/>
      <c r="Y26" s="10"/>
      <c r="Z26" s="10"/>
      <c r="AA26" s="10"/>
      <c r="AB26" s="10"/>
      <c r="AC26" s="10"/>
      <c r="AD26" s="10"/>
      <c r="AE26" s="10"/>
      <c r="AF26" s="10"/>
      <c r="AG26" s="10"/>
    </row>
    <row r="27" spans="2:33" ht="18" customHeight="1" x14ac:dyDescent="0.2">
      <c r="B27" s="761" t="s">
        <v>466</v>
      </c>
      <c r="C27" s="761"/>
      <c r="D27" s="761"/>
      <c r="E27" s="761"/>
      <c r="F27" s="761"/>
      <c r="G27" s="761"/>
      <c r="H27" s="761"/>
      <c r="I27" s="1338">
        <f>P26</f>
        <v>0</v>
      </c>
      <c r="J27" s="1338"/>
      <c r="K27" s="1338"/>
      <c r="L27" s="19" t="s">
        <v>468</v>
      </c>
      <c r="M27" s="1339">
        <v>8</v>
      </c>
      <c r="N27" s="1339"/>
      <c r="O27" s="19" t="s">
        <v>1756</v>
      </c>
      <c r="P27" s="190">
        <f>IF(F5&lt;S3,"DOI&lt;05",IF(I25=0,0,P26/M27))</f>
        <v>0</v>
      </c>
      <c r="R27" s="10"/>
      <c r="S27" s="791" t="s">
        <v>588</v>
      </c>
      <c r="T27" s="791"/>
      <c r="U27" s="791"/>
      <c r="V27" s="791"/>
      <c r="W27" s="791"/>
      <c r="X27" s="10"/>
      <c r="Y27" s="10"/>
      <c r="Z27" s="10"/>
      <c r="AA27" s="10"/>
      <c r="AB27" s="10"/>
      <c r="AC27" s="10"/>
      <c r="AD27" s="10"/>
      <c r="AE27" s="10"/>
      <c r="AF27" s="10"/>
      <c r="AG27" s="10"/>
    </row>
    <row r="28" spans="2:33" ht="28.5" customHeight="1" x14ac:dyDescent="0.2">
      <c r="B28" s="761" t="s">
        <v>467</v>
      </c>
      <c r="C28" s="761"/>
      <c r="D28" s="761"/>
      <c r="E28" s="761"/>
      <c r="F28" s="761"/>
      <c r="G28" s="761"/>
      <c r="H28" s="761"/>
      <c r="I28" s="1338">
        <f>P27</f>
        <v>0</v>
      </c>
      <c r="J28" s="1338"/>
      <c r="K28" s="1338"/>
      <c r="L28" s="19" t="s">
        <v>1754</v>
      </c>
      <c r="M28" s="1151">
        <v>0.6</v>
      </c>
      <c r="N28" s="1151"/>
      <c r="O28" s="19" t="s">
        <v>1756</v>
      </c>
      <c r="P28" s="21">
        <f>IF(F5&lt;S3,"DOI&lt;05",IF(I25=0,0,IF(AND(I28*M28&gt;0,I28*M28&lt;0.01),0.01,ROUND(I28*M28,2))))</f>
        <v>0</v>
      </c>
      <c r="R28" s="10"/>
      <c r="S28" s="381">
        <f>IF(P22="DOI&lt;05",0,IF(P22=0,0,IF(P22&gt;P29,1,2)))</f>
        <v>0</v>
      </c>
      <c r="U28" s="10"/>
      <c r="V28" s="10"/>
      <c r="W28" s="10"/>
      <c r="X28" s="10"/>
      <c r="Y28" s="10"/>
      <c r="Z28" s="10"/>
      <c r="AA28" s="10"/>
      <c r="AB28" s="10"/>
      <c r="AC28" s="10"/>
      <c r="AD28" s="10"/>
      <c r="AE28" s="10"/>
      <c r="AF28" s="10"/>
      <c r="AG28" s="10"/>
    </row>
    <row r="29" spans="2:33" ht="27" customHeight="1" x14ac:dyDescent="0.2">
      <c r="B29" s="761" t="s">
        <v>1072</v>
      </c>
      <c r="C29" s="761"/>
      <c r="D29" s="761"/>
      <c r="E29" s="761"/>
      <c r="F29" s="761"/>
      <c r="G29" s="761"/>
      <c r="H29" s="761"/>
      <c r="I29" s="914">
        <f>P28</f>
        <v>0</v>
      </c>
      <c r="J29" s="914"/>
      <c r="K29" s="914"/>
      <c r="L29" s="19" t="s">
        <v>1754</v>
      </c>
      <c r="M29" s="798">
        <f>SAWW!D6</f>
        <v>0</v>
      </c>
      <c r="N29" s="798"/>
      <c r="O29" s="19" t="s">
        <v>469</v>
      </c>
      <c r="P29" s="276">
        <f>IF(F5&lt;S3,"DOI&lt;05",ROUND(I29*M29*100,2))</f>
        <v>0</v>
      </c>
      <c r="R29" s="10"/>
      <c r="S29" s="10"/>
      <c r="U29" s="10"/>
      <c r="V29" s="10"/>
      <c r="W29" s="10"/>
      <c r="X29" s="10"/>
      <c r="Y29" s="10"/>
      <c r="Z29" s="10"/>
      <c r="AA29" s="10"/>
      <c r="AB29" s="10"/>
      <c r="AC29" s="10"/>
      <c r="AD29" s="10"/>
      <c r="AE29" s="10"/>
      <c r="AF29" s="10"/>
      <c r="AG29" s="10"/>
    </row>
    <row r="30" spans="2:33" ht="21.75" customHeight="1" x14ac:dyDescent="0.2">
      <c r="B30" s="1336" t="str">
        <f>IF(OR(F5&lt;S3,I25=0),"",IF(S28=1,S26,IF(S28=2,S27,"")))</f>
        <v/>
      </c>
      <c r="C30" s="1336"/>
      <c r="D30" s="1336"/>
      <c r="E30" s="1336"/>
      <c r="F30" s="1336"/>
      <c r="G30" s="1336"/>
      <c r="H30" s="1336"/>
      <c r="I30" s="1336"/>
      <c r="J30" s="1336"/>
      <c r="K30" s="1336"/>
      <c r="L30" s="1336"/>
      <c r="M30" s="1336"/>
      <c r="N30" s="1336"/>
      <c r="O30" s="1336"/>
      <c r="P30" s="276">
        <f>IF(F5&lt;S3,"DOI&lt;05",IF(I25=0,0,MAX(P22,P29)))</f>
        <v>0</v>
      </c>
      <c r="R30" s="10"/>
      <c r="S30" s="10"/>
      <c r="U30" s="10"/>
      <c r="V30" s="10"/>
      <c r="W30" s="10"/>
      <c r="X30" s="10"/>
      <c r="Y30" s="10"/>
      <c r="Z30" s="10"/>
      <c r="AA30" s="10"/>
      <c r="AB30" s="10"/>
      <c r="AC30" s="10"/>
      <c r="AD30" s="10"/>
      <c r="AE30" s="10"/>
      <c r="AF30" s="10"/>
      <c r="AG30" s="10"/>
    </row>
    <row r="31" spans="2:33" x14ac:dyDescent="0.2">
      <c r="C31" s="1"/>
      <c r="D31" s="1"/>
      <c r="E31" s="1"/>
      <c r="F31" s="1"/>
      <c r="G31" s="1"/>
      <c r="R31" s="10"/>
      <c r="S31" s="10"/>
      <c r="T31" s="10"/>
      <c r="U31" s="10"/>
      <c r="V31" s="10"/>
      <c r="W31" s="10"/>
      <c r="X31" s="10"/>
      <c r="Y31" s="10"/>
      <c r="Z31" s="10"/>
      <c r="AA31" s="10"/>
      <c r="AB31" s="10"/>
      <c r="AC31" s="10"/>
      <c r="AD31" s="10"/>
      <c r="AE31" s="10"/>
      <c r="AF31" s="10"/>
      <c r="AG31" s="10"/>
    </row>
    <row r="32" spans="2:33" ht="30" customHeight="1" x14ac:dyDescent="0.2">
      <c r="B32" s="947" t="s">
        <v>2103</v>
      </c>
      <c r="C32" s="947"/>
      <c r="D32" s="947"/>
      <c r="E32" s="947"/>
      <c r="F32" s="947"/>
      <c r="G32" s="947"/>
      <c r="H32" s="947"/>
      <c r="I32" s="947"/>
      <c r="J32" s="947"/>
      <c r="K32" s="947"/>
      <c r="L32" s="947"/>
      <c r="M32" s="947"/>
      <c r="N32" s="947"/>
      <c r="O32" s="947"/>
      <c r="P32" s="947"/>
      <c r="R32" s="10"/>
      <c r="S32" s="10"/>
      <c r="T32" s="10"/>
      <c r="U32" s="10"/>
      <c r="V32" s="10"/>
      <c r="W32" s="10"/>
      <c r="X32" s="10"/>
      <c r="Y32" s="10"/>
      <c r="Z32" s="10"/>
      <c r="AA32" s="10"/>
      <c r="AB32" s="10"/>
      <c r="AC32" s="10"/>
      <c r="AD32" s="10"/>
      <c r="AE32" s="10"/>
      <c r="AF32" s="10"/>
      <c r="AG32" s="10"/>
    </row>
    <row r="33" spans="2:33" ht="26.25" customHeight="1" x14ac:dyDescent="0.2">
      <c r="B33" s="949" t="s">
        <v>1381</v>
      </c>
      <c r="C33" s="949"/>
      <c r="D33" s="949"/>
      <c r="E33" s="949"/>
      <c r="F33" s="949"/>
      <c r="G33" s="947" t="s">
        <v>102</v>
      </c>
      <c r="H33" s="947"/>
      <c r="I33" s="170"/>
      <c r="J33" s="863" t="s">
        <v>355</v>
      </c>
      <c r="K33" s="863"/>
      <c r="L33" s="401"/>
      <c r="M33" s="1105" t="s">
        <v>1850</v>
      </c>
      <c r="N33" s="1105"/>
      <c r="O33" s="315"/>
      <c r="P33" s="315" t="s">
        <v>1173</v>
      </c>
      <c r="R33" s="10"/>
      <c r="S33" s="10"/>
      <c r="T33" s="10"/>
      <c r="U33" s="10"/>
      <c r="V33" s="10"/>
      <c r="W33" s="10"/>
      <c r="X33" s="10"/>
      <c r="Y33" s="10"/>
      <c r="Z33" s="10"/>
      <c r="AA33" s="10"/>
      <c r="AB33" s="10"/>
      <c r="AC33" s="10"/>
      <c r="AD33" s="10"/>
      <c r="AE33" s="10"/>
      <c r="AF33" s="10"/>
      <c r="AG33" s="10"/>
    </row>
    <row r="34" spans="2:33" ht="18" customHeight="1" x14ac:dyDescent="0.2">
      <c r="B34" s="256" t="s">
        <v>28</v>
      </c>
      <c r="C34" s="1357">
        <f>IF(F5="",0,IF(F5&gt;=S3,"DOI&gt;04",IF(AND(S20&gt;0,S20&lt;0.01),0.01,ROUND(S20,2))))</f>
        <v>0</v>
      </c>
      <c r="D34" s="1357"/>
      <c r="E34" s="1357"/>
      <c r="F34" s="18" t="s">
        <v>1754</v>
      </c>
      <c r="G34" s="731">
        <v>60</v>
      </c>
      <c r="H34" s="731"/>
      <c r="I34" s="19" t="s">
        <v>1756</v>
      </c>
      <c r="J34" s="845">
        <f>IF(F5="",0,IF(F5&gt;=S3,"DOI&gt;04",ROUND(C34*G34,2)))</f>
        <v>0</v>
      </c>
      <c r="K34" s="845"/>
      <c r="L34" s="18" t="s">
        <v>1754</v>
      </c>
      <c r="M34" s="1340" t="e">
        <f>'Dol Per Deg'!$H$11</f>
        <v>#N/A</v>
      </c>
      <c r="N34" s="1340"/>
      <c r="O34" s="19" t="s">
        <v>1756</v>
      </c>
      <c r="P34" s="156">
        <f>IF(F5="",0,IF(F5&gt;=S3,"DOI&gt;04",ROUND(J34*M34,2)))</f>
        <v>0</v>
      </c>
      <c r="R34" s="10"/>
      <c r="S34" s="10"/>
      <c r="T34" s="10"/>
      <c r="U34" s="96"/>
      <c r="V34" s="96"/>
      <c r="W34" s="142"/>
      <c r="X34" s="10"/>
      <c r="Y34" s="10"/>
      <c r="Z34" s="10"/>
      <c r="AA34" s="10"/>
      <c r="AB34" s="10"/>
      <c r="AC34" s="10"/>
      <c r="AD34" s="10"/>
      <c r="AE34" s="10"/>
      <c r="AF34" s="10"/>
      <c r="AG34" s="10"/>
    </row>
    <row r="35" spans="2:33" ht="18" customHeight="1" x14ac:dyDescent="0.2">
      <c r="B35" s="256" t="s">
        <v>29</v>
      </c>
      <c r="C35" s="1357">
        <f>IF(F5="",0,IF(F5&gt;=S3,"DOI&gt;04",IF(AND(S21&gt;0,S21&lt;0.01),0.01,ROUND(S21,2))))</f>
        <v>0</v>
      </c>
      <c r="D35" s="1357"/>
      <c r="E35" s="1357"/>
      <c r="F35" s="18" t="s">
        <v>1754</v>
      </c>
      <c r="G35" s="731">
        <v>60</v>
      </c>
      <c r="H35" s="731"/>
      <c r="I35" s="19" t="s">
        <v>1756</v>
      </c>
      <c r="J35" s="845">
        <f>IF(F5="",0,IF(F5&gt;=S3,"DOI&gt;04",ROUND(C35*G35,2)))</f>
        <v>0</v>
      </c>
      <c r="K35" s="845"/>
      <c r="L35" s="18" t="s">
        <v>1754</v>
      </c>
      <c r="M35" s="1340" t="e">
        <f>'Dol Per Deg'!$H$11</f>
        <v>#N/A</v>
      </c>
      <c r="N35" s="1340"/>
      <c r="O35" s="19" t="s">
        <v>1756</v>
      </c>
      <c r="P35" s="156">
        <f>IF(F5="",0,IF(F5&gt;=S3,"DOI&gt;04",ROUND(J35*M35,2)))</f>
        <v>0</v>
      </c>
      <c r="R35" s="10"/>
      <c r="S35" s="10"/>
      <c r="T35" s="10"/>
      <c r="U35" s="96"/>
      <c r="V35" s="96"/>
      <c r="W35" s="142"/>
      <c r="X35" s="10"/>
      <c r="Y35" s="10"/>
      <c r="Z35" s="10"/>
      <c r="AA35" s="10"/>
      <c r="AB35" s="10"/>
      <c r="AC35" s="10"/>
      <c r="AD35" s="10"/>
      <c r="AE35" s="10"/>
      <c r="AF35" s="10"/>
      <c r="AG35" s="10"/>
    </row>
    <row r="36" spans="2:33" ht="18" customHeight="1" x14ac:dyDescent="0.2">
      <c r="B36" s="1336" t="s">
        <v>1382</v>
      </c>
      <c r="C36" s="1336"/>
      <c r="D36" s="1336"/>
      <c r="E36" s="1336"/>
      <c r="F36" s="1336"/>
      <c r="G36" s="1336"/>
      <c r="H36" s="1336"/>
      <c r="I36" s="1336"/>
      <c r="J36" s="1336"/>
      <c r="K36" s="1336"/>
      <c r="L36" s="1336"/>
      <c r="M36" s="1336"/>
      <c r="N36" s="1336"/>
      <c r="O36" s="1336"/>
      <c r="P36" s="276">
        <f>IF(F5="",0,IF(F5&gt;=S3,"DOI&gt;04",P34+P35))</f>
        <v>0</v>
      </c>
      <c r="R36" s="10"/>
      <c r="S36" s="10"/>
      <c r="T36" s="10"/>
      <c r="U36" s="10"/>
      <c r="V36" s="10"/>
      <c r="W36" s="10"/>
      <c r="X36" s="10"/>
      <c r="Y36" s="10"/>
      <c r="Z36" s="10"/>
      <c r="AA36" s="10"/>
      <c r="AB36" s="10"/>
      <c r="AC36" s="10"/>
      <c r="AD36" s="10"/>
      <c r="AE36" s="10"/>
      <c r="AF36" s="10"/>
      <c r="AG36" s="10"/>
    </row>
    <row r="37" spans="2:33" ht="21" customHeight="1" x14ac:dyDescent="0.2">
      <c r="B37" s="1019" t="s">
        <v>470</v>
      </c>
      <c r="C37" s="1020"/>
      <c r="D37" s="1020"/>
      <c r="E37" s="1020"/>
      <c r="F37" s="1020"/>
      <c r="G37" s="1020"/>
      <c r="H37" s="1020"/>
      <c r="I37" s="1020"/>
      <c r="J37" s="1020"/>
      <c r="K37" s="1020"/>
      <c r="L37" s="1020"/>
      <c r="M37" s="1020"/>
      <c r="N37" s="1020"/>
      <c r="O37" s="1020"/>
      <c r="P37" s="1021"/>
      <c r="R37" s="10"/>
      <c r="S37" s="96"/>
      <c r="T37" s="10"/>
      <c r="U37" s="10"/>
      <c r="V37" s="10"/>
      <c r="W37" s="10"/>
      <c r="X37" s="10"/>
      <c r="Y37" s="10"/>
      <c r="Z37" s="10"/>
      <c r="AA37" s="10"/>
      <c r="AB37" s="10"/>
      <c r="AC37" s="10"/>
      <c r="AD37" s="10"/>
      <c r="AE37" s="10"/>
      <c r="AF37" s="10"/>
      <c r="AG37" s="10"/>
    </row>
    <row r="38" spans="2:33" ht="18" customHeight="1" x14ac:dyDescent="0.2">
      <c r="B38" s="1337" t="s">
        <v>464</v>
      </c>
      <c r="C38" s="1337"/>
      <c r="D38" s="1337"/>
      <c r="E38" s="1337"/>
      <c r="F38" s="1337"/>
      <c r="G38" s="1337"/>
      <c r="H38" s="1337"/>
      <c r="I38" s="1338">
        <f>IF(F5="",0,IF(F5&gt;=S3,"DOI&gt;04",MIN(S20,S21)))</f>
        <v>0</v>
      </c>
      <c r="J38" s="1338"/>
      <c r="K38" s="1338"/>
      <c r="L38" s="19" t="s">
        <v>1754</v>
      </c>
      <c r="M38" s="1339">
        <v>7</v>
      </c>
      <c r="N38" s="1339"/>
      <c r="O38" s="19" t="s">
        <v>1756</v>
      </c>
      <c r="P38" s="190">
        <f>IF(F5="",0,IF(F5&gt;=S3,"DOI&gt;04",I38*M38))</f>
        <v>0</v>
      </c>
      <c r="R38" s="10"/>
      <c r="S38" s="10"/>
      <c r="T38" s="10"/>
      <c r="U38" s="10"/>
      <c r="V38" s="10"/>
      <c r="W38" s="10"/>
      <c r="X38" s="10"/>
      <c r="Y38" s="10"/>
      <c r="Z38" s="10"/>
      <c r="AA38" s="10"/>
      <c r="AB38" s="10"/>
      <c r="AC38" s="10"/>
      <c r="AD38" s="10"/>
      <c r="AE38" s="10"/>
      <c r="AF38" s="10"/>
      <c r="AG38" s="10"/>
    </row>
    <row r="39" spans="2:33" ht="18" customHeight="1" x14ac:dyDescent="0.2">
      <c r="B39" s="761" t="s">
        <v>465</v>
      </c>
      <c r="C39" s="761"/>
      <c r="D39" s="761"/>
      <c r="E39" s="761"/>
      <c r="F39" s="761"/>
      <c r="G39" s="761"/>
      <c r="H39" s="761"/>
      <c r="I39" s="1338">
        <f>IF(F5="",0,IF(F5&gt;=S3,"DOI&gt;04",IF(I38=0,0,MAX(S20,S21))))</f>
        <v>0</v>
      </c>
      <c r="J39" s="1338"/>
      <c r="K39" s="1338"/>
      <c r="L39" s="910"/>
      <c r="M39" s="910"/>
      <c r="N39" s="910"/>
      <c r="O39" s="19" t="s">
        <v>1756</v>
      </c>
      <c r="P39" s="190">
        <f>IF(F5="",0,IF(F5&gt;=S3,"DOI&gt;04",P38+I39))</f>
        <v>0</v>
      </c>
      <c r="R39" s="10"/>
      <c r="S39" s="10"/>
      <c r="T39" s="10"/>
      <c r="U39" s="10"/>
      <c r="V39" s="10"/>
      <c r="W39" s="10"/>
      <c r="X39" s="10"/>
      <c r="Y39" s="10"/>
      <c r="Z39" s="10"/>
      <c r="AA39" s="10"/>
      <c r="AB39" s="10"/>
      <c r="AC39" s="10"/>
      <c r="AD39" s="10"/>
      <c r="AE39" s="10"/>
      <c r="AF39" s="10"/>
      <c r="AG39" s="10"/>
    </row>
    <row r="40" spans="2:33" ht="18" customHeight="1" x14ac:dyDescent="0.2">
      <c r="B40" s="761" t="s">
        <v>466</v>
      </c>
      <c r="C40" s="761"/>
      <c r="D40" s="761"/>
      <c r="E40" s="761"/>
      <c r="F40" s="761"/>
      <c r="G40" s="761"/>
      <c r="H40" s="761"/>
      <c r="I40" s="1338">
        <f>P39</f>
        <v>0</v>
      </c>
      <c r="J40" s="1338"/>
      <c r="K40" s="1338"/>
      <c r="L40" s="19" t="s">
        <v>468</v>
      </c>
      <c r="M40" s="1339">
        <v>8</v>
      </c>
      <c r="N40" s="1339"/>
      <c r="O40" s="19" t="s">
        <v>1756</v>
      </c>
      <c r="P40" s="21">
        <f>IF(F5="",0,IF(F5&gt;=S3,"DOI&gt;04",IF(AND(P39/M40&gt;0,P39/M40&lt;0.01),0.01,ROUND(P39/M40,2))))</f>
        <v>0</v>
      </c>
      <c r="R40" s="10"/>
      <c r="S40" s="50">
        <f>IF(OR(C34="DOI&gt;04",C35="DOI&gt;04"),0,IF(B43=S27,4,IF(B43=S26,3,IF(C34&gt;0,2,IF(C35&gt;0,1,0)))))</f>
        <v>0</v>
      </c>
      <c r="U40" s="10"/>
      <c r="V40" s="10"/>
      <c r="W40" s="10"/>
      <c r="X40" s="10"/>
      <c r="Y40" s="10"/>
      <c r="Z40" s="10"/>
      <c r="AA40" s="10"/>
      <c r="AB40" s="10"/>
      <c r="AC40" s="10"/>
      <c r="AD40" s="10"/>
      <c r="AE40" s="10"/>
      <c r="AF40" s="10"/>
      <c r="AG40" s="10"/>
    </row>
    <row r="41" spans="2:33" ht="24.75" customHeight="1" x14ac:dyDescent="0.2">
      <c r="B41" s="907"/>
      <c r="C41" s="911"/>
      <c r="D41" s="911"/>
      <c r="E41" s="911"/>
      <c r="F41" s="908"/>
      <c r="G41" s="947" t="s">
        <v>102</v>
      </c>
      <c r="H41" s="947"/>
      <c r="I41" s="216"/>
      <c r="J41" s="863" t="s">
        <v>355</v>
      </c>
      <c r="K41" s="863"/>
      <c r="L41" s="19"/>
      <c r="M41" s="1105" t="s">
        <v>1850</v>
      </c>
      <c r="N41" s="1105"/>
      <c r="O41" s="19"/>
      <c r="P41" s="191"/>
      <c r="R41" s="10"/>
      <c r="S41" s="10"/>
      <c r="T41" s="10"/>
      <c r="U41" s="10"/>
      <c r="V41" s="10"/>
      <c r="W41" s="10"/>
      <c r="X41" s="10"/>
      <c r="Y41" s="10"/>
      <c r="Z41" s="10"/>
      <c r="AA41" s="10"/>
      <c r="AB41" s="10"/>
      <c r="AC41" s="10"/>
      <c r="AD41" s="10"/>
      <c r="AE41" s="10"/>
      <c r="AF41" s="10"/>
      <c r="AG41" s="10"/>
    </row>
    <row r="42" spans="2:33" ht="18" customHeight="1" x14ac:dyDescent="0.2">
      <c r="B42" s="287" t="s">
        <v>471</v>
      </c>
      <c r="C42" s="1357">
        <f>P40</f>
        <v>0</v>
      </c>
      <c r="D42" s="1357"/>
      <c r="E42" s="1357"/>
      <c r="F42" s="18" t="s">
        <v>1754</v>
      </c>
      <c r="G42" s="731">
        <v>192</v>
      </c>
      <c r="H42" s="731"/>
      <c r="I42" s="18" t="s">
        <v>1756</v>
      </c>
      <c r="J42" s="845">
        <f>IF(F5="",0,IF(F5&gt;=S3,"DOI&gt;04",ROUND(C42*G42,2)))</f>
        <v>0</v>
      </c>
      <c r="K42" s="845"/>
      <c r="L42" s="18" t="s">
        <v>1754</v>
      </c>
      <c r="M42" s="1340" t="e">
        <f>'Dol Per Deg'!$H$11</f>
        <v>#N/A</v>
      </c>
      <c r="N42" s="1340"/>
      <c r="O42" s="19" t="s">
        <v>1756</v>
      </c>
      <c r="P42" s="276">
        <f>IF(F5="",0,IF(F5&gt;=S3,"DOI&gt;04",ROUND(J42*M42,2)))</f>
        <v>0</v>
      </c>
      <c r="R42" s="10"/>
      <c r="S42" s="10"/>
      <c r="T42" s="10"/>
      <c r="U42" s="96"/>
      <c r="V42" s="96"/>
      <c r="W42" s="142"/>
      <c r="X42" s="10"/>
      <c r="Y42" s="10"/>
      <c r="Z42" s="10"/>
      <c r="AA42" s="10"/>
      <c r="AB42" s="10"/>
      <c r="AC42" s="10"/>
      <c r="AD42" s="10"/>
      <c r="AE42" s="10"/>
      <c r="AF42" s="10"/>
      <c r="AG42" s="10"/>
    </row>
    <row r="43" spans="2:33" ht="18.75" customHeight="1" x14ac:dyDescent="0.2">
      <c r="B43" s="1341" t="str">
        <f>IF(OR(P43="DOI&gt;04",P43=0,C34=0,C35=0),"",IF(P36&gt;P42,S26,IF(P42&gt;=P36,S27,"")))</f>
        <v/>
      </c>
      <c r="C43" s="1341"/>
      <c r="D43" s="1341"/>
      <c r="E43" s="1341"/>
      <c r="F43" s="1341"/>
      <c r="G43" s="1341"/>
      <c r="H43" s="1341"/>
      <c r="I43" s="1341"/>
      <c r="J43" s="1341"/>
      <c r="K43" s="1341"/>
      <c r="L43" s="1341"/>
      <c r="M43" s="1341"/>
      <c r="N43" s="1341"/>
      <c r="O43" s="1341"/>
      <c r="P43" s="288">
        <f>IF(F5="",0,IF(F5&gt;=S3,"DOI&gt;04",MAX(P36,P42)))</f>
        <v>0</v>
      </c>
      <c r="R43" s="10"/>
      <c r="S43" s="10"/>
      <c r="T43" s="10"/>
      <c r="U43" s="10"/>
      <c r="V43" s="10"/>
      <c r="W43" s="10"/>
      <c r="X43" s="10"/>
      <c r="Y43" s="10"/>
      <c r="Z43" s="10"/>
      <c r="AA43" s="10"/>
      <c r="AB43" s="10"/>
      <c r="AC43" s="10"/>
      <c r="AD43" s="10"/>
      <c r="AE43" s="10"/>
      <c r="AF43" s="10"/>
      <c r="AG43" s="10"/>
    </row>
    <row r="44" spans="2:33" ht="27.75" customHeight="1" x14ac:dyDescent="0.2">
      <c r="B44" s="1333" t="s">
        <v>931</v>
      </c>
      <c r="C44" s="1334"/>
      <c r="D44" s="1334"/>
      <c r="E44" s="1334"/>
      <c r="F44" s="1334"/>
      <c r="G44" s="1334"/>
      <c r="H44" s="1334"/>
      <c r="I44" s="1334"/>
      <c r="J44" s="1334"/>
      <c r="K44" s="1334"/>
      <c r="L44" s="1334"/>
      <c r="M44" s="1334"/>
      <c r="N44" s="1334"/>
      <c r="O44" s="1334"/>
      <c r="P44" s="1335"/>
      <c r="R44" s="10"/>
      <c r="S44" s="10"/>
      <c r="T44" s="10"/>
      <c r="U44" s="10"/>
      <c r="V44" s="10"/>
      <c r="W44" s="10"/>
      <c r="X44" s="10"/>
      <c r="Y44" s="10"/>
      <c r="Z44" s="10"/>
      <c r="AA44" s="10"/>
      <c r="AB44" s="10"/>
      <c r="AC44" s="10"/>
      <c r="AD44" s="10"/>
      <c r="AE44" s="10"/>
      <c r="AF44" s="10"/>
      <c r="AG44" s="10"/>
    </row>
    <row r="45" spans="2:33" x14ac:dyDescent="0.2">
      <c r="B45" s="243" t="s">
        <v>775</v>
      </c>
      <c r="C45" s="1092" t="str">
        <f>IF(T4&lt;&gt;"",T4,"")</f>
        <v>Go to PPD Worksheet</v>
      </c>
      <c r="D45" s="1092"/>
      <c r="E45" s="1092"/>
      <c r="F45" s="1092"/>
      <c r="G45" s="1092"/>
      <c r="H45" s="1092"/>
      <c r="I45" s="1092" t="str">
        <f>IF(S4&lt;&gt;"",S4,"")</f>
        <v/>
      </c>
      <c r="J45" s="1092"/>
      <c r="K45" s="1092"/>
      <c r="L45" s="1092"/>
      <c r="M45" s="1092"/>
      <c r="N45" s="1092"/>
      <c r="P45" s="15"/>
      <c r="R45" s="10"/>
      <c r="S45" s="10"/>
      <c r="T45" s="10"/>
      <c r="U45" s="10"/>
      <c r="V45" s="10"/>
      <c r="W45" s="10"/>
      <c r="X45" s="10"/>
      <c r="Y45" s="10"/>
      <c r="Z45" s="10"/>
      <c r="AA45" s="10"/>
      <c r="AB45" s="10"/>
      <c r="AC45" s="10"/>
      <c r="AD45" s="10"/>
      <c r="AE45" s="10"/>
      <c r="AF45" s="10"/>
      <c r="AG45" s="10"/>
    </row>
    <row r="46" spans="2:33" hidden="1" x14ac:dyDescent="0.2">
      <c r="C46" s="1"/>
      <c r="D46" s="1"/>
      <c r="E46" s="1"/>
      <c r="F46" s="1"/>
      <c r="G46" s="1"/>
      <c r="R46" s="10"/>
      <c r="S46" s="10"/>
      <c r="T46" s="10"/>
      <c r="U46" s="10"/>
      <c r="V46" s="10"/>
      <c r="W46" s="10"/>
      <c r="X46" s="10"/>
      <c r="Y46" s="10"/>
      <c r="Z46" s="10"/>
      <c r="AA46" s="10"/>
      <c r="AB46" s="10"/>
      <c r="AC46" s="10"/>
      <c r="AD46" s="10"/>
      <c r="AE46" s="10"/>
      <c r="AF46" s="10"/>
      <c r="AG46" s="10"/>
    </row>
    <row r="47" spans="2:33" hidden="1" x14ac:dyDescent="0.2">
      <c r="C47" s="1"/>
      <c r="D47" s="1"/>
      <c r="E47" s="1"/>
      <c r="F47" s="1"/>
      <c r="G47" s="1"/>
      <c r="R47" s="10"/>
      <c r="S47" s="10"/>
      <c r="T47" s="10"/>
      <c r="U47" s="10"/>
      <c r="V47" s="10"/>
      <c r="W47" s="10"/>
      <c r="X47" s="10"/>
      <c r="Y47" s="10"/>
      <c r="Z47" s="10"/>
      <c r="AA47" s="10"/>
      <c r="AB47" s="10"/>
      <c r="AC47" s="10"/>
      <c r="AD47" s="10"/>
      <c r="AE47" s="10"/>
      <c r="AF47" s="10"/>
      <c r="AG47" s="10"/>
    </row>
    <row r="48" spans="2:33" hidden="1" x14ac:dyDescent="0.2">
      <c r="C48" s="1"/>
      <c r="D48" s="1"/>
      <c r="E48" s="1"/>
      <c r="F48" s="1"/>
      <c r="G48" s="1"/>
      <c r="R48" s="10"/>
      <c r="S48" s="10"/>
      <c r="T48" s="10"/>
      <c r="U48" s="10"/>
      <c r="V48" s="10"/>
      <c r="W48" s="10"/>
      <c r="X48" s="10"/>
      <c r="Y48" s="10"/>
      <c r="Z48" s="10"/>
      <c r="AA48" s="10"/>
      <c r="AB48" s="10"/>
      <c r="AC48" s="10"/>
      <c r="AD48" s="10"/>
      <c r="AE48" s="10"/>
      <c r="AF48" s="10"/>
      <c r="AG48" s="10"/>
    </row>
    <row r="49" spans="2:102" hidden="1" x14ac:dyDescent="0.2">
      <c r="C49" s="1"/>
      <c r="D49" s="1"/>
      <c r="E49" s="1"/>
      <c r="F49" s="1"/>
      <c r="G49" s="1"/>
      <c r="R49" s="10"/>
      <c r="S49" s="10"/>
      <c r="T49" s="10"/>
      <c r="U49" s="10"/>
      <c r="V49" s="10"/>
      <c r="W49" s="10"/>
      <c r="X49" s="10"/>
      <c r="Y49" s="10"/>
      <c r="Z49" s="10"/>
      <c r="AA49" s="10"/>
      <c r="AB49" s="10"/>
      <c r="AC49" s="10"/>
      <c r="AD49" s="10"/>
      <c r="AE49" s="10"/>
      <c r="AF49" s="10"/>
      <c r="AG49" s="10"/>
    </row>
    <row r="50" spans="2:102" hidden="1" x14ac:dyDescent="0.2">
      <c r="C50" s="1"/>
      <c r="D50" s="1"/>
      <c r="E50" s="1"/>
      <c r="F50" s="1"/>
      <c r="G50" s="1"/>
      <c r="R50" s="10"/>
      <c r="S50" s="10"/>
      <c r="T50" s="10"/>
      <c r="U50" s="10"/>
      <c r="V50" s="10"/>
      <c r="W50" s="10"/>
      <c r="X50" s="10"/>
      <c r="Y50" s="10"/>
      <c r="Z50" s="10"/>
      <c r="AA50" s="10"/>
      <c r="AB50" s="10"/>
      <c r="AC50" s="10"/>
      <c r="AD50" s="10"/>
      <c r="AE50" s="10"/>
      <c r="AF50" s="10"/>
      <c r="AG50" s="10"/>
    </row>
    <row r="51" spans="2:102" ht="15.75" hidden="1" x14ac:dyDescent="0.25">
      <c r="B51" s="1367" t="s">
        <v>2250</v>
      </c>
      <c r="C51" s="1367"/>
      <c r="D51" s="1367"/>
      <c r="E51" s="1367"/>
      <c r="F51" s="1367"/>
      <c r="G51" s="1367"/>
      <c r="H51" s="1367"/>
      <c r="I51" s="1367"/>
      <c r="J51" s="1367"/>
      <c r="K51" s="1367"/>
      <c r="L51" s="1367"/>
      <c r="M51" s="1367"/>
      <c r="N51" s="1367"/>
      <c r="O51" s="1367"/>
      <c r="P51" s="1367"/>
      <c r="Q51" s="1367"/>
      <c r="R51" s="1367"/>
      <c r="S51" s="10"/>
      <c r="T51" s="10"/>
      <c r="U51" s="10"/>
      <c r="V51" s="10"/>
      <c r="W51" s="10"/>
      <c r="X51" s="10"/>
      <c r="Y51" s="10"/>
      <c r="Z51" s="10"/>
      <c r="AA51" s="10"/>
      <c r="AB51" s="10"/>
      <c r="AC51" s="10"/>
      <c r="AD51" s="10"/>
      <c r="AE51" s="10"/>
      <c r="AF51" s="10"/>
      <c r="AG51" s="10"/>
    </row>
    <row r="52" spans="2:102" hidden="1" x14ac:dyDescent="0.2">
      <c r="B52" s="146">
        <v>0</v>
      </c>
      <c r="C52" s="146">
        <v>1</v>
      </c>
      <c r="D52" s="18">
        <v>2</v>
      </c>
      <c r="E52" s="18">
        <v>3</v>
      </c>
      <c r="F52" s="146">
        <v>4</v>
      </c>
      <c r="G52" s="18">
        <v>5</v>
      </c>
      <c r="H52" s="18">
        <v>6</v>
      </c>
      <c r="I52" s="146">
        <v>7</v>
      </c>
      <c r="J52" s="18">
        <v>8</v>
      </c>
      <c r="K52" s="18">
        <v>9</v>
      </c>
      <c r="L52" s="146">
        <v>10</v>
      </c>
      <c r="M52" s="18">
        <v>11</v>
      </c>
      <c r="N52" s="18">
        <v>12</v>
      </c>
      <c r="O52" s="146">
        <v>13</v>
      </c>
      <c r="P52" s="18">
        <v>14</v>
      </c>
      <c r="Q52" s="612">
        <v>15</v>
      </c>
      <c r="R52" s="50">
        <v>16</v>
      </c>
      <c r="S52" s="546">
        <v>17</v>
      </c>
      <c r="T52" s="546">
        <v>18</v>
      </c>
      <c r="U52" s="50">
        <v>19</v>
      </c>
      <c r="V52" s="546">
        <v>20</v>
      </c>
      <c r="W52" s="546">
        <v>21</v>
      </c>
      <c r="X52" s="50">
        <v>22</v>
      </c>
      <c r="Y52" s="546">
        <v>23</v>
      </c>
      <c r="Z52" s="546">
        <v>24</v>
      </c>
      <c r="AA52" s="50">
        <v>25</v>
      </c>
      <c r="AB52" s="546">
        <v>26</v>
      </c>
      <c r="AC52" s="546">
        <v>27</v>
      </c>
      <c r="AD52" s="50">
        <v>28</v>
      </c>
      <c r="AE52" s="546">
        <v>29</v>
      </c>
      <c r="AF52" s="546">
        <v>30</v>
      </c>
      <c r="AG52" s="50">
        <v>31</v>
      </c>
      <c r="AH52" s="612">
        <v>32</v>
      </c>
      <c r="AI52" s="612">
        <v>33</v>
      </c>
      <c r="AJ52" s="146">
        <v>34</v>
      </c>
      <c r="AK52" s="612">
        <v>35</v>
      </c>
      <c r="AL52" s="612">
        <v>36</v>
      </c>
      <c r="AM52" s="146">
        <v>37</v>
      </c>
      <c r="AN52" s="612">
        <v>38</v>
      </c>
      <c r="AO52" s="612">
        <v>39</v>
      </c>
      <c r="AP52" s="146">
        <v>40</v>
      </c>
      <c r="AQ52" s="612">
        <v>41</v>
      </c>
      <c r="AR52" s="612">
        <v>42</v>
      </c>
      <c r="AS52" s="146">
        <v>43</v>
      </c>
      <c r="AT52" s="612">
        <v>44</v>
      </c>
      <c r="AU52" s="612">
        <v>45</v>
      </c>
      <c r="AV52" s="146">
        <v>46</v>
      </c>
      <c r="AW52" s="612">
        <v>47</v>
      </c>
      <c r="AX52" s="612">
        <v>48</v>
      </c>
      <c r="AY52" s="146">
        <v>49</v>
      </c>
      <c r="AZ52" s="612">
        <v>50</v>
      </c>
      <c r="BA52" s="612">
        <v>51</v>
      </c>
      <c r="BB52" s="146">
        <v>52</v>
      </c>
      <c r="BC52" s="612">
        <v>53</v>
      </c>
      <c r="BD52" s="612">
        <v>54</v>
      </c>
      <c r="BE52" s="146">
        <v>55</v>
      </c>
      <c r="BF52" s="612">
        <v>56</v>
      </c>
      <c r="BG52" s="612">
        <v>57</v>
      </c>
      <c r="BH52" s="146">
        <v>58</v>
      </c>
      <c r="BI52" s="612">
        <v>59</v>
      </c>
      <c r="BJ52" s="612">
        <v>60</v>
      </c>
      <c r="BK52" s="146">
        <v>61</v>
      </c>
      <c r="BL52" s="612">
        <v>62</v>
      </c>
      <c r="BM52" s="612">
        <v>63</v>
      </c>
      <c r="BN52" s="146">
        <v>64</v>
      </c>
      <c r="BO52" s="612">
        <v>65</v>
      </c>
      <c r="BP52" s="612">
        <v>66</v>
      </c>
      <c r="BQ52" s="146">
        <v>67</v>
      </c>
      <c r="BR52" s="612">
        <v>68</v>
      </c>
      <c r="BS52" s="612">
        <v>69</v>
      </c>
      <c r="BT52" s="146">
        <v>70</v>
      </c>
      <c r="BU52" s="612">
        <v>71</v>
      </c>
      <c r="BV52" s="612">
        <v>72</v>
      </c>
      <c r="BW52" s="146">
        <v>73</v>
      </c>
      <c r="BX52" s="612">
        <v>74</v>
      </c>
      <c r="BY52" s="612">
        <v>75</v>
      </c>
      <c r="BZ52" s="146">
        <v>76</v>
      </c>
      <c r="CA52" s="612">
        <v>77</v>
      </c>
      <c r="CB52" s="612">
        <v>78</v>
      </c>
      <c r="CC52" s="146">
        <v>79</v>
      </c>
      <c r="CD52" s="612">
        <v>80</v>
      </c>
      <c r="CE52" s="612">
        <v>81</v>
      </c>
      <c r="CF52" s="146">
        <v>82</v>
      </c>
      <c r="CG52" s="612">
        <v>83</v>
      </c>
      <c r="CH52" s="612">
        <v>84</v>
      </c>
      <c r="CI52" s="146">
        <v>85</v>
      </c>
      <c r="CJ52" s="612">
        <v>86</v>
      </c>
      <c r="CK52" s="612">
        <v>87</v>
      </c>
      <c r="CL52" s="146">
        <v>88</v>
      </c>
      <c r="CM52" s="612">
        <v>89</v>
      </c>
      <c r="CN52" s="612">
        <v>90</v>
      </c>
      <c r="CO52" s="146">
        <v>91</v>
      </c>
      <c r="CP52" s="612">
        <v>92</v>
      </c>
      <c r="CQ52" s="612">
        <v>93</v>
      </c>
      <c r="CR52" s="146">
        <v>94</v>
      </c>
      <c r="CS52" s="612">
        <v>95</v>
      </c>
      <c r="CT52" s="612">
        <v>96</v>
      </c>
      <c r="CU52" s="146">
        <v>97</v>
      </c>
      <c r="CV52" s="612">
        <v>98</v>
      </c>
      <c r="CW52" s="612">
        <v>99</v>
      </c>
      <c r="CX52" s="146">
        <v>100</v>
      </c>
    </row>
    <row r="53" spans="2:102" ht="15" hidden="1" x14ac:dyDescent="0.25">
      <c r="B53" s="145"/>
      <c r="C53" s="1"/>
      <c r="D53" s="1"/>
      <c r="E53" s="1"/>
      <c r="F53" s="1"/>
      <c r="G53" s="1"/>
      <c r="R53" s="10"/>
      <c r="S53" s="10"/>
      <c r="T53" s="10"/>
      <c r="U53" s="10"/>
      <c r="V53" s="10"/>
      <c r="W53" s="10"/>
      <c r="X53" s="10"/>
      <c r="Y53" s="10"/>
      <c r="Z53" s="10"/>
      <c r="AA53" s="10"/>
      <c r="AB53" s="10"/>
      <c r="AC53" s="10"/>
      <c r="AD53" s="10"/>
      <c r="AE53" s="10"/>
      <c r="AF53" s="10"/>
      <c r="AG53" s="10"/>
    </row>
    <row r="54" spans="2:102" hidden="1" x14ac:dyDescent="0.2">
      <c r="C54" s="1"/>
      <c r="D54" s="1"/>
      <c r="E54" s="1"/>
      <c r="F54" s="1"/>
      <c r="G54" s="1"/>
      <c r="R54" s="10"/>
      <c r="S54" s="10"/>
      <c r="T54" s="10"/>
      <c r="U54" s="10"/>
      <c r="V54" s="10"/>
      <c r="W54" s="10"/>
      <c r="X54" s="10"/>
      <c r="Y54" s="10"/>
      <c r="Z54" s="10"/>
      <c r="AA54" s="10"/>
      <c r="AB54" s="10"/>
      <c r="AC54" s="10"/>
      <c r="AD54" s="10"/>
      <c r="AE54" s="10"/>
      <c r="AF54" s="10"/>
      <c r="AG54" s="10"/>
    </row>
    <row r="55" spans="2:102" hidden="1" x14ac:dyDescent="0.2">
      <c r="R55" s="10"/>
      <c r="S55" s="10"/>
      <c r="T55" s="10"/>
      <c r="U55" s="10"/>
      <c r="V55" s="10"/>
      <c r="W55" s="10"/>
      <c r="X55" s="10"/>
      <c r="Y55" s="10"/>
      <c r="Z55" s="10"/>
      <c r="AA55" s="10"/>
      <c r="AB55" s="10"/>
      <c r="AC55" s="10"/>
      <c r="AD55" s="10"/>
      <c r="AE55" s="10"/>
      <c r="AF55" s="10"/>
      <c r="AG55" s="10"/>
    </row>
    <row r="56" spans="2:102" hidden="1" x14ac:dyDescent="0.2">
      <c r="R56" s="10"/>
      <c r="S56" s="10"/>
      <c r="T56" s="10"/>
      <c r="U56" s="10"/>
      <c r="V56" s="10"/>
      <c r="W56" s="10"/>
      <c r="X56" s="10"/>
      <c r="Y56" s="10"/>
      <c r="Z56" s="10"/>
      <c r="AA56" s="10"/>
      <c r="AB56" s="10"/>
      <c r="AC56" s="10"/>
      <c r="AD56" s="10"/>
      <c r="AE56" s="10"/>
      <c r="AF56" s="10"/>
      <c r="AG56" s="10"/>
    </row>
    <row r="57" spans="2:102" hidden="1" x14ac:dyDescent="0.2">
      <c r="R57" s="10"/>
      <c r="S57" s="10"/>
      <c r="T57" s="10"/>
      <c r="U57" s="10"/>
      <c r="V57" s="10"/>
      <c r="W57" s="10"/>
      <c r="X57" s="10"/>
      <c r="Y57" s="10"/>
      <c r="Z57" s="10"/>
      <c r="AA57" s="10"/>
      <c r="AB57" s="10"/>
      <c r="AC57" s="10"/>
      <c r="AD57" s="10"/>
      <c r="AE57" s="10"/>
      <c r="AF57" s="10"/>
      <c r="AG57" s="10"/>
    </row>
    <row r="58" spans="2:102" hidden="1" x14ac:dyDescent="0.2">
      <c r="R58" s="10"/>
      <c r="S58" s="10"/>
      <c r="T58" s="10"/>
      <c r="U58" s="10"/>
      <c r="V58" s="10"/>
      <c r="W58" s="10"/>
      <c r="X58" s="10"/>
      <c r="Y58" s="10"/>
      <c r="Z58" s="10"/>
      <c r="AA58" s="10"/>
      <c r="AB58" s="10"/>
      <c r="AC58" s="10"/>
      <c r="AD58" s="10"/>
      <c r="AE58" s="10"/>
      <c r="AF58" s="10"/>
      <c r="AG58" s="10"/>
    </row>
    <row r="59" spans="2:102" hidden="1" x14ac:dyDescent="0.2">
      <c r="R59" s="10"/>
      <c r="S59" s="10"/>
      <c r="T59" s="10"/>
      <c r="U59" s="10"/>
      <c r="V59" s="10"/>
      <c r="W59" s="10"/>
      <c r="X59" s="10"/>
      <c r="Y59" s="10"/>
      <c r="Z59" s="10"/>
      <c r="AA59" s="10"/>
      <c r="AB59" s="10"/>
      <c r="AC59" s="10"/>
      <c r="AD59" s="10"/>
      <c r="AE59" s="10"/>
      <c r="AF59" s="10"/>
      <c r="AG59" s="10"/>
    </row>
    <row r="60" spans="2:102" x14ac:dyDescent="0.2">
      <c r="R60" s="10"/>
      <c r="S60" s="10"/>
      <c r="T60" s="10"/>
      <c r="U60" s="10"/>
      <c r="V60" s="10"/>
      <c r="W60" s="10"/>
      <c r="X60" s="10"/>
      <c r="Y60" s="10"/>
      <c r="Z60" s="10"/>
      <c r="AA60" s="10"/>
      <c r="AB60" s="10"/>
      <c r="AC60" s="10"/>
      <c r="AD60" s="10"/>
      <c r="AE60" s="10"/>
      <c r="AF60" s="10"/>
      <c r="AG60" s="10"/>
    </row>
    <row r="61" spans="2:102" x14ac:dyDescent="0.2">
      <c r="R61" s="10"/>
      <c r="S61" s="10"/>
      <c r="T61" s="10"/>
      <c r="U61" s="10"/>
      <c r="V61" s="10"/>
      <c r="W61" s="10"/>
      <c r="X61" s="10"/>
      <c r="Y61" s="10"/>
      <c r="Z61" s="10"/>
      <c r="AA61" s="10"/>
      <c r="AB61" s="10"/>
      <c r="AC61" s="10"/>
      <c r="AD61" s="10"/>
      <c r="AE61" s="10"/>
      <c r="AF61" s="10"/>
      <c r="AG61" s="10"/>
    </row>
    <row r="62" spans="2:102" x14ac:dyDescent="0.2">
      <c r="R62" s="10"/>
      <c r="S62" s="10"/>
      <c r="T62" s="10"/>
      <c r="U62" s="10"/>
      <c r="V62" s="10"/>
      <c r="W62" s="10"/>
      <c r="X62" s="10"/>
      <c r="Y62" s="10"/>
      <c r="Z62" s="10"/>
      <c r="AA62" s="10"/>
      <c r="AB62" s="10"/>
      <c r="AC62" s="10"/>
      <c r="AD62" s="10"/>
      <c r="AE62" s="10"/>
      <c r="AF62" s="10"/>
      <c r="AG62" s="10"/>
    </row>
    <row r="63" spans="2:102" x14ac:dyDescent="0.2">
      <c r="R63" s="10"/>
      <c r="S63" s="10"/>
      <c r="T63" s="10"/>
      <c r="U63" s="10"/>
      <c r="V63" s="10"/>
      <c r="W63" s="10"/>
      <c r="X63" s="10"/>
      <c r="Y63" s="10"/>
      <c r="Z63" s="10"/>
      <c r="AA63" s="10"/>
      <c r="AB63" s="10"/>
      <c r="AC63" s="10"/>
      <c r="AD63" s="10"/>
      <c r="AE63" s="10"/>
      <c r="AF63" s="10"/>
      <c r="AG63" s="10"/>
    </row>
    <row r="64" spans="2:102" x14ac:dyDescent="0.2">
      <c r="R64" s="10"/>
      <c r="S64" s="10"/>
      <c r="T64" s="10"/>
      <c r="U64" s="10"/>
      <c r="V64" s="10"/>
      <c r="W64" s="10"/>
      <c r="X64" s="10"/>
      <c r="Y64" s="10"/>
      <c r="Z64" s="10"/>
      <c r="AA64" s="10"/>
      <c r="AB64" s="10"/>
      <c r="AC64" s="10"/>
      <c r="AD64" s="10"/>
      <c r="AE64" s="10"/>
      <c r="AF64" s="10"/>
      <c r="AG64" s="10"/>
    </row>
    <row r="65" spans="18:33" x14ac:dyDescent="0.2">
      <c r="R65" s="10"/>
      <c r="S65" s="10"/>
      <c r="T65" s="10"/>
      <c r="U65" s="10"/>
      <c r="V65" s="10"/>
      <c r="W65" s="10"/>
      <c r="X65" s="10"/>
      <c r="Y65" s="10"/>
      <c r="Z65" s="10"/>
      <c r="AA65" s="10"/>
      <c r="AB65" s="10"/>
      <c r="AC65" s="10"/>
      <c r="AD65" s="10"/>
      <c r="AE65" s="10"/>
      <c r="AF65" s="10"/>
      <c r="AG65" s="10"/>
    </row>
    <row r="66" spans="18:33" x14ac:dyDescent="0.2">
      <c r="R66" s="10"/>
      <c r="S66" s="10"/>
      <c r="T66" s="10"/>
      <c r="U66" s="10"/>
      <c r="V66" s="10"/>
      <c r="W66" s="10"/>
      <c r="X66" s="10"/>
      <c r="Y66" s="10"/>
      <c r="Z66" s="10"/>
      <c r="AA66" s="10"/>
      <c r="AB66" s="10"/>
      <c r="AC66" s="10"/>
      <c r="AD66" s="10"/>
      <c r="AE66" s="10"/>
      <c r="AF66" s="10"/>
      <c r="AG66" s="10"/>
    </row>
    <row r="67" spans="18:33" x14ac:dyDescent="0.2">
      <c r="R67" s="10"/>
      <c r="S67" s="10"/>
      <c r="T67" s="10"/>
      <c r="U67" s="10"/>
      <c r="V67" s="10"/>
      <c r="W67" s="10"/>
      <c r="X67" s="10"/>
      <c r="Y67" s="10"/>
      <c r="Z67" s="10"/>
      <c r="AA67" s="10"/>
      <c r="AB67" s="10"/>
      <c r="AC67" s="10"/>
      <c r="AD67" s="10"/>
      <c r="AE67" s="10"/>
      <c r="AF67" s="10"/>
      <c r="AG67" s="10"/>
    </row>
    <row r="68" spans="18:33" x14ac:dyDescent="0.2">
      <c r="R68" s="10"/>
      <c r="S68" s="10"/>
      <c r="T68" s="151"/>
      <c r="U68" s="10"/>
      <c r="V68" s="10"/>
      <c r="W68" s="10"/>
      <c r="X68" s="10"/>
      <c r="Y68" s="10"/>
      <c r="Z68" s="10"/>
      <c r="AA68" s="10"/>
      <c r="AB68" s="10"/>
      <c r="AC68" s="10"/>
      <c r="AD68" s="10"/>
      <c r="AE68" s="10"/>
      <c r="AF68" s="10"/>
      <c r="AG68" s="10"/>
    </row>
    <row r="69" spans="18:33" x14ac:dyDescent="0.2">
      <c r="R69" s="10"/>
      <c r="S69" s="10"/>
      <c r="T69" s="10"/>
      <c r="U69" s="10"/>
      <c r="V69" s="10"/>
      <c r="W69" s="10"/>
      <c r="X69" s="10"/>
      <c r="Y69" s="10"/>
      <c r="Z69" s="10"/>
      <c r="AA69" s="10"/>
      <c r="AB69" s="10"/>
      <c r="AC69" s="10"/>
      <c r="AD69" s="10"/>
      <c r="AE69" s="10"/>
      <c r="AF69" s="10"/>
      <c r="AG69" s="10"/>
    </row>
    <row r="70" spans="18:33" x14ac:dyDescent="0.2">
      <c r="R70" s="10"/>
      <c r="S70" s="10"/>
      <c r="T70" s="10"/>
      <c r="U70" s="10"/>
      <c r="V70" s="10"/>
      <c r="W70" s="10"/>
      <c r="X70" s="10"/>
      <c r="Y70" s="10"/>
      <c r="Z70" s="10"/>
      <c r="AA70" s="10"/>
      <c r="AB70" s="10"/>
      <c r="AC70" s="10"/>
      <c r="AD70" s="10"/>
      <c r="AE70" s="10"/>
      <c r="AF70" s="10"/>
      <c r="AG70" s="10"/>
    </row>
    <row r="71" spans="18:33" x14ac:dyDescent="0.2">
      <c r="R71" s="10"/>
      <c r="S71" s="10"/>
      <c r="T71" s="10"/>
      <c r="U71" s="10"/>
      <c r="V71" s="10"/>
      <c r="W71" s="10"/>
      <c r="X71" s="10"/>
      <c r="Y71" s="10"/>
      <c r="Z71" s="10"/>
      <c r="AA71" s="10"/>
      <c r="AB71" s="10"/>
      <c r="AC71" s="10"/>
      <c r="AD71" s="10"/>
      <c r="AE71" s="10"/>
      <c r="AF71" s="10"/>
      <c r="AG71" s="10"/>
    </row>
    <row r="72" spans="18:33" x14ac:dyDescent="0.2">
      <c r="R72" s="10"/>
      <c r="S72" s="10"/>
      <c r="T72" s="10"/>
      <c r="U72" s="10"/>
      <c r="V72" s="10"/>
      <c r="W72" s="10"/>
      <c r="X72" s="10"/>
      <c r="Y72" s="10"/>
      <c r="Z72" s="10"/>
      <c r="AA72" s="10"/>
      <c r="AB72" s="10"/>
      <c r="AC72" s="10"/>
      <c r="AD72" s="10"/>
      <c r="AE72" s="10"/>
      <c r="AF72" s="10"/>
      <c r="AG72" s="10"/>
    </row>
    <row r="73" spans="18:33" x14ac:dyDescent="0.2">
      <c r="R73" s="10"/>
      <c r="S73" s="10"/>
      <c r="T73" s="10"/>
      <c r="U73" s="10"/>
      <c r="V73" s="10"/>
      <c r="W73" s="10"/>
      <c r="X73" s="10"/>
      <c r="Y73" s="10"/>
      <c r="Z73" s="10"/>
      <c r="AA73" s="10"/>
      <c r="AB73" s="10"/>
      <c r="AC73" s="10"/>
      <c r="AD73" s="10"/>
      <c r="AE73" s="10"/>
      <c r="AF73" s="10"/>
      <c r="AG73" s="10"/>
    </row>
    <row r="74" spans="18:33" x14ac:dyDescent="0.2">
      <c r="R74" s="10"/>
      <c r="S74" s="10"/>
      <c r="T74" s="10"/>
      <c r="U74" s="10"/>
      <c r="V74" s="10"/>
      <c r="W74" s="10"/>
      <c r="X74" s="10"/>
      <c r="Y74" s="10"/>
      <c r="Z74" s="10"/>
      <c r="AA74" s="10"/>
      <c r="AB74" s="10"/>
      <c r="AC74" s="10"/>
      <c r="AD74" s="10"/>
      <c r="AE74" s="10"/>
      <c r="AF74" s="10"/>
      <c r="AG74" s="10"/>
    </row>
    <row r="75" spans="18:33" x14ac:dyDescent="0.2">
      <c r="R75" s="10"/>
      <c r="S75" s="10"/>
      <c r="T75" s="10"/>
      <c r="U75" s="10"/>
      <c r="V75" s="10"/>
      <c r="W75" s="10"/>
      <c r="X75" s="10"/>
      <c r="Y75" s="10"/>
      <c r="Z75" s="10"/>
      <c r="AA75" s="10"/>
      <c r="AB75" s="10"/>
      <c r="AC75" s="10"/>
      <c r="AD75" s="10"/>
      <c r="AE75" s="10"/>
      <c r="AF75" s="10"/>
      <c r="AG75" s="10"/>
    </row>
    <row r="76" spans="18:33" x14ac:dyDescent="0.2">
      <c r="R76" s="10"/>
      <c r="S76" s="10"/>
      <c r="T76" s="10"/>
      <c r="U76" s="10"/>
      <c r="V76" s="10"/>
      <c r="W76" s="10"/>
      <c r="X76" s="10"/>
      <c r="Y76" s="10"/>
      <c r="Z76" s="10"/>
      <c r="AA76" s="10"/>
      <c r="AB76" s="10"/>
      <c r="AC76" s="10"/>
      <c r="AD76" s="10"/>
      <c r="AE76" s="10"/>
      <c r="AF76" s="10"/>
      <c r="AG76" s="10"/>
    </row>
    <row r="77" spans="18:33" x14ac:dyDescent="0.2">
      <c r="R77" s="10"/>
      <c r="S77" s="10"/>
      <c r="T77" s="10"/>
      <c r="U77" s="10"/>
      <c r="V77" s="10"/>
      <c r="W77" s="10"/>
      <c r="X77" s="10"/>
      <c r="Y77" s="10"/>
      <c r="Z77" s="10"/>
      <c r="AA77" s="10"/>
      <c r="AB77" s="10"/>
      <c r="AC77" s="10"/>
      <c r="AD77" s="10"/>
      <c r="AE77" s="10"/>
      <c r="AF77" s="10"/>
      <c r="AG77" s="10"/>
    </row>
    <row r="78" spans="18:33" x14ac:dyDescent="0.2">
      <c r="R78" s="10"/>
      <c r="S78" s="10"/>
      <c r="T78" s="10"/>
      <c r="U78" s="10"/>
      <c r="V78" s="10"/>
      <c r="W78" s="10"/>
      <c r="X78" s="10"/>
      <c r="Y78" s="10"/>
      <c r="Z78" s="10"/>
      <c r="AA78" s="10"/>
      <c r="AB78" s="10"/>
      <c r="AC78" s="10"/>
      <c r="AD78" s="10"/>
      <c r="AE78" s="10"/>
      <c r="AF78" s="10"/>
      <c r="AG78" s="10"/>
    </row>
    <row r="79" spans="18:33" x14ac:dyDescent="0.2">
      <c r="R79" s="10"/>
      <c r="S79" s="10"/>
      <c r="T79" s="10"/>
      <c r="U79" s="10"/>
      <c r="V79" s="10"/>
      <c r="W79" s="10"/>
      <c r="X79" s="10"/>
      <c r="Y79" s="10"/>
      <c r="Z79" s="10"/>
      <c r="AA79" s="10"/>
      <c r="AB79" s="10"/>
      <c r="AC79" s="10"/>
      <c r="AD79" s="10"/>
      <c r="AE79" s="10"/>
      <c r="AF79" s="10"/>
      <c r="AG79" s="10"/>
    </row>
    <row r="80" spans="18:33" x14ac:dyDescent="0.2">
      <c r="R80" s="10"/>
      <c r="S80" s="10"/>
      <c r="T80" s="10"/>
      <c r="U80" s="10"/>
      <c r="V80" s="10"/>
      <c r="W80" s="10"/>
      <c r="X80" s="10"/>
      <c r="Y80" s="10"/>
      <c r="Z80" s="10"/>
      <c r="AA80" s="10"/>
      <c r="AB80" s="10"/>
      <c r="AC80" s="10"/>
      <c r="AD80" s="10"/>
      <c r="AE80" s="10"/>
      <c r="AF80" s="10"/>
      <c r="AG80" s="10"/>
    </row>
    <row r="81" spans="18:33" x14ac:dyDescent="0.2">
      <c r="R81" s="10"/>
      <c r="S81" s="10"/>
      <c r="T81" s="10"/>
      <c r="U81" s="10"/>
      <c r="V81" s="10"/>
      <c r="W81" s="10"/>
      <c r="X81" s="10"/>
      <c r="Y81" s="10"/>
      <c r="Z81" s="10"/>
      <c r="AA81" s="10"/>
      <c r="AB81" s="10"/>
      <c r="AC81" s="10"/>
      <c r="AD81" s="10"/>
      <c r="AE81" s="10"/>
      <c r="AF81" s="10"/>
      <c r="AG81" s="10"/>
    </row>
    <row r="82" spans="18:33" x14ac:dyDescent="0.2">
      <c r="R82" s="10"/>
      <c r="S82" s="10"/>
      <c r="T82" s="10"/>
      <c r="U82" s="10"/>
      <c r="V82" s="10"/>
      <c r="W82" s="10"/>
      <c r="X82" s="10"/>
      <c r="Y82" s="10"/>
      <c r="Z82" s="10"/>
      <c r="AA82" s="10"/>
      <c r="AB82" s="10"/>
      <c r="AC82" s="10"/>
      <c r="AD82" s="10"/>
      <c r="AE82" s="10"/>
      <c r="AF82" s="10"/>
      <c r="AG82" s="10"/>
    </row>
    <row r="83" spans="18:33" x14ac:dyDescent="0.2">
      <c r="R83" s="10"/>
      <c r="S83" s="10"/>
      <c r="T83" s="10"/>
      <c r="U83" s="10"/>
      <c r="V83" s="10"/>
      <c r="W83" s="10"/>
      <c r="X83" s="10"/>
      <c r="Y83" s="10"/>
      <c r="Z83" s="10"/>
      <c r="AA83" s="10"/>
      <c r="AB83" s="10"/>
      <c r="AC83" s="10"/>
      <c r="AD83" s="10"/>
      <c r="AE83" s="10"/>
      <c r="AF83" s="10"/>
      <c r="AG83" s="10"/>
    </row>
    <row r="84" spans="18:33" x14ac:dyDescent="0.2">
      <c r="R84" s="10"/>
      <c r="S84" s="10"/>
      <c r="T84" s="10"/>
      <c r="U84" s="10"/>
      <c r="V84" s="10"/>
      <c r="W84" s="10"/>
      <c r="X84" s="10"/>
      <c r="Y84" s="10"/>
      <c r="Z84" s="10"/>
      <c r="AA84" s="10"/>
      <c r="AB84" s="10"/>
      <c r="AC84" s="10"/>
      <c r="AD84" s="10"/>
      <c r="AE84" s="10"/>
      <c r="AF84" s="10"/>
      <c r="AG84" s="10"/>
    </row>
    <row r="85" spans="18:33" x14ac:dyDescent="0.2">
      <c r="R85" s="10"/>
      <c r="S85" s="10"/>
      <c r="T85" s="10"/>
      <c r="U85" s="10"/>
      <c r="V85" s="10"/>
      <c r="W85" s="10"/>
      <c r="X85" s="10"/>
      <c r="Y85" s="10"/>
      <c r="Z85" s="10"/>
      <c r="AA85" s="10"/>
      <c r="AB85" s="10"/>
      <c r="AC85" s="10"/>
      <c r="AD85" s="10"/>
      <c r="AE85" s="10"/>
      <c r="AF85" s="10"/>
      <c r="AG85" s="10"/>
    </row>
    <row r="86" spans="18:33" x14ac:dyDescent="0.2">
      <c r="R86" s="10"/>
      <c r="S86" s="10"/>
      <c r="T86" s="10"/>
      <c r="U86" s="10"/>
      <c r="V86" s="10"/>
      <c r="W86" s="10"/>
      <c r="X86" s="10"/>
      <c r="Y86" s="10"/>
      <c r="Z86" s="10"/>
      <c r="AA86" s="10"/>
      <c r="AB86" s="10"/>
      <c r="AC86" s="10"/>
      <c r="AD86" s="10"/>
      <c r="AE86" s="10"/>
      <c r="AF86" s="10"/>
      <c r="AG86" s="10"/>
    </row>
    <row r="87" spans="18:33" x14ac:dyDescent="0.2">
      <c r="R87" s="10"/>
      <c r="S87" s="10"/>
      <c r="T87" s="10"/>
      <c r="U87" s="10"/>
      <c r="V87" s="10"/>
      <c r="W87" s="10"/>
      <c r="X87" s="10"/>
      <c r="Y87" s="10"/>
      <c r="Z87" s="10"/>
      <c r="AA87" s="10"/>
      <c r="AB87" s="10"/>
      <c r="AC87" s="10"/>
      <c r="AD87" s="10"/>
      <c r="AE87" s="10"/>
      <c r="AF87" s="10"/>
      <c r="AG87" s="10"/>
    </row>
    <row r="88" spans="18:33" x14ac:dyDescent="0.2">
      <c r="R88" s="10"/>
      <c r="S88" s="10"/>
      <c r="T88" s="10"/>
      <c r="U88" s="10"/>
      <c r="V88" s="10"/>
      <c r="W88" s="10"/>
      <c r="X88" s="10"/>
      <c r="Y88" s="10"/>
      <c r="Z88" s="10"/>
      <c r="AA88" s="10"/>
      <c r="AB88" s="10"/>
      <c r="AC88" s="10"/>
      <c r="AD88" s="10"/>
      <c r="AE88" s="10"/>
      <c r="AF88" s="10"/>
      <c r="AG88" s="10"/>
    </row>
    <row r="89" spans="18:33" x14ac:dyDescent="0.2">
      <c r="R89" s="10"/>
      <c r="S89" s="10"/>
      <c r="T89" s="10"/>
      <c r="U89" s="10"/>
      <c r="V89" s="10"/>
      <c r="W89" s="10"/>
      <c r="X89" s="10"/>
      <c r="Y89" s="10"/>
      <c r="Z89" s="10"/>
      <c r="AA89" s="10"/>
      <c r="AB89" s="10"/>
      <c r="AC89" s="10"/>
      <c r="AD89" s="10"/>
      <c r="AE89" s="10"/>
      <c r="AF89" s="10"/>
      <c r="AG89" s="10"/>
    </row>
    <row r="90" spans="18:33" x14ac:dyDescent="0.2">
      <c r="R90" s="10"/>
      <c r="S90" s="10"/>
      <c r="T90" s="10"/>
      <c r="U90" s="10"/>
      <c r="V90" s="10"/>
      <c r="W90" s="10"/>
      <c r="X90" s="10"/>
      <c r="Y90" s="10"/>
      <c r="Z90" s="10"/>
      <c r="AA90" s="10"/>
      <c r="AB90" s="10"/>
      <c r="AC90" s="10"/>
      <c r="AD90" s="10"/>
      <c r="AE90" s="10"/>
      <c r="AF90" s="10"/>
      <c r="AG90" s="10"/>
    </row>
    <row r="91" spans="18:33" x14ac:dyDescent="0.2">
      <c r="R91" s="10"/>
      <c r="S91" s="10"/>
      <c r="T91" s="10"/>
      <c r="U91" s="10"/>
      <c r="V91" s="10"/>
      <c r="W91" s="10"/>
      <c r="X91" s="10"/>
      <c r="Y91" s="10"/>
      <c r="Z91" s="10"/>
      <c r="AA91" s="10"/>
      <c r="AB91" s="10"/>
      <c r="AC91" s="10"/>
      <c r="AD91" s="10"/>
      <c r="AE91" s="10"/>
      <c r="AF91" s="10"/>
      <c r="AG91" s="10"/>
    </row>
    <row r="92" spans="18:33" x14ac:dyDescent="0.2">
      <c r="R92" s="10"/>
      <c r="S92" s="10"/>
      <c r="T92" s="10"/>
      <c r="U92" s="10"/>
      <c r="V92" s="10"/>
      <c r="W92" s="10"/>
      <c r="X92" s="10"/>
      <c r="Y92" s="10"/>
      <c r="Z92" s="10"/>
      <c r="AA92" s="10"/>
      <c r="AB92" s="10"/>
      <c r="AC92" s="10"/>
      <c r="AD92" s="10"/>
      <c r="AE92" s="10"/>
      <c r="AF92" s="10"/>
      <c r="AG92" s="10"/>
    </row>
    <row r="93" spans="18:33" x14ac:dyDescent="0.2">
      <c r="R93" s="10"/>
      <c r="S93" s="10"/>
      <c r="T93" s="10"/>
      <c r="U93" s="10"/>
      <c r="V93" s="10"/>
      <c r="W93" s="10"/>
      <c r="X93" s="10"/>
      <c r="Y93" s="10"/>
      <c r="Z93" s="10"/>
      <c r="AA93" s="10"/>
      <c r="AB93" s="10"/>
      <c r="AC93" s="10"/>
      <c r="AD93" s="10"/>
      <c r="AE93" s="10"/>
      <c r="AF93" s="10"/>
      <c r="AG93" s="10"/>
    </row>
    <row r="94" spans="18:33" x14ac:dyDescent="0.2">
      <c r="R94" s="10"/>
      <c r="S94" s="10"/>
      <c r="T94" s="10"/>
      <c r="U94" s="10"/>
      <c r="V94" s="10"/>
      <c r="W94" s="10"/>
      <c r="X94" s="10"/>
      <c r="Y94" s="10"/>
      <c r="Z94" s="10"/>
      <c r="AA94" s="10"/>
      <c r="AB94" s="10"/>
      <c r="AC94" s="10"/>
      <c r="AD94" s="10"/>
      <c r="AE94" s="10"/>
      <c r="AF94" s="10"/>
      <c r="AG94" s="10"/>
    </row>
    <row r="95" spans="18:33" x14ac:dyDescent="0.2">
      <c r="R95" s="10"/>
      <c r="S95" s="10"/>
      <c r="T95" s="10"/>
      <c r="U95" s="10"/>
      <c r="V95" s="10"/>
      <c r="W95" s="10"/>
      <c r="X95" s="10"/>
      <c r="Y95" s="10"/>
      <c r="Z95" s="10"/>
      <c r="AA95" s="10"/>
      <c r="AB95" s="10"/>
      <c r="AC95" s="10"/>
      <c r="AD95" s="10"/>
      <c r="AE95" s="10"/>
      <c r="AF95" s="10"/>
      <c r="AG95" s="10"/>
    </row>
    <row r="96" spans="18:33" x14ac:dyDescent="0.2">
      <c r="R96" s="10"/>
      <c r="S96" s="10"/>
      <c r="T96" s="10"/>
      <c r="U96" s="10"/>
      <c r="V96" s="10"/>
      <c r="W96" s="10"/>
      <c r="X96" s="10"/>
      <c r="Y96" s="10"/>
      <c r="Z96" s="10"/>
      <c r="AA96" s="10"/>
      <c r="AB96" s="10"/>
      <c r="AC96" s="10"/>
      <c r="AD96" s="10"/>
      <c r="AE96" s="10"/>
      <c r="AF96" s="10"/>
      <c r="AG96" s="10"/>
    </row>
    <row r="97" spans="18:33" x14ac:dyDescent="0.2">
      <c r="R97" s="10"/>
      <c r="S97" s="10"/>
      <c r="T97" s="10"/>
      <c r="U97" s="10"/>
      <c r="V97" s="10"/>
      <c r="W97" s="10"/>
      <c r="X97" s="10"/>
      <c r="Y97" s="10"/>
      <c r="Z97" s="10"/>
      <c r="AA97" s="10"/>
      <c r="AB97" s="10"/>
      <c r="AC97" s="10"/>
      <c r="AD97" s="10"/>
      <c r="AE97" s="10"/>
      <c r="AF97" s="10"/>
      <c r="AG97" s="10"/>
    </row>
    <row r="98" spans="18:33" x14ac:dyDescent="0.2">
      <c r="R98" s="10"/>
      <c r="S98" s="10"/>
      <c r="T98" s="10"/>
      <c r="U98" s="10"/>
      <c r="V98" s="10"/>
      <c r="W98" s="10"/>
      <c r="X98" s="10"/>
      <c r="Y98" s="10"/>
      <c r="Z98" s="10"/>
      <c r="AA98" s="10"/>
      <c r="AB98" s="10"/>
      <c r="AC98" s="10"/>
      <c r="AD98" s="10"/>
      <c r="AE98" s="10"/>
      <c r="AF98" s="10"/>
      <c r="AG98" s="10"/>
    </row>
    <row r="99" spans="18:33" x14ac:dyDescent="0.2">
      <c r="R99" s="10"/>
      <c r="S99" s="10"/>
      <c r="T99" s="10"/>
      <c r="U99" s="10"/>
      <c r="V99" s="10"/>
      <c r="W99" s="10"/>
      <c r="X99" s="10"/>
      <c r="Y99" s="10"/>
      <c r="Z99" s="10"/>
      <c r="AA99" s="10"/>
      <c r="AB99" s="10"/>
      <c r="AC99" s="10"/>
      <c r="AD99" s="10"/>
      <c r="AE99" s="10"/>
      <c r="AF99" s="10"/>
      <c r="AG99" s="10"/>
    </row>
    <row r="100" spans="18:33" x14ac:dyDescent="0.2">
      <c r="R100" s="10"/>
      <c r="S100" s="10"/>
      <c r="T100" s="10"/>
      <c r="U100" s="10"/>
      <c r="V100" s="10"/>
      <c r="W100" s="10"/>
      <c r="X100" s="10"/>
      <c r="Y100" s="10"/>
      <c r="Z100" s="10"/>
      <c r="AA100" s="10"/>
      <c r="AB100" s="10"/>
      <c r="AC100" s="10"/>
      <c r="AD100" s="10"/>
      <c r="AE100" s="10"/>
      <c r="AF100" s="10"/>
      <c r="AG100" s="10"/>
    </row>
    <row r="101" spans="18:33" x14ac:dyDescent="0.2">
      <c r="R101" s="10"/>
      <c r="S101" s="10"/>
      <c r="T101" s="10"/>
      <c r="U101" s="10"/>
      <c r="V101" s="10"/>
      <c r="W101" s="10"/>
      <c r="X101" s="10"/>
      <c r="Y101" s="10"/>
      <c r="Z101" s="10"/>
      <c r="AA101" s="10"/>
      <c r="AB101" s="10"/>
      <c r="AC101" s="10"/>
      <c r="AD101" s="10"/>
      <c r="AE101" s="10"/>
      <c r="AF101" s="10"/>
      <c r="AG101" s="10"/>
    </row>
    <row r="102" spans="18:33" x14ac:dyDescent="0.2">
      <c r="R102" s="10"/>
      <c r="S102" s="10"/>
      <c r="T102" s="10"/>
      <c r="U102" s="10"/>
      <c r="V102" s="10"/>
      <c r="W102" s="10"/>
      <c r="X102" s="10"/>
      <c r="Y102" s="10"/>
      <c r="Z102" s="10"/>
      <c r="AA102" s="10"/>
      <c r="AB102" s="10"/>
      <c r="AC102" s="10"/>
      <c r="AD102" s="10"/>
      <c r="AE102" s="10"/>
      <c r="AF102" s="10"/>
      <c r="AG102" s="10"/>
    </row>
    <row r="103" spans="18:33" x14ac:dyDescent="0.2">
      <c r="R103" s="10"/>
      <c r="S103" s="10"/>
      <c r="T103" s="10"/>
      <c r="U103" s="10"/>
      <c r="V103" s="10"/>
      <c r="W103" s="10"/>
      <c r="X103" s="10"/>
      <c r="Y103" s="10"/>
      <c r="Z103" s="10"/>
      <c r="AA103" s="10"/>
      <c r="AB103" s="10"/>
      <c r="AC103" s="10"/>
      <c r="AD103" s="10"/>
      <c r="AE103" s="10"/>
      <c r="AF103" s="10"/>
      <c r="AG103" s="10"/>
    </row>
    <row r="104" spans="18:33" x14ac:dyDescent="0.2">
      <c r="R104" s="10"/>
      <c r="S104" s="10"/>
      <c r="T104" s="10"/>
      <c r="U104" s="10"/>
      <c r="V104" s="10"/>
      <c r="W104" s="10"/>
      <c r="X104" s="10"/>
      <c r="Y104" s="10"/>
      <c r="Z104" s="10"/>
      <c r="AA104" s="10"/>
      <c r="AB104" s="10"/>
      <c r="AC104" s="10"/>
      <c r="AD104" s="10"/>
      <c r="AE104" s="10"/>
      <c r="AF104" s="10"/>
      <c r="AG104" s="10"/>
    </row>
    <row r="105" spans="18:33" x14ac:dyDescent="0.2">
      <c r="R105" s="10"/>
      <c r="S105" s="10"/>
      <c r="T105" s="10"/>
      <c r="U105" s="10"/>
      <c r="V105" s="10"/>
      <c r="W105" s="10"/>
      <c r="X105" s="10"/>
      <c r="Y105" s="10"/>
      <c r="Z105" s="10"/>
      <c r="AA105" s="10"/>
      <c r="AB105" s="10"/>
      <c r="AC105" s="10"/>
      <c r="AD105" s="10"/>
      <c r="AE105" s="10"/>
      <c r="AF105" s="10"/>
      <c r="AG105" s="10"/>
    </row>
    <row r="106" spans="18:33" x14ac:dyDescent="0.2">
      <c r="R106" s="10"/>
      <c r="S106" s="10"/>
      <c r="T106" s="10"/>
      <c r="U106" s="10"/>
      <c r="V106" s="10"/>
      <c r="W106" s="10"/>
      <c r="X106" s="10"/>
      <c r="Y106" s="10"/>
      <c r="Z106" s="10"/>
      <c r="AA106" s="10"/>
      <c r="AB106" s="10"/>
      <c r="AC106" s="10"/>
      <c r="AD106" s="10"/>
      <c r="AE106" s="10"/>
      <c r="AF106" s="10"/>
      <c r="AG106" s="10"/>
    </row>
    <row r="107" spans="18:33" x14ac:dyDescent="0.2">
      <c r="R107" s="10"/>
      <c r="S107" s="10"/>
      <c r="T107" s="10"/>
      <c r="U107" s="10"/>
      <c r="V107" s="10"/>
      <c r="W107" s="10"/>
      <c r="X107" s="10"/>
      <c r="Y107" s="10"/>
      <c r="Z107" s="10"/>
      <c r="AA107" s="10"/>
      <c r="AB107" s="10"/>
      <c r="AC107" s="10"/>
      <c r="AD107" s="10"/>
      <c r="AE107" s="10"/>
      <c r="AF107" s="10"/>
      <c r="AG107" s="10"/>
    </row>
    <row r="108" spans="18:33" x14ac:dyDescent="0.2">
      <c r="R108" s="10"/>
      <c r="S108" s="10"/>
      <c r="T108" s="10"/>
      <c r="U108" s="10"/>
      <c r="V108" s="10"/>
      <c r="W108" s="10"/>
      <c r="X108" s="10"/>
      <c r="Y108" s="10"/>
      <c r="Z108" s="10"/>
      <c r="AA108" s="10"/>
      <c r="AB108" s="10"/>
      <c r="AC108" s="10"/>
      <c r="AD108" s="10"/>
      <c r="AE108" s="10"/>
      <c r="AF108" s="10"/>
      <c r="AG108" s="10"/>
    </row>
    <row r="109" spans="18:33" x14ac:dyDescent="0.2">
      <c r="R109" s="10"/>
      <c r="S109" s="10"/>
      <c r="T109" s="10"/>
      <c r="U109" s="10"/>
      <c r="V109" s="10"/>
      <c r="W109" s="10"/>
      <c r="X109" s="10"/>
      <c r="Y109" s="10"/>
      <c r="Z109" s="10"/>
      <c r="AA109" s="10"/>
      <c r="AB109" s="10"/>
      <c r="AC109" s="10"/>
      <c r="AD109" s="10"/>
      <c r="AE109" s="10"/>
      <c r="AF109" s="10"/>
      <c r="AG109" s="10"/>
    </row>
    <row r="110" spans="18:33" x14ac:dyDescent="0.2">
      <c r="R110" s="10"/>
      <c r="S110" s="10"/>
      <c r="T110" s="10"/>
      <c r="U110" s="10"/>
      <c r="V110" s="10"/>
      <c r="W110" s="10"/>
      <c r="X110" s="10"/>
      <c r="Y110" s="10"/>
      <c r="Z110" s="10"/>
      <c r="AA110" s="10"/>
      <c r="AB110" s="10"/>
      <c r="AC110" s="10"/>
      <c r="AD110" s="10"/>
      <c r="AE110" s="10"/>
      <c r="AF110" s="10"/>
      <c r="AG110" s="10"/>
    </row>
    <row r="111" spans="18:33" x14ac:dyDescent="0.2">
      <c r="R111" s="10"/>
      <c r="S111" s="10"/>
      <c r="T111" s="10"/>
      <c r="U111" s="10"/>
      <c r="V111" s="10"/>
      <c r="W111" s="10"/>
      <c r="X111" s="10"/>
      <c r="Y111" s="10"/>
      <c r="Z111" s="10"/>
      <c r="AA111" s="10"/>
      <c r="AB111" s="10"/>
      <c r="AC111" s="10"/>
      <c r="AD111" s="10"/>
      <c r="AE111" s="10"/>
      <c r="AF111" s="10"/>
      <c r="AG111" s="10"/>
    </row>
    <row r="112" spans="18:33" x14ac:dyDescent="0.2">
      <c r="R112" s="10"/>
      <c r="S112" s="10"/>
      <c r="T112" s="10"/>
      <c r="U112" s="10"/>
      <c r="V112" s="10"/>
      <c r="W112" s="10"/>
      <c r="X112" s="10"/>
      <c r="Y112" s="10"/>
      <c r="Z112" s="10"/>
      <c r="AA112" s="10"/>
      <c r="AB112" s="10"/>
      <c r="AC112" s="10"/>
      <c r="AD112" s="10"/>
      <c r="AE112" s="10"/>
      <c r="AF112" s="10"/>
      <c r="AG112" s="10"/>
    </row>
    <row r="113" spans="18:33" x14ac:dyDescent="0.2">
      <c r="R113" s="10"/>
      <c r="S113" s="10"/>
      <c r="T113" s="10"/>
      <c r="U113" s="10"/>
      <c r="V113" s="10"/>
      <c r="W113" s="10"/>
      <c r="X113" s="10"/>
      <c r="Y113" s="10"/>
      <c r="Z113" s="10"/>
      <c r="AA113" s="10"/>
      <c r="AB113" s="10"/>
      <c r="AC113" s="10"/>
      <c r="AD113" s="10"/>
      <c r="AE113" s="10"/>
      <c r="AF113" s="10"/>
      <c r="AG113" s="10"/>
    </row>
    <row r="114" spans="18:33" x14ac:dyDescent="0.2">
      <c r="R114" s="10"/>
      <c r="S114" s="10"/>
      <c r="T114" s="10"/>
      <c r="U114" s="10"/>
      <c r="V114" s="10"/>
      <c r="W114" s="10"/>
      <c r="X114" s="10"/>
      <c r="Y114" s="10"/>
      <c r="Z114" s="10"/>
      <c r="AA114" s="10"/>
      <c r="AB114" s="10"/>
      <c r="AC114" s="10"/>
      <c r="AD114" s="10"/>
      <c r="AE114" s="10"/>
      <c r="AF114" s="10"/>
      <c r="AG114" s="10"/>
    </row>
    <row r="115" spans="18:33" x14ac:dyDescent="0.2">
      <c r="R115" s="10"/>
      <c r="S115" s="10"/>
      <c r="T115" s="10"/>
      <c r="U115" s="10"/>
      <c r="V115" s="10"/>
      <c r="W115" s="10"/>
      <c r="X115" s="10"/>
      <c r="Y115" s="10"/>
      <c r="Z115" s="10"/>
      <c r="AA115" s="10"/>
      <c r="AB115" s="10"/>
      <c r="AC115" s="10"/>
      <c r="AD115" s="10"/>
      <c r="AE115" s="10"/>
      <c r="AF115" s="10"/>
      <c r="AG115" s="10"/>
    </row>
    <row r="116" spans="18:33" x14ac:dyDescent="0.2">
      <c r="R116" s="10"/>
      <c r="S116" s="10"/>
      <c r="T116" s="10"/>
      <c r="U116" s="10"/>
      <c r="V116" s="10"/>
      <c r="W116" s="10"/>
      <c r="X116" s="10"/>
      <c r="Y116" s="10"/>
      <c r="Z116" s="10"/>
      <c r="AA116" s="10"/>
      <c r="AB116" s="10"/>
      <c r="AC116" s="10"/>
      <c r="AD116" s="10"/>
      <c r="AE116" s="10"/>
      <c r="AF116" s="10"/>
      <c r="AG116" s="10"/>
    </row>
    <row r="117" spans="18:33" x14ac:dyDescent="0.2">
      <c r="R117" s="10"/>
      <c r="S117" s="10"/>
      <c r="T117" s="10"/>
      <c r="U117" s="10"/>
      <c r="V117" s="10"/>
      <c r="W117" s="10"/>
      <c r="X117" s="10"/>
      <c r="Y117" s="10"/>
      <c r="Z117" s="10"/>
      <c r="AA117" s="10"/>
      <c r="AB117" s="10"/>
      <c r="AC117" s="10"/>
      <c r="AD117" s="10"/>
      <c r="AE117" s="10"/>
      <c r="AF117" s="10"/>
      <c r="AG117" s="10"/>
    </row>
    <row r="118" spans="18:33" x14ac:dyDescent="0.2">
      <c r="R118" s="10"/>
      <c r="S118" s="10"/>
      <c r="T118" s="10"/>
      <c r="U118" s="10"/>
      <c r="V118" s="10"/>
      <c r="W118" s="10"/>
      <c r="X118" s="10"/>
      <c r="Y118" s="10"/>
      <c r="Z118" s="10"/>
      <c r="AA118" s="10"/>
      <c r="AB118" s="10"/>
      <c r="AC118" s="10"/>
      <c r="AD118" s="10"/>
      <c r="AE118" s="10"/>
      <c r="AF118" s="10"/>
      <c r="AG118" s="10"/>
    </row>
    <row r="119" spans="18:33" x14ac:dyDescent="0.2">
      <c r="R119" s="10"/>
      <c r="S119" s="10"/>
      <c r="T119" s="10"/>
      <c r="U119" s="10"/>
      <c r="V119" s="10"/>
      <c r="W119" s="10"/>
      <c r="X119" s="10"/>
      <c r="Y119" s="10"/>
      <c r="Z119" s="10"/>
      <c r="AA119" s="10"/>
      <c r="AB119" s="10"/>
      <c r="AC119" s="10"/>
      <c r="AD119" s="10"/>
      <c r="AE119" s="10"/>
      <c r="AF119" s="10"/>
      <c r="AG119" s="10"/>
    </row>
    <row r="120" spans="18:33" x14ac:dyDescent="0.2">
      <c r="R120" s="10"/>
      <c r="S120" s="10"/>
      <c r="T120" s="10"/>
      <c r="U120" s="10"/>
      <c r="V120" s="10"/>
      <c r="W120" s="10"/>
      <c r="X120" s="10"/>
      <c r="Y120" s="10"/>
      <c r="Z120" s="10"/>
      <c r="AA120" s="10"/>
      <c r="AB120" s="10"/>
      <c r="AC120" s="10"/>
      <c r="AD120" s="10"/>
      <c r="AE120" s="10"/>
      <c r="AF120" s="10"/>
      <c r="AG120" s="10"/>
    </row>
    <row r="121" spans="18:33" x14ac:dyDescent="0.2">
      <c r="R121" s="10"/>
      <c r="S121" s="10"/>
      <c r="T121" s="10"/>
      <c r="U121" s="10"/>
      <c r="V121" s="10"/>
      <c r="W121" s="10"/>
      <c r="X121" s="10"/>
      <c r="Y121" s="10"/>
      <c r="Z121" s="10"/>
      <c r="AA121" s="10"/>
      <c r="AB121" s="10"/>
      <c r="AC121" s="10"/>
      <c r="AD121" s="10"/>
      <c r="AE121" s="10"/>
      <c r="AF121" s="10"/>
      <c r="AG121" s="10"/>
    </row>
    <row r="122" spans="18:33" x14ac:dyDescent="0.2">
      <c r="R122" s="10"/>
      <c r="S122" s="10"/>
      <c r="T122" s="10"/>
      <c r="U122" s="10"/>
      <c r="V122" s="10"/>
      <c r="W122" s="10"/>
      <c r="X122" s="10"/>
      <c r="Y122" s="10"/>
      <c r="Z122" s="10"/>
      <c r="AA122" s="10"/>
      <c r="AB122" s="10"/>
      <c r="AC122" s="10"/>
      <c r="AD122" s="10"/>
      <c r="AE122" s="10"/>
      <c r="AF122" s="10"/>
      <c r="AG122" s="10"/>
    </row>
    <row r="123" spans="18:33" x14ac:dyDescent="0.2">
      <c r="R123" s="10"/>
      <c r="S123" s="10"/>
      <c r="T123" s="10"/>
      <c r="U123" s="10"/>
      <c r="V123" s="10"/>
      <c r="W123" s="10"/>
      <c r="X123" s="10"/>
      <c r="Y123" s="10"/>
      <c r="Z123" s="10"/>
      <c r="AA123" s="10"/>
      <c r="AB123" s="10"/>
      <c r="AC123" s="10"/>
      <c r="AD123" s="10"/>
      <c r="AE123" s="10"/>
      <c r="AF123" s="10"/>
      <c r="AG123" s="10"/>
    </row>
    <row r="124" spans="18:33" x14ac:dyDescent="0.2">
      <c r="R124" s="10"/>
      <c r="S124" s="10"/>
      <c r="T124" s="10"/>
      <c r="U124" s="10"/>
      <c r="V124" s="10"/>
      <c r="W124" s="10"/>
      <c r="X124" s="10"/>
      <c r="Y124" s="10"/>
      <c r="Z124" s="10"/>
      <c r="AA124" s="10"/>
      <c r="AB124" s="10"/>
      <c r="AC124" s="10"/>
      <c r="AD124" s="10"/>
      <c r="AE124" s="10"/>
      <c r="AF124" s="10"/>
      <c r="AG124" s="10"/>
    </row>
    <row r="125" spans="18:33" x14ac:dyDescent="0.2">
      <c r="R125" s="10"/>
      <c r="S125" s="10"/>
      <c r="T125" s="10"/>
      <c r="U125" s="10"/>
      <c r="V125" s="10"/>
      <c r="W125" s="10"/>
      <c r="X125" s="10"/>
      <c r="Y125" s="10"/>
      <c r="Z125" s="10"/>
      <c r="AA125" s="10"/>
      <c r="AB125" s="10"/>
      <c r="AC125" s="10"/>
      <c r="AD125" s="10"/>
      <c r="AE125" s="10"/>
      <c r="AF125" s="10"/>
      <c r="AG125" s="10"/>
    </row>
    <row r="126" spans="18:33" x14ac:dyDescent="0.2">
      <c r="R126" s="10"/>
      <c r="S126" s="10"/>
      <c r="T126" s="10"/>
      <c r="U126" s="10"/>
      <c r="V126" s="10"/>
      <c r="W126" s="10"/>
      <c r="X126" s="10"/>
      <c r="Y126" s="10"/>
      <c r="Z126" s="10"/>
      <c r="AA126" s="10"/>
      <c r="AB126" s="10"/>
      <c r="AC126" s="10"/>
      <c r="AD126" s="10"/>
      <c r="AE126" s="10"/>
      <c r="AF126" s="10"/>
      <c r="AG126" s="10"/>
    </row>
    <row r="127" spans="18:33" x14ac:dyDescent="0.2">
      <c r="R127" s="10"/>
      <c r="S127" s="10"/>
      <c r="T127" s="10"/>
      <c r="U127" s="10"/>
      <c r="V127" s="10"/>
      <c r="W127" s="10"/>
      <c r="X127" s="10"/>
      <c r="Y127" s="10"/>
      <c r="Z127" s="10"/>
      <c r="AA127" s="10"/>
      <c r="AB127" s="10"/>
      <c r="AC127" s="10"/>
      <c r="AD127" s="10"/>
      <c r="AE127" s="10"/>
      <c r="AF127" s="10"/>
      <c r="AG127" s="10"/>
    </row>
    <row r="128" spans="18:33" x14ac:dyDescent="0.2">
      <c r="R128" s="10"/>
      <c r="S128" s="10"/>
      <c r="T128" s="10"/>
      <c r="U128" s="10"/>
      <c r="V128" s="10"/>
      <c r="W128" s="10"/>
      <c r="X128" s="10"/>
      <c r="Y128" s="10"/>
      <c r="Z128" s="10"/>
      <c r="AA128" s="10"/>
      <c r="AB128" s="10"/>
      <c r="AC128" s="10"/>
      <c r="AD128" s="10"/>
      <c r="AE128" s="10"/>
      <c r="AF128" s="10"/>
      <c r="AG128" s="10"/>
    </row>
    <row r="129" spans="18:33" x14ac:dyDescent="0.2">
      <c r="R129" s="10"/>
      <c r="S129" s="10"/>
      <c r="T129" s="10"/>
      <c r="U129" s="10"/>
      <c r="V129" s="10"/>
      <c r="W129" s="10"/>
      <c r="X129" s="10"/>
      <c r="Y129" s="10"/>
      <c r="Z129" s="10"/>
      <c r="AA129" s="10"/>
      <c r="AB129" s="10"/>
      <c r="AC129" s="10"/>
      <c r="AD129" s="10"/>
      <c r="AE129" s="10"/>
      <c r="AF129" s="10"/>
      <c r="AG129" s="10"/>
    </row>
    <row r="130" spans="18:33" x14ac:dyDescent="0.2">
      <c r="R130" s="10"/>
      <c r="S130" s="10"/>
      <c r="T130" s="10"/>
      <c r="U130" s="10"/>
      <c r="V130" s="10"/>
      <c r="W130" s="10"/>
      <c r="X130" s="10"/>
      <c r="Y130" s="10"/>
      <c r="Z130" s="10"/>
      <c r="AA130" s="10"/>
      <c r="AB130" s="10"/>
      <c r="AC130" s="10"/>
      <c r="AD130" s="10"/>
      <c r="AE130" s="10"/>
      <c r="AF130" s="10"/>
      <c r="AG130" s="10"/>
    </row>
    <row r="131" spans="18:33" x14ac:dyDescent="0.2">
      <c r="R131" s="10"/>
      <c r="S131" s="10"/>
      <c r="T131" s="10"/>
      <c r="U131" s="10"/>
      <c r="V131" s="10"/>
      <c r="W131" s="10"/>
      <c r="X131" s="10"/>
      <c r="Y131" s="10"/>
      <c r="Z131" s="10"/>
      <c r="AA131" s="10"/>
      <c r="AB131" s="10"/>
      <c r="AC131" s="10"/>
      <c r="AD131" s="10"/>
      <c r="AE131" s="10"/>
      <c r="AF131" s="10"/>
      <c r="AG131" s="10"/>
    </row>
    <row r="132" spans="18:33" x14ac:dyDescent="0.2">
      <c r="R132" s="10"/>
      <c r="S132" s="10"/>
      <c r="T132" s="10"/>
      <c r="U132" s="10"/>
      <c r="V132" s="10"/>
      <c r="W132" s="10"/>
      <c r="X132" s="10"/>
      <c r="Y132" s="10"/>
      <c r="Z132" s="10"/>
      <c r="AA132" s="10"/>
      <c r="AB132" s="10"/>
      <c r="AC132" s="10"/>
      <c r="AD132" s="10"/>
      <c r="AE132" s="10"/>
      <c r="AF132" s="10"/>
      <c r="AG132" s="10"/>
    </row>
    <row r="133" spans="18:33" x14ac:dyDescent="0.2">
      <c r="R133" s="10"/>
      <c r="S133" s="10"/>
      <c r="T133" s="10"/>
      <c r="U133" s="10"/>
      <c r="V133" s="10"/>
      <c r="W133" s="10"/>
      <c r="X133" s="10"/>
      <c r="Y133" s="10"/>
      <c r="Z133" s="10"/>
      <c r="AA133" s="10"/>
      <c r="AB133" s="10"/>
      <c r="AC133" s="10"/>
      <c r="AD133" s="10"/>
      <c r="AE133" s="10"/>
      <c r="AF133" s="10"/>
      <c r="AG133" s="10"/>
    </row>
    <row r="134" spans="18:33" x14ac:dyDescent="0.2">
      <c r="R134" s="10"/>
      <c r="S134" s="10"/>
      <c r="T134" s="10"/>
      <c r="U134" s="10"/>
      <c r="V134" s="10"/>
      <c r="W134" s="10"/>
      <c r="X134" s="10"/>
      <c r="Y134" s="10"/>
      <c r="Z134" s="10"/>
      <c r="AA134" s="10"/>
      <c r="AB134" s="10"/>
      <c r="AC134" s="10"/>
      <c r="AD134" s="10"/>
      <c r="AE134" s="10"/>
      <c r="AF134" s="10"/>
      <c r="AG134" s="10"/>
    </row>
    <row r="135" spans="18:33" x14ac:dyDescent="0.2">
      <c r="R135" s="10"/>
      <c r="S135" s="10"/>
      <c r="T135" s="10"/>
      <c r="U135" s="10"/>
      <c r="V135" s="10"/>
      <c r="W135" s="10"/>
      <c r="X135" s="10"/>
      <c r="Y135" s="10"/>
      <c r="Z135" s="10"/>
      <c r="AA135" s="10"/>
      <c r="AB135" s="10"/>
      <c r="AC135" s="10"/>
      <c r="AD135" s="10"/>
      <c r="AE135" s="10"/>
      <c r="AF135" s="10"/>
      <c r="AG135" s="10"/>
    </row>
    <row r="136" spans="18:33" x14ac:dyDescent="0.2">
      <c r="R136" s="10"/>
      <c r="S136" s="10"/>
      <c r="T136" s="10"/>
      <c r="U136" s="10"/>
      <c r="V136" s="10"/>
      <c r="W136" s="10"/>
      <c r="X136" s="10"/>
      <c r="Y136" s="10"/>
      <c r="Z136" s="10"/>
      <c r="AA136" s="10"/>
      <c r="AB136" s="10"/>
      <c r="AC136" s="10"/>
      <c r="AD136" s="10"/>
      <c r="AE136" s="10"/>
      <c r="AF136" s="10"/>
      <c r="AG136" s="10"/>
    </row>
    <row r="137" spans="18:33" x14ac:dyDescent="0.2">
      <c r="R137" s="10"/>
      <c r="S137" s="10"/>
      <c r="T137" s="10"/>
      <c r="U137" s="10"/>
      <c r="V137" s="10"/>
      <c r="W137" s="10"/>
      <c r="X137" s="10"/>
      <c r="Y137" s="10"/>
      <c r="Z137" s="10"/>
      <c r="AA137" s="10"/>
      <c r="AB137" s="10"/>
      <c r="AC137" s="10"/>
      <c r="AD137" s="10"/>
      <c r="AE137" s="10"/>
      <c r="AF137" s="10"/>
      <c r="AG137" s="10"/>
    </row>
  </sheetData>
  <sheetProtection sheet="1" objects="1" scenarios="1"/>
  <mergeCells count="124">
    <mergeCell ref="V9:AA9"/>
    <mergeCell ref="C7:E7"/>
    <mergeCell ref="F8:H8"/>
    <mergeCell ref="L8:N8"/>
    <mergeCell ref="L12:N12"/>
    <mergeCell ref="I14:K14"/>
    <mergeCell ref="B51:R51"/>
    <mergeCell ref="I8:K8"/>
    <mergeCell ref="I9:K9"/>
    <mergeCell ref="C13:E13"/>
    <mergeCell ref="F12:H12"/>
    <mergeCell ref="F13:H13"/>
    <mergeCell ref="I12:K12"/>
    <mergeCell ref="C10:E10"/>
    <mergeCell ref="F11:H11"/>
    <mergeCell ref="C11:E11"/>
    <mergeCell ref="F9:H9"/>
    <mergeCell ref="I26:K26"/>
    <mergeCell ref="B32:P32"/>
    <mergeCell ref="B33:F33"/>
    <mergeCell ref="J33:K33"/>
    <mergeCell ref="M28:N28"/>
    <mergeCell ref="B28:H28"/>
    <mergeCell ref="M27:N27"/>
    <mergeCell ref="C6:H6"/>
    <mergeCell ref="O6:P6"/>
    <mergeCell ref="C15:E15"/>
    <mergeCell ref="B27:H27"/>
    <mergeCell ref="O5:P5"/>
    <mergeCell ref="C5:E5"/>
    <mergeCell ref="F5:H5"/>
    <mergeCell ref="F10:H10"/>
    <mergeCell ref="C12:E12"/>
    <mergeCell ref="I6:N6"/>
    <mergeCell ref="L10:N10"/>
    <mergeCell ref="L9:N9"/>
    <mergeCell ref="I7:K7"/>
    <mergeCell ref="I10:K10"/>
    <mergeCell ref="F7:H7"/>
    <mergeCell ref="I13:K13"/>
    <mergeCell ref="I11:K11"/>
    <mergeCell ref="B16:P16"/>
    <mergeCell ref="B18:P18"/>
    <mergeCell ref="F15:H15"/>
    <mergeCell ref="L11:N11"/>
    <mergeCell ref="O7:P13"/>
    <mergeCell ref="L13:N13"/>
    <mergeCell ref="L7:N7"/>
    <mergeCell ref="L26:N26"/>
    <mergeCell ref="I28:K28"/>
    <mergeCell ref="B26:H26"/>
    <mergeCell ref="B30:O30"/>
    <mergeCell ref="F14:H14"/>
    <mergeCell ref="J19:P19"/>
    <mergeCell ref="J22:K22"/>
    <mergeCell ref="B22:H22"/>
    <mergeCell ref="O20:O21"/>
    <mergeCell ref="M25:N25"/>
    <mergeCell ref="G20:H20"/>
    <mergeCell ref="G21:H21"/>
    <mergeCell ref="P20:P21"/>
    <mergeCell ref="I27:K27"/>
    <mergeCell ref="C42:E42"/>
    <mergeCell ref="J42:K42"/>
    <mergeCell ref="J41:K41"/>
    <mergeCell ref="B41:F41"/>
    <mergeCell ref="C35:E35"/>
    <mergeCell ref="C34:E34"/>
    <mergeCell ref="M33:N33"/>
    <mergeCell ref="M34:N34"/>
    <mergeCell ref="M35:N35"/>
    <mergeCell ref="G33:H33"/>
    <mergeCell ref="G34:H34"/>
    <mergeCell ref="G35:H35"/>
    <mergeCell ref="J35:K35"/>
    <mergeCell ref="J34:K34"/>
    <mergeCell ref="C1:J1"/>
    <mergeCell ref="L1:P1"/>
    <mergeCell ref="C8:E8"/>
    <mergeCell ref="C9:E9"/>
    <mergeCell ref="B2:P2"/>
    <mergeCell ref="B3:P3"/>
    <mergeCell ref="B4:P4"/>
    <mergeCell ref="I29:K29"/>
    <mergeCell ref="B29:H29"/>
    <mergeCell ref="M29:N29"/>
    <mergeCell ref="C20:E20"/>
    <mergeCell ref="C21:E21"/>
    <mergeCell ref="J20:K20"/>
    <mergeCell ref="J21:K21"/>
    <mergeCell ref="I25:K25"/>
    <mergeCell ref="L14:N14"/>
    <mergeCell ref="I15:K15"/>
    <mergeCell ref="M20:N21"/>
    <mergeCell ref="B24:P24"/>
    <mergeCell ref="B25:H25"/>
    <mergeCell ref="M22:N22"/>
    <mergeCell ref="L15:N15"/>
    <mergeCell ref="C14:E14"/>
    <mergeCell ref="F19:I19"/>
    <mergeCell ref="S9:T9"/>
    <mergeCell ref="I5:N5"/>
    <mergeCell ref="S27:W27"/>
    <mergeCell ref="R19:S19"/>
    <mergeCell ref="S26:W26"/>
    <mergeCell ref="C45:H45"/>
    <mergeCell ref="I45:N45"/>
    <mergeCell ref="B44:P44"/>
    <mergeCell ref="B36:O36"/>
    <mergeCell ref="B37:P37"/>
    <mergeCell ref="B38:H38"/>
    <mergeCell ref="I38:K38"/>
    <mergeCell ref="M38:N38"/>
    <mergeCell ref="B39:H39"/>
    <mergeCell ref="I39:K39"/>
    <mergeCell ref="L39:N39"/>
    <mergeCell ref="B40:H40"/>
    <mergeCell ref="I40:K40"/>
    <mergeCell ref="M40:N40"/>
    <mergeCell ref="M42:N42"/>
    <mergeCell ref="B43:O43"/>
    <mergeCell ref="G41:H41"/>
    <mergeCell ref="M41:N41"/>
    <mergeCell ref="G42:H42"/>
  </mergeCells>
  <phoneticPr fontId="0" type="noConversion"/>
  <conditionalFormatting sqref="O14:P15">
    <cfRule type="cellIs" dxfId="24" priority="155" stopIfTrue="1" operator="equal">
      <formula>#REF!</formula>
    </cfRule>
  </conditionalFormatting>
  <dataValidations xWindow="913" yWindow="437" count="4">
    <dataValidation allowBlank="1" showInputMessage="1" showErrorMessage="1" promptTitle="Net monaural loss" prompt="Subtract baseline audiogram impairment, if any, from current impairment." sqref="C34:C35 C42 C20:C21" xr:uid="{00000000-0002-0000-0800-000000000000}"/>
    <dataValidation allowBlank="1" showInputMessage="1" showErrorMessage="1" promptTitle="End of worksheet" prompt="Tab to return to top of sheet." sqref="P45" xr:uid="{00000000-0002-0000-0800-000004000000}"/>
    <dataValidation type="list" allowBlank="1" showInputMessage="1" showErrorMessage="1" promptTitle="Current measurements" prompt="Enter 0 to 100. If the loss is greater than 100 dB, enter 100 per OAR 436-035-0250(4)(a)." sqref="C8:N13" xr:uid="{00000000-0002-0000-0800-000005000000}">
      <formula1>$A$52:$CX$52</formula1>
    </dataValidation>
    <dataValidation operator="lessThan" allowBlank="1" showInputMessage="1" showErrorMessage="1" sqref="F5" xr:uid="{00000000-0002-0000-0800-000001000000}"/>
  </dataValidations>
  <hyperlinks>
    <hyperlink ref="B45" location="Hearing!A1" display="Return to top of sheet" xr:uid="{00000000-0004-0000-0800-000000000000}"/>
    <hyperlink ref="I45:N45" location="'PPD DOI on or after 2005'!A1" display="'PPD DOI on or after 2005'!A1" xr:uid="{00000000-0004-0000-0800-000001000000}"/>
    <hyperlink ref="C45:H45" location="'PPD DOI before 2005'!A1" display="'PPD DOI before 2005'!A1" xr:uid="{00000000-0004-0000-0800-000002000000}"/>
  </hyperlinks>
  <pageMargins left="0.75" right="0.75" top="0.67" bottom="0.74" header="0.5" footer="0.62"/>
  <pageSetup orientation="portrait" horizontalDpi="300" verticalDpi="300" r:id="rId1"/>
  <headerFooter alignWithMargins="0">
    <oddFooter>&amp;LHearing&amp;CPage &amp;P</oddFooter>
  </headerFooter>
  <rowBreaks count="1" manualBreakCount="1">
    <brk id="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4034" r:id="rId4" name="Group Box 2">
              <controlPr defaultSize="0" autoFill="0" autoPict="0">
                <anchor moveWithCells="1" sizeWithCells="1">
                  <from>
                    <xdr:col>14</xdr:col>
                    <xdr:colOff>0</xdr:colOff>
                    <xdr:row>4</xdr:row>
                    <xdr:rowOff>0</xdr:rowOff>
                  </from>
                  <to>
                    <xdr:col>15</xdr:col>
                    <xdr:colOff>800100</xdr:colOff>
                    <xdr:row>5</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155DDEB3551B64C8ABBB0E04F497D9C" ma:contentTypeVersion="8" ma:contentTypeDescription="Create a new document." ma:contentTypeScope="" ma:versionID="6d3052445e04cd7070913ad285f1cb37">
  <xsd:schema xmlns:xsd="http://www.w3.org/2001/XMLSchema" xmlns:xs="http://www.w3.org/2001/XMLSchema" xmlns:p="http://schemas.microsoft.com/office/2006/metadata/properties" xmlns:ns1="http://schemas.microsoft.com/sharepoint/v3" xmlns:ns2="55499968-6880-4d8c-adb5-ca0fe4a50954" targetNamespace="http://schemas.microsoft.com/office/2006/metadata/properties" ma:root="true" ma:fieldsID="f31a77aa982784b515da0453785b1b06" ns1:_="" ns2:_="">
    <xsd:import namespace="http://schemas.microsoft.com/sharepoint/v3"/>
    <xsd:import namespace="55499968-6880-4d8c-adb5-ca0fe4a50954"/>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5499968-6880-4d8c-adb5-ca0fe4a5095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6AC6FD9-4958-4575-87FB-6B5C90A88F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5499968-6880-4d8c-adb5-ca0fe4a509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610CE11-73C2-41F0-83AC-403AD9026E0B}">
  <ds:schemaRefs>
    <ds:schemaRef ds:uri="http://schemas.microsoft.com/sharepoint/v3/contenttype/forms"/>
  </ds:schemaRefs>
</ds:datastoreItem>
</file>

<file path=customXml/itemProps3.xml><?xml version="1.0" encoding="utf-8"?>
<ds:datastoreItem xmlns:ds="http://schemas.openxmlformats.org/officeDocument/2006/customXml" ds:itemID="{00CDD50D-C9E7-4032-AA56-AB8FF0D62EBA}">
  <ds:schemaRef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microsoft.com/sharepoint/v3"/>
    <ds:schemaRef ds:uri="http://purl.org/dc/terms/"/>
    <ds:schemaRef ds:uri="55499968-6880-4d8c-adb5-ca0fe4a50954"/>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vt:i4>
      </vt:variant>
    </vt:vector>
  </HeadingPairs>
  <TitlesOfParts>
    <vt:vector size="40" baseType="lpstr">
      <vt:lpstr>Start here</vt:lpstr>
      <vt:lpstr>PPD DOI on or after 2005</vt:lpstr>
      <vt:lpstr>PPD DOI before 2005</vt:lpstr>
      <vt:lpstr>SAWW</vt:lpstr>
      <vt:lpstr>Upper Extremity-Right</vt:lpstr>
      <vt:lpstr>Upper Extremity-Left</vt:lpstr>
      <vt:lpstr>Lower Extremity-Right</vt:lpstr>
      <vt:lpstr>Lower Extremity-Left</vt:lpstr>
      <vt:lpstr>Hearing</vt:lpstr>
      <vt:lpstr>Vision</vt:lpstr>
      <vt:lpstr>Shoulder-Right</vt:lpstr>
      <vt:lpstr>Shoulder-Left</vt:lpstr>
      <vt:lpstr>Hip-Right</vt:lpstr>
      <vt:lpstr>Hip-Left</vt:lpstr>
      <vt:lpstr>Spine</vt:lpstr>
      <vt:lpstr>Pelvis</vt:lpstr>
      <vt:lpstr>Abdomen</vt:lpstr>
      <vt:lpstr>Chest</vt:lpstr>
      <vt:lpstr>Cardiovascular</vt:lpstr>
      <vt:lpstr>Respiratory</vt:lpstr>
      <vt:lpstr>Cranial Nerves-Brain</vt:lpstr>
      <vt:lpstr>Spinal cord</vt:lpstr>
      <vt:lpstr>Mental illness</vt:lpstr>
      <vt:lpstr>Hematopoietic</vt:lpstr>
      <vt:lpstr>GI &amp; GU</vt:lpstr>
      <vt:lpstr>Endocrine</vt:lpstr>
      <vt:lpstr>Integument &amp; Lacrimal</vt:lpstr>
      <vt:lpstr>Immune system</vt:lpstr>
      <vt:lpstr>UETable</vt:lpstr>
      <vt:lpstr>LETable</vt:lpstr>
      <vt:lpstr>Hearing-Table</vt:lpstr>
      <vt:lpstr>Eye-Table</vt:lpstr>
      <vt:lpstr>Sh-Table</vt:lpstr>
      <vt:lpstr>H-Table</vt:lpstr>
      <vt:lpstr>Sp-Table</vt:lpstr>
      <vt:lpstr>Dol Per Deg</vt:lpstr>
      <vt:lpstr>Rules</vt:lpstr>
      <vt:lpstr>Combiner</vt:lpstr>
      <vt:lpstr>Sheet1</vt:lpstr>
      <vt:lpstr>'Dol Per Deg'!DOI_Rate</vt:lpstr>
    </vt:vector>
  </TitlesOfParts>
  <Manager>Jim Van Ness</Manager>
  <Company>Oregon Workers' Compensation Division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PPD Calculator - Closure on or after 1/1/2005</dc:title>
  <dc:subject>Permanent partial disability</dc:subject>
  <dc:creator>Fred Bruyns</dc:creator>
  <cp:keywords>disability PPD calculator rate impairment</cp:keywords>
  <dc:description>Questions or comments? Contact Fred Bruyns, (503) 947-7717, E-mail fred.h.bruyns@state.or.us</dc:description>
  <cp:lastModifiedBy>Passantino Steve S</cp:lastModifiedBy>
  <cp:lastPrinted>2022-10-14T21:03:02Z</cp:lastPrinted>
  <dcterms:created xsi:type="dcterms:W3CDTF">2003-02-18T05:29:48Z</dcterms:created>
  <dcterms:modified xsi:type="dcterms:W3CDTF">2024-06-26T18:37:08Z</dcterms:modified>
  <cp:category>Calculator</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0x0101000155DDEB3551B64C8ABBB0E04F497D9C</vt:lpwstr>
  </property>
  <property fmtid="{D5CDD505-2E9C-101B-9397-08002B2CF9AE}" pid="3" name="MSIP_Label_db79d039-fcd0-4045-9c78-4cfb2eba0904_Enabled">
    <vt:lpwstr>true</vt:lpwstr>
  </property>
  <property fmtid="{D5CDD505-2E9C-101B-9397-08002B2CF9AE}" pid="4" name="MSIP_Label_db79d039-fcd0-4045-9c78-4cfb2eba0904_SetDate">
    <vt:lpwstr>2024-06-18T15:02:34Z</vt:lpwstr>
  </property>
  <property fmtid="{D5CDD505-2E9C-101B-9397-08002B2CF9AE}" pid="5" name="MSIP_Label_db79d039-fcd0-4045-9c78-4cfb2eba0904_Method">
    <vt:lpwstr>Privileged</vt:lpwstr>
  </property>
  <property fmtid="{D5CDD505-2E9C-101B-9397-08002B2CF9AE}" pid="6" name="MSIP_Label_db79d039-fcd0-4045-9c78-4cfb2eba0904_Name">
    <vt:lpwstr>Level 2 - Limited (Items)</vt:lpwstr>
  </property>
  <property fmtid="{D5CDD505-2E9C-101B-9397-08002B2CF9AE}" pid="7" name="MSIP_Label_db79d039-fcd0-4045-9c78-4cfb2eba0904_SiteId">
    <vt:lpwstr>aa3f6932-fa7c-47b4-a0ce-a598cad161cf</vt:lpwstr>
  </property>
  <property fmtid="{D5CDD505-2E9C-101B-9397-08002B2CF9AE}" pid="8" name="MSIP_Label_db79d039-fcd0-4045-9c78-4cfb2eba0904_ActionId">
    <vt:lpwstr>4bd1a020-15a5-43a0-95d1-90ec6378fbe2</vt:lpwstr>
  </property>
  <property fmtid="{D5CDD505-2E9C-101B-9397-08002B2CF9AE}" pid="9" name="MSIP_Label_db79d039-fcd0-4045-9c78-4cfb2eba0904_ContentBits">
    <vt:lpwstr>0</vt:lpwstr>
  </property>
</Properties>
</file>